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OP\"/>
    </mc:Choice>
  </mc:AlternateContent>
  <bookViews>
    <workbookView xWindow="0" yWindow="0" windowWidth="20490" windowHeight="7650" activeTab="10"/>
  </bookViews>
  <sheets>
    <sheet name="A.1" sheetId="6" r:id="rId1"/>
    <sheet name="Sheet1" sheetId="11" r:id="rId2"/>
    <sheet name="A.2" sheetId="1" r:id="rId3"/>
    <sheet name="A.3" sheetId="7" r:id="rId4"/>
    <sheet name="A.4" sheetId="2" r:id="rId5"/>
    <sheet name="A.5" sheetId="8" r:id="rId6"/>
    <sheet name="A.6" sheetId="3" r:id="rId7"/>
    <sheet name="A.7 " sheetId="9" r:id="rId8"/>
    <sheet name="A.8" sheetId="4" r:id="rId9"/>
    <sheet name="A.9" sheetId="10" r:id="rId10"/>
    <sheet name="A.10" sheetId="5" r:id="rId11"/>
  </sheets>
  <definedNames>
    <definedName name="_xlnm.Print_Area" localSheetId="0">A.1!$B$1:$O$79</definedName>
    <definedName name="_xlnm.Print_Area" localSheetId="10">A.10!$B$1:$O$169</definedName>
    <definedName name="_xlnm.Print_Area" localSheetId="2">A.2!$B$1:$O$70</definedName>
    <definedName name="_xlnm.Print_Area" localSheetId="3">A.3!$A$1:$I$3724</definedName>
    <definedName name="_xlnm.Print_Area" localSheetId="4">A.4!$A$1:$P$3809</definedName>
    <definedName name="_xlnm.Print_Area" localSheetId="5">A.5!$A$1:$I$944</definedName>
    <definedName name="_xlnm.Print_Area" localSheetId="6">A.6!$A$1:$N$796</definedName>
    <definedName name="_xlnm.Print_Area" localSheetId="7">'A.7 '!$A$1:$L$846</definedName>
    <definedName name="_xlnm.Print_Area" localSheetId="8">A.8!$A$1:$O$839</definedName>
    <definedName name="_xlnm.Print_Area" localSheetId="9">A.9!$B$1:$H$228</definedName>
    <definedName name="_xlnm.Print_Titles" localSheetId="0">A.1!$9:$12</definedName>
    <definedName name="_xlnm.Print_Titles" localSheetId="10">A.10!$9:$11</definedName>
    <definedName name="_xlnm.Print_Titles" localSheetId="2">A.2!$9:$12</definedName>
    <definedName name="_xlnm.Print_Titles" localSheetId="3">A.3!$10:$12</definedName>
    <definedName name="_xlnm.Print_Titles" localSheetId="4">A.4!$10:$12</definedName>
    <definedName name="_xlnm.Print_Titles" localSheetId="5">A.5!$10:$12</definedName>
    <definedName name="_xlnm.Print_Titles" localSheetId="6">A.6!$10:$12</definedName>
    <definedName name="_xlnm.Print_Titles" localSheetId="7">'A.7 '!$10:$12</definedName>
    <definedName name="_xlnm.Print_Titles" localSheetId="8">A.8!$10:$12</definedName>
    <definedName name="_xlnm.Print_Titles" localSheetId="9">A.9!$9:$11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92" i="3" l="1"/>
  <c r="C484" i="3"/>
  <c r="C482" i="3"/>
  <c r="C481" i="3" s="1"/>
  <c r="C480" i="3" s="1"/>
  <c r="C238" i="3"/>
  <c r="C236" i="3"/>
  <c r="C225" i="3" s="1"/>
  <c r="C228" i="3"/>
  <c r="C226" i="3"/>
  <c r="C744" i="3"/>
  <c r="C739" i="3"/>
  <c r="C734" i="3"/>
  <c r="C732" i="3"/>
  <c r="C728" i="3"/>
  <c r="C702" i="3" s="1"/>
  <c r="C712" i="3"/>
  <c r="C703" i="3"/>
  <c r="C762" i="3"/>
  <c r="C760" i="3" s="1"/>
  <c r="F14" i="10" l="1"/>
  <c r="G14" i="10" s="1"/>
  <c r="F15" i="10"/>
  <c r="G15" i="10" s="1"/>
  <c r="F16" i="10"/>
  <c r="G16" i="10" s="1"/>
  <c r="D19" i="10"/>
  <c r="F19" i="10" s="1"/>
  <c r="J19" i="10"/>
  <c r="F20" i="10"/>
  <c r="F21" i="10"/>
  <c r="F22" i="10"/>
  <c r="F23" i="10"/>
  <c r="F24" i="10"/>
  <c r="G24" i="10" s="1"/>
  <c r="F25" i="10"/>
  <c r="F26" i="10"/>
  <c r="F27" i="10"/>
  <c r="F28" i="10"/>
  <c r="F29" i="10"/>
  <c r="F30" i="10"/>
  <c r="F31" i="10"/>
  <c r="F32" i="10"/>
  <c r="G32" i="10" s="1"/>
  <c r="F33" i="10"/>
  <c r="F34" i="10"/>
  <c r="F35" i="10"/>
  <c r="F36" i="10"/>
  <c r="F37" i="10"/>
  <c r="F38" i="10"/>
  <c r="F39" i="10"/>
  <c r="G39" i="10" s="1"/>
  <c r="F40" i="10"/>
  <c r="G40" i="10"/>
  <c r="F41" i="10"/>
  <c r="F42" i="10"/>
  <c r="F43" i="10"/>
  <c r="F44" i="10"/>
  <c r="F45" i="10"/>
  <c r="D46" i="10"/>
  <c r="F46" i="10" s="1"/>
  <c r="G46" i="10"/>
  <c r="F47" i="10"/>
  <c r="F48" i="10"/>
  <c r="D49" i="10"/>
  <c r="F49" i="10" s="1"/>
  <c r="G49" i="10"/>
  <c r="F50" i="10"/>
  <c r="F51" i="10"/>
  <c r="F52" i="10"/>
  <c r="F53" i="10"/>
  <c r="D54" i="10"/>
  <c r="F54" i="10" s="1"/>
  <c r="F55" i="10"/>
  <c r="D56" i="10"/>
  <c r="F56" i="10" s="1"/>
  <c r="F57" i="10"/>
  <c r="F58" i="10"/>
  <c r="F59" i="10"/>
  <c r="F60" i="10"/>
  <c r="F61" i="10"/>
  <c r="F62" i="10"/>
  <c r="F63" i="10"/>
  <c r="F64" i="10"/>
  <c r="G64" i="10" s="1"/>
  <c r="G56" i="10" s="1"/>
  <c r="F65" i="10"/>
  <c r="F66" i="10"/>
  <c r="F67" i="10"/>
  <c r="D68" i="10"/>
  <c r="F68" i="10" s="1"/>
  <c r="G68" i="10"/>
  <c r="F69" i="10"/>
  <c r="F70" i="10"/>
  <c r="F71" i="10"/>
  <c r="F72" i="10"/>
  <c r="F73" i="10"/>
  <c r="F74" i="10"/>
  <c r="F75" i="10"/>
  <c r="F76" i="10"/>
  <c r="F77" i="10"/>
  <c r="D78" i="10"/>
  <c r="F78" i="10" s="1"/>
  <c r="F79" i="10"/>
  <c r="F80" i="10"/>
  <c r="F81" i="10"/>
  <c r="F82" i="10"/>
  <c r="F83" i="10"/>
  <c r="F84" i="10"/>
  <c r="F85" i="10"/>
  <c r="F86" i="10"/>
  <c r="F87" i="10"/>
  <c r="F88" i="10"/>
  <c r="G88" i="10" s="1"/>
  <c r="F89" i="10"/>
  <c r="F90" i="10"/>
  <c r="G90" i="10" s="1"/>
  <c r="F91" i="10"/>
  <c r="G91" i="10" s="1"/>
  <c r="F92" i="10"/>
  <c r="F93" i="10"/>
  <c r="F94" i="10"/>
  <c r="D95" i="10"/>
  <c r="J94" i="10" s="1"/>
  <c r="E95" i="10"/>
  <c r="F96" i="10"/>
  <c r="F97" i="10"/>
  <c r="F98" i="10"/>
  <c r="F99" i="10"/>
  <c r="F100" i="10"/>
  <c r="F101" i="10"/>
  <c r="F102" i="10"/>
  <c r="F103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G117" i="10" s="1"/>
  <c r="F118" i="10"/>
  <c r="F119" i="10"/>
  <c r="F120" i="10"/>
  <c r="G120" i="10" s="1"/>
  <c r="F121" i="10"/>
  <c r="G121" i="10" s="1"/>
  <c r="F122" i="10"/>
  <c r="G122" i="10" s="1"/>
  <c r="F123" i="10"/>
  <c r="F124" i="10"/>
  <c r="F125" i="10"/>
  <c r="G125" i="10" s="1"/>
  <c r="F126" i="10"/>
  <c r="D127" i="10"/>
  <c r="F127" i="10" s="1"/>
  <c r="G127" i="10"/>
  <c r="F128" i="10"/>
  <c r="F129" i="10"/>
  <c r="D130" i="10"/>
  <c r="E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G142" i="10" s="1"/>
  <c r="G130" i="10" s="1"/>
  <c r="D145" i="10"/>
  <c r="F146" i="10"/>
  <c r="F147" i="10"/>
  <c r="F148" i="10"/>
  <c r="G148" i="10" s="1"/>
  <c r="G145" i="10" s="1"/>
  <c r="D149" i="10"/>
  <c r="F149" i="10" s="1"/>
  <c r="F150" i="10"/>
  <c r="D151" i="10"/>
  <c r="F151" i="10" s="1"/>
  <c r="F152" i="10"/>
  <c r="D153" i="10"/>
  <c r="F153" i="10" s="1"/>
  <c r="F154" i="10"/>
  <c r="F155" i="10"/>
  <c r="F156" i="10"/>
  <c r="F157" i="10"/>
  <c r="F158" i="10"/>
  <c r="F159" i="10"/>
  <c r="G159" i="10" s="1"/>
  <c r="G153" i="10" s="1"/>
  <c r="F160" i="10"/>
  <c r="F161" i="10"/>
  <c r="F162" i="10"/>
  <c r="F163" i="10"/>
  <c r="F164" i="10"/>
  <c r="F165" i="10"/>
  <c r="F166" i="10"/>
  <c r="D167" i="10"/>
  <c r="F167" i="10" s="1"/>
  <c r="F168" i="10"/>
  <c r="F169" i="10"/>
  <c r="F170" i="10"/>
  <c r="F171" i="10"/>
  <c r="F172" i="10"/>
  <c r="F173" i="10"/>
  <c r="G173" i="10" s="1"/>
  <c r="F174" i="10"/>
  <c r="G174" i="10"/>
  <c r="F175" i="10"/>
  <c r="D178" i="10"/>
  <c r="F178" i="10" s="1"/>
  <c r="G178" i="10"/>
  <c r="F179" i="10"/>
  <c r="F180" i="10"/>
  <c r="F181" i="10"/>
  <c r="D182" i="10"/>
  <c r="F182" i="10" s="1"/>
  <c r="F183" i="10"/>
  <c r="G183" i="10" s="1"/>
  <c r="G182" i="10" s="1"/>
  <c r="F184" i="10"/>
  <c r="F185" i="10"/>
  <c r="F186" i="10"/>
  <c r="D189" i="10"/>
  <c r="F189" i="10" s="1"/>
  <c r="G189" i="10"/>
  <c r="F190" i="10"/>
  <c r="F191" i="10"/>
  <c r="F192" i="10"/>
  <c r="F193" i="10"/>
  <c r="F194" i="10"/>
  <c r="D195" i="10"/>
  <c r="F196" i="10"/>
  <c r="D197" i="10"/>
  <c r="F197" i="10" s="1"/>
  <c r="G197" i="10"/>
  <c r="F198" i="10"/>
  <c r="F199" i="10"/>
  <c r="F200" i="10"/>
  <c r="F201" i="10"/>
  <c r="D203" i="10"/>
  <c r="F203" i="10" s="1"/>
  <c r="G203" i="10"/>
  <c r="F204" i="10"/>
  <c r="G204" i="10" s="1"/>
  <c r="F205" i="10"/>
  <c r="G205" i="10" s="1"/>
  <c r="F206" i="10"/>
  <c r="F207" i="10"/>
  <c r="F208" i="10"/>
  <c r="D211" i="10"/>
  <c r="F211" i="10" s="1"/>
  <c r="F212" i="10"/>
  <c r="D215" i="10"/>
  <c r="D214" i="10" s="1"/>
  <c r="E215" i="10"/>
  <c r="E214" i="10" s="1"/>
  <c r="F216" i="10"/>
  <c r="F13" i="9"/>
  <c r="G14" i="9"/>
  <c r="G13" i="9" s="1"/>
  <c r="G15" i="9"/>
  <c r="H15" i="9"/>
  <c r="G16" i="9"/>
  <c r="G17" i="9"/>
  <c r="G18" i="9"/>
  <c r="H18" i="9"/>
  <c r="G19" i="9"/>
  <c r="G20" i="9"/>
  <c r="G21" i="9"/>
  <c r="G22" i="9"/>
  <c r="G23" i="9"/>
  <c r="G24" i="9"/>
  <c r="G25" i="9"/>
  <c r="G26" i="9"/>
  <c r="G27" i="9"/>
  <c r="G28" i="9"/>
  <c r="G29" i="9"/>
  <c r="H29" i="9"/>
  <c r="G30" i="9"/>
  <c r="G31" i="9"/>
  <c r="G32" i="9"/>
  <c r="G33" i="9"/>
  <c r="G34" i="9"/>
  <c r="G35" i="9"/>
  <c r="G36" i="9"/>
  <c r="G37" i="9"/>
  <c r="H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H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H68" i="9"/>
  <c r="G69" i="9"/>
  <c r="G70" i="9"/>
  <c r="G71" i="9"/>
  <c r="G72" i="9"/>
  <c r="G73" i="9"/>
  <c r="G74" i="9"/>
  <c r="G75" i="9"/>
  <c r="G76" i="9"/>
  <c r="G77" i="9"/>
  <c r="G78" i="9"/>
  <c r="H78" i="9" s="1"/>
  <c r="G79" i="9"/>
  <c r="G80" i="9"/>
  <c r="G81" i="9"/>
  <c r="G82" i="9"/>
  <c r="H82" i="9" s="1"/>
  <c r="G83" i="9"/>
  <c r="G84" i="9"/>
  <c r="G85" i="9"/>
  <c r="H85" i="9" s="1"/>
  <c r="G86" i="9"/>
  <c r="H86" i="9"/>
  <c r="G87" i="9"/>
  <c r="G88" i="9"/>
  <c r="G89" i="9"/>
  <c r="G90" i="9"/>
  <c r="G91" i="9"/>
  <c r="G92" i="9"/>
  <c r="H92" i="9"/>
  <c r="G93" i="9"/>
  <c r="G94" i="9"/>
  <c r="G95" i="9"/>
  <c r="H95" i="9"/>
  <c r="G96" i="9"/>
  <c r="G97" i="9"/>
  <c r="G98" i="9"/>
  <c r="G99" i="9"/>
  <c r="G100" i="9"/>
  <c r="G101" i="9"/>
  <c r="E106" i="9"/>
  <c r="F106" i="9"/>
  <c r="H106" i="9"/>
  <c r="G107" i="9"/>
  <c r="G108" i="9"/>
  <c r="G109" i="9"/>
  <c r="E110" i="9"/>
  <c r="H110" i="9" s="1"/>
  <c r="F110" i="9"/>
  <c r="G110" i="9" s="1"/>
  <c r="G111" i="9"/>
  <c r="H111" i="9"/>
  <c r="E112" i="9"/>
  <c r="F112" i="9"/>
  <c r="G112" i="9"/>
  <c r="G113" i="9"/>
  <c r="G114" i="9"/>
  <c r="H114" i="9"/>
  <c r="G115" i="9"/>
  <c r="H115" i="9"/>
  <c r="H112" i="9" s="1"/>
  <c r="E116" i="9"/>
  <c r="F116" i="9"/>
  <c r="H116" i="9"/>
  <c r="G117" i="9"/>
  <c r="G118" i="9"/>
  <c r="E119" i="9"/>
  <c r="F119" i="9"/>
  <c r="G119" i="9" s="1"/>
  <c r="G120" i="9"/>
  <c r="E123" i="9"/>
  <c r="E122" i="9" s="1"/>
  <c r="F123" i="9"/>
  <c r="F122" i="9" s="1"/>
  <c r="G124" i="9"/>
  <c r="G127" i="9"/>
  <c r="F155" i="9"/>
  <c r="G155" i="9" s="1"/>
  <c r="E156" i="9"/>
  <c r="E155" i="9" s="1"/>
  <c r="E126" i="9" s="1"/>
  <c r="F156" i="9"/>
  <c r="G156" i="9" s="1"/>
  <c r="H156" i="9" s="1"/>
  <c r="G158" i="9"/>
  <c r="H158" i="9" s="1"/>
  <c r="F160" i="9"/>
  <c r="E162" i="9"/>
  <c r="G162" i="9" s="1"/>
  <c r="G163" i="9"/>
  <c r="G164" i="9"/>
  <c r="G165" i="9"/>
  <c r="H165" i="9" s="1"/>
  <c r="H162" i="9" s="1"/>
  <c r="G166" i="9"/>
  <c r="E167" i="9"/>
  <c r="G168" i="9"/>
  <c r="H168" i="9" s="1"/>
  <c r="E169" i="9"/>
  <c r="G169" i="9" s="1"/>
  <c r="H169" i="9"/>
  <c r="G170" i="9"/>
  <c r="G171" i="9"/>
  <c r="E172" i="9"/>
  <c r="G172" i="9" s="1"/>
  <c r="H172" i="9" s="1"/>
  <c r="G173" i="9"/>
  <c r="H173" i="9" s="1"/>
  <c r="H175" i="9"/>
  <c r="E176" i="9"/>
  <c r="E175" i="9" s="1"/>
  <c r="G175" i="9" s="1"/>
  <c r="H176" i="9"/>
  <c r="G177" i="9"/>
  <c r="G178" i="9"/>
  <c r="H180" i="9"/>
  <c r="E181" i="9"/>
  <c r="E180" i="9" s="1"/>
  <c r="F182" i="9"/>
  <c r="F181" i="9" s="1"/>
  <c r="G183" i="9"/>
  <c r="F185" i="9"/>
  <c r="G185" i="9" s="1"/>
  <c r="F186" i="9"/>
  <c r="G186" i="9" s="1"/>
  <c r="G187" i="9"/>
  <c r="E193" i="9"/>
  <c r="H193" i="9"/>
  <c r="F195" i="9"/>
  <c r="G195" i="9" s="1"/>
  <c r="G196" i="9"/>
  <c r="G197" i="9"/>
  <c r="F198" i="9"/>
  <c r="G198" i="9" s="1"/>
  <c r="G199" i="9"/>
  <c r="G200" i="9"/>
  <c r="G201" i="9"/>
  <c r="F202" i="9"/>
  <c r="G202" i="9" s="1"/>
  <c r="G203" i="9"/>
  <c r="F204" i="9"/>
  <c r="G204" i="9" s="1"/>
  <c r="G205" i="9"/>
  <c r="F206" i="9"/>
  <c r="G206" i="9" s="1"/>
  <c r="G207" i="9"/>
  <c r="G208" i="9"/>
  <c r="F209" i="9"/>
  <c r="G209" i="9" s="1"/>
  <c r="G210" i="9"/>
  <c r="G211" i="9"/>
  <c r="G212" i="9"/>
  <c r="G213" i="9"/>
  <c r="G214" i="9"/>
  <c r="F215" i="9"/>
  <c r="G215" i="9" s="1"/>
  <c r="G216" i="9"/>
  <c r="F217" i="9"/>
  <c r="G217" i="9" s="1"/>
  <c r="G218" i="9"/>
  <c r="F219" i="9"/>
  <c r="G219" i="9" s="1"/>
  <c r="G220" i="9"/>
  <c r="G221" i="9"/>
  <c r="F224" i="9"/>
  <c r="G224" i="9"/>
  <c r="G225" i="9"/>
  <c r="G226" i="9"/>
  <c r="F227" i="9"/>
  <c r="G227" i="9" s="1"/>
  <c r="G228" i="9"/>
  <c r="G229" i="9"/>
  <c r="F230" i="9"/>
  <c r="G230" i="9" s="1"/>
  <c r="G231" i="9"/>
  <c r="E235" i="9"/>
  <c r="F235" i="9"/>
  <c r="G235" i="9"/>
  <c r="H235" i="9"/>
  <c r="G236" i="9"/>
  <c r="E237" i="9"/>
  <c r="G238" i="9"/>
  <c r="H238" i="9" s="1"/>
  <c r="H237" i="9" s="1"/>
  <c r="F239" i="9"/>
  <c r="G239" i="9" s="1"/>
  <c r="E240" i="9"/>
  <c r="F240" i="9"/>
  <c r="H240" i="9"/>
  <c r="G241" i="9"/>
  <c r="G242" i="9"/>
  <c r="E243" i="9"/>
  <c r="F243" i="9"/>
  <c r="G243" i="9" s="1"/>
  <c r="G244" i="9"/>
  <c r="G245" i="9"/>
  <c r="G246" i="9"/>
  <c r="H246" i="9"/>
  <c r="G247" i="9"/>
  <c r="H247" i="9" s="1"/>
  <c r="G248" i="9"/>
  <c r="E249" i="9"/>
  <c r="F250" i="9"/>
  <c r="G250" i="9" s="1"/>
  <c r="G251" i="9"/>
  <c r="H251" i="9" s="1"/>
  <c r="G252" i="9"/>
  <c r="H252" i="9" s="1"/>
  <c r="E253" i="9"/>
  <c r="F253" i="9"/>
  <c r="G253" i="9" s="1"/>
  <c r="H253" i="9"/>
  <c r="F254" i="9"/>
  <c r="G254" i="9" s="1"/>
  <c r="E255" i="9"/>
  <c r="H255" i="9"/>
  <c r="F256" i="9"/>
  <c r="F255" i="9" s="1"/>
  <c r="G255" i="9" s="1"/>
  <c r="E257" i="9"/>
  <c r="F257" i="9"/>
  <c r="G258" i="9"/>
  <c r="H258" i="9" s="1"/>
  <c r="H257" i="9" s="1"/>
  <c r="F260" i="9"/>
  <c r="E261" i="9"/>
  <c r="E260" i="9" s="1"/>
  <c r="F261" i="9"/>
  <c r="H261" i="9"/>
  <c r="H260" i="9" s="1"/>
  <c r="G262" i="9"/>
  <c r="E264" i="9"/>
  <c r="E263" i="9" s="1"/>
  <c r="F264" i="9"/>
  <c r="G264" i="9" s="1"/>
  <c r="G265" i="9"/>
  <c r="H265" i="9" s="1"/>
  <c r="H264" i="9" s="1"/>
  <c r="H263" i="9" s="1"/>
  <c r="E267" i="9"/>
  <c r="F267" i="9"/>
  <c r="G268" i="9"/>
  <c r="G269" i="9"/>
  <c r="H269" i="9" s="1"/>
  <c r="G270" i="9"/>
  <c r="H270" i="9" s="1"/>
  <c r="G271" i="9"/>
  <c r="G272" i="9"/>
  <c r="G273" i="9"/>
  <c r="G274" i="9"/>
  <c r="G275" i="9"/>
  <c r="H275" i="9"/>
  <c r="G276" i="9"/>
  <c r="H276" i="9" s="1"/>
  <c r="G277" i="9"/>
  <c r="H277" i="9" s="1"/>
  <c r="G278" i="9"/>
  <c r="H278" i="9" s="1"/>
  <c r="G279" i="9"/>
  <c r="H279" i="9" s="1"/>
  <c r="G280" i="9"/>
  <c r="H280" i="9" s="1"/>
  <c r="G281" i="9"/>
  <c r="H281" i="9" s="1"/>
  <c r="G282" i="9"/>
  <c r="H282" i="9" s="1"/>
  <c r="G283" i="9"/>
  <c r="H283" i="9" s="1"/>
  <c r="G284" i="9"/>
  <c r="H284" i="9" s="1"/>
  <c r="G285" i="9"/>
  <c r="H285" i="9" s="1"/>
  <c r="G286" i="9"/>
  <c r="H286" i="9" s="1"/>
  <c r="G287" i="9"/>
  <c r="H287" i="9" s="1"/>
  <c r="G288" i="9"/>
  <c r="H288" i="9" s="1"/>
  <c r="G289" i="9"/>
  <c r="G290" i="9"/>
  <c r="G291" i="9"/>
  <c r="G292" i="9"/>
  <c r="G293" i="9"/>
  <c r="H293" i="9" s="1"/>
  <c r="G295" i="9"/>
  <c r="G296" i="9"/>
  <c r="H296" i="9"/>
  <c r="G297" i="9"/>
  <c r="H297" i="9"/>
  <c r="G298" i="9"/>
  <c r="H298" i="9"/>
  <c r="G299" i="9"/>
  <c r="H299" i="9"/>
  <c r="E301" i="9"/>
  <c r="F301" i="9"/>
  <c r="G301" i="9" s="1"/>
  <c r="G302" i="9"/>
  <c r="H302" i="9"/>
  <c r="H301" i="9" s="1"/>
  <c r="G303" i="9"/>
  <c r="G304" i="9"/>
  <c r="G305" i="9"/>
  <c r="G306" i="9"/>
  <c r="G307" i="9"/>
  <c r="G308" i="9"/>
  <c r="G309" i="9"/>
  <c r="G310" i="9"/>
  <c r="G311" i="9"/>
  <c r="G312" i="9"/>
  <c r="G313" i="9"/>
  <c r="G314" i="9"/>
  <c r="G316" i="9"/>
  <c r="G317" i="9"/>
  <c r="H319" i="9"/>
  <c r="E321" i="9"/>
  <c r="F321" i="9"/>
  <c r="G322" i="9"/>
  <c r="H322" i="9" s="1"/>
  <c r="F323" i="9"/>
  <c r="G323" i="9" s="1"/>
  <c r="G324" i="9"/>
  <c r="E327" i="9"/>
  <c r="G328" i="9"/>
  <c r="E329" i="9"/>
  <c r="F329" i="9"/>
  <c r="G330" i="9"/>
  <c r="E334" i="9"/>
  <c r="F334" i="9"/>
  <c r="G335" i="9"/>
  <c r="E336" i="9"/>
  <c r="F336" i="9"/>
  <c r="G336" i="9" s="1"/>
  <c r="H336" i="9"/>
  <c r="G337" i="9"/>
  <c r="G338" i="9"/>
  <c r="G339" i="9"/>
  <c r="E340" i="9"/>
  <c r="F340" i="9"/>
  <c r="G340" i="9"/>
  <c r="G341" i="9"/>
  <c r="E342" i="9"/>
  <c r="F342" i="9"/>
  <c r="G343" i="9"/>
  <c r="G344" i="9"/>
  <c r="G345" i="9"/>
  <c r="G346" i="9"/>
  <c r="G347" i="9"/>
  <c r="H347" i="9" s="1"/>
  <c r="E348" i="9"/>
  <c r="F348" i="9"/>
  <c r="G348" i="9" s="1"/>
  <c r="H348" i="9" s="1"/>
  <c r="G349" i="9"/>
  <c r="H349" i="9" s="1"/>
  <c r="E350" i="9"/>
  <c r="F350" i="9"/>
  <c r="G351" i="9"/>
  <c r="E354" i="9"/>
  <c r="E353" i="9" s="1"/>
  <c r="F354" i="9"/>
  <c r="G355" i="9"/>
  <c r="E357" i="9"/>
  <c r="F357" i="9"/>
  <c r="G357" i="9" s="1"/>
  <c r="G358" i="9"/>
  <c r="G359" i="9"/>
  <c r="G360" i="9"/>
  <c r="G361" i="9"/>
  <c r="H361" i="9" s="1"/>
  <c r="G362" i="9"/>
  <c r="H362" i="9" s="1"/>
  <c r="G363" i="9"/>
  <c r="G364" i="9"/>
  <c r="F365" i="9"/>
  <c r="G365" i="9" s="1"/>
  <c r="G366" i="9"/>
  <c r="G367" i="9"/>
  <c r="H367" i="9" s="1"/>
  <c r="G368" i="9"/>
  <c r="G369" i="9"/>
  <c r="H369" i="9" s="1"/>
  <c r="G370" i="9"/>
  <c r="F371" i="9"/>
  <c r="G371" i="9" s="1"/>
  <c r="G372" i="9"/>
  <c r="G373" i="9"/>
  <c r="G374" i="9"/>
  <c r="G375" i="9"/>
  <c r="H377" i="9"/>
  <c r="E378" i="9"/>
  <c r="E379" i="9"/>
  <c r="F379" i="9"/>
  <c r="G379" i="9" s="1"/>
  <c r="G380" i="9"/>
  <c r="E381" i="9"/>
  <c r="F381" i="9"/>
  <c r="G382" i="9"/>
  <c r="E385" i="9"/>
  <c r="E384" i="9" s="1"/>
  <c r="F385" i="9"/>
  <c r="F384" i="9" s="1"/>
  <c r="G384" i="9" s="1"/>
  <c r="G386" i="9"/>
  <c r="E387" i="9"/>
  <c r="F387" i="9"/>
  <c r="G387" i="9" s="1"/>
  <c r="G388" i="9"/>
  <c r="G389" i="9"/>
  <c r="E393" i="9"/>
  <c r="F393" i="9"/>
  <c r="H393" i="9"/>
  <c r="G394" i="9"/>
  <c r="E395" i="9"/>
  <c r="F395" i="9"/>
  <c r="H395" i="9"/>
  <c r="G396" i="9"/>
  <c r="E397" i="9"/>
  <c r="F397" i="9"/>
  <c r="H397" i="9"/>
  <c r="G398" i="9"/>
  <c r="E399" i="9"/>
  <c r="F399" i="9"/>
  <c r="H399" i="9"/>
  <c r="G400" i="9"/>
  <c r="G401" i="9"/>
  <c r="G402" i="9"/>
  <c r="E403" i="9"/>
  <c r="F403" i="9"/>
  <c r="H403" i="9"/>
  <c r="G404" i="9"/>
  <c r="E406" i="9"/>
  <c r="E405" i="9" s="1"/>
  <c r="F406" i="9"/>
  <c r="G406" i="9" s="1"/>
  <c r="H406" i="9"/>
  <c r="H405" i="9" s="1"/>
  <c r="G407" i="9"/>
  <c r="G408" i="9"/>
  <c r="E409" i="9"/>
  <c r="F409" i="9"/>
  <c r="H409" i="9"/>
  <c r="G410" i="9"/>
  <c r="E413" i="9"/>
  <c r="F413" i="9"/>
  <c r="H413" i="9"/>
  <c r="G414" i="9"/>
  <c r="E415" i="9"/>
  <c r="F415" i="9"/>
  <c r="H415" i="9"/>
  <c r="G416" i="9"/>
  <c r="G417" i="9"/>
  <c r="E421" i="9"/>
  <c r="F421" i="9"/>
  <c r="G421" i="9" s="1"/>
  <c r="G422" i="9"/>
  <c r="E423" i="9"/>
  <c r="E420" i="9" s="1"/>
  <c r="F423" i="9"/>
  <c r="G424" i="9"/>
  <c r="H424" i="9" s="1"/>
  <c r="E425" i="9"/>
  <c r="F425" i="9"/>
  <c r="G426" i="9"/>
  <c r="E427" i="9"/>
  <c r="F427" i="9"/>
  <c r="G427" i="9" s="1"/>
  <c r="H427" i="9" s="1"/>
  <c r="G428" i="9"/>
  <c r="H428" i="9" s="1"/>
  <c r="E429" i="9"/>
  <c r="F429" i="9"/>
  <c r="G429" i="9" s="1"/>
  <c r="G430" i="9"/>
  <c r="G431" i="9"/>
  <c r="E432" i="9"/>
  <c r="F432" i="9"/>
  <c r="G432" i="9" s="1"/>
  <c r="H432" i="9" s="1"/>
  <c r="G433" i="9"/>
  <c r="H433" i="9" s="1"/>
  <c r="E434" i="9"/>
  <c r="F434" i="9"/>
  <c r="G434" i="9" s="1"/>
  <c r="G435" i="9"/>
  <c r="E438" i="9"/>
  <c r="F438" i="9"/>
  <c r="G438" i="9" s="1"/>
  <c r="G439" i="9"/>
  <c r="E440" i="9"/>
  <c r="G440" i="9" s="1"/>
  <c r="F440" i="9"/>
  <c r="G441" i="9"/>
  <c r="E442" i="9"/>
  <c r="F442" i="9"/>
  <c r="F437" i="9" s="1"/>
  <c r="G443" i="9"/>
  <c r="H443" i="9" s="1"/>
  <c r="F445" i="9"/>
  <c r="G445" i="9"/>
  <c r="H445" i="9"/>
  <c r="E447" i="9"/>
  <c r="E449" i="9"/>
  <c r="E451" i="9"/>
  <c r="E456" i="9"/>
  <c r="F456" i="9"/>
  <c r="G457" i="9"/>
  <c r="E458" i="9"/>
  <c r="F458" i="9"/>
  <c r="G459" i="9"/>
  <c r="G460" i="9"/>
  <c r="H460" i="9"/>
  <c r="H458" i="9" s="1"/>
  <c r="G461" i="9"/>
  <c r="E462" i="9"/>
  <c r="F462" i="9"/>
  <c r="G463" i="9"/>
  <c r="H463" i="9" s="1"/>
  <c r="E464" i="9"/>
  <c r="F464" i="9"/>
  <c r="G465" i="9"/>
  <c r="H465" i="9" s="1"/>
  <c r="G466" i="9"/>
  <c r="H466" i="9" s="1"/>
  <c r="G467" i="9"/>
  <c r="H467" i="9" s="1"/>
  <c r="G468" i="9"/>
  <c r="H468" i="9" s="1"/>
  <c r="G469" i="9"/>
  <c r="H469" i="9" s="1"/>
  <c r="G470" i="9"/>
  <c r="H470" i="9" s="1"/>
  <c r="E471" i="9"/>
  <c r="F471" i="9"/>
  <c r="G471" i="9" s="1"/>
  <c r="H471" i="9" s="1"/>
  <c r="G472" i="9"/>
  <c r="H472" i="9" s="1"/>
  <c r="E473" i="9"/>
  <c r="F473" i="9"/>
  <c r="G474" i="9"/>
  <c r="E475" i="9"/>
  <c r="F475" i="9"/>
  <c r="G475" i="9" s="1"/>
  <c r="H475" i="9" s="1"/>
  <c r="G476" i="9"/>
  <c r="H476" i="9"/>
  <c r="E477" i="9"/>
  <c r="F477" i="9"/>
  <c r="G477" i="9" s="1"/>
  <c r="G478" i="9"/>
  <c r="E479" i="9"/>
  <c r="F479" i="9"/>
  <c r="G479" i="9" s="1"/>
  <c r="H479" i="9" s="1"/>
  <c r="G480" i="9"/>
  <c r="H480" i="9" s="1"/>
  <c r="G481" i="9"/>
  <c r="H481" i="9" s="1"/>
  <c r="E482" i="9"/>
  <c r="F482" i="9"/>
  <c r="G482" i="9"/>
  <c r="G483" i="9"/>
  <c r="F485" i="9"/>
  <c r="H485" i="9"/>
  <c r="E486" i="9"/>
  <c r="E485" i="9" s="1"/>
  <c r="F486" i="9"/>
  <c r="G487" i="9"/>
  <c r="E488" i="9"/>
  <c r="G488" i="9" s="1"/>
  <c r="H488" i="9" s="1"/>
  <c r="G489" i="9"/>
  <c r="H489" i="9" s="1"/>
  <c r="G490" i="9"/>
  <c r="H490" i="9" s="1"/>
  <c r="E491" i="9"/>
  <c r="F491" i="9"/>
  <c r="G491" i="9" s="1"/>
  <c r="G492" i="9"/>
  <c r="H495" i="9"/>
  <c r="H494" i="9" s="1"/>
  <c r="E496" i="9"/>
  <c r="F496" i="9"/>
  <c r="G496" i="9"/>
  <c r="G497" i="9"/>
  <c r="E498" i="9"/>
  <c r="F498" i="9"/>
  <c r="G499" i="9"/>
  <c r="E500" i="9"/>
  <c r="F500" i="9"/>
  <c r="G501" i="9"/>
  <c r="E502" i="9"/>
  <c r="F502" i="9"/>
  <c r="G502" i="9" s="1"/>
  <c r="G503" i="9"/>
  <c r="H505" i="9"/>
  <c r="E507" i="9"/>
  <c r="E506" i="9" s="1"/>
  <c r="E505" i="9" s="1"/>
  <c r="F507" i="9"/>
  <c r="F506" i="9" s="1"/>
  <c r="G509" i="9"/>
  <c r="G510" i="9"/>
  <c r="F512" i="9"/>
  <c r="E514" i="9"/>
  <c r="G514" i="9" s="1"/>
  <c r="G515" i="9"/>
  <c r="E516" i="9"/>
  <c r="G516" i="9" s="1"/>
  <c r="G517" i="9"/>
  <c r="G518" i="9"/>
  <c r="H518" i="9" s="1"/>
  <c r="E519" i="9"/>
  <c r="G519" i="9"/>
  <c r="H519" i="9"/>
  <c r="G520" i="9"/>
  <c r="H520" i="9" s="1"/>
  <c r="G521" i="9"/>
  <c r="H521" i="9" s="1"/>
  <c r="G522" i="9"/>
  <c r="H522" i="9" s="1"/>
  <c r="G523" i="9"/>
  <c r="H523" i="9" s="1"/>
  <c r="E524" i="9"/>
  <c r="G524" i="9"/>
  <c r="H524" i="9"/>
  <c r="G525" i="9"/>
  <c r="H525" i="9" s="1"/>
  <c r="G526" i="9"/>
  <c r="H526" i="9" s="1"/>
  <c r="G527" i="9"/>
  <c r="H527" i="9" s="1"/>
  <c r="E528" i="9"/>
  <c r="G528" i="9" s="1"/>
  <c r="G529" i="9"/>
  <c r="H529" i="9" s="1"/>
  <c r="G530" i="9"/>
  <c r="H530" i="9" s="1"/>
  <c r="E531" i="9"/>
  <c r="G531" i="9" s="1"/>
  <c r="H531" i="9" s="1"/>
  <c r="G532" i="9"/>
  <c r="H532" i="9" s="1"/>
  <c r="E533" i="9"/>
  <c r="G533" i="9" s="1"/>
  <c r="G534" i="9"/>
  <c r="G535" i="9"/>
  <c r="H535" i="9" s="1"/>
  <c r="E538" i="9"/>
  <c r="G538" i="9" s="1"/>
  <c r="G539" i="9"/>
  <c r="E540" i="9"/>
  <c r="G540" i="9" s="1"/>
  <c r="H540" i="9" s="1"/>
  <c r="H537" i="9" s="1"/>
  <c r="G541" i="9"/>
  <c r="H541" i="9"/>
  <c r="G542" i="9"/>
  <c r="H542" i="9" s="1"/>
  <c r="E543" i="9"/>
  <c r="G543" i="9" s="1"/>
  <c r="G544" i="9"/>
  <c r="E548" i="9"/>
  <c r="F548" i="9" s="1"/>
  <c r="G548" i="9" s="1"/>
  <c r="F549" i="9"/>
  <c r="G549" i="9" s="1"/>
  <c r="G550" i="9"/>
  <c r="H550" i="9"/>
  <c r="E551" i="9"/>
  <c r="F551" i="9"/>
  <c r="G552" i="9"/>
  <c r="H552" i="9"/>
  <c r="E553" i="9"/>
  <c r="E547" i="9" s="1"/>
  <c r="F553" i="9"/>
  <c r="G553" i="9" s="1"/>
  <c r="G554" i="9"/>
  <c r="H554" i="9"/>
  <c r="E558" i="9"/>
  <c r="F558" i="9"/>
  <c r="G558" i="9"/>
  <c r="G559" i="9"/>
  <c r="E560" i="9"/>
  <c r="F560" i="9"/>
  <c r="G561" i="9"/>
  <c r="H561" i="9" s="1"/>
  <c r="E562" i="9"/>
  <c r="F562" i="9"/>
  <c r="G562" i="9" s="1"/>
  <c r="H562" i="9" s="1"/>
  <c r="G563" i="9"/>
  <c r="H563" i="9" s="1"/>
  <c r="E564" i="9"/>
  <c r="F564" i="9"/>
  <c r="G565" i="9"/>
  <c r="G566" i="9"/>
  <c r="G567" i="9"/>
  <c r="E568" i="9"/>
  <c r="F568" i="9"/>
  <c r="G568" i="9" s="1"/>
  <c r="H568" i="9"/>
  <c r="G569" i="9"/>
  <c r="H569" i="9" s="1"/>
  <c r="G570" i="9"/>
  <c r="E571" i="9"/>
  <c r="F571" i="9"/>
  <c r="G572" i="9"/>
  <c r="E573" i="9"/>
  <c r="F573" i="9"/>
  <c r="G573" i="9" s="1"/>
  <c r="H573" i="9" s="1"/>
  <c r="G574" i="9"/>
  <c r="H574" i="9"/>
  <c r="E575" i="9"/>
  <c r="F575" i="9"/>
  <c r="G575" i="9" s="1"/>
  <c r="G576" i="9"/>
  <c r="H576" i="9" s="1"/>
  <c r="G577" i="9"/>
  <c r="H577" i="9" s="1"/>
  <c r="E578" i="9"/>
  <c r="F578" i="9"/>
  <c r="G578" i="9" s="1"/>
  <c r="H578" i="9" s="1"/>
  <c r="G579" i="9"/>
  <c r="H579" i="9" s="1"/>
  <c r="H582" i="9"/>
  <c r="H581" i="9" s="1"/>
  <c r="E583" i="9"/>
  <c r="F583" i="9"/>
  <c r="G584" i="9"/>
  <c r="E585" i="9"/>
  <c r="F585" i="9"/>
  <c r="G585" i="9"/>
  <c r="G586" i="9"/>
  <c r="E587" i="9"/>
  <c r="F587" i="9"/>
  <c r="G588" i="9"/>
  <c r="G589" i="9"/>
  <c r="E590" i="9"/>
  <c r="F590" i="9"/>
  <c r="G590" i="9"/>
  <c r="G591" i="9"/>
  <c r="E592" i="9"/>
  <c r="F592" i="9"/>
  <c r="G593" i="9"/>
  <c r="E594" i="9"/>
  <c r="F594" i="9"/>
  <c r="G594" i="9" s="1"/>
  <c r="G595" i="9"/>
  <c r="H600" i="9"/>
  <c r="E602" i="9"/>
  <c r="F602" i="9"/>
  <c r="G602" i="9" s="1"/>
  <c r="H602" i="9"/>
  <c r="G603" i="9"/>
  <c r="E604" i="9"/>
  <c r="F604" i="9"/>
  <c r="G604" i="9" s="1"/>
  <c r="G605" i="9"/>
  <c r="E606" i="9"/>
  <c r="F606" i="9"/>
  <c r="H606" i="9"/>
  <c r="G607" i="9"/>
  <c r="E608" i="9"/>
  <c r="F608" i="9"/>
  <c r="E611" i="9"/>
  <c r="F611" i="9"/>
  <c r="G611" i="9" s="1"/>
  <c r="H611" i="9"/>
  <c r="G612" i="9"/>
  <c r="H615" i="9"/>
  <c r="H614" i="9" s="1"/>
  <c r="E616" i="9"/>
  <c r="F616" i="9"/>
  <c r="G616" i="9" s="1"/>
  <c r="G617" i="9"/>
  <c r="E618" i="9"/>
  <c r="F618" i="9"/>
  <c r="G619" i="9"/>
  <c r="E620" i="9"/>
  <c r="F620" i="9"/>
  <c r="G621" i="9"/>
  <c r="E622" i="9"/>
  <c r="F623" i="9"/>
  <c r="F622" i="9" s="1"/>
  <c r="G622" i="9" s="1"/>
  <c r="E624" i="9"/>
  <c r="F625" i="9"/>
  <c r="G625" i="9" s="1"/>
  <c r="E626" i="9"/>
  <c r="F626" i="9"/>
  <c r="G626" i="9" s="1"/>
  <c r="F627" i="9"/>
  <c r="G627" i="9"/>
  <c r="E628" i="9"/>
  <c r="F628" i="9"/>
  <c r="G628" i="9" s="1"/>
  <c r="F629" i="9"/>
  <c r="G629" i="9" s="1"/>
  <c r="H631" i="9"/>
  <c r="E633" i="9"/>
  <c r="F633" i="9"/>
  <c r="H633" i="9"/>
  <c r="H634" i="9"/>
  <c r="E635" i="9"/>
  <c r="F635" i="9"/>
  <c r="H635" i="9"/>
  <c r="H636" i="9"/>
  <c r="E637" i="9"/>
  <c r="F637" i="9"/>
  <c r="H637" i="9"/>
  <c r="H638" i="9"/>
  <c r="E639" i="9"/>
  <c r="F639" i="9"/>
  <c r="H639" i="9"/>
  <c r="H640" i="9"/>
  <c r="E644" i="9"/>
  <c r="F644" i="9"/>
  <c r="G644" i="9" s="1"/>
  <c r="G645" i="9"/>
  <c r="E646" i="9"/>
  <c r="G646" i="9" s="1"/>
  <c r="F646" i="9"/>
  <c r="G647" i="9"/>
  <c r="H647" i="9" s="1"/>
  <c r="G648" i="9"/>
  <c r="G649" i="9"/>
  <c r="H649" i="9"/>
  <c r="G650" i="9"/>
  <c r="E651" i="9"/>
  <c r="F651" i="9"/>
  <c r="G652" i="9"/>
  <c r="E653" i="9"/>
  <c r="F653" i="9"/>
  <c r="G653" i="9" s="1"/>
  <c r="H653" i="9" s="1"/>
  <c r="G654" i="9"/>
  <c r="H654" i="9"/>
  <c r="E655" i="9"/>
  <c r="F655" i="9"/>
  <c r="G655" i="9" s="1"/>
  <c r="H655" i="9" s="1"/>
  <c r="G656" i="9"/>
  <c r="H656" i="9" s="1"/>
  <c r="E657" i="9"/>
  <c r="F657" i="9"/>
  <c r="G658" i="9"/>
  <c r="H658" i="9" s="1"/>
  <c r="G659" i="9"/>
  <c r="H659" i="9" s="1"/>
  <c r="E662" i="9"/>
  <c r="E661" i="9" s="1"/>
  <c r="F662" i="9"/>
  <c r="G662" i="9" s="1"/>
  <c r="H662" i="9"/>
  <c r="H661" i="9" s="1"/>
  <c r="G663" i="9"/>
  <c r="G664" i="9"/>
  <c r="E668" i="9"/>
  <c r="F668" i="9"/>
  <c r="G668" i="9" s="1"/>
  <c r="G669" i="9"/>
  <c r="E670" i="9"/>
  <c r="H670" i="9"/>
  <c r="G671" i="9"/>
  <c r="G672" i="9"/>
  <c r="F673" i="9"/>
  <c r="G673" i="9" s="1"/>
  <c r="G674" i="9"/>
  <c r="E675" i="9"/>
  <c r="F675" i="9"/>
  <c r="G676" i="9"/>
  <c r="E677" i="9"/>
  <c r="F677" i="9"/>
  <c r="G677" i="9" s="1"/>
  <c r="H677" i="9"/>
  <c r="G678" i="9"/>
  <c r="G679" i="9"/>
  <c r="G680" i="9"/>
  <c r="G681" i="9"/>
  <c r="E682" i="9"/>
  <c r="F682" i="9"/>
  <c r="G682" i="9" s="1"/>
  <c r="H682" i="9"/>
  <c r="G683" i="9"/>
  <c r="G684" i="9"/>
  <c r="G685" i="9"/>
  <c r="E686" i="9"/>
  <c r="F686" i="9"/>
  <c r="G686" i="9"/>
  <c r="H686" i="9"/>
  <c r="G687" i="9"/>
  <c r="G688" i="9"/>
  <c r="E689" i="9"/>
  <c r="F689" i="9"/>
  <c r="G689" i="9" s="1"/>
  <c r="H689" i="9"/>
  <c r="G690" i="9"/>
  <c r="G691" i="9"/>
  <c r="G692" i="9"/>
  <c r="E693" i="9"/>
  <c r="G693" i="9"/>
  <c r="G694" i="9"/>
  <c r="E695" i="9"/>
  <c r="F695" i="9"/>
  <c r="G695" i="9" s="1"/>
  <c r="H695" i="9" s="1"/>
  <c r="G696" i="9"/>
  <c r="H696" i="9" s="1"/>
  <c r="E697" i="9"/>
  <c r="F697" i="9"/>
  <c r="G698" i="9"/>
  <c r="E699" i="9"/>
  <c r="F699" i="9"/>
  <c r="G699" i="9" s="1"/>
  <c r="H699" i="9"/>
  <c r="G700" i="9"/>
  <c r="G701" i="9"/>
  <c r="G702" i="9"/>
  <c r="H705" i="9"/>
  <c r="E706" i="9"/>
  <c r="F706" i="9"/>
  <c r="G706" i="9" s="1"/>
  <c r="G707" i="9"/>
  <c r="E708" i="9"/>
  <c r="F708" i="9"/>
  <c r="G708" i="9"/>
  <c r="H708" i="9" s="1"/>
  <c r="G709" i="9"/>
  <c r="H709" i="9"/>
  <c r="G710" i="9"/>
  <c r="H710" i="9" s="1"/>
  <c r="E711" i="9"/>
  <c r="F711" i="9"/>
  <c r="G712" i="9"/>
  <c r="H712" i="9" s="1"/>
  <c r="E713" i="9"/>
  <c r="F713" i="9"/>
  <c r="G714" i="9"/>
  <c r="H714" i="9" s="1"/>
  <c r="E715" i="9"/>
  <c r="F715" i="9"/>
  <c r="G715" i="9" s="1"/>
  <c r="H715" i="9" s="1"/>
  <c r="G716" i="9"/>
  <c r="H716" i="9" s="1"/>
  <c r="E719" i="9"/>
  <c r="E718" i="9" s="1"/>
  <c r="F719" i="9"/>
  <c r="G719" i="9" s="1"/>
  <c r="H719" i="9"/>
  <c r="H718" i="9" s="1"/>
  <c r="F720" i="9"/>
  <c r="G720" i="9"/>
  <c r="G721" i="9"/>
  <c r="E725" i="9"/>
  <c r="F725" i="9"/>
  <c r="G725" i="9" s="1"/>
  <c r="H725" i="9"/>
  <c r="G726" i="9"/>
  <c r="E727" i="9"/>
  <c r="F727" i="9"/>
  <c r="H727" i="9"/>
  <c r="G728" i="9"/>
  <c r="E729" i="9"/>
  <c r="F729" i="9"/>
  <c r="G729" i="9" s="1"/>
  <c r="H729" i="9"/>
  <c r="G730" i="9"/>
  <c r="G731" i="9"/>
  <c r="F732" i="9"/>
  <c r="G732" i="9" s="1"/>
  <c r="H732" i="9"/>
  <c r="G733" i="9"/>
  <c r="F735" i="9"/>
  <c r="G735" i="9"/>
  <c r="H735" i="9"/>
  <c r="G736" i="9"/>
  <c r="E738" i="9"/>
  <c r="F738" i="9"/>
  <c r="G738" i="9" s="1"/>
  <c r="G739" i="9"/>
  <c r="H739" i="9"/>
  <c r="G740" i="9"/>
  <c r="G741" i="9"/>
  <c r="G742" i="9"/>
  <c r="G743" i="9"/>
  <c r="G744" i="9"/>
  <c r="G745" i="9"/>
  <c r="G746" i="9"/>
  <c r="G748" i="9"/>
  <c r="G749" i="9"/>
  <c r="H749" i="9"/>
  <c r="G750" i="9"/>
  <c r="G751" i="9"/>
  <c r="G752" i="9"/>
  <c r="G753" i="9"/>
  <c r="G754" i="9"/>
  <c r="G755" i="9"/>
  <c r="G756" i="9"/>
  <c r="H756" i="9"/>
  <c r="G757" i="9"/>
  <c r="G758" i="9"/>
  <c r="G759" i="9"/>
  <c r="G760" i="9"/>
  <c r="G761" i="9"/>
  <c r="H761" i="9"/>
  <c r="G762" i="9"/>
  <c r="H762" i="9"/>
  <c r="G763" i="9"/>
  <c r="G764" i="9"/>
  <c r="G765" i="9"/>
  <c r="H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H778" i="9"/>
  <c r="G779" i="9"/>
  <c r="G780" i="9"/>
  <c r="G781" i="9"/>
  <c r="H781" i="9"/>
  <c r="G782" i="9"/>
  <c r="H782" i="9"/>
  <c r="G783" i="9"/>
  <c r="H783" i="9" s="1"/>
  <c r="G784" i="9"/>
  <c r="G785" i="9"/>
  <c r="G786" i="9"/>
  <c r="H786" i="9" s="1"/>
  <c r="G787" i="9"/>
  <c r="H787" i="9" s="1"/>
  <c r="G789" i="9"/>
  <c r="G790" i="9"/>
  <c r="H790" i="9"/>
  <c r="G791" i="9"/>
  <c r="G792" i="9"/>
  <c r="G793" i="9"/>
  <c r="G794" i="9"/>
  <c r="G795" i="9"/>
  <c r="G796" i="9"/>
  <c r="G797" i="9"/>
  <c r="G798" i="9"/>
  <c r="H798" i="9" s="1"/>
  <c r="H793" i="9" s="1"/>
  <c r="H789" i="9" s="1"/>
  <c r="G799" i="9"/>
  <c r="H799" i="9"/>
  <c r="G800" i="9"/>
  <c r="G801" i="9"/>
  <c r="G803" i="9"/>
  <c r="G804" i="9"/>
  <c r="H804" i="9"/>
  <c r="H803" i="9" s="1"/>
  <c r="G805" i="9"/>
  <c r="G806" i="9"/>
  <c r="G807" i="9"/>
  <c r="G808" i="9"/>
  <c r="G809" i="9"/>
  <c r="H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H825" i="9"/>
  <c r="G826" i="9"/>
  <c r="G827" i="9"/>
  <c r="G828" i="9"/>
  <c r="G829" i="9"/>
  <c r="G830" i="9"/>
  <c r="E15" i="8"/>
  <c r="G16" i="8"/>
  <c r="H16" i="8" s="1"/>
  <c r="H15" i="8" s="1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H29" i="8" s="1"/>
  <c r="G30" i="8"/>
  <c r="G31" i="8"/>
  <c r="G32" i="8"/>
  <c r="H32" i="8" s="1"/>
  <c r="G33" i="8"/>
  <c r="G34" i="8"/>
  <c r="G35" i="8"/>
  <c r="H35" i="8" s="1"/>
  <c r="G36" i="8"/>
  <c r="G37" i="8"/>
  <c r="H37" i="8" s="1"/>
  <c r="G38" i="8"/>
  <c r="G39" i="8"/>
  <c r="H39" i="8" s="1"/>
  <c r="G40" i="8"/>
  <c r="H40" i="8" s="1"/>
  <c r="G41" i="8"/>
  <c r="G42" i="8"/>
  <c r="G43" i="8"/>
  <c r="H43" i="8"/>
  <c r="G44" i="8"/>
  <c r="G45" i="8"/>
  <c r="G46" i="8"/>
  <c r="G47" i="8"/>
  <c r="G48" i="8"/>
  <c r="G49" i="8"/>
  <c r="G50" i="8"/>
  <c r="G51" i="8"/>
  <c r="E53" i="8"/>
  <c r="G54" i="8"/>
  <c r="G55" i="8"/>
  <c r="F56" i="8"/>
  <c r="G56" i="8" s="1"/>
  <c r="G57" i="8"/>
  <c r="G58" i="8"/>
  <c r="G59" i="8"/>
  <c r="G60" i="8"/>
  <c r="H60" i="8" s="1"/>
  <c r="G61" i="8"/>
  <c r="G62" i="8"/>
  <c r="G63" i="8"/>
  <c r="H63" i="8" s="1"/>
  <c r="G64" i="8"/>
  <c r="G65" i="8"/>
  <c r="G66" i="8"/>
  <c r="H66" i="8" s="1"/>
  <c r="F67" i="8"/>
  <c r="G67" i="8" s="1"/>
  <c r="H67" i="8"/>
  <c r="G68" i="8"/>
  <c r="G69" i="8"/>
  <c r="G71" i="8"/>
  <c r="G72" i="8"/>
  <c r="G73" i="8"/>
  <c r="G74" i="8"/>
  <c r="H74" i="8"/>
  <c r="H72" i="8" s="1"/>
  <c r="H71" i="8" s="1"/>
  <c r="G75" i="8"/>
  <c r="G76" i="8"/>
  <c r="G77" i="8"/>
  <c r="G78" i="8"/>
  <c r="G79" i="8"/>
  <c r="G80" i="8"/>
  <c r="G81" i="8"/>
  <c r="G82" i="8"/>
  <c r="G83" i="8"/>
  <c r="E88" i="8"/>
  <c r="E87" i="8" s="1"/>
  <c r="E86" i="8" s="1"/>
  <c r="F88" i="8"/>
  <c r="G88" i="8" s="1"/>
  <c r="G89" i="8"/>
  <c r="G90" i="8"/>
  <c r="H90" i="8" s="1"/>
  <c r="G93" i="8"/>
  <c r="H93" i="8"/>
  <c r="G94" i="8"/>
  <c r="G95" i="8"/>
  <c r="G96" i="8"/>
  <c r="E102" i="8"/>
  <c r="F102" i="8"/>
  <c r="F101" i="8" s="1"/>
  <c r="G103" i="8"/>
  <c r="H103" i="8"/>
  <c r="H102" i="8" s="1"/>
  <c r="G104" i="8"/>
  <c r="G105" i="8"/>
  <c r="H105" i="8"/>
  <c r="G106" i="8"/>
  <c r="G107" i="8"/>
  <c r="E108" i="8"/>
  <c r="F108" i="8"/>
  <c r="G108" i="8" s="1"/>
  <c r="G109" i="8"/>
  <c r="G110" i="8"/>
  <c r="H110" i="8"/>
  <c r="G111" i="8"/>
  <c r="H111" i="8"/>
  <c r="G112" i="8"/>
  <c r="G113" i="8"/>
  <c r="G114" i="8"/>
  <c r="G115" i="8"/>
  <c r="G116" i="8"/>
  <c r="G117" i="8"/>
  <c r="E118" i="8"/>
  <c r="F118" i="8"/>
  <c r="G119" i="8"/>
  <c r="H119" i="8"/>
  <c r="G120" i="8"/>
  <c r="H120" i="8"/>
  <c r="H118" i="8" s="1"/>
  <c r="G121" i="8"/>
  <c r="G122" i="8"/>
  <c r="G123" i="8"/>
  <c r="G124" i="8"/>
  <c r="G125" i="8"/>
  <c r="H125" i="8"/>
  <c r="G126" i="8"/>
  <c r="E127" i="8"/>
  <c r="F127" i="8"/>
  <c r="G128" i="8"/>
  <c r="H128" i="8"/>
  <c r="H132" i="8"/>
  <c r="H135" i="8"/>
  <c r="G142" i="8"/>
  <c r="H142" i="8" s="1"/>
  <c r="E145" i="8"/>
  <c r="E144" i="8" s="1"/>
  <c r="F145" i="8"/>
  <c r="F144" i="8" s="1"/>
  <c r="G144" i="8" s="1"/>
  <c r="G146" i="8"/>
  <c r="H146" i="8" s="1"/>
  <c r="E149" i="8"/>
  <c r="E148" i="8" s="1"/>
  <c r="E131" i="8" s="1"/>
  <c r="E130" i="8" s="1"/>
  <c r="F149" i="8"/>
  <c r="F148" i="8" s="1"/>
  <c r="H149" i="8"/>
  <c r="H148" i="8" s="1"/>
  <c r="G150" i="8"/>
  <c r="H150" i="8" s="1"/>
  <c r="G151" i="8"/>
  <c r="F154" i="8"/>
  <c r="F153" i="8" s="1"/>
  <c r="E155" i="8"/>
  <c r="E154" i="8" s="1"/>
  <c r="G155" i="8"/>
  <c r="H155" i="8" s="1"/>
  <c r="H154" i="8" s="1"/>
  <c r="H153" i="8" s="1"/>
  <c r="G156" i="8"/>
  <c r="H156" i="8" s="1"/>
  <c r="E157" i="8"/>
  <c r="G157" i="8" s="1"/>
  <c r="H157" i="8" s="1"/>
  <c r="G158" i="8"/>
  <c r="H158" i="8" s="1"/>
  <c r="E159" i="8"/>
  <c r="G159" i="8"/>
  <c r="H159" i="8"/>
  <c r="G160" i="8"/>
  <c r="H160" i="8" s="1"/>
  <c r="G161" i="8"/>
  <c r="H161" i="8" s="1"/>
  <c r="G162" i="8"/>
  <c r="E163" i="8"/>
  <c r="G163" i="8" s="1"/>
  <c r="H163" i="8" s="1"/>
  <c r="G164" i="8"/>
  <c r="H164" i="8" s="1"/>
  <c r="E166" i="8"/>
  <c r="G166" i="8" s="1"/>
  <c r="E167" i="8"/>
  <c r="G167" i="8"/>
  <c r="G168" i="8"/>
  <c r="E172" i="8"/>
  <c r="F172" i="8"/>
  <c r="G173" i="8"/>
  <c r="E174" i="8"/>
  <c r="F174" i="8"/>
  <c r="G175" i="8"/>
  <c r="E176" i="8"/>
  <c r="F176" i="8"/>
  <c r="G177" i="8"/>
  <c r="E180" i="8"/>
  <c r="E179" i="8" s="1"/>
  <c r="F180" i="8"/>
  <c r="G181" i="8"/>
  <c r="F184" i="8"/>
  <c r="G185" i="8"/>
  <c r="G186" i="8"/>
  <c r="F187" i="8"/>
  <c r="G187" i="8" s="1"/>
  <c r="H187" i="8" s="1"/>
  <c r="H183" i="8" s="1"/>
  <c r="G188" i="8"/>
  <c r="G189" i="8"/>
  <c r="G190" i="8"/>
  <c r="F191" i="8"/>
  <c r="G191" i="8" s="1"/>
  <c r="H191" i="8"/>
  <c r="G192" i="8"/>
  <c r="G193" i="8"/>
  <c r="G194" i="8"/>
  <c r="F197" i="8"/>
  <c r="G197" i="8" s="1"/>
  <c r="H197" i="8" s="1"/>
  <c r="G198" i="8"/>
  <c r="H198" i="8" s="1"/>
  <c r="F201" i="8"/>
  <c r="F200" i="8" s="1"/>
  <c r="G202" i="8"/>
  <c r="G203" i="8"/>
  <c r="G204" i="8"/>
  <c r="E206" i="8"/>
  <c r="H206" i="8"/>
  <c r="F208" i="8"/>
  <c r="G209" i="8"/>
  <c r="G210" i="8"/>
  <c r="F211" i="8"/>
  <c r="G211" i="8" s="1"/>
  <c r="G212" i="8"/>
  <c r="G213" i="8"/>
  <c r="G214" i="8"/>
  <c r="G215" i="8"/>
  <c r="G216" i="8"/>
  <c r="G217" i="8"/>
  <c r="G218" i="8"/>
  <c r="G219" i="8"/>
  <c r="G220" i="8"/>
  <c r="G221" i="8"/>
  <c r="G222" i="8"/>
  <c r="F223" i="8"/>
  <c r="G223" i="8" s="1"/>
  <c r="G224" i="8"/>
  <c r="G225" i="8"/>
  <c r="G226" i="8"/>
  <c r="G227" i="8"/>
  <c r="G228" i="8"/>
  <c r="G229" i="8"/>
  <c r="G230" i="8"/>
  <c r="G231" i="8"/>
  <c r="G232" i="8"/>
  <c r="G233" i="8"/>
  <c r="G234" i="8"/>
  <c r="F235" i="8"/>
  <c r="G235" i="8" s="1"/>
  <c r="G236" i="8"/>
  <c r="G237" i="8"/>
  <c r="G238" i="8"/>
  <c r="G239" i="8"/>
  <c r="F240" i="8"/>
  <c r="G240" i="8" s="1"/>
  <c r="G241" i="8"/>
  <c r="G242" i="8"/>
  <c r="G243" i="8"/>
  <c r="G244" i="8"/>
  <c r="G245" i="8"/>
  <c r="F248" i="8"/>
  <c r="G248" i="8" s="1"/>
  <c r="G249" i="8"/>
  <c r="F250" i="8"/>
  <c r="G251" i="8"/>
  <c r="G252" i="8"/>
  <c r="G253" i="8"/>
  <c r="E257" i="8"/>
  <c r="F257" i="8"/>
  <c r="G258" i="8"/>
  <c r="H258" i="8" s="1"/>
  <c r="H257" i="8" s="1"/>
  <c r="E259" i="8"/>
  <c r="F259" i="8"/>
  <c r="G259" i="8" s="1"/>
  <c r="G260" i="8"/>
  <c r="H260" i="8"/>
  <c r="G261" i="8"/>
  <c r="H261" i="8" s="1"/>
  <c r="E262" i="8"/>
  <c r="G262" i="8" s="1"/>
  <c r="F262" i="8"/>
  <c r="G263" i="8"/>
  <c r="H263" i="8" s="1"/>
  <c r="G264" i="8"/>
  <c r="H264" i="8" s="1"/>
  <c r="E265" i="8"/>
  <c r="F265" i="8"/>
  <c r="G266" i="8"/>
  <c r="G267" i="8"/>
  <c r="G268" i="8"/>
  <c r="G269" i="8"/>
  <c r="E270" i="8"/>
  <c r="F270" i="8"/>
  <c r="G271" i="8"/>
  <c r="G272" i="8"/>
  <c r="G273" i="8"/>
  <c r="H273" i="8" s="1"/>
  <c r="G274" i="8"/>
  <c r="H274" i="8" s="1"/>
  <c r="E275" i="8"/>
  <c r="F275" i="8"/>
  <c r="G276" i="8"/>
  <c r="G277" i="8"/>
  <c r="G278" i="8"/>
  <c r="H278" i="8" s="1"/>
  <c r="H275" i="8" s="1"/>
  <c r="E279" i="8"/>
  <c r="F279" i="8"/>
  <c r="G280" i="8"/>
  <c r="H280" i="8" s="1"/>
  <c r="E283" i="8"/>
  <c r="E282" i="8" s="1"/>
  <c r="F283" i="8"/>
  <c r="F282" i="8" s="1"/>
  <c r="G284" i="8"/>
  <c r="H284" i="8" s="1"/>
  <c r="H283" i="8" s="1"/>
  <c r="H282" i="8" s="1"/>
  <c r="G285" i="8"/>
  <c r="G286" i="8"/>
  <c r="E288" i="8"/>
  <c r="E289" i="8"/>
  <c r="F289" i="8"/>
  <c r="F288" i="8" s="1"/>
  <c r="G293" i="8"/>
  <c r="G294" i="8"/>
  <c r="G295" i="8"/>
  <c r="H295" i="8" s="1"/>
  <c r="G296" i="8"/>
  <c r="H296" i="8" s="1"/>
  <c r="G297" i="8"/>
  <c r="H297" i="8" s="1"/>
  <c r="G298" i="8"/>
  <c r="H298" i="8" s="1"/>
  <c r="G299" i="8"/>
  <c r="H299" i="8" s="1"/>
  <c r="G300" i="8"/>
  <c r="H300" i="8" s="1"/>
  <c r="G301" i="8"/>
  <c r="H301" i="8" s="1"/>
  <c r="G302" i="8"/>
  <c r="H302" i="8" s="1"/>
  <c r="G303" i="8"/>
  <c r="G304" i="8"/>
  <c r="H304" i="8" s="1"/>
  <c r="G305" i="8"/>
  <c r="H305" i="8" s="1"/>
  <c r="G306" i="8"/>
  <c r="H306" i="8"/>
  <c r="G307" i="8"/>
  <c r="G308" i="8"/>
  <c r="H308" i="8" s="1"/>
  <c r="G309" i="8"/>
  <c r="H309" i="8" s="1"/>
  <c r="G310" i="8"/>
  <c r="H310" i="8"/>
  <c r="G311" i="8"/>
  <c r="H311" i="8" s="1"/>
  <c r="G312" i="8"/>
  <c r="H312" i="8" s="1"/>
  <c r="G313" i="8"/>
  <c r="H313" i="8"/>
  <c r="G314" i="8"/>
  <c r="H314" i="8" s="1"/>
  <c r="G315" i="8"/>
  <c r="H315" i="8" s="1"/>
  <c r="G316" i="8"/>
  <c r="H316" i="8"/>
  <c r="G317" i="8"/>
  <c r="H317" i="8" s="1"/>
  <c r="E320" i="8"/>
  <c r="F320" i="8"/>
  <c r="F319" i="8" s="1"/>
  <c r="G321" i="8"/>
  <c r="G322" i="8"/>
  <c r="G323" i="8"/>
  <c r="H323" i="8"/>
  <c r="H321" i="8" s="1"/>
  <c r="H320" i="8" s="1"/>
  <c r="H319" i="8" s="1"/>
  <c r="G324" i="8"/>
  <c r="G325" i="8"/>
  <c r="G326" i="8"/>
  <c r="E328" i="8"/>
  <c r="G328" i="8" s="1"/>
  <c r="F328" i="8"/>
  <c r="G329" i="8"/>
  <c r="G330" i="8"/>
  <c r="G331" i="8"/>
  <c r="H331" i="8" s="1"/>
  <c r="G332" i="8"/>
  <c r="H332" i="8" s="1"/>
  <c r="G333" i="8"/>
  <c r="G334" i="8"/>
  <c r="G335" i="8"/>
  <c r="G336" i="8"/>
  <c r="G337" i="8"/>
  <c r="G338" i="8"/>
  <c r="H338" i="8" s="1"/>
  <c r="G339" i="8"/>
  <c r="H339" i="8" s="1"/>
  <c r="G340" i="8"/>
  <c r="G341" i="8"/>
  <c r="H341" i="8" s="1"/>
  <c r="G342" i="8"/>
  <c r="G343" i="8"/>
  <c r="G344" i="8"/>
  <c r="G345" i="8"/>
  <c r="G346" i="8"/>
  <c r="H346" i="8" s="1"/>
  <c r="G347" i="8"/>
  <c r="H347" i="8" s="1"/>
  <c r="G348" i="8"/>
  <c r="G349" i="8"/>
  <c r="G351" i="8"/>
  <c r="H351" i="8"/>
  <c r="G352" i="8"/>
  <c r="H352" i="8"/>
  <c r="G353" i="8"/>
  <c r="G354" i="8"/>
  <c r="H354" i="8" s="1"/>
  <c r="H357" i="8"/>
  <c r="H356" i="8" s="1"/>
  <c r="E358" i="8"/>
  <c r="F358" i="8"/>
  <c r="G359" i="8"/>
  <c r="G360" i="8"/>
  <c r="E361" i="8"/>
  <c r="F361" i="8"/>
  <c r="G362" i="8"/>
  <c r="H362" i="8"/>
  <c r="G363" i="8"/>
  <c r="E364" i="8"/>
  <c r="F365" i="8"/>
  <c r="G365" i="8" s="1"/>
  <c r="H368" i="8"/>
  <c r="E369" i="8"/>
  <c r="F369" i="8"/>
  <c r="G370" i="8"/>
  <c r="G371" i="8"/>
  <c r="E372" i="8"/>
  <c r="F372" i="8"/>
  <c r="G373" i="8"/>
  <c r="G374" i="8"/>
  <c r="G375" i="8"/>
  <c r="E376" i="8"/>
  <c r="F376" i="8"/>
  <c r="G376" i="8" s="1"/>
  <c r="G377" i="8"/>
  <c r="G378" i="8"/>
  <c r="G379" i="8"/>
  <c r="E380" i="8"/>
  <c r="F380" i="8"/>
  <c r="G381" i="8"/>
  <c r="E382" i="8"/>
  <c r="F382" i="8"/>
  <c r="G383" i="8"/>
  <c r="G384" i="8"/>
  <c r="E385" i="8"/>
  <c r="F385" i="8"/>
  <c r="G386" i="8"/>
  <c r="E390" i="8"/>
  <c r="E389" i="8" s="1"/>
  <c r="E388" i="8" s="1"/>
  <c r="F390" i="8"/>
  <c r="F389" i="8" s="1"/>
  <c r="H390" i="8"/>
  <c r="H389" i="8" s="1"/>
  <c r="H388" i="8" s="1"/>
  <c r="G391" i="8"/>
  <c r="G392" i="8"/>
  <c r="G396" i="8"/>
  <c r="H396" i="8" s="1"/>
  <c r="G397" i="8"/>
  <c r="H397" i="8" s="1"/>
  <c r="G398" i="8"/>
  <c r="H398" i="8" s="1"/>
  <c r="G399" i="8"/>
  <c r="H399" i="8" s="1"/>
  <c r="F400" i="8"/>
  <c r="H400" i="8"/>
  <c r="G401" i="8"/>
  <c r="G402" i="8"/>
  <c r="G403" i="8"/>
  <c r="F404" i="8"/>
  <c r="G404" i="8" s="1"/>
  <c r="H404" i="8"/>
  <c r="G405" i="8"/>
  <c r="G406" i="8"/>
  <c r="G407" i="8"/>
  <c r="G408" i="8"/>
  <c r="G410" i="8"/>
  <c r="G411" i="8"/>
  <c r="G412" i="8"/>
  <c r="F414" i="8"/>
  <c r="E415" i="8"/>
  <c r="E414" i="8" s="1"/>
  <c r="F415" i="8"/>
  <c r="G416" i="8"/>
  <c r="H416" i="8" s="1"/>
  <c r="G417" i="8"/>
  <c r="F418" i="8"/>
  <c r="G419" i="8"/>
  <c r="G418" i="8" s="1"/>
  <c r="G421" i="8"/>
  <c r="G422" i="8"/>
  <c r="G423" i="8"/>
  <c r="E427" i="8"/>
  <c r="F427" i="8"/>
  <c r="G428" i="8"/>
  <c r="E429" i="8"/>
  <c r="E426" i="8" s="1"/>
  <c r="E425" i="8" s="1"/>
  <c r="F429" i="8"/>
  <c r="G429" i="8"/>
  <c r="H429" i="8"/>
  <c r="H426" i="8" s="1"/>
  <c r="G430" i="8"/>
  <c r="G431" i="8"/>
  <c r="G432" i="8"/>
  <c r="F434" i="8"/>
  <c r="G434" i="8" s="1"/>
  <c r="H434" i="8" s="1"/>
  <c r="G435" i="8"/>
  <c r="H435" i="8" s="1"/>
  <c r="E439" i="8"/>
  <c r="F439" i="8"/>
  <c r="H439" i="8"/>
  <c r="G440" i="8"/>
  <c r="G441" i="8"/>
  <c r="E442" i="8"/>
  <c r="G442" i="8" s="1"/>
  <c r="F442" i="8"/>
  <c r="H442" i="8"/>
  <c r="H438" i="8" s="1"/>
  <c r="H437" i="8" s="1"/>
  <c r="G443" i="8"/>
  <c r="G444" i="8"/>
  <c r="G445" i="8"/>
  <c r="G446" i="8"/>
  <c r="G447" i="8"/>
  <c r="G448" i="8"/>
  <c r="G449" i="8"/>
  <c r="G450" i="8"/>
  <c r="G451" i="8"/>
  <c r="G452" i="8"/>
  <c r="G453" i="8"/>
  <c r="E454" i="8"/>
  <c r="F454" i="8"/>
  <c r="G454" i="8" s="1"/>
  <c r="H454" i="8"/>
  <c r="G455" i="8"/>
  <c r="G456" i="8"/>
  <c r="G457" i="8"/>
  <c r="G458" i="8"/>
  <c r="G459" i="8"/>
  <c r="E460" i="8"/>
  <c r="G460" i="8" s="1"/>
  <c r="F460" i="8"/>
  <c r="H460" i="8"/>
  <c r="G461" i="8"/>
  <c r="E464" i="8"/>
  <c r="G464" i="8" s="1"/>
  <c r="F464" i="8"/>
  <c r="H464" i="8"/>
  <c r="G465" i="8"/>
  <c r="G466" i="8"/>
  <c r="G467" i="8"/>
  <c r="E471" i="8"/>
  <c r="F471" i="8"/>
  <c r="G472" i="8"/>
  <c r="G473" i="8"/>
  <c r="G474" i="8"/>
  <c r="H474" i="8" s="1"/>
  <c r="G475" i="8"/>
  <c r="H475" i="8" s="1"/>
  <c r="H471" i="8" s="1"/>
  <c r="E476" i="8"/>
  <c r="G477" i="8"/>
  <c r="G478" i="8"/>
  <c r="G479" i="8"/>
  <c r="H479" i="8" s="1"/>
  <c r="H476" i="8" s="1"/>
  <c r="F480" i="8"/>
  <c r="G480" i="8" s="1"/>
  <c r="E481" i="8"/>
  <c r="F481" i="8"/>
  <c r="G481" i="8" s="1"/>
  <c r="H481" i="8" s="1"/>
  <c r="G482" i="8"/>
  <c r="H482" i="8" s="1"/>
  <c r="G483" i="8"/>
  <c r="H483" i="8" s="1"/>
  <c r="E484" i="8"/>
  <c r="F484" i="8"/>
  <c r="G485" i="8"/>
  <c r="G486" i="8"/>
  <c r="H486" i="8"/>
  <c r="F488" i="8"/>
  <c r="G488" i="8" s="1"/>
  <c r="H488" i="8"/>
  <c r="E490" i="8"/>
  <c r="E492" i="8"/>
  <c r="E497" i="8"/>
  <c r="E502" i="8"/>
  <c r="E508" i="8"/>
  <c r="F508" i="8"/>
  <c r="G509" i="8"/>
  <c r="H509" i="8" s="1"/>
  <c r="G510" i="8"/>
  <c r="E511" i="8"/>
  <c r="F511" i="8"/>
  <c r="G511" i="8" s="1"/>
  <c r="G512" i="8"/>
  <c r="G513" i="8"/>
  <c r="G514" i="8"/>
  <c r="H514" i="8" s="1"/>
  <c r="G515" i="8"/>
  <c r="G516" i="8"/>
  <c r="G517" i="8"/>
  <c r="H517" i="8" s="1"/>
  <c r="G518" i="8"/>
  <c r="H518" i="8"/>
  <c r="E519" i="8"/>
  <c r="F519" i="8"/>
  <c r="G519" i="8"/>
  <c r="G520" i="8"/>
  <c r="G521" i="8"/>
  <c r="H521" i="8" s="1"/>
  <c r="H519" i="8" s="1"/>
  <c r="G522" i="8"/>
  <c r="H522" i="8"/>
  <c r="E523" i="8"/>
  <c r="F523" i="8"/>
  <c r="G523" i="8"/>
  <c r="H523" i="8" s="1"/>
  <c r="G524" i="8"/>
  <c r="H524" i="8" s="1"/>
  <c r="G525" i="8"/>
  <c r="H525" i="8"/>
  <c r="E526" i="8"/>
  <c r="F526" i="8"/>
  <c r="G527" i="8"/>
  <c r="H527" i="8" s="1"/>
  <c r="E531" i="8"/>
  <c r="G531" i="8" s="1"/>
  <c r="F531" i="8"/>
  <c r="G532" i="8"/>
  <c r="E533" i="8"/>
  <c r="F533" i="8"/>
  <c r="G533" i="8" s="1"/>
  <c r="G534" i="8"/>
  <c r="G535" i="8"/>
  <c r="G536" i="8"/>
  <c r="E537" i="8"/>
  <c r="G537" i="8" s="1"/>
  <c r="F537" i="8"/>
  <c r="H537" i="8"/>
  <c r="G538" i="8"/>
  <c r="G539" i="8"/>
  <c r="G540" i="8"/>
  <c r="G541" i="8"/>
  <c r="E542" i="8"/>
  <c r="F542" i="8"/>
  <c r="G542" i="8" s="1"/>
  <c r="H542" i="8" s="1"/>
  <c r="H530" i="8" s="1"/>
  <c r="H529" i="8" s="1"/>
  <c r="G543" i="8"/>
  <c r="G544" i="8"/>
  <c r="E545" i="8"/>
  <c r="G545" i="8" s="1"/>
  <c r="F545" i="8"/>
  <c r="G546" i="8"/>
  <c r="G547" i="8"/>
  <c r="E548" i="8"/>
  <c r="F548" i="8"/>
  <c r="G549" i="8"/>
  <c r="H551" i="8"/>
  <c r="E553" i="8"/>
  <c r="F553" i="8"/>
  <c r="G553" i="8" s="1"/>
  <c r="G554" i="8"/>
  <c r="G555" i="8"/>
  <c r="G556" i="8"/>
  <c r="G557" i="8"/>
  <c r="G558" i="8"/>
  <c r="G559" i="8"/>
  <c r="G560" i="8"/>
  <c r="E561" i="8"/>
  <c r="F561" i="8"/>
  <c r="G561" i="8" s="1"/>
  <c r="G562" i="8"/>
  <c r="G563" i="8"/>
  <c r="F565" i="8"/>
  <c r="G565" i="8"/>
  <c r="F566" i="8"/>
  <c r="G566" i="8"/>
  <c r="F567" i="8"/>
  <c r="G567" i="8"/>
  <c r="F569" i="8"/>
  <c r="G569" i="8"/>
  <c r="E571" i="8"/>
  <c r="G571" i="8"/>
  <c r="H571" i="8" s="1"/>
  <c r="G572" i="8"/>
  <c r="H572" i="8" s="1"/>
  <c r="E573" i="8"/>
  <c r="G573" i="8" s="1"/>
  <c r="G574" i="8"/>
  <c r="G575" i="8"/>
  <c r="G576" i="8"/>
  <c r="H576" i="8" s="1"/>
  <c r="G577" i="8"/>
  <c r="H577" i="8"/>
  <c r="G578" i="8"/>
  <c r="H578" i="8" s="1"/>
  <c r="G579" i="8"/>
  <c r="H579" i="8"/>
  <c r="G580" i="8"/>
  <c r="G581" i="8"/>
  <c r="G582" i="8"/>
  <c r="H582" i="8" s="1"/>
  <c r="G583" i="8"/>
  <c r="E584" i="8"/>
  <c r="G584" i="8" s="1"/>
  <c r="G585" i="8"/>
  <c r="E586" i="8"/>
  <c r="G586" i="8"/>
  <c r="H586" i="8" s="1"/>
  <c r="G587" i="8"/>
  <c r="H587" i="8" s="1"/>
  <c r="G588" i="8"/>
  <c r="H588" i="8" s="1"/>
  <c r="G589" i="8"/>
  <c r="H589" i="8"/>
  <c r="H591" i="8"/>
  <c r="E593" i="8"/>
  <c r="E592" i="8" s="1"/>
  <c r="E591" i="8" s="1"/>
  <c r="F593" i="8"/>
  <c r="G594" i="8"/>
  <c r="H594" i="8"/>
  <c r="E595" i="8"/>
  <c r="F595" i="8"/>
  <c r="G595" i="8" s="1"/>
  <c r="G596" i="8"/>
  <c r="H596" i="8"/>
  <c r="G597" i="8"/>
  <c r="H597" i="8"/>
  <c r="G598" i="8"/>
  <c r="H598" i="8"/>
  <c r="E599" i="8"/>
  <c r="F599" i="8"/>
  <c r="G599" i="8" s="1"/>
  <c r="H599" i="8"/>
  <c r="G600" i="8"/>
  <c r="H600" i="8"/>
  <c r="E601" i="8"/>
  <c r="F601" i="8"/>
  <c r="G601" i="8" s="1"/>
  <c r="G602" i="8"/>
  <c r="H602" i="8"/>
  <c r="G603" i="8"/>
  <c r="H603" i="8"/>
  <c r="G604" i="8"/>
  <c r="H604" i="8"/>
  <c r="G605" i="8"/>
  <c r="E606" i="8"/>
  <c r="F606" i="8"/>
  <c r="G607" i="8"/>
  <c r="H607" i="8"/>
  <c r="G608" i="8"/>
  <c r="H608" i="8"/>
  <c r="E609" i="8"/>
  <c r="F609" i="8"/>
  <c r="G609" i="8" s="1"/>
  <c r="G610" i="8"/>
  <c r="E614" i="8"/>
  <c r="F614" i="8"/>
  <c r="G614" i="8" s="1"/>
  <c r="H614" i="8" s="1"/>
  <c r="G615" i="8"/>
  <c r="H615" i="8" s="1"/>
  <c r="G616" i="8"/>
  <c r="H616" i="8"/>
  <c r="G617" i="8"/>
  <c r="H617" i="8" s="1"/>
  <c r="E618" i="8"/>
  <c r="F618" i="8"/>
  <c r="G618" i="8" s="1"/>
  <c r="G619" i="8"/>
  <c r="G620" i="8"/>
  <c r="H620" i="8"/>
  <c r="G621" i="8"/>
  <c r="H621" i="8" s="1"/>
  <c r="G622" i="8"/>
  <c r="G623" i="8"/>
  <c r="H623" i="8" s="1"/>
  <c r="G624" i="8"/>
  <c r="H624" i="8" s="1"/>
  <c r="E625" i="8"/>
  <c r="F625" i="8"/>
  <c r="G625" i="8" s="1"/>
  <c r="H625" i="8" s="1"/>
  <c r="G626" i="8"/>
  <c r="H626" i="8" s="1"/>
  <c r="G627" i="8"/>
  <c r="H627" i="8" s="1"/>
  <c r="G628" i="8"/>
  <c r="H628" i="8" s="1"/>
  <c r="G629" i="8"/>
  <c r="H629" i="8" s="1"/>
  <c r="E630" i="8"/>
  <c r="F630" i="8"/>
  <c r="G631" i="8"/>
  <c r="G632" i="8"/>
  <c r="H632" i="8" s="1"/>
  <c r="H634" i="8"/>
  <c r="E636" i="8"/>
  <c r="E635" i="8" s="1"/>
  <c r="E634" i="8" s="1"/>
  <c r="F636" i="8"/>
  <c r="G637" i="8"/>
  <c r="E638" i="8"/>
  <c r="F638" i="8"/>
  <c r="G639" i="8"/>
  <c r="G640" i="8"/>
  <c r="G641" i="8"/>
  <c r="E642" i="8"/>
  <c r="F642" i="8"/>
  <c r="G642" i="8" s="1"/>
  <c r="G643" i="8"/>
  <c r="E644" i="8"/>
  <c r="F644" i="8"/>
  <c r="G644" i="8" s="1"/>
  <c r="G645" i="8"/>
  <c r="G646" i="8"/>
  <c r="E650" i="8"/>
  <c r="F650" i="8"/>
  <c r="G651" i="8"/>
  <c r="E652" i="8"/>
  <c r="F652" i="8"/>
  <c r="G653" i="8"/>
  <c r="E654" i="8"/>
  <c r="F654" i="8"/>
  <c r="G655" i="8"/>
  <c r="G656" i="8"/>
  <c r="G657" i="8"/>
  <c r="E658" i="8"/>
  <c r="F658" i="8"/>
  <c r="G659" i="8"/>
  <c r="G660" i="8"/>
  <c r="G661" i="8"/>
  <c r="E662" i="8"/>
  <c r="F662" i="8"/>
  <c r="G662" i="8" s="1"/>
  <c r="H662" i="8" s="1"/>
  <c r="G663" i="8"/>
  <c r="G664" i="8"/>
  <c r="F666" i="8"/>
  <c r="G666" i="8" s="1"/>
  <c r="E667" i="8"/>
  <c r="E666" i="8" s="1"/>
  <c r="F667" i="8"/>
  <c r="G667" i="8" s="1"/>
  <c r="G668" i="8"/>
  <c r="E672" i="8"/>
  <c r="F673" i="8"/>
  <c r="G673" i="8" s="1"/>
  <c r="H673" i="8"/>
  <c r="E674" i="8"/>
  <c r="F675" i="8"/>
  <c r="F674" i="8" s="1"/>
  <c r="G675" i="8"/>
  <c r="H675" i="8" s="1"/>
  <c r="G676" i="8"/>
  <c r="H676" i="8" s="1"/>
  <c r="E677" i="8"/>
  <c r="F678" i="8"/>
  <c r="G679" i="8"/>
  <c r="H679" i="8" s="1"/>
  <c r="E680" i="8"/>
  <c r="F681" i="8"/>
  <c r="F680" i="8" s="1"/>
  <c r="G680" i="8" s="1"/>
  <c r="H680" i="8" s="1"/>
  <c r="G681" i="8"/>
  <c r="H681" i="8" s="1"/>
  <c r="E682" i="8"/>
  <c r="F682" i="8"/>
  <c r="G683" i="8"/>
  <c r="H683" i="8" s="1"/>
  <c r="F684" i="8"/>
  <c r="G684" i="8" s="1"/>
  <c r="E687" i="8"/>
  <c r="E686" i="8" s="1"/>
  <c r="F687" i="8"/>
  <c r="F686" i="8" s="1"/>
  <c r="G688" i="8"/>
  <c r="E691" i="8"/>
  <c r="E690" i="8" s="1"/>
  <c r="F691" i="8"/>
  <c r="F690" i="8" s="1"/>
  <c r="G692" i="8"/>
  <c r="G694" i="8"/>
  <c r="H694" i="8" s="1"/>
  <c r="H695" i="8"/>
  <c r="G696" i="8"/>
  <c r="H696" i="8" s="1"/>
  <c r="F698" i="8"/>
  <c r="G698" i="8" s="1"/>
  <c r="H698" i="8" s="1"/>
  <c r="E699" i="8"/>
  <c r="G699" i="8" s="1"/>
  <c r="H699" i="8" s="1"/>
  <c r="F699" i="8"/>
  <c r="G700" i="8"/>
  <c r="H700" i="8" s="1"/>
  <c r="E704" i="8"/>
  <c r="F704" i="8"/>
  <c r="F703" i="8" s="1"/>
  <c r="G706" i="8"/>
  <c r="E707" i="8"/>
  <c r="F707" i="8"/>
  <c r="H707" i="8"/>
  <c r="H703" i="8" s="1"/>
  <c r="H702" i="8" s="1"/>
  <c r="G708" i="8"/>
  <c r="E713" i="8"/>
  <c r="E712" i="8" s="1"/>
  <c r="F713" i="8"/>
  <c r="F712" i="8" s="1"/>
  <c r="E718" i="8"/>
  <c r="F718" i="8"/>
  <c r="G718" i="8" s="1"/>
  <c r="H718" i="8" s="1"/>
  <c r="G719" i="8"/>
  <c r="H719" i="8" s="1"/>
  <c r="E720" i="8"/>
  <c r="F720" i="8"/>
  <c r="G720" i="8" s="1"/>
  <c r="G721" i="8"/>
  <c r="H721" i="8" s="1"/>
  <c r="H720" i="8" s="1"/>
  <c r="G722" i="8"/>
  <c r="G723" i="8"/>
  <c r="H723" i="8" s="1"/>
  <c r="G724" i="8"/>
  <c r="G725" i="8"/>
  <c r="H725" i="8" s="1"/>
  <c r="G726" i="8"/>
  <c r="E727" i="8"/>
  <c r="F727" i="8"/>
  <c r="G727" i="8" s="1"/>
  <c r="G728" i="8"/>
  <c r="E729" i="8"/>
  <c r="G729" i="8" s="1"/>
  <c r="F729" i="8"/>
  <c r="G730" i="8"/>
  <c r="H733" i="8"/>
  <c r="H732" i="8" s="1"/>
  <c r="E734" i="8"/>
  <c r="F734" i="8"/>
  <c r="G735" i="8"/>
  <c r="G736" i="8"/>
  <c r="E737" i="8"/>
  <c r="H737" i="8"/>
  <c r="G738" i="8"/>
  <c r="G739" i="8"/>
  <c r="G740" i="8"/>
  <c r="G741" i="8"/>
  <c r="G742" i="8"/>
  <c r="F743" i="8"/>
  <c r="F737" i="8" s="1"/>
  <c r="G737" i="8" s="1"/>
  <c r="G744" i="8"/>
  <c r="G745" i="8"/>
  <c r="E746" i="8"/>
  <c r="F746" i="8"/>
  <c r="G747" i="8"/>
  <c r="E748" i="8"/>
  <c r="F748" i="8"/>
  <c r="G749" i="8"/>
  <c r="E752" i="8"/>
  <c r="E755" i="8"/>
  <c r="F755" i="8"/>
  <c r="H755" i="8"/>
  <c r="E777" i="8"/>
  <c r="E776" i="8" s="1"/>
  <c r="F777" i="8"/>
  <c r="G778" i="8"/>
  <c r="H778" i="8" s="1"/>
  <c r="G779" i="8"/>
  <c r="H779" i="8" s="1"/>
  <c r="G780" i="8"/>
  <c r="H780" i="8" s="1"/>
  <c r="G781" i="8"/>
  <c r="G782" i="8"/>
  <c r="G783" i="8"/>
  <c r="E784" i="8"/>
  <c r="F784" i="8"/>
  <c r="G784" i="8" s="1"/>
  <c r="G785" i="8"/>
  <c r="H785" i="8"/>
  <c r="G786" i="8"/>
  <c r="H786" i="8" s="1"/>
  <c r="G787" i="8"/>
  <c r="G788" i="8"/>
  <c r="G789" i="8"/>
  <c r="G790" i="8"/>
  <c r="H790" i="8" s="1"/>
  <c r="G791" i="8"/>
  <c r="G792" i="8"/>
  <c r="H792" i="8" s="1"/>
  <c r="G793" i="8"/>
  <c r="H793" i="8" s="1"/>
  <c r="G794" i="8"/>
  <c r="H794" i="8"/>
  <c r="G795" i="8"/>
  <c r="H795" i="8" s="1"/>
  <c r="G796" i="8"/>
  <c r="G797" i="8"/>
  <c r="G798" i="8"/>
  <c r="G799" i="8"/>
  <c r="H799" i="8" s="1"/>
  <c r="E800" i="8"/>
  <c r="F800" i="8"/>
  <c r="G800" i="8" s="1"/>
  <c r="G801" i="8"/>
  <c r="H801" i="8" s="1"/>
  <c r="G802" i="8"/>
  <c r="H802" i="8" s="1"/>
  <c r="G803" i="8"/>
  <c r="G804" i="8"/>
  <c r="G805" i="8"/>
  <c r="H805" i="8"/>
  <c r="G806" i="8"/>
  <c r="H806" i="8" s="1"/>
  <c r="G807" i="8"/>
  <c r="E808" i="8"/>
  <c r="F808" i="8"/>
  <c r="G809" i="8"/>
  <c r="H809" i="8" s="1"/>
  <c r="G810" i="8"/>
  <c r="H810" i="8" s="1"/>
  <c r="G811" i="8"/>
  <c r="H811" i="8" s="1"/>
  <c r="E812" i="8"/>
  <c r="F812" i="8"/>
  <c r="G813" i="8"/>
  <c r="H813" i="8" s="1"/>
  <c r="E816" i="8"/>
  <c r="F816" i="8"/>
  <c r="G816" i="8" s="1"/>
  <c r="H816" i="8"/>
  <c r="G817" i="8"/>
  <c r="H817" i="8" s="1"/>
  <c r="G818" i="8"/>
  <c r="H818" i="8" s="1"/>
  <c r="G819" i="8"/>
  <c r="H819" i="8" s="1"/>
  <c r="E820" i="8"/>
  <c r="F820" i="8"/>
  <c r="G820" i="8" s="1"/>
  <c r="H820" i="8" s="1"/>
  <c r="G821" i="8"/>
  <c r="H821" i="8"/>
  <c r="E824" i="8"/>
  <c r="F824" i="8"/>
  <c r="F823" i="8" s="1"/>
  <c r="G823" i="8" s="1"/>
  <c r="H823" i="8" s="1"/>
  <c r="G825" i="8"/>
  <c r="H825" i="8" s="1"/>
  <c r="F828" i="8"/>
  <c r="E829" i="8"/>
  <c r="F829" i="8"/>
  <c r="G829" i="8" s="1"/>
  <c r="H829" i="8"/>
  <c r="H828" i="8" s="1"/>
  <c r="H827" i="8" s="1"/>
  <c r="G830" i="8"/>
  <c r="E831" i="8"/>
  <c r="F831" i="8"/>
  <c r="G831" i="8"/>
  <c r="H831" i="8"/>
  <c r="G832" i="8"/>
  <c r="G833" i="8"/>
  <c r="G834" i="8"/>
  <c r="G835" i="8"/>
  <c r="E836" i="8"/>
  <c r="F836" i="8"/>
  <c r="H836" i="8"/>
  <c r="G837" i="8"/>
  <c r="E842" i="8"/>
  <c r="F845" i="8"/>
  <c r="G845" i="8" s="1"/>
  <c r="G846" i="8"/>
  <c r="F847" i="8"/>
  <c r="G847" i="8"/>
  <c r="G848" i="8"/>
  <c r="G849" i="8"/>
  <c r="H849" i="8"/>
  <c r="H848" i="8" s="1"/>
  <c r="H847" i="8" s="1"/>
  <c r="H843" i="8" s="1"/>
  <c r="G850" i="8"/>
  <c r="G851" i="8"/>
  <c r="G852" i="8"/>
  <c r="G853" i="8"/>
  <c r="G854" i="8"/>
  <c r="G855" i="8"/>
  <c r="G856" i="8"/>
  <c r="G857" i="8"/>
  <c r="H857" i="8" s="1"/>
  <c r="H854" i="8" s="1"/>
  <c r="G858" i="8"/>
  <c r="G859" i="8"/>
  <c r="G860" i="8"/>
  <c r="G861" i="8"/>
  <c r="G862" i="8"/>
  <c r="G863" i="8"/>
  <c r="G864" i="8"/>
  <c r="G865" i="8"/>
  <c r="G866" i="8"/>
  <c r="G867" i="8"/>
  <c r="G868" i="8"/>
  <c r="G869" i="8"/>
  <c r="G870" i="8"/>
  <c r="G871" i="8"/>
  <c r="G872" i="8"/>
  <c r="H872" i="8" s="1"/>
  <c r="H866" i="8" s="1"/>
  <c r="G873" i="8"/>
  <c r="G874" i="8"/>
  <c r="H874" i="8" s="1"/>
  <c r="G875" i="8"/>
  <c r="G876" i="8"/>
  <c r="H876" i="8"/>
  <c r="G877" i="8"/>
  <c r="H877" i="8"/>
  <c r="G878" i="8"/>
  <c r="G879" i="8"/>
  <c r="G880" i="8"/>
  <c r="G881" i="8"/>
  <c r="H881" i="8" s="1"/>
  <c r="G882" i="8"/>
  <c r="H882" i="8"/>
  <c r="G883" i="8"/>
  <c r="H883" i="8"/>
  <c r="G884" i="8"/>
  <c r="H884" i="8"/>
  <c r="G885" i="8"/>
  <c r="G886" i="8"/>
  <c r="G887" i="8"/>
  <c r="G888" i="8"/>
  <c r="G889" i="8"/>
  <c r="H889" i="8"/>
  <c r="G890" i="8"/>
  <c r="G891" i="8"/>
  <c r="G892" i="8"/>
  <c r="G893" i="8"/>
  <c r="G894" i="8"/>
  <c r="G895" i="8"/>
  <c r="G896" i="8"/>
  <c r="F898" i="8"/>
  <c r="H898" i="8"/>
  <c r="G899" i="8"/>
  <c r="G898" i="8" s="1"/>
  <c r="G900" i="8"/>
  <c r="G904" i="8"/>
  <c r="G905" i="8"/>
  <c r="G906" i="8"/>
  <c r="G908" i="8"/>
  <c r="G909" i="8"/>
  <c r="G910" i="8"/>
  <c r="G913" i="8"/>
  <c r="G914" i="8"/>
  <c r="F915" i="8"/>
  <c r="F912" i="8" s="1"/>
  <c r="G912" i="8" s="1"/>
  <c r="H912" i="8" s="1"/>
  <c r="G916" i="8"/>
  <c r="G917" i="8"/>
  <c r="G918" i="8"/>
  <c r="G919" i="8"/>
  <c r="G920" i="8"/>
  <c r="G921" i="8"/>
  <c r="E17" i="7"/>
  <c r="E16" i="7" s="1"/>
  <c r="G18" i="7"/>
  <c r="H18" i="7" s="1"/>
  <c r="H17" i="7" s="1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H31" i="7" s="1"/>
  <c r="G32" i="7"/>
  <c r="G33" i="7"/>
  <c r="G34" i="7"/>
  <c r="H34" i="7" s="1"/>
  <c r="G35" i="7"/>
  <c r="G36" i="7"/>
  <c r="G37" i="7"/>
  <c r="H37" i="7" s="1"/>
  <c r="G38" i="7"/>
  <c r="G39" i="7"/>
  <c r="H39" i="7" s="1"/>
  <c r="G40" i="7"/>
  <c r="G41" i="7"/>
  <c r="H41" i="7" s="1"/>
  <c r="G42" i="7"/>
  <c r="H42" i="7" s="1"/>
  <c r="G43" i="7"/>
  <c r="G44" i="7"/>
  <c r="G45" i="7"/>
  <c r="H45" i="7"/>
  <c r="G46" i="7"/>
  <c r="G47" i="7"/>
  <c r="G48" i="7"/>
  <c r="G49" i="7"/>
  <c r="G50" i="7"/>
  <c r="G51" i="7"/>
  <c r="G52" i="7"/>
  <c r="G53" i="7"/>
  <c r="G55" i="7"/>
  <c r="G56" i="7"/>
  <c r="H56" i="7"/>
  <c r="G57" i="7"/>
  <c r="G58" i="7"/>
  <c r="G59" i="7"/>
  <c r="H59" i="7"/>
  <c r="G60" i="7"/>
  <c r="G61" i="7"/>
  <c r="G62" i="7"/>
  <c r="G63" i="7"/>
  <c r="G64" i="7"/>
  <c r="G65" i="7"/>
  <c r="G66" i="7"/>
  <c r="G67" i="7"/>
  <c r="G68" i="7"/>
  <c r="G69" i="7"/>
  <c r="G70" i="7"/>
  <c r="H70" i="7"/>
  <c r="G71" i="7"/>
  <c r="G72" i="7"/>
  <c r="G73" i="7"/>
  <c r="G74" i="7"/>
  <c r="G75" i="7"/>
  <c r="G76" i="7"/>
  <c r="G77" i="7"/>
  <c r="G78" i="7"/>
  <c r="H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H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H109" i="7"/>
  <c r="G110" i="7"/>
  <c r="G111" i="7"/>
  <c r="G112" i="7"/>
  <c r="G113" i="7"/>
  <c r="G114" i="7"/>
  <c r="G115" i="7"/>
  <c r="G116" i="7"/>
  <c r="G117" i="7"/>
  <c r="G118" i="7"/>
  <c r="G119" i="7"/>
  <c r="H119" i="7" s="1"/>
  <c r="G120" i="7"/>
  <c r="G121" i="7"/>
  <c r="G122" i="7"/>
  <c r="G123" i="7"/>
  <c r="H123" i="7" s="1"/>
  <c r="G124" i="7"/>
  <c r="G125" i="7"/>
  <c r="G126" i="7"/>
  <c r="H126" i="7" s="1"/>
  <c r="G127" i="7"/>
  <c r="H127" i="7"/>
  <c r="G128" i="7"/>
  <c r="G129" i="7"/>
  <c r="G130" i="7"/>
  <c r="G131" i="7"/>
  <c r="G132" i="7"/>
  <c r="G133" i="7"/>
  <c r="H133" i="7"/>
  <c r="G134" i="7"/>
  <c r="G135" i="7"/>
  <c r="G136" i="7"/>
  <c r="H136" i="7"/>
  <c r="G137" i="7"/>
  <c r="G138" i="7"/>
  <c r="G139" i="7"/>
  <c r="G140" i="7"/>
  <c r="G141" i="7"/>
  <c r="G142" i="7"/>
  <c r="G144" i="7"/>
  <c r="G145" i="7"/>
  <c r="H145" i="7"/>
  <c r="G146" i="7"/>
  <c r="G147" i="7"/>
  <c r="G148" i="7"/>
  <c r="H148" i="7"/>
  <c r="H144" i="7" s="1"/>
  <c r="G149" i="7"/>
  <c r="G150" i="7"/>
  <c r="G151" i="7"/>
  <c r="G152" i="7"/>
  <c r="G153" i="7"/>
  <c r="G154" i="7"/>
  <c r="G155" i="7"/>
  <c r="G156" i="7"/>
  <c r="G157" i="7"/>
  <c r="G159" i="7"/>
  <c r="G160" i="7"/>
  <c r="G161" i="7"/>
  <c r="G162" i="7"/>
  <c r="H162" i="7"/>
  <c r="G163" i="7"/>
  <c r="G164" i="7"/>
  <c r="G165" i="7"/>
  <c r="G166" i="7"/>
  <c r="G167" i="7"/>
  <c r="G168" i="7"/>
  <c r="G169" i="7"/>
  <c r="G170" i="7"/>
  <c r="H170" i="7" s="1"/>
  <c r="H166" i="7" s="1"/>
  <c r="G171" i="7"/>
  <c r="G172" i="7"/>
  <c r="G174" i="7"/>
  <c r="G175" i="7"/>
  <c r="H175" i="7"/>
  <c r="G176" i="7"/>
  <c r="G177" i="7"/>
  <c r="G178" i="7"/>
  <c r="G179" i="7"/>
  <c r="G180" i="7"/>
  <c r="G181" i="7"/>
  <c r="H181" i="7"/>
  <c r="G182" i="7"/>
  <c r="G183" i="7"/>
  <c r="G185" i="7"/>
  <c r="G186" i="7"/>
  <c r="G187" i="7"/>
  <c r="G188" i="7"/>
  <c r="H188" i="7" s="1"/>
  <c r="G189" i="7"/>
  <c r="H189" i="7" s="1"/>
  <c r="G190" i="7"/>
  <c r="H190" i="7" s="1"/>
  <c r="G191" i="7"/>
  <c r="H191" i="7" s="1"/>
  <c r="G192" i="7"/>
  <c r="H192" i="7" s="1"/>
  <c r="G193" i="7"/>
  <c r="H193" i="7" s="1"/>
  <c r="G194" i="7"/>
  <c r="H194" i="7" s="1"/>
  <c r="G195" i="7"/>
  <c r="H195" i="7" s="1"/>
  <c r="G196" i="7"/>
  <c r="H196" i="7" s="1"/>
  <c r="G197" i="7"/>
  <c r="G198" i="7"/>
  <c r="H198" i="7" s="1"/>
  <c r="G199" i="7"/>
  <c r="H199" i="7" s="1"/>
  <c r="G200" i="7"/>
  <c r="G201" i="7"/>
  <c r="H201" i="7" s="1"/>
  <c r="G202" i="7"/>
  <c r="G203" i="7"/>
  <c r="H203" i="7" s="1"/>
  <c r="G204" i="7"/>
  <c r="H204" i="7" s="1"/>
  <c r="G206" i="7"/>
  <c r="G207" i="7"/>
  <c r="G208" i="7"/>
  <c r="G209" i="7"/>
  <c r="G210" i="7"/>
  <c r="G211" i="7"/>
  <c r="G212" i="7"/>
  <c r="H212" i="7" s="1"/>
  <c r="G213" i="7"/>
  <c r="G214" i="7"/>
  <c r="G215" i="7"/>
  <c r="G217" i="7"/>
  <c r="G218" i="7"/>
  <c r="G219" i="7"/>
  <c r="G220" i="7"/>
  <c r="G221" i="7"/>
  <c r="G222" i="7"/>
  <c r="G223" i="7"/>
  <c r="G224" i="7"/>
  <c r="G226" i="7"/>
  <c r="G227" i="7"/>
  <c r="G228" i="7"/>
  <c r="G229" i="7"/>
  <c r="G230" i="7"/>
  <c r="H230" i="7" s="1"/>
  <c r="G231" i="7"/>
  <c r="H231" i="7" s="1"/>
  <c r="G232" i="7"/>
  <c r="G233" i="7"/>
  <c r="G234" i="7"/>
  <c r="G235" i="7"/>
  <c r="H235" i="7" s="1"/>
  <c r="G236" i="7"/>
  <c r="G237" i="7"/>
  <c r="H237" i="7" s="1"/>
  <c r="G238" i="7"/>
  <c r="H238" i="7" s="1"/>
  <c r="G239" i="7"/>
  <c r="H239" i="7" s="1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1" i="7"/>
  <c r="G262" i="7"/>
  <c r="G263" i="7"/>
  <c r="G264" i="7"/>
  <c r="H264" i="7"/>
  <c r="G265" i="7"/>
  <c r="G266" i="7"/>
  <c r="G267" i="7"/>
  <c r="G268" i="7"/>
  <c r="G269" i="7"/>
  <c r="G270" i="7"/>
  <c r="G271" i="7"/>
  <c r="H271" i="7"/>
  <c r="G272" i="7"/>
  <c r="G273" i="7"/>
  <c r="G274" i="7"/>
  <c r="H274" i="7" s="1"/>
  <c r="G275" i="7"/>
  <c r="H275" i="7" s="1"/>
  <c r="G277" i="7"/>
  <c r="G278" i="7"/>
  <c r="G279" i="7"/>
  <c r="G280" i="7"/>
  <c r="G281" i="7"/>
  <c r="G282" i="7"/>
  <c r="H282" i="7"/>
  <c r="H277" i="7" s="1"/>
  <c r="G283" i="7"/>
  <c r="G284" i="7"/>
  <c r="G285" i="7"/>
  <c r="G286" i="7"/>
  <c r="G287" i="7"/>
  <c r="G288" i="7"/>
  <c r="G289" i="7"/>
  <c r="G290" i="7"/>
  <c r="E292" i="7"/>
  <c r="G292" i="7" s="1"/>
  <c r="H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7" i="7"/>
  <c r="G308" i="7"/>
  <c r="G309" i="7"/>
  <c r="G310" i="7"/>
  <c r="H310" i="7" s="1"/>
  <c r="H308" i="7" s="1"/>
  <c r="H307" i="7" s="1"/>
  <c r="G311" i="7"/>
  <c r="G312" i="7"/>
  <c r="G313" i="7"/>
  <c r="G314" i="7"/>
  <c r="G315" i="7"/>
  <c r="G316" i="7"/>
  <c r="G317" i="7"/>
  <c r="G318" i="7"/>
  <c r="G319" i="7"/>
  <c r="G321" i="7"/>
  <c r="G322" i="7"/>
  <c r="G323" i="7"/>
  <c r="G324" i="7"/>
  <c r="H324" i="7"/>
  <c r="H321" i="7" s="1"/>
  <c r="G325" i="7"/>
  <c r="G326" i="7"/>
  <c r="G328" i="7"/>
  <c r="G329" i="7"/>
  <c r="H329" i="7"/>
  <c r="H328" i="7" s="1"/>
  <c r="G330" i="7"/>
  <c r="G331" i="7"/>
  <c r="G332" i="7"/>
  <c r="G333" i="7"/>
  <c r="G334" i="7"/>
  <c r="G335" i="7"/>
  <c r="G337" i="7"/>
  <c r="G338" i="7"/>
  <c r="H338" i="7"/>
  <c r="H337" i="7" s="1"/>
  <c r="G339" i="7"/>
  <c r="G340" i="7"/>
  <c r="G341" i="7"/>
  <c r="E346" i="7"/>
  <c r="F346" i="7"/>
  <c r="F345" i="7" s="1"/>
  <c r="G347" i="7"/>
  <c r="G348" i="7"/>
  <c r="H348" i="7" s="1"/>
  <c r="E353" i="7"/>
  <c r="F353" i="7"/>
  <c r="G354" i="7"/>
  <c r="H354" i="7"/>
  <c r="G355" i="7"/>
  <c r="G356" i="7"/>
  <c r="H356" i="7"/>
  <c r="G357" i="7"/>
  <c r="G358" i="7"/>
  <c r="E359" i="7"/>
  <c r="F359" i="7"/>
  <c r="G360" i="7"/>
  <c r="G361" i="7"/>
  <c r="H361" i="7"/>
  <c r="G362" i="7"/>
  <c r="H362" i="7"/>
  <c r="G363" i="7"/>
  <c r="G364" i="7"/>
  <c r="G365" i="7"/>
  <c r="G366" i="7"/>
  <c r="G367" i="7"/>
  <c r="G368" i="7"/>
  <c r="E369" i="7"/>
  <c r="F369" i="7"/>
  <c r="G369" i="7" s="1"/>
  <c r="G370" i="7"/>
  <c r="H370" i="7"/>
  <c r="G371" i="7"/>
  <c r="H371" i="7"/>
  <c r="G372" i="7"/>
  <c r="G373" i="7"/>
  <c r="G374" i="7"/>
  <c r="G375" i="7"/>
  <c r="G376" i="7"/>
  <c r="H376" i="7"/>
  <c r="G377" i="7"/>
  <c r="E378" i="7"/>
  <c r="H378" i="7" s="1"/>
  <c r="F378" i="7"/>
  <c r="G378" i="7"/>
  <c r="G379" i="7"/>
  <c r="H379" i="7"/>
  <c r="E382" i="7"/>
  <c r="F382" i="7"/>
  <c r="G382" i="7" s="1"/>
  <c r="H382" i="7"/>
  <c r="G383" i="7"/>
  <c r="G384" i="7"/>
  <c r="G385" i="7"/>
  <c r="E386" i="7"/>
  <c r="F386" i="7"/>
  <c r="G387" i="7"/>
  <c r="H387" i="7"/>
  <c r="E388" i="7"/>
  <c r="F388" i="7"/>
  <c r="G389" i="7"/>
  <c r="G390" i="7"/>
  <c r="H390" i="7"/>
  <c r="H388" i="7" s="1"/>
  <c r="G391" i="7"/>
  <c r="H391" i="7"/>
  <c r="E392" i="7"/>
  <c r="F392" i="7"/>
  <c r="H392" i="7"/>
  <c r="G393" i="7"/>
  <c r="G394" i="7"/>
  <c r="E395" i="7"/>
  <c r="F395" i="7"/>
  <c r="G396" i="7"/>
  <c r="E399" i="7"/>
  <c r="E398" i="7" s="1"/>
  <c r="F399" i="7"/>
  <c r="G400" i="7"/>
  <c r="H402" i="7"/>
  <c r="E403" i="7"/>
  <c r="F403" i="7"/>
  <c r="G403" i="7" s="1"/>
  <c r="G404" i="7"/>
  <c r="E405" i="7"/>
  <c r="F405" i="7"/>
  <c r="G406" i="7"/>
  <c r="H406" i="7"/>
  <c r="E407" i="7"/>
  <c r="G407" i="7" s="1"/>
  <c r="F407" i="7"/>
  <c r="G408" i="7"/>
  <c r="E411" i="7"/>
  <c r="E410" i="7" s="1"/>
  <c r="F411" i="7"/>
  <c r="G411" i="7" s="1"/>
  <c r="G412" i="7"/>
  <c r="E414" i="7"/>
  <c r="F414" i="7"/>
  <c r="G415" i="7"/>
  <c r="G416" i="7"/>
  <c r="E419" i="7"/>
  <c r="E418" i="7" s="1"/>
  <c r="F419" i="7"/>
  <c r="G419" i="7"/>
  <c r="G420" i="7"/>
  <c r="H420" i="7"/>
  <c r="E422" i="7"/>
  <c r="H426" i="7"/>
  <c r="H423" i="7" s="1"/>
  <c r="G434" i="7"/>
  <c r="H491" i="7"/>
  <c r="H490" i="7" s="1"/>
  <c r="H496" i="7"/>
  <c r="H495" i="7" s="1"/>
  <c r="E520" i="7"/>
  <c r="F520" i="7"/>
  <c r="G521" i="7"/>
  <c r="H521" i="7" s="1"/>
  <c r="E522" i="7"/>
  <c r="F522" i="7"/>
  <c r="G522" i="7" s="1"/>
  <c r="H522" i="7" s="1"/>
  <c r="G523" i="7"/>
  <c r="H523" i="7" s="1"/>
  <c r="E524" i="7"/>
  <c r="F524" i="7"/>
  <c r="H524" i="7"/>
  <c r="G525" i="7"/>
  <c r="H525" i="7" s="1"/>
  <c r="G526" i="7"/>
  <c r="H526" i="7" s="1"/>
  <c r="G527" i="7"/>
  <c r="E528" i="7"/>
  <c r="F528" i="7"/>
  <c r="G529" i="7"/>
  <c r="H529" i="7" s="1"/>
  <c r="E533" i="7"/>
  <c r="E532" i="7" s="1"/>
  <c r="E531" i="7" s="1"/>
  <c r="F533" i="7"/>
  <c r="G534" i="7"/>
  <c r="E537" i="7"/>
  <c r="F537" i="7"/>
  <c r="G538" i="7"/>
  <c r="G539" i="7"/>
  <c r="G540" i="7"/>
  <c r="H540" i="7" s="1"/>
  <c r="H537" i="7" s="1"/>
  <c r="G541" i="7"/>
  <c r="E542" i="7"/>
  <c r="G542" i="7" s="1"/>
  <c r="H542" i="7" s="1"/>
  <c r="G543" i="7"/>
  <c r="H543" i="7"/>
  <c r="E544" i="7"/>
  <c r="F544" i="7"/>
  <c r="H544" i="7"/>
  <c r="G545" i="7"/>
  <c r="G546" i="7"/>
  <c r="E547" i="7"/>
  <c r="F547" i="7"/>
  <c r="G548" i="7"/>
  <c r="H548" i="7" s="1"/>
  <c r="H550" i="7"/>
  <c r="E551" i="7"/>
  <c r="E550" i="7" s="1"/>
  <c r="F551" i="7"/>
  <c r="F550" i="7" s="1"/>
  <c r="H551" i="7"/>
  <c r="G552" i="7"/>
  <c r="G553" i="7"/>
  <c r="E556" i="7"/>
  <c r="F556" i="7"/>
  <c r="G557" i="7"/>
  <c r="E558" i="7"/>
  <c r="F558" i="7"/>
  <c r="G558" i="7" s="1"/>
  <c r="G559" i="7"/>
  <c r="E562" i="7"/>
  <c r="F562" i="7"/>
  <c r="F561" i="7" s="1"/>
  <c r="H562" i="7"/>
  <c r="H561" i="7" s="1"/>
  <c r="G563" i="7"/>
  <c r="G564" i="7"/>
  <c r="G565" i="7"/>
  <c r="H565" i="7" s="1"/>
  <c r="H567" i="7"/>
  <c r="E568" i="7"/>
  <c r="F568" i="7"/>
  <c r="G569" i="7"/>
  <c r="H569" i="7" s="1"/>
  <c r="E570" i="7"/>
  <c r="F570" i="7"/>
  <c r="G570" i="7" s="1"/>
  <c r="G571" i="7"/>
  <c r="H571" i="7"/>
  <c r="E572" i="7"/>
  <c r="F572" i="7"/>
  <c r="G572" i="7" s="1"/>
  <c r="H572" i="7" s="1"/>
  <c r="G573" i="7"/>
  <c r="H573" i="7" s="1"/>
  <c r="E576" i="7"/>
  <c r="E575" i="7" s="1"/>
  <c r="E577" i="7"/>
  <c r="F577" i="7"/>
  <c r="G578" i="7"/>
  <c r="E582" i="7"/>
  <c r="E581" i="7" s="1"/>
  <c r="E580" i="7" s="1"/>
  <c r="F582" i="7"/>
  <c r="G583" i="7"/>
  <c r="H583" i="7" s="1"/>
  <c r="G584" i="7"/>
  <c r="H584" i="7" s="1"/>
  <c r="E588" i="7"/>
  <c r="F588" i="7"/>
  <c r="G589" i="7"/>
  <c r="G590" i="7"/>
  <c r="H590" i="7" s="1"/>
  <c r="E591" i="7"/>
  <c r="F591" i="7"/>
  <c r="G592" i="7"/>
  <c r="E595" i="7"/>
  <c r="G596" i="7"/>
  <c r="H596" i="7" s="1"/>
  <c r="E599" i="7"/>
  <c r="E598" i="7" s="1"/>
  <c r="F600" i="7"/>
  <c r="G600" i="7" s="1"/>
  <c r="H600" i="7" s="1"/>
  <c r="E603" i="7"/>
  <c r="E602" i="7" s="1"/>
  <c r="F603" i="7"/>
  <c r="F602" i="7" s="1"/>
  <c r="G602" i="7" s="1"/>
  <c r="H602" i="7" s="1"/>
  <c r="G604" i="7"/>
  <c r="H604" i="7" s="1"/>
  <c r="E607" i="7"/>
  <c r="E606" i="7" s="1"/>
  <c r="H607" i="7"/>
  <c r="H606" i="7" s="1"/>
  <c r="G608" i="7"/>
  <c r="F609" i="7"/>
  <c r="F607" i="7" s="1"/>
  <c r="F606" i="7" s="1"/>
  <c r="G610" i="7"/>
  <c r="E613" i="7"/>
  <c r="E612" i="7" s="1"/>
  <c r="F613" i="7"/>
  <c r="F612" i="7" s="1"/>
  <c r="G614" i="7"/>
  <c r="E617" i="7"/>
  <c r="G617" i="7" s="1"/>
  <c r="F617" i="7"/>
  <c r="F616" i="7" s="1"/>
  <c r="G618" i="7"/>
  <c r="E622" i="7"/>
  <c r="F622" i="7"/>
  <c r="G623" i="7"/>
  <c r="E624" i="7"/>
  <c r="F624" i="7"/>
  <c r="G624" i="7"/>
  <c r="G625" i="7"/>
  <c r="E626" i="7"/>
  <c r="F626" i="7"/>
  <c r="G626" i="7"/>
  <c r="G627" i="7"/>
  <c r="E629" i="7"/>
  <c r="F630" i="7"/>
  <c r="G630" i="7" s="1"/>
  <c r="G631" i="7"/>
  <c r="F633" i="7"/>
  <c r="G634" i="7"/>
  <c r="E637" i="7"/>
  <c r="E636" i="7" s="1"/>
  <c r="F637" i="7"/>
  <c r="G637" i="7" s="1"/>
  <c r="G638" i="7"/>
  <c r="E641" i="7"/>
  <c r="E640" i="7" s="1"/>
  <c r="F641" i="7"/>
  <c r="G642" i="7"/>
  <c r="H644" i="7"/>
  <c r="E645" i="7"/>
  <c r="F645" i="7"/>
  <c r="G646" i="7"/>
  <c r="H646" i="7" s="1"/>
  <c r="E647" i="7"/>
  <c r="F647" i="7"/>
  <c r="G648" i="7"/>
  <c r="E649" i="7"/>
  <c r="F649" i="7"/>
  <c r="G650" i="7"/>
  <c r="F653" i="7"/>
  <c r="G654" i="7"/>
  <c r="G655" i="7"/>
  <c r="F656" i="7"/>
  <c r="G656" i="7" s="1"/>
  <c r="G657" i="7"/>
  <c r="G658" i="7"/>
  <c r="G659" i="7"/>
  <c r="G660" i="7"/>
  <c r="F661" i="7"/>
  <c r="G661" i="7" s="1"/>
  <c r="H661" i="7"/>
  <c r="H652" i="7" s="1"/>
  <c r="H620" i="7" s="1"/>
  <c r="G662" i="7"/>
  <c r="G663" i="7"/>
  <c r="G664" i="7"/>
  <c r="G665" i="7"/>
  <c r="H665" i="7" s="1"/>
  <c r="E668" i="7"/>
  <c r="F668" i="7"/>
  <c r="G669" i="7"/>
  <c r="H669" i="7" s="1"/>
  <c r="E670" i="7"/>
  <c r="F670" i="7"/>
  <c r="G671" i="7"/>
  <c r="E674" i="7"/>
  <c r="E673" i="7" s="1"/>
  <c r="F674" i="7"/>
  <c r="F673" i="7" s="1"/>
  <c r="G673" i="7" s="1"/>
  <c r="G675" i="7"/>
  <c r="H675" i="7"/>
  <c r="G676" i="7"/>
  <c r="E678" i="7"/>
  <c r="F679" i="7"/>
  <c r="F678" i="7" s="1"/>
  <c r="G678" i="7" s="1"/>
  <c r="H680" i="7"/>
  <c r="G681" i="7"/>
  <c r="G682" i="7"/>
  <c r="E685" i="7"/>
  <c r="F685" i="7"/>
  <c r="F684" i="7" s="1"/>
  <c r="G686" i="7"/>
  <c r="E689" i="7"/>
  <c r="E688" i="7" s="1"/>
  <c r="F689" i="7"/>
  <c r="F688" i="7" s="1"/>
  <c r="G688" i="7" s="1"/>
  <c r="G690" i="7"/>
  <c r="G691" i="7"/>
  <c r="G692" i="7"/>
  <c r="G693" i="7"/>
  <c r="F696" i="7"/>
  <c r="F695" i="7" s="1"/>
  <c r="G695" i="7" s="1"/>
  <c r="G697" i="7"/>
  <c r="F700" i="7"/>
  <c r="G700" i="7" s="1"/>
  <c r="G701" i="7"/>
  <c r="G702" i="7"/>
  <c r="F703" i="7"/>
  <c r="G703" i="7"/>
  <c r="G704" i="7"/>
  <c r="G705" i="7"/>
  <c r="F706" i="7"/>
  <c r="G706" i="7" s="1"/>
  <c r="G707" i="7"/>
  <c r="G708" i="7"/>
  <c r="G709" i="7"/>
  <c r="H711" i="7"/>
  <c r="E712" i="7"/>
  <c r="F713" i="7"/>
  <c r="G714" i="7"/>
  <c r="G715" i="7"/>
  <c r="F716" i="7"/>
  <c r="G716" i="7" s="1"/>
  <c r="G717" i="7"/>
  <c r="G718" i="7"/>
  <c r="G719" i="7"/>
  <c r="G720" i="7"/>
  <c r="G721" i="7"/>
  <c r="G722" i="7"/>
  <c r="G723" i="7"/>
  <c r="G724" i="7"/>
  <c r="G725" i="7"/>
  <c r="G726" i="7"/>
  <c r="G727" i="7"/>
  <c r="F728" i="7"/>
  <c r="G728" i="7" s="1"/>
  <c r="G729" i="7"/>
  <c r="G730" i="7"/>
  <c r="G731" i="7"/>
  <c r="G732" i="7"/>
  <c r="G733" i="7"/>
  <c r="G734" i="7"/>
  <c r="G735" i="7"/>
  <c r="G736" i="7"/>
  <c r="G737" i="7"/>
  <c r="G738" i="7"/>
  <c r="G739" i="7"/>
  <c r="F740" i="7"/>
  <c r="G740" i="7" s="1"/>
  <c r="G741" i="7"/>
  <c r="G742" i="7"/>
  <c r="G743" i="7"/>
  <c r="G744" i="7"/>
  <c r="F745" i="7"/>
  <c r="G745" i="7" s="1"/>
  <c r="G746" i="7"/>
  <c r="G747" i="7"/>
  <c r="G748" i="7"/>
  <c r="G749" i="7"/>
  <c r="G750" i="7"/>
  <c r="E752" i="7"/>
  <c r="F753" i="7"/>
  <c r="G753" i="7" s="1"/>
  <c r="G754" i="7"/>
  <c r="F755" i="7"/>
  <c r="G755" i="7" s="1"/>
  <c r="G756" i="7"/>
  <c r="G757" i="7"/>
  <c r="G758" i="7"/>
  <c r="E760" i="7"/>
  <c r="F761" i="7"/>
  <c r="G761" i="7" s="1"/>
  <c r="G762" i="7"/>
  <c r="G763" i="7"/>
  <c r="F764" i="7"/>
  <c r="G764" i="7" s="1"/>
  <c r="G765" i="7"/>
  <c r="G766" i="7"/>
  <c r="G767" i="7"/>
  <c r="F768" i="7"/>
  <c r="G769" i="7"/>
  <c r="F770" i="7"/>
  <c r="G770" i="7" s="1"/>
  <c r="G771" i="7"/>
  <c r="F772" i="7"/>
  <c r="G772" i="7" s="1"/>
  <c r="G773" i="7"/>
  <c r="G774" i="7"/>
  <c r="F775" i="7"/>
  <c r="G775" i="7" s="1"/>
  <c r="G776" i="7"/>
  <c r="G777" i="7"/>
  <c r="G778" i="7"/>
  <c r="G779" i="7"/>
  <c r="G780" i="7"/>
  <c r="F781" i="7"/>
  <c r="G781" i="7" s="1"/>
  <c r="G782" i="7"/>
  <c r="F783" i="7"/>
  <c r="G783" i="7" s="1"/>
  <c r="G784" i="7"/>
  <c r="F785" i="7"/>
  <c r="G785" i="7"/>
  <c r="G786" i="7"/>
  <c r="G787" i="7"/>
  <c r="E789" i="7"/>
  <c r="F790" i="7"/>
  <c r="G791" i="7"/>
  <c r="G792" i="7"/>
  <c r="F793" i="7"/>
  <c r="G793" i="7" s="1"/>
  <c r="G794" i="7"/>
  <c r="G795" i="7"/>
  <c r="F796" i="7"/>
  <c r="G796" i="7" s="1"/>
  <c r="G797" i="7"/>
  <c r="E800" i="7"/>
  <c r="E799" i="7" s="1"/>
  <c r="F800" i="7"/>
  <c r="F799" i="7" s="1"/>
  <c r="G799" i="7" s="1"/>
  <c r="G801" i="7"/>
  <c r="E803" i="7"/>
  <c r="F804" i="7"/>
  <c r="G804" i="7" s="1"/>
  <c r="G805" i="7"/>
  <c r="E807" i="7"/>
  <c r="F808" i="7"/>
  <c r="F807" i="7" s="1"/>
  <c r="G808" i="7"/>
  <c r="G809" i="7"/>
  <c r="E811" i="7"/>
  <c r="F812" i="7"/>
  <c r="G812" i="7" s="1"/>
  <c r="G813" i="7"/>
  <c r="E815" i="7"/>
  <c r="F816" i="7"/>
  <c r="F815" i="7" s="1"/>
  <c r="G815" i="7" s="1"/>
  <c r="G817" i="7"/>
  <c r="E821" i="7"/>
  <c r="F821" i="7"/>
  <c r="G822" i="7"/>
  <c r="H822" i="7" s="1"/>
  <c r="H821" i="7" s="1"/>
  <c r="E823" i="7"/>
  <c r="F823" i="7"/>
  <c r="G824" i="7"/>
  <c r="H824" i="7" s="1"/>
  <c r="G825" i="7"/>
  <c r="H825" i="7" s="1"/>
  <c r="E826" i="7"/>
  <c r="F826" i="7"/>
  <c r="G827" i="7"/>
  <c r="H827" i="7" s="1"/>
  <c r="G828" i="7"/>
  <c r="H828" i="7" s="1"/>
  <c r="E829" i="7"/>
  <c r="F829" i="7"/>
  <c r="G829" i="7" s="1"/>
  <c r="G830" i="7"/>
  <c r="G831" i="7"/>
  <c r="G832" i="7"/>
  <c r="G833" i="7"/>
  <c r="E834" i="7"/>
  <c r="G834" i="7" s="1"/>
  <c r="F834" i="7"/>
  <c r="G835" i="7"/>
  <c r="G836" i="7"/>
  <c r="G837" i="7"/>
  <c r="H837" i="7" s="1"/>
  <c r="G838" i="7"/>
  <c r="H838" i="7" s="1"/>
  <c r="E839" i="7"/>
  <c r="F839" i="7"/>
  <c r="G839" i="7" s="1"/>
  <c r="G840" i="7"/>
  <c r="G841" i="7"/>
  <c r="G842" i="7"/>
  <c r="H842" i="7" s="1"/>
  <c r="H839" i="7" s="1"/>
  <c r="E843" i="7"/>
  <c r="F843" i="7"/>
  <c r="G843" i="7" s="1"/>
  <c r="H843" i="7" s="1"/>
  <c r="G844" i="7"/>
  <c r="H844" i="7" s="1"/>
  <c r="E847" i="7"/>
  <c r="E846" i="7" s="1"/>
  <c r="F847" i="7"/>
  <c r="G848" i="7"/>
  <c r="H848" i="7" s="1"/>
  <c r="H847" i="7" s="1"/>
  <c r="H846" i="7" s="1"/>
  <c r="G849" i="7"/>
  <c r="G850" i="7"/>
  <c r="E853" i="7"/>
  <c r="F853" i="7"/>
  <c r="H853" i="7"/>
  <c r="G854" i="7"/>
  <c r="E855" i="7"/>
  <c r="G856" i="7"/>
  <c r="H856" i="7" s="1"/>
  <c r="H855" i="7" s="1"/>
  <c r="F857" i="7"/>
  <c r="F855" i="7" s="1"/>
  <c r="G855" i="7" s="1"/>
  <c r="E858" i="7"/>
  <c r="F858" i="7"/>
  <c r="H858" i="7"/>
  <c r="G859" i="7"/>
  <c r="G860" i="7"/>
  <c r="E861" i="7"/>
  <c r="F861" i="7"/>
  <c r="G861" i="7" s="1"/>
  <c r="G862" i="7"/>
  <c r="G863" i="7"/>
  <c r="G864" i="7"/>
  <c r="H864" i="7" s="1"/>
  <c r="G865" i="7"/>
  <c r="H865" i="7" s="1"/>
  <c r="G866" i="7"/>
  <c r="E867" i="7"/>
  <c r="F868" i="7"/>
  <c r="G868" i="7" s="1"/>
  <c r="G869" i="7"/>
  <c r="H869" i="7" s="1"/>
  <c r="G870" i="7"/>
  <c r="H870" i="7" s="1"/>
  <c r="E871" i="7"/>
  <c r="H871" i="7"/>
  <c r="F872" i="7"/>
  <c r="G872" i="7" s="1"/>
  <c r="E873" i="7"/>
  <c r="H873" i="7"/>
  <c r="F874" i="7"/>
  <c r="F873" i="7" s="1"/>
  <c r="E875" i="7"/>
  <c r="F875" i="7"/>
  <c r="G876" i="7"/>
  <c r="H876" i="7" s="1"/>
  <c r="H875" i="7" s="1"/>
  <c r="E879" i="7"/>
  <c r="E878" i="7" s="1"/>
  <c r="F879" i="7"/>
  <c r="F878" i="7" s="1"/>
  <c r="H879" i="7"/>
  <c r="H878" i="7" s="1"/>
  <c r="G880" i="7"/>
  <c r="E882" i="7"/>
  <c r="E881" i="7" s="1"/>
  <c r="F882" i="7"/>
  <c r="G882" i="7" s="1"/>
  <c r="G883" i="7"/>
  <c r="H883" i="7" s="1"/>
  <c r="H882" i="7" s="1"/>
  <c r="H881" i="7" s="1"/>
  <c r="H885" i="7"/>
  <c r="E886" i="7"/>
  <c r="F886" i="7"/>
  <c r="H886" i="7"/>
  <c r="G887" i="7"/>
  <c r="E888" i="7"/>
  <c r="F888" i="7"/>
  <c r="G889" i="7"/>
  <c r="H889" i="7" s="1"/>
  <c r="H888" i="7" s="1"/>
  <c r="E892" i="7"/>
  <c r="E891" i="7" s="1"/>
  <c r="F892" i="7"/>
  <c r="G893" i="7"/>
  <c r="H893" i="7" s="1"/>
  <c r="H892" i="7" s="1"/>
  <c r="H891" i="7" s="1"/>
  <c r="E895" i="7"/>
  <c r="E894" i="7" s="1"/>
  <c r="F895" i="7"/>
  <c r="G895" i="7" s="1"/>
  <c r="G896" i="7"/>
  <c r="G897" i="7"/>
  <c r="H897" i="7" s="1"/>
  <c r="H895" i="7" s="1"/>
  <c r="H894" i="7" s="1"/>
  <c r="E900" i="7"/>
  <c r="E899" i="7" s="1"/>
  <c r="F900" i="7"/>
  <c r="G901" i="7"/>
  <c r="H901" i="7" s="1"/>
  <c r="H900" i="7" s="1"/>
  <c r="H899" i="7" s="1"/>
  <c r="E904" i="7"/>
  <c r="E903" i="7" s="1"/>
  <c r="F904" i="7"/>
  <c r="H904" i="7"/>
  <c r="H903" i="7" s="1"/>
  <c r="G905" i="7"/>
  <c r="E907" i="7"/>
  <c r="F907" i="7"/>
  <c r="G907" i="7" s="1"/>
  <c r="G908" i="7"/>
  <c r="G909" i="7"/>
  <c r="G910" i="7"/>
  <c r="H910" i="7"/>
  <c r="G911" i="7"/>
  <c r="H911" i="7" s="1"/>
  <c r="G912" i="7"/>
  <c r="H912" i="7" s="1"/>
  <c r="G913" i="7"/>
  <c r="H913" i="7" s="1"/>
  <c r="G914" i="7"/>
  <c r="H914" i="7" s="1"/>
  <c r="G915" i="7"/>
  <c r="H915" i="7" s="1"/>
  <c r="G916" i="7"/>
  <c r="H916" i="7" s="1"/>
  <c r="G917" i="7"/>
  <c r="H917" i="7" s="1"/>
  <c r="G918" i="7"/>
  <c r="G919" i="7"/>
  <c r="H919" i="7" s="1"/>
  <c r="G920" i="7"/>
  <c r="H920" i="7" s="1"/>
  <c r="G921" i="7"/>
  <c r="H921" i="7" s="1"/>
  <c r="G922" i="7"/>
  <c r="G923" i="7"/>
  <c r="H923" i="7" s="1"/>
  <c r="G924" i="7"/>
  <c r="H924" i="7" s="1"/>
  <c r="G925" i="7"/>
  <c r="H925" i="7"/>
  <c r="G926" i="7"/>
  <c r="H926" i="7" s="1"/>
  <c r="G927" i="7"/>
  <c r="H927" i="7" s="1"/>
  <c r="G928" i="7"/>
  <c r="H928" i="7" s="1"/>
  <c r="G929" i="7"/>
  <c r="H929" i="7" s="1"/>
  <c r="G930" i="7"/>
  <c r="H930" i="7" s="1"/>
  <c r="G931" i="7"/>
  <c r="H931" i="7" s="1"/>
  <c r="G932" i="7"/>
  <c r="H932" i="7" s="1"/>
  <c r="G934" i="7"/>
  <c r="G935" i="7"/>
  <c r="H935" i="7" s="1"/>
  <c r="G936" i="7"/>
  <c r="H936" i="7" s="1"/>
  <c r="G937" i="7"/>
  <c r="G938" i="7"/>
  <c r="G939" i="7"/>
  <c r="G940" i="7"/>
  <c r="G941" i="7"/>
  <c r="H941" i="7"/>
  <c r="G942" i="7"/>
  <c r="H942" i="7" s="1"/>
  <c r="G943" i="7"/>
  <c r="H943" i="7" s="1"/>
  <c r="G944" i="7"/>
  <c r="H944" i="7" s="1"/>
  <c r="G945" i="7"/>
  <c r="H945" i="7" s="1"/>
  <c r="G946" i="7"/>
  <c r="H946" i="7" s="1"/>
  <c r="G947" i="7"/>
  <c r="H947" i="7" s="1"/>
  <c r="G948" i="7"/>
  <c r="H948" i="7"/>
  <c r="G949" i="7"/>
  <c r="H949" i="7" s="1"/>
  <c r="G950" i="7"/>
  <c r="H950" i="7" s="1"/>
  <c r="G951" i="7"/>
  <c r="H951" i="7"/>
  <c r="G952" i="7"/>
  <c r="H952" i="7" s="1"/>
  <c r="G953" i="7"/>
  <c r="H953" i="7" s="1"/>
  <c r="G954" i="7"/>
  <c r="H954" i="7" s="1"/>
  <c r="G955" i="7"/>
  <c r="G956" i="7"/>
  <c r="G957" i="7"/>
  <c r="G958" i="7"/>
  <c r="G959" i="7"/>
  <c r="H959" i="7" s="1"/>
  <c r="G961" i="7"/>
  <c r="G962" i="7"/>
  <c r="H962" i="7" s="1"/>
  <c r="G963" i="7"/>
  <c r="H963" i="7" s="1"/>
  <c r="G964" i="7"/>
  <c r="H964" i="7" s="1"/>
  <c r="G965" i="7"/>
  <c r="H965" i="7" s="1"/>
  <c r="G967" i="7"/>
  <c r="G968" i="7"/>
  <c r="G969" i="7"/>
  <c r="G971" i="7"/>
  <c r="H971" i="7"/>
  <c r="G972" i="7"/>
  <c r="H972" i="7" s="1"/>
  <c r="G973" i="7"/>
  <c r="H973" i="7" s="1"/>
  <c r="G975" i="7"/>
  <c r="H975" i="7" s="1"/>
  <c r="G976" i="7"/>
  <c r="H976" i="7" s="1"/>
  <c r="G977" i="7"/>
  <c r="H977" i="7" s="1"/>
  <c r="G979" i="7"/>
  <c r="H979" i="7"/>
  <c r="G980" i="7"/>
  <c r="G981" i="7"/>
  <c r="G982" i="7"/>
  <c r="G983" i="7"/>
  <c r="G985" i="7"/>
  <c r="G986" i="7"/>
  <c r="G987" i="7"/>
  <c r="G989" i="7"/>
  <c r="H989" i="7" s="1"/>
  <c r="G990" i="7"/>
  <c r="H990" i="7" s="1"/>
  <c r="G991" i="7"/>
  <c r="H991" i="7" s="1"/>
  <c r="G993" i="7"/>
  <c r="H993" i="7"/>
  <c r="G994" i="7"/>
  <c r="H994" i="7" s="1"/>
  <c r="G995" i="7"/>
  <c r="H995" i="7" s="1"/>
  <c r="G997" i="7"/>
  <c r="H997" i="7" s="1"/>
  <c r="G998" i="7"/>
  <c r="H998" i="7" s="1"/>
  <c r="G999" i="7"/>
  <c r="H999" i="7" s="1"/>
  <c r="G1000" i="7"/>
  <c r="H1000" i="7"/>
  <c r="G1002" i="7"/>
  <c r="H1002" i="7" s="1"/>
  <c r="G1003" i="7"/>
  <c r="H1003" i="7" s="1"/>
  <c r="G1004" i="7"/>
  <c r="H1004" i="7" s="1"/>
  <c r="G1006" i="7"/>
  <c r="H1006" i="7" s="1"/>
  <c r="G1007" i="7"/>
  <c r="H1007" i="7" s="1"/>
  <c r="G1008" i="7"/>
  <c r="H1008" i="7" s="1"/>
  <c r="G1010" i="7"/>
  <c r="H1010" i="7" s="1"/>
  <c r="G1011" i="7"/>
  <c r="H1011" i="7"/>
  <c r="G1012" i="7"/>
  <c r="H1012" i="7" s="1"/>
  <c r="G1013" i="7"/>
  <c r="H1013" i="7" s="1"/>
  <c r="G1014" i="7"/>
  <c r="H1014" i="7"/>
  <c r="G1016" i="7"/>
  <c r="G1017" i="7"/>
  <c r="G1018" i="7"/>
  <c r="G1020" i="7"/>
  <c r="H1020" i="7" s="1"/>
  <c r="G1021" i="7"/>
  <c r="H1021" i="7" s="1"/>
  <c r="G1022" i="7"/>
  <c r="H1022" i="7" s="1"/>
  <c r="G1024" i="7"/>
  <c r="H1024" i="7" s="1"/>
  <c r="G1025" i="7"/>
  <c r="H1025" i="7" s="1"/>
  <c r="G1026" i="7"/>
  <c r="H1026" i="7" s="1"/>
  <c r="G1027" i="7"/>
  <c r="H1027" i="7"/>
  <c r="G1028" i="7"/>
  <c r="H1028" i="7" s="1"/>
  <c r="G1029" i="7"/>
  <c r="H1029" i="7" s="1"/>
  <c r="G1030" i="7"/>
  <c r="H1030" i="7" s="1"/>
  <c r="G1031" i="7"/>
  <c r="H1031" i="7" s="1"/>
  <c r="G1033" i="7"/>
  <c r="G1034" i="7"/>
  <c r="G1035" i="7"/>
  <c r="G1036" i="7"/>
  <c r="H1036" i="7" s="1"/>
  <c r="G1037" i="7"/>
  <c r="H1037" i="7" s="1"/>
  <c r="G1039" i="7"/>
  <c r="H1039" i="7" s="1"/>
  <c r="G1040" i="7"/>
  <c r="H1040" i="7"/>
  <c r="G1041" i="7"/>
  <c r="H1041" i="7" s="1"/>
  <c r="G1043" i="7"/>
  <c r="G1044" i="7"/>
  <c r="H1044" i="7" s="1"/>
  <c r="G1045" i="7"/>
  <c r="H1045" i="7" s="1"/>
  <c r="G1046" i="7"/>
  <c r="G1047" i="7"/>
  <c r="G1049" i="7"/>
  <c r="H1049" i="7" s="1"/>
  <c r="G1050" i="7"/>
  <c r="H1050" i="7" s="1"/>
  <c r="G1051" i="7"/>
  <c r="H1051" i="7" s="1"/>
  <c r="G1052" i="7"/>
  <c r="H1052" i="7"/>
  <c r="G1053" i="7"/>
  <c r="H1053" i="7" s="1"/>
  <c r="G1054" i="7"/>
  <c r="H1054" i="7" s="1"/>
  <c r="G1055" i="7"/>
  <c r="H1055" i="7" s="1"/>
  <c r="G1056" i="7"/>
  <c r="H1056" i="7" s="1"/>
  <c r="G1057" i="7"/>
  <c r="H1057" i="7" s="1"/>
  <c r="G1058" i="7"/>
  <c r="H1058" i="7" s="1"/>
  <c r="G1059" i="7"/>
  <c r="H1059" i="7" s="1"/>
  <c r="G1060" i="7"/>
  <c r="H1060" i="7" s="1"/>
  <c r="G1061" i="7"/>
  <c r="H1061" i="7" s="1"/>
  <c r="G1062" i="7"/>
  <c r="H1062" i="7" s="1"/>
  <c r="G1063" i="7"/>
  <c r="H1063" i="7" s="1"/>
  <c r="G1064" i="7"/>
  <c r="H1064" i="7" s="1"/>
  <c r="G1065" i="7"/>
  <c r="H1065" i="7" s="1"/>
  <c r="G1066" i="7"/>
  <c r="H1066" i="7" s="1"/>
  <c r="G1067" i="7"/>
  <c r="H1067" i="7" s="1"/>
  <c r="G1068" i="7"/>
  <c r="H1068" i="7" s="1"/>
  <c r="G1069" i="7"/>
  <c r="H1069" i="7" s="1"/>
  <c r="G1070" i="7"/>
  <c r="H1070" i="7" s="1"/>
  <c r="G1071" i="7"/>
  <c r="G1072" i="7"/>
  <c r="G1073" i="7"/>
  <c r="G1074" i="7"/>
  <c r="H1074" i="7"/>
  <c r="G1075" i="7"/>
  <c r="H1075" i="7" s="1"/>
  <c r="G1076" i="7"/>
  <c r="H1076" i="7" s="1"/>
  <c r="G1077" i="7"/>
  <c r="G1078" i="7"/>
  <c r="H1078" i="7" s="1"/>
  <c r="G1079" i="7"/>
  <c r="G1080" i="7"/>
  <c r="G1081" i="7"/>
  <c r="G1082" i="7"/>
  <c r="H1082" i="7" s="1"/>
  <c r="H1080" i="7" s="1"/>
  <c r="G1083" i="7"/>
  <c r="G1084" i="7"/>
  <c r="G1085" i="7"/>
  <c r="G1087" i="7"/>
  <c r="H1087" i="7" s="1"/>
  <c r="G1088" i="7"/>
  <c r="G1089" i="7"/>
  <c r="G1090" i="7"/>
  <c r="H1090" i="7" s="1"/>
  <c r="G1091" i="7"/>
  <c r="H1091" i="7" s="1"/>
  <c r="G1092" i="7"/>
  <c r="G1093" i="7"/>
  <c r="G1094" i="7"/>
  <c r="G1095" i="7"/>
  <c r="G1096" i="7"/>
  <c r="G1097" i="7"/>
  <c r="H1097" i="7" s="1"/>
  <c r="G1098" i="7"/>
  <c r="H1098" i="7" s="1"/>
  <c r="G1099" i="7"/>
  <c r="G1100" i="7"/>
  <c r="H1100" i="7" s="1"/>
  <c r="G1101" i="7"/>
  <c r="G1102" i="7"/>
  <c r="G1103" i="7"/>
  <c r="G1104" i="7"/>
  <c r="G1105" i="7"/>
  <c r="H1105" i="7" s="1"/>
  <c r="G1106" i="7"/>
  <c r="H1106" i="7" s="1"/>
  <c r="G1107" i="7"/>
  <c r="G1108" i="7"/>
  <c r="G1110" i="7"/>
  <c r="H1110" i="7"/>
  <c r="G1111" i="7"/>
  <c r="G1112" i="7"/>
  <c r="G1113" i="7"/>
  <c r="G1114" i="7"/>
  <c r="G1115" i="7"/>
  <c r="G1116" i="7"/>
  <c r="G1117" i="7"/>
  <c r="G1118" i="7"/>
  <c r="G1119" i="7"/>
  <c r="G1120" i="7"/>
  <c r="G1121" i="7"/>
  <c r="G1122" i="7"/>
  <c r="G1124" i="7"/>
  <c r="G1125" i="7"/>
  <c r="G1126" i="7"/>
  <c r="H1126" i="7" s="1"/>
  <c r="G1128" i="7"/>
  <c r="G1129" i="7"/>
  <c r="G1131" i="7"/>
  <c r="H1131" i="7"/>
  <c r="G1132" i="7"/>
  <c r="G1133" i="7"/>
  <c r="G1134" i="7"/>
  <c r="G1136" i="7"/>
  <c r="G1137" i="7"/>
  <c r="G1139" i="7"/>
  <c r="G1140" i="7"/>
  <c r="G1142" i="7"/>
  <c r="H1142" i="7"/>
  <c r="G1143" i="7"/>
  <c r="H1143" i="7" s="1"/>
  <c r="G1144" i="7"/>
  <c r="G1145" i="7"/>
  <c r="H1145" i="7" s="1"/>
  <c r="G1147" i="7"/>
  <c r="G1148" i="7"/>
  <c r="G1150" i="7"/>
  <c r="G1151" i="7"/>
  <c r="G1153" i="7"/>
  <c r="H1153" i="7"/>
  <c r="G1154" i="7"/>
  <c r="G1155" i="7"/>
  <c r="G1157" i="7"/>
  <c r="G1158" i="7"/>
  <c r="G1159" i="7"/>
  <c r="G1161" i="7"/>
  <c r="G1162" i="7"/>
  <c r="G1163" i="7"/>
  <c r="G1164" i="7"/>
  <c r="G1166" i="7"/>
  <c r="G1167" i="7"/>
  <c r="G1168" i="7"/>
  <c r="H1171" i="7"/>
  <c r="E1172" i="7"/>
  <c r="F1172" i="7"/>
  <c r="G1173" i="7"/>
  <c r="G1174" i="7"/>
  <c r="E1175" i="7"/>
  <c r="F1175" i="7"/>
  <c r="G1175" i="7" s="1"/>
  <c r="G1176" i="7"/>
  <c r="H1176" i="7" s="1"/>
  <c r="G1177" i="7"/>
  <c r="E1178" i="7"/>
  <c r="F1178" i="7"/>
  <c r="G1178" i="7" s="1"/>
  <c r="F1179" i="7"/>
  <c r="G1179" i="7"/>
  <c r="E1182" i="7"/>
  <c r="E1181" i="7" s="1"/>
  <c r="F1182" i="7"/>
  <c r="G1183" i="7"/>
  <c r="H1183" i="7" s="1"/>
  <c r="F1184" i="7"/>
  <c r="G1184" i="7" s="1"/>
  <c r="G1185" i="7"/>
  <c r="E1188" i="7"/>
  <c r="G1188" i="7" s="1"/>
  <c r="G1189" i="7"/>
  <c r="E1190" i="7"/>
  <c r="F1190" i="7"/>
  <c r="F1187" i="7" s="1"/>
  <c r="G1191" i="7"/>
  <c r="E1194" i="7"/>
  <c r="E1193" i="7" s="1"/>
  <c r="F1194" i="7"/>
  <c r="G1195" i="7"/>
  <c r="E1198" i="7"/>
  <c r="E1197" i="7" s="1"/>
  <c r="G1197" i="7" s="1"/>
  <c r="H1197" i="7" s="1"/>
  <c r="G1199" i="7"/>
  <c r="H1199" i="7" s="1"/>
  <c r="G1200" i="7"/>
  <c r="H1200" i="7" s="1"/>
  <c r="F1202" i="7"/>
  <c r="E1203" i="7"/>
  <c r="E1202" i="7" s="1"/>
  <c r="G1204" i="7"/>
  <c r="H1204" i="7" s="1"/>
  <c r="E1207" i="7"/>
  <c r="E1206" i="7" s="1"/>
  <c r="F1207" i="7"/>
  <c r="G1208" i="7"/>
  <c r="F1210" i="7"/>
  <c r="E1211" i="7"/>
  <c r="E1210" i="7" s="1"/>
  <c r="G1210" i="7" s="1"/>
  <c r="F1211" i="7"/>
  <c r="G1212" i="7"/>
  <c r="E1215" i="7"/>
  <c r="E1214" i="7" s="1"/>
  <c r="F1215" i="7"/>
  <c r="F1214" i="7" s="1"/>
  <c r="G1216" i="7"/>
  <c r="E1219" i="7"/>
  <c r="F1219" i="7"/>
  <c r="G1220" i="7"/>
  <c r="G1221" i="7"/>
  <c r="E1222" i="7"/>
  <c r="F1223" i="7"/>
  <c r="F1222" i="7" s="1"/>
  <c r="E1224" i="7"/>
  <c r="G1224" i="7"/>
  <c r="G1225" i="7"/>
  <c r="E1228" i="7"/>
  <c r="F1228" i="7"/>
  <c r="F1227" i="7" s="1"/>
  <c r="G1229" i="7"/>
  <c r="E1233" i="7"/>
  <c r="G1233" i="7" s="1"/>
  <c r="H1233" i="7" s="1"/>
  <c r="F1233" i="7"/>
  <c r="F1232" i="7" s="1"/>
  <c r="F1231" i="7" s="1"/>
  <c r="G1234" i="7"/>
  <c r="H1234" i="7" s="1"/>
  <c r="E1237" i="7"/>
  <c r="E1236" i="7" s="1"/>
  <c r="F1237" i="7"/>
  <c r="F1238" i="7"/>
  <c r="G1238" i="7" s="1"/>
  <c r="H1241" i="7"/>
  <c r="E1242" i="7"/>
  <c r="F1242" i="7"/>
  <c r="G1243" i="7"/>
  <c r="G1244" i="7"/>
  <c r="E1245" i="7"/>
  <c r="F1245" i="7"/>
  <c r="G1245" i="7" s="1"/>
  <c r="G1246" i="7"/>
  <c r="G1247" i="7"/>
  <c r="G1248" i="7"/>
  <c r="E1249" i="7"/>
  <c r="F1249" i="7"/>
  <c r="G1249" i="7" s="1"/>
  <c r="G1250" i="7"/>
  <c r="G1251" i="7"/>
  <c r="G1252" i="7"/>
  <c r="E1253" i="7"/>
  <c r="F1253" i="7"/>
  <c r="G1253" i="7" s="1"/>
  <c r="G1254" i="7"/>
  <c r="E1255" i="7"/>
  <c r="F1255" i="7"/>
  <c r="G1255" i="7" s="1"/>
  <c r="G1256" i="7"/>
  <c r="G1257" i="7"/>
  <c r="E1258" i="7"/>
  <c r="F1258" i="7"/>
  <c r="G1258" i="7" s="1"/>
  <c r="G1259" i="7"/>
  <c r="E1262" i="7"/>
  <c r="E1261" i="7" s="1"/>
  <c r="E1263" i="7"/>
  <c r="F1263" i="7"/>
  <c r="G1263" i="7" s="1"/>
  <c r="H1263" i="7"/>
  <c r="H1262" i="7" s="1"/>
  <c r="H1261" i="7" s="1"/>
  <c r="G1264" i="7"/>
  <c r="G1265" i="7"/>
  <c r="E1268" i="7"/>
  <c r="F1268" i="7"/>
  <c r="G1269" i="7"/>
  <c r="E1270" i="7"/>
  <c r="F1270" i="7"/>
  <c r="G1270" i="7" s="1"/>
  <c r="H1270" i="7"/>
  <c r="G1271" i="7"/>
  <c r="G1272" i="7"/>
  <c r="G1273" i="7"/>
  <c r="E1274" i="7"/>
  <c r="F1274" i="7"/>
  <c r="G1275" i="7"/>
  <c r="E1276" i="7"/>
  <c r="G1276" i="7" s="1"/>
  <c r="F1276" i="7"/>
  <c r="G1277" i="7"/>
  <c r="G1278" i="7"/>
  <c r="G1279" i="7"/>
  <c r="G1280" i="7"/>
  <c r="G1281" i="7"/>
  <c r="H1281" i="7" s="1"/>
  <c r="E1282" i="7"/>
  <c r="F1282" i="7"/>
  <c r="G1283" i="7"/>
  <c r="H1283" i="7" s="1"/>
  <c r="E1284" i="7"/>
  <c r="F1284" i="7"/>
  <c r="G1284" i="7"/>
  <c r="G1285" i="7"/>
  <c r="E1288" i="7"/>
  <c r="E1287" i="7" s="1"/>
  <c r="F1288" i="7"/>
  <c r="F1287" i="7" s="1"/>
  <c r="G1287" i="7" s="1"/>
  <c r="G1289" i="7"/>
  <c r="E1292" i="7"/>
  <c r="F1292" i="7"/>
  <c r="G1293" i="7"/>
  <c r="E1294" i="7"/>
  <c r="F1294" i="7"/>
  <c r="G1295" i="7"/>
  <c r="E1296" i="7"/>
  <c r="F1296" i="7"/>
  <c r="G1297" i="7"/>
  <c r="E1298" i="7"/>
  <c r="F1298" i="7"/>
  <c r="G1299" i="7"/>
  <c r="H1299" i="7" s="1"/>
  <c r="E1302" i="7"/>
  <c r="E1301" i="7" s="1"/>
  <c r="F1302" i="7"/>
  <c r="G1303" i="7"/>
  <c r="E1306" i="7"/>
  <c r="E1305" i="7" s="1"/>
  <c r="F1306" i="7"/>
  <c r="G1307" i="7"/>
  <c r="E1310" i="7"/>
  <c r="E1309" i="7" s="1"/>
  <c r="F1310" i="7"/>
  <c r="G1311" i="7"/>
  <c r="E1314" i="7"/>
  <c r="E1313" i="7" s="1"/>
  <c r="F1314" i="7"/>
  <c r="G1314" i="7" s="1"/>
  <c r="G1315" i="7"/>
  <c r="G1316" i="7"/>
  <c r="H1316" i="7" s="1"/>
  <c r="E1320" i="7"/>
  <c r="E1319" i="7" s="1"/>
  <c r="E1318" i="7" s="1"/>
  <c r="F1320" i="7"/>
  <c r="F1319" i="7" s="1"/>
  <c r="G1321" i="7"/>
  <c r="G1322" i="7"/>
  <c r="G1323" i="7"/>
  <c r="H1323" i="7" s="1"/>
  <c r="H1319" i="7" s="1"/>
  <c r="H1318" i="7" s="1"/>
  <c r="H1325" i="7"/>
  <c r="E1326" i="7"/>
  <c r="F1326" i="7"/>
  <c r="G1327" i="7"/>
  <c r="E1328" i="7"/>
  <c r="F1328" i="7"/>
  <c r="G1329" i="7"/>
  <c r="E1332" i="7"/>
  <c r="E1331" i="7" s="1"/>
  <c r="F1332" i="7"/>
  <c r="G1333" i="7"/>
  <c r="E1335" i="7"/>
  <c r="G1337" i="7"/>
  <c r="H1337" i="7" s="1"/>
  <c r="G1338" i="7"/>
  <c r="H1338" i="7" s="1"/>
  <c r="G1339" i="7"/>
  <c r="H1339" i="7" s="1"/>
  <c r="G1340" i="7"/>
  <c r="H1340" i="7" s="1"/>
  <c r="F1341" i="7"/>
  <c r="G1341" i="7" s="1"/>
  <c r="H1341" i="7"/>
  <c r="G1342" i="7"/>
  <c r="G1343" i="7"/>
  <c r="G1344" i="7"/>
  <c r="F1345" i="7"/>
  <c r="H1345" i="7"/>
  <c r="G1346" i="7"/>
  <c r="G1347" i="7"/>
  <c r="G1348" i="7"/>
  <c r="G1349" i="7"/>
  <c r="G1351" i="7"/>
  <c r="G1352" i="7"/>
  <c r="G1353" i="7"/>
  <c r="G1354" i="7"/>
  <c r="H1354" i="7"/>
  <c r="G1355" i="7"/>
  <c r="H1355" i="7" s="1"/>
  <c r="G1356" i="7"/>
  <c r="G1357" i="7"/>
  <c r="F1358" i="7"/>
  <c r="G1358" i="7" s="1"/>
  <c r="G1359" i="7"/>
  <c r="G1360" i="7"/>
  <c r="H1360" i="7" s="1"/>
  <c r="G1361" i="7"/>
  <c r="G1362" i="7"/>
  <c r="H1362" i="7" s="1"/>
  <c r="G1363" i="7"/>
  <c r="F1364" i="7"/>
  <c r="G1364" i="7" s="1"/>
  <c r="G1365" i="7"/>
  <c r="G1366" i="7"/>
  <c r="G1367" i="7"/>
  <c r="G1368" i="7"/>
  <c r="G1370" i="7"/>
  <c r="G1371" i="7"/>
  <c r="G1372" i="7"/>
  <c r="G1374" i="7"/>
  <c r="G1375" i="7"/>
  <c r="G1376" i="7"/>
  <c r="G1378" i="7"/>
  <c r="G1379" i="7"/>
  <c r="G1380" i="7"/>
  <c r="F1382" i="7"/>
  <c r="G1382" i="7" s="1"/>
  <c r="G1383" i="7"/>
  <c r="G1384" i="7"/>
  <c r="G1385" i="7"/>
  <c r="G1387" i="7"/>
  <c r="H1387" i="7" s="1"/>
  <c r="G1388" i="7"/>
  <c r="H1388" i="7" s="1"/>
  <c r="G1389" i="7"/>
  <c r="H1389" i="7" s="1"/>
  <c r="G1391" i="7"/>
  <c r="G1392" i="7"/>
  <c r="G1393" i="7"/>
  <c r="G1394" i="7"/>
  <c r="G1395" i="7"/>
  <c r="G1397" i="7"/>
  <c r="F1398" i="7"/>
  <c r="G1398" i="7" s="1"/>
  <c r="H1398" i="7" s="1"/>
  <c r="G1399" i="7"/>
  <c r="H1399" i="7" s="1"/>
  <c r="G1400" i="7"/>
  <c r="G1401" i="7"/>
  <c r="G1402" i="7"/>
  <c r="G1403" i="7"/>
  <c r="G1404" i="7"/>
  <c r="H1404" i="7" s="1"/>
  <c r="F1405" i="7"/>
  <c r="G1405" i="7" s="1"/>
  <c r="H1405" i="7" s="1"/>
  <c r="F1406" i="7"/>
  <c r="G1406" i="7" s="1"/>
  <c r="H1406" i="7" s="1"/>
  <c r="G1407" i="7"/>
  <c r="H1407" i="7" s="1"/>
  <c r="G1408" i="7"/>
  <c r="H1408" i="7" s="1"/>
  <c r="G1410" i="7"/>
  <c r="G1411" i="7"/>
  <c r="G1412" i="7"/>
  <c r="G1414" i="7"/>
  <c r="G1415" i="7"/>
  <c r="G1416" i="7"/>
  <c r="G1418" i="7"/>
  <c r="H1418" i="7" s="1"/>
  <c r="G1419" i="7"/>
  <c r="H1419" i="7" s="1"/>
  <c r="G1420" i="7"/>
  <c r="H1420" i="7"/>
  <c r="G1422" i="7"/>
  <c r="H1422" i="7" s="1"/>
  <c r="G1423" i="7"/>
  <c r="H1423" i="7" s="1"/>
  <c r="G1424" i="7"/>
  <c r="H1424" i="7" s="1"/>
  <c r="G1426" i="7"/>
  <c r="G1427" i="7"/>
  <c r="G1428" i="7"/>
  <c r="E1432" i="7"/>
  <c r="F1432" i="7"/>
  <c r="G1432" i="7" s="1"/>
  <c r="G1433" i="7"/>
  <c r="E1434" i="7"/>
  <c r="F1434" i="7"/>
  <c r="H1434" i="7"/>
  <c r="H1431" i="7" s="1"/>
  <c r="G1435" i="7"/>
  <c r="G1436" i="7"/>
  <c r="G1437" i="7"/>
  <c r="E1440" i="7"/>
  <c r="F1440" i="7"/>
  <c r="G1441" i="7"/>
  <c r="E1442" i="7"/>
  <c r="F1442" i="7"/>
  <c r="G1442" i="7" s="1"/>
  <c r="G1443" i="7"/>
  <c r="E1446" i="7"/>
  <c r="F1446" i="7"/>
  <c r="G1446" i="7" s="1"/>
  <c r="G1447" i="7"/>
  <c r="E1448" i="7"/>
  <c r="F1448" i="7"/>
  <c r="G1448" i="7" s="1"/>
  <c r="G1449" i="7"/>
  <c r="G1450" i="7"/>
  <c r="E1453" i="7"/>
  <c r="E1452" i="7" s="1"/>
  <c r="F1453" i="7"/>
  <c r="F1452" i="7" s="1"/>
  <c r="G1453" i="7"/>
  <c r="G1454" i="7"/>
  <c r="E1457" i="7"/>
  <c r="E1456" i="7" s="1"/>
  <c r="F1457" i="7"/>
  <c r="F1456" i="7" s="1"/>
  <c r="G1456" i="7" s="1"/>
  <c r="H1457" i="7"/>
  <c r="H1456" i="7" s="1"/>
  <c r="G1458" i="7"/>
  <c r="H1458" i="7" s="1"/>
  <c r="G1459" i="7"/>
  <c r="E1462" i="7"/>
  <c r="E1461" i="7" s="1"/>
  <c r="F1462" i="7"/>
  <c r="F1461" i="7" s="1"/>
  <c r="G1462" i="7"/>
  <c r="G1463" i="7"/>
  <c r="G1464" i="7"/>
  <c r="E1467" i="7"/>
  <c r="E1466" i="7" s="1"/>
  <c r="F1467" i="7"/>
  <c r="G1468" i="7"/>
  <c r="E1471" i="7"/>
  <c r="F1471" i="7"/>
  <c r="G1471" i="7" s="1"/>
  <c r="H1471" i="7"/>
  <c r="G1472" i="7"/>
  <c r="G1473" i="7"/>
  <c r="E1474" i="7"/>
  <c r="F1474" i="7"/>
  <c r="G1474" i="7" s="1"/>
  <c r="H1474" i="7"/>
  <c r="G1475" i="7"/>
  <c r="G1476" i="7"/>
  <c r="G1477" i="7"/>
  <c r="E1480" i="7"/>
  <c r="E1479" i="7" s="1"/>
  <c r="F1480" i="7"/>
  <c r="F1479" i="7" s="1"/>
  <c r="G1481" i="7"/>
  <c r="E1483" i="7"/>
  <c r="F1483" i="7"/>
  <c r="G1484" i="7"/>
  <c r="H1484" i="7" s="1"/>
  <c r="E1487" i="7"/>
  <c r="E1486" i="7" s="1"/>
  <c r="F1487" i="7"/>
  <c r="F1486" i="7" s="1"/>
  <c r="G1488" i="7"/>
  <c r="E1491" i="7"/>
  <c r="F1491" i="7"/>
  <c r="G1491" i="7" s="1"/>
  <c r="H1491" i="7"/>
  <c r="G1492" i="7"/>
  <c r="G1493" i="7"/>
  <c r="G1494" i="7"/>
  <c r="G1495" i="7"/>
  <c r="E1496" i="7"/>
  <c r="F1496" i="7"/>
  <c r="H1496" i="7"/>
  <c r="G1497" i="7"/>
  <c r="G1498" i="7"/>
  <c r="G1499" i="7"/>
  <c r="G1500" i="7"/>
  <c r="G1501" i="7"/>
  <c r="G1502" i="7"/>
  <c r="G1503" i="7"/>
  <c r="G1504" i="7"/>
  <c r="E1505" i="7"/>
  <c r="F1505" i="7"/>
  <c r="G1506" i="7"/>
  <c r="H1506" i="7"/>
  <c r="E1507" i="7"/>
  <c r="F1507" i="7"/>
  <c r="G1507" i="7" s="1"/>
  <c r="G1508" i="7"/>
  <c r="G1509" i="7"/>
  <c r="E1510" i="7"/>
  <c r="F1510" i="7"/>
  <c r="H1510" i="7"/>
  <c r="G1511" i="7"/>
  <c r="G1512" i="7"/>
  <c r="G1513" i="7"/>
  <c r="E1514" i="7"/>
  <c r="F1514" i="7"/>
  <c r="G1514" i="7" s="1"/>
  <c r="G1515" i="7"/>
  <c r="G1516" i="7"/>
  <c r="E1519" i="7"/>
  <c r="E1518" i="7" s="1"/>
  <c r="F1519" i="7"/>
  <c r="G1519" i="7" s="1"/>
  <c r="G1520" i="7"/>
  <c r="E1523" i="7"/>
  <c r="E1522" i="7" s="1"/>
  <c r="F1523" i="7"/>
  <c r="F1522" i="7" s="1"/>
  <c r="H1523" i="7"/>
  <c r="H1522" i="7" s="1"/>
  <c r="G1524" i="7"/>
  <c r="G1525" i="7"/>
  <c r="H1527" i="7"/>
  <c r="E1528" i="7"/>
  <c r="F1528" i="7"/>
  <c r="G1528" i="7"/>
  <c r="G1529" i="7"/>
  <c r="E1530" i="7"/>
  <c r="F1530" i="7"/>
  <c r="G1531" i="7"/>
  <c r="E1535" i="7"/>
  <c r="F1535" i="7"/>
  <c r="H1535" i="7"/>
  <c r="G1536" i="7"/>
  <c r="G1537" i="7"/>
  <c r="E1538" i="7"/>
  <c r="F1538" i="7"/>
  <c r="G1538" i="7"/>
  <c r="H1538" i="7"/>
  <c r="G1539" i="7"/>
  <c r="G1540" i="7"/>
  <c r="G1541" i="7"/>
  <c r="G1542" i="7"/>
  <c r="G1543" i="7"/>
  <c r="G1544" i="7"/>
  <c r="G1545" i="7"/>
  <c r="G1546" i="7"/>
  <c r="G1547" i="7"/>
  <c r="G1548" i="7"/>
  <c r="G1549" i="7"/>
  <c r="E1550" i="7"/>
  <c r="F1550" i="7"/>
  <c r="G1550" i="7" s="1"/>
  <c r="H1550" i="7"/>
  <c r="G1551" i="7"/>
  <c r="G1552" i="7"/>
  <c r="G1553" i="7"/>
  <c r="G1554" i="7"/>
  <c r="G1555" i="7"/>
  <c r="E1556" i="7"/>
  <c r="F1556" i="7"/>
  <c r="G1556" i="7" s="1"/>
  <c r="H1556" i="7"/>
  <c r="G1557" i="7"/>
  <c r="E1561" i="7"/>
  <c r="F1561" i="7"/>
  <c r="H1561" i="7"/>
  <c r="G1562" i="7"/>
  <c r="E1563" i="7"/>
  <c r="F1563" i="7"/>
  <c r="H1563" i="7"/>
  <c r="G1564" i="7"/>
  <c r="E1565" i="7"/>
  <c r="F1565" i="7"/>
  <c r="G1565" i="7" s="1"/>
  <c r="H1565" i="7"/>
  <c r="G1566" i="7"/>
  <c r="E1567" i="7"/>
  <c r="F1567" i="7"/>
  <c r="H1567" i="7"/>
  <c r="G1568" i="7"/>
  <c r="G1569" i="7"/>
  <c r="G1570" i="7"/>
  <c r="E1571" i="7"/>
  <c r="F1571" i="7"/>
  <c r="G1571" i="7"/>
  <c r="H1571" i="7"/>
  <c r="G1572" i="7"/>
  <c r="E1574" i="7"/>
  <c r="E1573" i="7" s="1"/>
  <c r="F1574" i="7"/>
  <c r="F1573" i="7" s="1"/>
  <c r="H1574" i="7"/>
  <c r="H1573" i="7" s="1"/>
  <c r="G1575" i="7"/>
  <c r="G1576" i="7"/>
  <c r="E1577" i="7"/>
  <c r="F1577" i="7"/>
  <c r="H1577" i="7"/>
  <c r="G1578" i="7"/>
  <c r="E1581" i="7"/>
  <c r="F1581" i="7"/>
  <c r="G1581" i="7" s="1"/>
  <c r="H1581" i="7"/>
  <c r="G1582" i="7"/>
  <c r="E1583" i="7"/>
  <c r="F1583" i="7"/>
  <c r="H1583" i="7"/>
  <c r="G1584" i="7"/>
  <c r="G1585" i="7"/>
  <c r="E1588" i="7"/>
  <c r="E1587" i="7" s="1"/>
  <c r="F1588" i="7"/>
  <c r="F1587" i="7" s="1"/>
  <c r="H1588" i="7"/>
  <c r="H1587" i="7" s="1"/>
  <c r="G1589" i="7"/>
  <c r="G1590" i="7"/>
  <c r="G1591" i="7"/>
  <c r="E1594" i="7"/>
  <c r="F1594" i="7"/>
  <c r="H1594" i="7"/>
  <c r="G1595" i="7"/>
  <c r="E1596" i="7"/>
  <c r="F1596" i="7"/>
  <c r="H1596" i="7"/>
  <c r="E1598" i="7"/>
  <c r="F1598" i="7"/>
  <c r="H1598" i="7"/>
  <c r="G1599" i="7"/>
  <c r="E1600" i="7"/>
  <c r="F1600" i="7"/>
  <c r="G1600" i="7" s="1"/>
  <c r="H1600" i="7"/>
  <c r="G1601" i="7"/>
  <c r="E1602" i="7"/>
  <c r="F1602" i="7"/>
  <c r="G1602" i="7" s="1"/>
  <c r="H1602" i="7"/>
  <c r="G1603" i="7"/>
  <c r="E1604" i="7"/>
  <c r="F1604" i="7"/>
  <c r="H1604" i="7"/>
  <c r="G1605" i="7"/>
  <c r="G1606" i="7"/>
  <c r="G1607" i="7"/>
  <c r="E1610" i="7"/>
  <c r="F1610" i="7"/>
  <c r="G1610" i="7" s="1"/>
  <c r="H1610" i="7"/>
  <c r="G1611" i="7"/>
  <c r="E1612" i="7"/>
  <c r="F1612" i="7"/>
  <c r="H1612" i="7"/>
  <c r="G1613" i="7"/>
  <c r="E1614" i="7"/>
  <c r="F1614" i="7"/>
  <c r="H1614" i="7"/>
  <c r="E1616" i="7"/>
  <c r="F1616" i="7"/>
  <c r="G1616" i="7" s="1"/>
  <c r="H1616" i="7"/>
  <c r="G1617" i="7"/>
  <c r="E1618" i="7"/>
  <c r="F1618" i="7"/>
  <c r="H1618" i="7"/>
  <c r="G1619" i="7"/>
  <c r="G1620" i="7"/>
  <c r="E1621" i="7"/>
  <c r="F1621" i="7"/>
  <c r="H1621" i="7"/>
  <c r="G1622" i="7"/>
  <c r="E1625" i="7"/>
  <c r="F1625" i="7"/>
  <c r="H1625" i="7"/>
  <c r="G1626" i="7"/>
  <c r="E1627" i="7"/>
  <c r="F1627" i="7"/>
  <c r="H1627" i="7"/>
  <c r="G1628" i="7"/>
  <c r="E1632" i="7"/>
  <c r="E1631" i="7" s="1"/>
  <c r="F1632" i="7"/>
  <c r="H1632" i="7"/>
  <c r="H1631" i="7" s="1"/>
  <c r="G1633" i="7"/>
  <c r="E1635" i="7"/>
  <c r="E1636" i="7"/>
  <c r="F1636" i="7"/>
  <c r="H1636" i="7"/>
  <c r="H1635" i="7" s="1"/>
  <c r="G1637" i="7"/>
  <c r="E1640" i="7"/>
  <c r="E1639" i="7" s="1"/>
  <c r="F1640" i="7"/>
  <c r="F1639" i="7" s="1"/>
  <c r="G1639" i="7" s="1"/>
  <c r="H1640" i="7"/>
  <c r="H1639" i="7" s="1"/>
  <c r="G1641" i="7"/>
  <c r="G1642" i="7"/>
  <c r="E1644" i="7"/>
  <c r="E1645" i="7"/>
  <c r="F1645" i="7"/>
  <c r="G1645" i="7" s="1"/>
  <c r="H1645" i="7"/>
  <c r="H1644" i="7" s="1"/>
  <c r="G1646" i="7"/>
  <c r="E1650" i="7"/>
  <c r="F1650" i="7"/>
  <c r="G1650" i="7" s="1"/>
  <c r="H1650" i="7"/>
  <c r="G1651" i="7"/>
  <c r="G1652" i="7"/>
  <c r="G1653" i="7"/>
  <c r="G1654" i="7"/>
  <c r="G1655" i="7"/>
  <c r="G1656" i="7"/>
  <c r="G1657" i="7"/>
  <c r="G1658" i="7"/>
  <c r="G1659" i="7"/>
  <c r="G1660" i="7"/>
  <c r="E1661" i="7"/>
  <c r="G1661" i="7" s="1"/>
  <c r="F1661" i="7"/>
  <c r="H1661" i="7"/>
  <c r="G1662" i="7"/>
  <c r="G1663" i="7"/>
  <c r="G1664" i="7"/>
  <c r="E1667" i="7"/>
  <c r="F1667" i="7"/>
  <c r="H1667" i="7"/>
  <c r="G1668" i="7"/>
  <c r="E1669" i="7"/>
  <c r="F1669" i="7"/>
  <c r="G1669" i="7" s="1"/>
  <c r="H1669" i="7"/>
  <c r="G1670" i="7"/>
  <c r="G1671" i="7"/>
  <c r="E1675" i="7"/>
  <c r="F1675" i="7"/>
  <c r="G1675" i="7" s="1"/>
  <c r="H1675" i="7"/>
  <c r="G1676" i="7"/>
  <c r="E1677" i="7"/>
  <c r="E1674" i="7" s="1"/>
  <c r="F1677" i="7"/>
  <c r="H1677" i="7"/>
  <c r="H1674" i="7" s="1"/>
  <c r="G1678" i="7"/>
  <c r="E1681" i="7"/>
  <c r="F1681" i="7"/>
  <c r="F1680" i="7" s="1"/>
  <c r="H1681" i="7"/>
  <c r="H1680" i="7" s="1"/>
  <c r="G1682" i="7"/>
  <c r="H1684" i="7"/>
  <c r="E1685" i="7"/>
  <c r="F1685" i="7"/>
  <c r="F1684" i="7" s="1"/>
  <c r="H1685" i="7"/>
  <c r="G1686" i="7"/>
  <c r="E1689" i="7"/>
  <c r="E1688" i="7" s="1"/>
  <c r="F1689" i="7"/>
  <c r="F1688" i="7" s="1"/>
  <c r="H1689" i="7"/>
  <c r="H1688" i="7" s="1"/>
  <c r="G1690" i="7"/>
  <c r="G1691" i="7"/>
  <c r="G1692" i="7"/>
  <c r="E1695" i="7"/>
  <c r="F1695" i="7"/>
  <c r="G1695" i="7"/>
  <c r="H1695" i="7"/>
  <c r="G1696" i="7"/>
  <c r="G1697" i="7"/>
  <c r="E1698" i="7"/>
  <c r="F1698" i="7"/>
  <c r="H1698" i="7"/>
  <c r="H1694" i="7" s="1"/>
  <c r="G1699" i="7"/>
  <c r="E1702" i="7"/>
  <c r="E1701" i="7" s="1"/>
  <c r="F1702" i="7"/>
  <c r="H1702" i="7"/>
  <c r="G1703" i="7"/>
  <c r="E1704" i="7"/>
  <c r="F1704" i="7"/>
  <c r="G1704" i="7" s="1"/>
  <c r="H1704" i="7"/>
  <c r="G1705" i="7"/>
  <c r="E1709" i="7"/>
  <c r="F1709" i="7"/>
  <c r="G1709" i="7" s="1"/>
  <c r="G1710" i="7"/>
  <c r="G1711" i="7"/>
  <c r="G1712" i="7"/>
  <c r="H1712" i="7" s="1"/>
  <c r="G1713" i="7"/>
  <c r="H1713" i="7" s="1"/>
  <c r="E1714" i="7"/>
  <c r="G1715" i="7"/>
  <c r="G1716" i="7"/>
  <c r="G1717" i="7"/>
  <c r="H1717" i="7" s="1"/>
  <c r="H1714" i="7" s="1"/>
  <c r="F1718" i="7"/>
  <c r="F1714" i="7" s="1"/>
  <c r="G1718" i="7"/>
  <c r="E1719" i="7"/>
  <c r="F1719" i="7"/>
  <c r="G1720" i="7"/>
  <c r="H1720" i="7" s="1"/>
  <c r="G1721" i="7"/>
  <c r="H1721" i="7" s="1"/>
  <c r="E1722" i="7"/>
  <c r="F1722" i="7"/>
  <c r="G1723" i="7"/>
  <c r="G1724" i="7"/>
  <c r="H1724" i="7" s="1"/>
  <c r="E1727" i="7"/>
  <c r="F1727" i="7"/>
  <c r="G1728" i="7"/>
  <c r="E1729" i="7"/>
  <c r="F1729" i="7"/>
  <c r="G1730" i="7"/>
  <c r="H1730" i="7" s="1"/>
  <c r="E1731" i="7"/>
  <c r="F1731" i="7"/>
  <c r="G1732" i="7"/>
  <c r="E1733" i="7"/>
  <c r="F1733" i="7"/>
  <c r="G1733" i="7" s="1"/>
  <c r="H1733" i="7" s="1"/>
  <c r="G1734" i="7"/>
  <c r="H1734" i="7" s="1"/>
  <c r="E1735" i="7"/>
  <c r="F1735" i="7"/>
  <c r="G1735" i="7" s="1"/>
  <c r="G1736" i="7"/>
  <c r="G1737" i="7"/>
  <c r="E1738" i="7"/>
  <c r="F1738" i="7"/>
  <c r="G1739" i="7"/>
  <c r="H1739" i="7" s="1"/>
  <c r="E1740" i="7"/>
  <c r="F1740" i="7"/>
  <c r="G1740" i="7" s="1"/>
  <c r="G1741" i="7"/>
  <c r="E1744" i="7"/>
  <c r="F1744" i="7"/>
  <c r="G1744" i="7" s="1"/>
  <c r="G1745" i="7"/>
  <c r="E1746" i="7"/>
  <c r="F1746" i="7"/>
  <c r="G1747" i="7"/>
  <c r="E1748" i="7"/>
  <c r="F1748" i="7"/>
  <c r="G1748" i="7" s="1"/>
  <c r="H1748" i="7" s="1"/>
  <c r="G1749" i="7"/>
  <c r="H1749" i="7"/>
  <c r="E1752" i="7"/>
  <c r="F1752" i="7"/>
  <c r="G1753" i="7"/>
  <c r="G1754" i="7"/>
  <c r="G1755" i="7"/>
  <c r="H1755" i="7" s="1"/>
  <c r="H1752" i="7" s="1"/>
  <c r="H1751" i="7" s="1"/>
  <c r="E1756" i="7"/>
  <c r="F1756" i="7"/>
  <c r="G1756" i="7" s="1"/>
  <c r="G1757" i="7"/>
  <c r="E1758" i="7"/>
  <c r="F1758" i="7"/>
  <c r="G1759" i="7"/>
  <c r="G1760" i="7"/>
  <c r="E1763" i="7"/>
  <c r="F1763" i="7"/>
  <c r="G1764" i="7"/>
  <c r="E1767" i="7"/>
  <c r="F1767" i="7"/>
  <c r="G1768" i="7"/>
  <c r="E1769" i="7"/>
  <c r="F1769" i="7"/>
  <c r="G1770" i="7"/>
  <c r="E1771" i="7"/>
  <c r="F1771" i="7"/>
  <c r="G1772" i="7"/>
  <c r="E1775" i="7"/>
  <c r="E1774" i="7" s="1"/>
  <c r="F1775" i="7"/>
  <c r="F1774" i="7" s="1"/>
  <c r="G1774" i="7" s="1"/>
  <c r="G1776" i="7"/>
  <c r="F1778" i="7"/>
  <c r="E1779" i="7"/>
  <c r="E1778" i="7" s="1"/>
  <c r="F1779" i="7"/>
  <c r="G1780" i="7"/>
  <c r="E1784" i="7"/>
  <c r="E1786" i="7"/>
  <c r="E1791" i="7"/>
  <c r="E1796" i="7"/>
  <c r="E1800" i="7"/>
  <c r="E1802" i="7"/>
  <c r="E1804" i="7"/>
  <c r="E1808" i="7"/>
  <c r="E1807" i="7" s="1"/>
  <c r="E1812" i="7"/>
  <c r="E1811" i="7" s="1"/>
  <c r="E1816" i="7"/>
  <c r="E1815" i="7" s="1"/>
  <c r="E1820" i="7"/>
  <c r="E1822" i="7"/>
  <c r="H1826" i="7"/>
  <c r="H1825" i="7" s="1"/>
  <c r="H1782" i="7" s="1"/>
  <c r="E1830" i="7"/>
  <c r="E1826" i="7" s="1"/>
  <c r="E1825" i="7" s="1"/>
  <c r="E1833" i="7"/>
  <c r="E1836" i="7"/>
  <c r="E1838" i="7"/>
  <c r="E1840" i="7"/>
  <c r="E1842" i="7"/>
  <c r="E1846" i="7"/>
  <c r="E1848" i="7"/>
  <c r="E1850" i="7"/>
  <c r="E1852" i="7"/>
  <c r="E1856" i="7"/>
  <c r="E1855" i="7" s="1"/>
  <c r="E1860" i="7"/>
  <c r="E1859" i="7" s="1"/>
  <c r="E1867" i="7"/>
  <c r="F1867" i="7"/>
  <c r="G1868" i="7"/>
  <c r="H1868" i="7"/>
  <c r="G1869" i="7"/>
  <c r="E1870" i="7"/>
  <c r="F1870" i="7"/>
  <c r="G1870" i="7"/>
  <c r="G1871" i="7"/>
  <c r="G1872" i="7"/>
  <c r="G1873" i="7"/>
  <c r="H1873" i="7" s="1"/>
  <c r="G1874" i="7"/>
  <c r="G1875" i="7"/>
  <c r="G1876" i="7"/>
  <c r="H1876" i="7" s="1"/>
  <c r="G1877" i="7"/>
  <c r="H1877" i="7" s="1"/>
  <c r="E1878" i="7"/>
  <c r="F1878" i="7"/>
  <c r="G1879" i="7"/>
  <c r="G1880" i="7"/>
  <c r="H1880" i="7" s="1"/>
  <c r="G1881" i="7"/>
  <c r="H1881" i="7" s="1"/>
  <c r="E1882" i="7"/>
  <c r="F1882" i="7"/>
  <c r="G1883" i="7"/>
  <c r="H1883" i="7" s="1"/>
  <c r="G1884" i="7"/>
  <c r="H1884" i="7" s="1"/>
  <c r="E1885" i="7"/>
  <c r="F1885" i="7"/>
  <c r="G1886" i="7"/>
  <c r="H1886" i="7" s="1"/>
  <c r="E1888" i="7"/>
  <c r="G1888" i="7" s="1"/>
  <c r="F1888" i="7"/>
  <c r="G1889" i="7"/>
  <c r="G1890" i="7"/>
  <c r="E1893" i="7"/>
  <c r="F1893" i="7"/>
  <c r="G1894" i="7"/>
  <c r="E1895" i="7"/>
  <c r="F1895" i="7"/>
  <c r="G1896" i="7"/>
  <c r="G1897" i="7"/>
  <c r="H1897" i="7" s="1"/>
  <c r="H1895" i="7" s="1"/>
  <c r="G1898" i="7"/>
  <c r="E1899" i="7"/>
  <c r="F1899" i="7"/>
  <c r="G1900" i="7"/>
  <c r="H1900" i="7" s="1"/>
  <c r="E1901" i="7"/>
  <c r="F1901" i="7"/>
  <c r="G1902" i="7"/>
  <c r="H1902" i="7" s="1"/>
  <c r="G1903" i="7"/>
  <c r="H1903" i="7" s="1"/>
  <c r="G1904" i="7"/>
  <c r="H1904" i="7" s="1"/>
  <c r="G1905" i="7"/>
  <c r="H1905" i="7" s="1"/>
  <c r="G1906" i="7"/>
  <c r="H1906" i="7"/>
  <c r="G1907" i="7"/>
  <c r="H1907" i="7" s="1"/>
  <c r="E1908" i="7"/>
  <c r="F1908" i="7"/>
  <c r="G1909" i="7"/>
  <c r="H1909" i="7" s="1"/>
  <c r="E1910" i="7"/>
  <c r="F1910" i="7"/>
  <c r="G1911" i="7"/>
  <c r="E1912" i="7"/>
  <c r="F1912" i="7"/>
  <c r="G1912" i="7" s="1"/>
  <c r="H1912" i="7" s="1"/>
  <c r="G1913" i="7"/>
  <c r="H1913" i="7" s="1"/>
  <c r="E1914" i="7"/>
  <c r="F1914" i="7"/>
  <c r="G1915" i="7"/>
  <c r="E1916" i="7"/>
  <c r="F1916" i="7"/>
  <c r="G1916" i="7" s="1"/>
  <c r="H1916" i="7" s="1"/>
  <c r="G1917" i="7"/>
  <c r="H1917" i="7" s="1"/>
  <c r="G1918" i="7"/>
  <c r="H1918" i="7" s="1"/>
  <c r="E1919" i="7"/>
  <c r="F1919" i="7"/>
  <c r="G1920" i="7"/>
  <c r="H1922" i="7"/>
  <c r="E1923" i="7"/>
  <c r="F1923" i="7"/>
  <c r="G1923" i="7" s="1"/>
  <c r="G1924" i="7"/>
  <c r="E1925" i="7"/>
  <c r="G1926" i="7"/>
  <c r="H1926" i="7" s="1"/>
  <c r="G1927" i="7"/>
  <c r="H1927" i="7" s="1"/>
  <c r="E1928" i="7"/>
  <c r="F1928" i="7"/>
  <c r="G1929" i="7"/>
  <c r="E1932" i="7"/>
  <c r="F1932" i="7"/>
  <c r="G1933" i="7"/>
  <c r="H1933" i="7" s="1"/>
  <c r="E1934" i="7"/>
  <c r="F1934" i="7"/>
  <c r="G1935" i="7"/>
  <c r="H1935" i="7" s="1"/>
  <c r="E1936" i="7"/>
  <c r="F1936" i="7"/>
  <c r="G1936" i="7" s="1"/>
  <c r="G1937" i="7"/>
  <c r="E1940" i="7"/>
  <c r="E1939" i="7" s="1"/>
  <c r="F1940" i="7"/>
  <c r="G1941" i="7"/>
  <c r="H1941" i="7" s="1"/>
  <c r="E1943" i="7"/>
  <c r="E1942" i="7" s="1"/>
  <c r="F1943" i="7"/>
  <c r="F1942" i="7" s="1"/>
  <c r="G1944" i="7"/>
  <c r="H1944" i="7" s="1"/>
  <c r="H1946" i="7"/>
  <c r="E1947" i="7"/>
  <c r="F1947" i="7"/>
  <c r="H1947" i="7"/>
  <c r="G1948" i="7"/>
  <c r="H1948" i="7" s="1"/>
  <c r="G1949" i="7"/>
  <c r="G1950" i="7"/>
  <c r="H1950" i="7"/>
  <c r="E1951" i="7"/>
  <c r="F1951" i="7"/>
  <c r="G1952" i="7"/>
  <c r="H1952" i="7" s="1"/>
  <c r="E1954" i="7"/>
  <c r="E1955" i="7"/>
  <c r="F1955" i="7"/>
  <c r="G1955" i="7" s="1"/>
  <c r="H1955" i="7" s="1"/>
  <c r="G1956" i="7"/>
  <c r="H1956" i="7" s="1"/>
  <c r="E1959" i="7"/>
  <c r="E1958" i="7" s="1"/>
  <c r="F1959" i="7"/>
  <c r="F1958" i="7" s="1"/>
  <c r="G1960" i="7"/>
  <c r="H1960" i="7" s="1"/>
  <c r="E1963" i="7"/>
  <c r="E1962" i="7" s="1"/>
  <c r="F1963" i="7"/>
  <c r="G1964" i="7"/>
  <c r="H1964" i="7" s="1"/>
  <c r="E1967" i="7"/>
  <c r="E1966" i="7" s="1"/>
  <c r="F1967" i="7"/>
  <c r="G1968" i="7"/>
  <c r="H1968" i="7" s="1"/>
  <c r="E1969" i="7"/>
  <c r="G1969" i="7" s="1"/>
  <c r="H1969" i="7" s="1"/>
  <c r="G1970" i="7"/>
  <c r="H1970" i="7" s="1"/>
  <c r="E1973" i="7"/>
  <c r="F1973" i="7"/>
  <c r="G1974" i="7"/>
  <c r="H1974" i="7" s="1"/>
  <c r="E1975" i="7"/>
  <c r="F1975" i="7"/>
  <c r="G1975" i="7" s="1"/>
  <c r="H1975" i="7" s="1"/>
  <c r="G1976" i="7"/>
  <c r="H1976" i="7" s="1"/>
  <c r="E1978" i="7"/>
  <c r="E1979" i="7"/>
  <c r="F1979" i="7"/>
  <c r="F1978" i="7" s="1"/>
  <c r="G1980" i="7"/>
  <c r="H1980" i="7" s="1"/>
  <c r="E1983" i="7"/>
  <c r="F1983" i="7"/>
  <c r="G1983" i="7"/>
  <c r="H1983" i="7" s="1"/>
  <c r="G1984" i="7"/>
  <c r="H1984" i="7" s="1"/>
  <c r="G1985" i="7"/>
  <c r="H1985" i="7" s="1"/>
  <c r="G1986" i="7"/>
  <c r="H1986" i="7" s="1"/>
  <c r="E1987" i="7"/>
  <c r="F1987" i="7"/>
  <c r="G1988" i="7"/>
  <c r="H1988" i="7" s="1"/>
  <c r="E1989" i="7"/>
  <c r="F1989" i="7"/>
  <c r="G1989" i="7" s="1"/>
  <c r="H1989" i="7" s="1"/>
  <c r="G1990" i="7"/>
  <c r="H1990" i="7" s="1"/>
  <c r="E1993" i="7"/>
  <c r="G1993" i="7" s="1"/>
  <c r="H1993" i="7" s="1"/>
  <c r="F1993" i="7"/>
  <c r="F1992" i="7" s="1"/>
  <c r="G1994" i="7"/>
  <c r="H1994" i="7" s="1"/>
  <c r="E1997" i="7"/>
  <c r="F1997" i="7"/>
  <c r="G1997" i="7" s="1"/>
  <c r="G1998" i="7"/>
  <c r="E1999" i="7"/>
  <c r="G1999" i="7" s="1"/>
  <c r="H1999" i="7" s="1"/>
  <c r="G2000" i="7"/>
  <c r="H2000" i="7" s="1"/>
  <c r="E2004" i="7"/>
  <c r="F2004" i="7"/>
  <c r="G2005" i="7"/>
  <c r="E2006" i="7"/>
  <c r="F2006" i="7"/>
  <c r="G2007" i="7"/>
  <c r="G2008" i="7"/>
  <c r="G2009" i="7"/>
  <c r="E2010" i="7"/>
  <c r="F2010" i="7"/>
  <c r="G2010" i="7" s="1"/>
  <c r="H2010" i="7"/>
  <c r="G2011" i="7"/>
  <c r="G2012" i="7"/>
  <c r="G2013" i="7"/>
  <c r="G2014" i="7"/>
  <c r="E2015" i="7"/>
  <c r="F2015" i="7"/>
  <c r="G2016" i="7"/>
  <c r="G2017" i="7"/>
  <c r="E2018" i="7"/>
  <c r="F2018" i="7"/>
  <c r="G2019" i="7"/>
  <c r="G2020" i="7"/>
  <c r="E2021" i="7"/>
  <c r="F2021" i="7"/>
  <c r="G2021" i="7" s="1"/>
  <c r="G2022" i="7"/>
  <c r="H2024" i="7"/>
  <c r="E2025" i="7"/>
  <c r="F2025" i="7"/>
  <c r="G2026" i="7"/>
  <c r="E2027" i="7"/>
  <c r="F2027" i="7"/>
  <c r="G2027" i="7" s="1"/>
  <c r="G2028" i="7"/>
  <c r="E2029" i="7"/>
  <c r="F2029" i="7"/>
  <c r="G2030" i="7"/>
  <c r="E2031" i="7"/>
  <c r="F2031" i="7"/>
  <c r="G2032" i="7"/>
  <c r="E2035" i="7"/>
  <c r="E2034" i="7" s="1"/>
  <c r="F2036" i="7"/>
  <c r="E2039" i="7"/>
  <c r="F2039" i="7"/>
  <c r="F2038" i="7" s="1"/>
  <c r="G2040" i="7"/>
  <c r="E2041" i="7"/>
  <c r="E2038" i="7" s="1"/>
  <c r="F2041" i="7"/>
  <c r="G2042" i="7"/>
  <c r="E2045" i="7"/>
  <c r="E2044" i="7" s="1"/>
  <c r="G2045" i="7"/>
  <c r="F2046" i="7"/>
  <c r="F2045" i="7" s="1"/>
  <c r="F2044" i="7" s="1"/>
  <c r="G2046" i="7"/>
  <c r="E2049" i="7"/>
  <c r="F2049" i="7"/>
  <c r="F2048" i="7" s="1"/>
  <c r="G2050" i="7"/>
  <c r="H2052" i="7"/>
  <c r="E2053" i="7"/>
  <c r="F2053" i="7"/>
  <c r="H2053" i="7"/>
  <c r="G2054" i="7"/>
  <c r="G2055" i="7"/>
  <c r="G2056" i="7"/>
  <c r="E2057" i="7"/>
  <c r="F2057" i="7"/>
  <c r="G2058" i="7"/>
  <c r="E2061" i="7"/>
  <c r="E2060" i="7" s="1"/>
  <c r="F2061" i="7"/>
  <c r="F2060" i="7" s="1"/>
  <c r="G2062" i="7"/>
  <c r="E2065" i="7"/>
  <c r="E2064" i="7" s="1"/>
  <c r="F2065" i="7"/>
  <c r="F2064" i="7" s="1"/>
  <c r="G2066" i="7"/>
  <c r="E2070" i="7"/>
  <c r="F2070" i="7"/>
  <c r="G2071" i="7"/>
  <c r="G2072" i="7"/>
  <c r="G2073" i="7"/>
  <c r="G2074" i="7"/>
  <c r="G2075" i="7"/>
  <c r="G2076" i="7"/>
  <c r="G2077" i="7"/>
  <c r="E2078" i="7"/>
  <c r="F2078" i="7"/>
  <c r="G2079" i="7"/>
  <c r="G2080" i="7"/>
  <c r="E2082" i="7"/>
  <c r="F2082" i="7"/>
  <c r="G2082" i="7"/>
  <c r="F2083" i="7"/>
  <c r="E2084" i="7"/>
  <c r="F2084" i="7"/>
  <c r="E2087" i="7"/>
  <c r="E2086" i="7" s="1"/>
  <c r="F2087" i="7"/>
  <c r="F2086" i="7" s="1"/>
  <c r="G2089" i="7"/>
  <c r="G2090" i="7"/>
  <c r="G2096" i="7"/>
  <c r="G2097" i="7"/>
  <c r="G2098" i="7"/>
  <c r="E2103" i="7"/>
  <c r="E2100" i="7" s="1"/>
  <c r="F2103" i="7"/>
  <c r="F2100" i="7" s="1"/>
  <c r="G2104" i="7"/>
  <c r="G2107" i="7"/>
  <c r="G2115" i="7"/>
  <c r="G2116" i="7" s="1"/>
  <c r="G2117" i="7" s="1"/>
  <c r="F2119" i="7"/>
  <c r="G2119" i="7" s="1"/>
  <c r="G2120" i="7" s="1"/>
  <c r="G2121" i="7" s="1"/>
  <c r="G2123" i="7"/>
  <c r="G2124" i="7"/>
  <c r="G2125" i="7"/>
  <c r="E2127" i="7"/>
  <c r="F2127" i="7"/>
  <c r="E2133" i="7"/>
  <c r="F2134" i="7"/>
  <c r="G2134" i="7" s="1"/>
  <c r="F2135" i="7"/>
  <c r="G2135" i="7" s="1"/>
  <c r="G2137" i="7"/>
  <c r="G2139" i="7"/>
  <c r="G2140" i="7" s="1"/>
  <c r="G2141" i="7" s="1"/>
  <c r="F2143" i="7"/>
  <c r="E2145" i="7"/>
  <c r="G2145" i="7" s="1"/>
  <c r="H2145" i="7" s="1"/>
  <c r="G2146" i="7"/>
  <c r="H2146" i="7" s="1"/>
  <c r="E2147" i="7"/>
  <c r="G2148" i="7"/>
  <c r="G2149" i="7"/>
  <c r="G2150" i="7"/>
  <c r="H2150" i="7" s="1"/>
  <c r="G2151" i="7"/>
  <c r="H2151" i="7" s="1"/>
  <c r="G2152" i="7"/>
  <c r="H2152" i="7" s="1"/>
  <c r="G2153" i="7"/>
  <c r="H2153" i="7" s="1"/>
  <c r="G2154" i="7"/>
  <c r="G2155" i="7"/>
  <c r="G2156" i="7"/>
  <c r="H2156" i="7" s="1"/>
  <c r="G2157" i="7"/>
  <c r="E2158" i="7"/>
  <c r="G2158" i="7" s="1"/>
  <c r="G2159" i="7"/>
  <c r="E2160" i="7"/>
  <c r="G2160" i="7" s="1"/>
  <c r="H2160" i="7" s="1"/>
  <c r="G2161" i="7"/>
  <c r="H2161" i="7" s="1"/>
  <c r="G2162" i="7"/>
  <c r="H2162" i="7" s="1"/>
  <c r="G2163" i="7"/>
  <c r="H2163" i="7" s="1"/>
  <c r="E2166" i="7"/>
  <c r="G2166" i="7" s="1"/>
  <c r="G2167" i="7"/>
  <c r="E2168" i="7"/>
  <c r="G2168" i="7" s="1"/>
  <c r="G2169" i="7"/>
  <c r="G2170" i="7"/>
  <c r="H2170" i="7" s="1"/>
  <c r="E2171" i="7"/>
  <c r="G2171" i="7" s="1"/>
  <c r="H2171" i="7"/>
  <c r="G2172" i="7"/>
  <c r="H2172" i="7" s="1"/>
  <c r="G2173" i="7"/>
  <c r="H2173" i="7" s="1"/>
  <c r="G2174" i="7"/>
  <c r="H2174" i="7" s="1"/>
  <c r="G2175" i="7"/>
  <c r="H2175" i="7" s="1"/>
  <c r="E2176" i="7"/>
  <c r="G2176" i="7" s="1"/>
  <c r="H2176" i="7"/>
  <c r="G2177" i="7"/>
  <c r="H2177" i="7" s="1"/>
  <c r="G2178" i="7"/>
  <c r="H2178" i="7" s="1"/>
  <c r="G2179" i="7"/>
  <c r="H2179" i="7" s="1"/>
  <c r="E2180" i="7"/>
  <c r="G2180" i="7" s="1"/>
  <c r="G2181" i="7"/>
  <c r="H2181" i="7" s="1"/>
  <c r="G2182" i="7"/>
  <c r="H2182" i="7" s="1"/>
  <c r="E2183" i="7"/>
  <c r="G2183" i="7" s="1"/>
  <c r="H2183" i="7" s="1"/>
  <c r="G2184" i="7"/>
  <c r="H2184" i="7" s="1"/>
  <c r="E2185" i="7"/>
  <c r="G2185" i="7" s="1"/>
  <c r="G2186" i="7"/>
  <c r="G2187" i="7"/>
  <c r="H2187" i="7" s="1"/>
  <c r="E2190" i="7"/>
  <c r="G2191" i="7"/>
  <c r="E2192" i="7"/>
  <c r="G2192" i="7" s="1"/>
  <c r="H2192" i="7" s="1"/>
  <c r="H2189" i="7" s="1"/>
  <c r="G2193" i="7"/>
  <c r="H2193" i="7" s="1"/>
  <c r="G2194" i="7"/>
  <c r="H2194" i="7" s="1"/>
  <c r="E2195" i="7"/>
  <c r="G2195" i="7" s="1"/>
  <c r="G2196" i="7"/>
  <c r="E2199" i="7"/>
  <c r="G2200" i="7"/>
  <c r="H2200" i="7" s="1"/>
  <c r="G2201" i="7"/>
  <c r="H2201" i="7" s="1"/>
  <c r="E2204" i="7"/>
  <c r="G2204" i="7" s="1"/>
  <c r="H2204" i="7"/>
  <c r="H2203" i="7" s="1"/>
  <c r="G2205" i="7"/>
  <c r="H2205" i="7" s="1"/>
  <c r="G2206" i="7"/>
  <c r="H2206" i="7" s="1"/>
  <c r="E2207" i="7"/>
  <c r="G2207" i="7" s="1"/>
  <c r="G2208" i="7"/>
  <c r="H2208" i="7" s="1"/>
  <c r="G2209" i="7"/>
  <c r="E2212" i="7"/>
  <c r="E2211" i="7" s="1"/>
  <c r="G2211" i="7" s="1"/>
  <c r="H2211" i="7" s="1"/>
  <c r="G2213" i="7"/>
  <c r="H2213" i="7" s="1"/>
  <c r="G2214" i="7"/>
  <c r="H2214" i="7" s="1"/>
  <c r="E2217" i="7"/>
  <c r="E2216" i="7" s="1"/>
  <c r="G2216" i="7" s="1"/>
  <c r="H2216" i="7" s="1"/>
  <c r="G2218" i="7"/>
  <c r="H2218" i="7" s="1"/>
  <c r="E2221" i="7"/>
  <c r="G2221" i="7" s="1"/>
  <c r="H2221" i="7" s="1"/>
  <c r="G2222" i="7"/>
  <c r="H2222" i="7" s="1"/>
  <c r="G2223" i="7"/>
  <c r="H2223" i="7" s="1"/>
  <c r="E2224" i="7"/>
  <c r="G2224" i="7" s="1"/>
  <c r="G2225" i="7"/>
  <c r="E2226" i="7"/>
  <c r="G2226" i="7" s="1"/>
  <c r="H2226" i="7"/>
  <c r="G2227" i="7"/>
  <c r="H2227" i="7" s="1"/>
  <c r="G2228" i="7"/>
  <c r="H2228" i="7" s="1"/>
  <c r="G2229" i="7"/>
  <c r="H2229" i="7" s="1"/>
  <c r="H2231" i="7"/>
  <c r="E2232" i="7"/>
  <c r="G2232" i="7" s="1"/>
  <c r="H2232" i="7" s="1"/>
  <c r="G2233" i="7"/>
  <c r="H2233" i="7" s="1"/>
  <c r="E2234" i="7"/>
  <c r="G2234" i="7" s="1"/>
  <c r="H2234" i="7" s="1"/>
  <c r="G2235" i="7"/>
  <c r="H2235" i="7" s="1"/>
  <c r="E2236" i="7"/>
  <c r="G2236" i="7" s="1"/>
  <c r="H2236" i="7" s="1"/>
  <c r="G2237" i="7"/>
  <c r="H2237" i="7" s="1"/>
  <c r="G2238" i="7"/>
  <c r="H2238" i="7" s="1"/>
  <c r="G2239" i="7"/>
  <c r="H2239" i="7" s="1"/>
  <c r="E2242" i="7"/>
  <c r="G2242" i="7" s="1"/>
  <c r="G2243" i="7"/>
  <c r="G2244" i="7"/>
  <c r="H2244" i="7" s="1"/>
  <c r="H2242" i="7" s="1"/>
  <c r="H2241" i="7" s="1"/>
  <c r="G2245" i="7"/>
  <c r="G2246" i="7"/>
  <c r="E2247" i="7"/>
  <c r="E2241" i="7" s="1"/>
  <c r="G2241" i="7" s="1"/>
  <c r="G2248" i="7"/>
  <c r="H2248" i="7" s="1"/>
  <c r="G2249" i="7"/>
  <c r="H2249" i="7" s="1"/>
  <c r="E2252" i="7"/>
  <c r="G2252" i="7" s="1"/>
  <c r="H2252" i="7" s="1"/>
  <c r="G2253" i="7"/>
  <c r="H2253" i="7" s="1"/>
  <c r="G2254" i="7"/>
  <c r="H2254" i="7" s="1"/>
  <c r="E2255" i="7"/>
  <c r="G2256" i="7"/>
  <c r="H2256" i="7" s="1"/>
  <c r="E2259" i="7"/>
  <c r="E2258" i="7" s="1"/>
  <c r="G2258" i="7" s="1"/>
  <c r="G2260" i="7"/>
  <c r="E2263" i="7"/>
  <c r="E2262" i="7" s="1"/>
  <c r="G2262" i="7" s="1"/>
  <c r="H2262" i="7" s="1"/>
  <c r="G2264" i="7"/>
  <c r="H2264" i="7" s="1"/>
  <c r="E2266" i="7"/>
  <c r="G2266" i="7" s="1"/>
  <c r="E2267" i="7"/>
  <c r="G2267" i="7" s="1"/>
  <c r="G2268" i="7"/>
  <c r="G2270" i="7"/>
  <c r="E2271" i="7"/>
  <c r="G2271" i="7" s="1"/>
  <c r="G2272" i="7"/>
  <c r="E2275" i="7"/>
  <c r="G2275" i="7" s="1"/>
  <c r="G2276" i="7"/>
  <c r="H2276" i="7" s="1"/>
  <c r="G2277" i="7"/>
  <c r="H2277" i="7" s="1"/>
  <c r="G2278" i="7"/>
  <c r="H2278" i="7" s="1"/>
  <c r="G2279" i="7"/>
  <c r="H2279" i="7" s="1"/>
  <c r="E2280" i="7"/>
  <c r="G2280" i="7" s="1"/>
  <c r="H2280" i="7" s="1"/>
  <c r="G2281" i="7"/>
  <c r="H2281" i="7" s="1"/>
  <c r="E2282" i="7"/>
  <c r="G2282" i="7" s="1"/>
  <c r="H2282" i="7" s="1"/>
  <c r="G2283" i="7"/>
  <c r="H2283" i="7" s="1"/>
  <c r="E2287" i="7"/>
  <c r="F2287" i="7"/>
  <c r="G2288" i="7"/>
  <c r="H2288" i="7"/>
  <c r="E2289" i="7"/>
  <c r="F2289" i="7"/>
  <c r="G2290" i="7"/>
  <c r="H2290" i="7"/>
  <c r="G2291" i="7"/>
  <c r="H2291" i="7"/>
  <c r="G2292" i="7"/>
  <c r="H2292" i="7"/>
  <c r="E2293" i="7"/>
  <c r="F2293" i="7"/>
  <c r="G2293" i="7" s="1"/>
  <c r="G2294" i="7"/>
  <c r="H2294" i="7"/>
  <c r="E2295" i="7"/>
  <c r="F2295" i="7"/>
  <c r="G2296" i="7"/>
  <c r="H2296" i="7"/>
  <c r="G2297" i="7"/>
  <c r="H2297" i="7"/>
  <c r="G2298" i="7"/>
  <c r="H2298" i="7"/>
  <c r="G2299" i="7"/>
  <c r="E2300" i="7"/>
  <c r="F2300" i="7"/>
  <c r="G2301" i="7"/>
  <c r="H2301" i="7"/>
  <c r="G2302" i="7"/>
  <c r="H2302" i="7"/>
  <c r="E2303" i="7"/>
  <c r="F2303" i="7"/>
  <c r="G2304" i="7"/>
  <c r="E2307" i="7"/>
  <c r="F2307" i="7" s="1"/>
  <c r="H2307" i="7" s="1"/>
  <c r="F2308" i="7"/>
  <c r="G2308" i="7" s="1"/>
  <c r="G2309" i="7"/>
  <c r="H2309" i="7"/>
  <c r="E2310" i="7"/>
  <c r="F2310" i="7"/>
  <c r="G2311" i="7"/>
  <c r="H2311" i="7"/>
  <c r="E2312" i="7"/>
  <c r="F2312" i="7"/>
  <c r="G2313" i="7"/>
  <c r="H2313" i="7"/>
  <c r="E2316" i="7"/>
  <c r="E2315" i="7" s="1"/>
  <c r="F2316" i="7"/>
  <c r="F2315" i="7" s="1"/>
  <c r="G2317" i="7"/>
  <c r="E2320" i="7"/>
  <c r="E2319" i="7" s="1"/>
  <c r="F2320" i="7"/>
  <c r="F2319" i="7" s="1"/>
  <c r="G2321" i="7"/>
  <c r="E2324" i="7"/>
  <c r="F2324" i="7"/>
  <c r="F2325" i="7" s="1"/>
  <c r="G2325" i="7" s="1"/>
  <c r="E2328" i="7"/>
  <c r="F2328" i="7"/>
  <c r="G2329" i="7"/>
  <c r="E2330" i="7"/>
  <c r="F2330" i="7"/>
  <c r="F2327" i="7" s="1"/>
  <c r="G2331" i="7"/>
  <c r="E2334" i="7"/>
  <c r="E2333" i="7" s="1"/>
  <c r="F2334" i="7"/>
  <c r="G2335" i="7"/>
  <c r="F2337" i="7"/>
  <c r="G2337" i="7"/>
  <c r="H2337" i="7"/>
  <c r="F2338" i="7"/>
  <c r="H2338" i="7" s="1"/>
  <c r="E2342" i="7"/>
  <c r="F2342" i="7"/>
  <c r="G2342" i="7" s="1"/>
  <c r="G2343" i="7"/>
  <c r="H2343" i="7"/>
  <c r="E2344" i="7"/>
  <c r="F2344" i="7"/>
  <c r="G2345" i="7"/>
  <c r="H2345" i="7"/>
  <c r="E2346" i="7"/>
  <c r="F2346" i="7"/>
  <c r="G2347" i="7"/>
  <c r="H2347" i="7"/>
  <c r="E2350" i="7"/>
  <c r="E2349" i="7" s="1"/>
  <c r="F2350" i="7"/>
  <c r="G2351" i="7"/>
  <c r="E2354" i="7"/>
  <c r="F2354" i="7"/>
  <c r="G2355" i="7"/>
  <c r="E2356" i="7"/>
  <c r="F2356" i="7"/>
  <c r="G2357" i="7"/>
  <c r="G2358" i="7"/>
  <c r="E2359" i="7"/>
  <c r="F2359" i="7"/>
  <c r="G2360" i="7"/>
  <c r="H2360" i="7"/>
  <c r="G2361" i="7"/>
  <c r="H2361" i="7"/>
  <c r="E2364" i="7"/>
  <c r="E2363" i="7" s="1"/>
  <c r="F2364" i="7"/>
  <c r="F2363" i="7" s="1"/>
  <c r="G2363" i="7" s="1"/>
  <c r="G2365" i="7"/>
  <c r="H2367" i="7"/>
  <c r="E2368" i="7"/>
  <c r="F2368" i="7"/>
  <c r="G2369" i="7"/>
  <c r="H2369" i="7"/>
  <c r="E2370" i="7"/>
  <c r="F2370" i="7"/>
  <c r="G2371" i="7"/>
  <c r="E2372" i="7"/>
  <c r="F2372" i="7"/>
  <c r="G2373" i="7"/>
  <c r="E2376" i="7"/>
  <c r="F2376" i="7"/>
  <c r="F2375" i="7" s="1"/>
  <c r="G2377" i="7"/>
  <c r="H2377" i="7"/>
  <c r="E2380" i="7"/>
  <c r="F2380" i="7"/>
  <c r="H2380" i="7"/>
  <c r="G2381" i="7"/>
  <c r="G2382" i="7"/>
  <c r="E2383" i="7"/>
  <c r="F2383" i="7"/>
  <c r="G2384" i="7"/>
  <c r="E2385" i="7"/>
  <c r="G2386" i="7"/>
  <c r="F2387" i="7"/>
  <c r="G2387" i="7" s="1"/>
  <c r="E2388" i="7"/>
  <c r="F2388" i="7"/>
  <c r="G2389" i="7"/>
  <c r="H2389" i="7"/>
  <c r="E2392" i="7"/>
  <c r="F2392" i="7"/>
  <c r="G2392" i="7" s="1"/>
  <c r="G2393" i="7"/>
  <c r="H2393" i="7"/>
  <c r="E2394" i="7"/>
  <c r="G2395" i="7"/>
  <c r="H2395" i="7"/>
  <c r="F2396" i="7"/>
  <c r="F2394" i="7" s="1"/>
  <c r="G2394" i="7" s="1"/>
  <c r="H2394" i="7" s="1"/>
  <c r="G2397" i="7"/>
  <c r="H2397" i="7" s="1"/>
  <c r="G2398" i="7"/>
  <c r="H2398" i="7"/>
  <c r="G2399" i="7"/>
  <c r="H2399" i="7"/>
  <c r="G2400" i="7"/>
  <c r="H2400" i="7"/>
  <c r="E2404" i="7"/>
  <c r="F2404" i="7"/>
  <c r="G2405" i="7"/>
  <c r="H2405" i="7" s="1"/>
  <c r="G2406" i="7"/>
  <c r="H2406" i="7" s="1"/>
  <c r="G2407" i="7"/>
  <c r="H2407" i="7" s="1"/>
  <c r="E2408" i="7"/>
  <c r="F2408" i="7"/>
  <c r="G2409" i="7"/>
  <c r="G2410" i="7"/>
  <c r="H2410" i="7" s="1"/>
  <c r="G2411" i="7"/>
  <c r="H2411" i="7" s="1"/>
  <c r="G2412" i="7"/>
  <c r="G2413" i="7"/>
  <c r="H2413" i="7" s="1"/>
  <c r="G2414" i="7"/>
  <c r="H2414" i="7" s="1"/>
  <c r="E2415" i="7"/>
  <c r="F2415" i="7"/>
  <c r="G2415" i="7" s="1"/>
  <c r="H2415" i="7" s="1"/>
  <c r="G2416" i="7"/>
  <c r="H2416" i="7"/>
  <c r="G2417" i="7"/>
  <c r="H2417" i="7" s="1"/>
  <c r="G2418" i="7"/>
  <c r="H2418" i="7" s="1"/>
  <c r="G2419" i="7"/>
  <c r="H2419" i="7"/>
  <c r="E2420" i="7"/>
  <c r="F2420" i="7"/>
  <c r="G2420" i="7" s="1"/>
  <c r="G2421" i="7"/>
  <c r="G2422" i="7"/>
  <c r="H2422" i="7" s="1"/>
  <c r="E2425" i="7"/>
  <c r="F2425" i="7"/>
  <c r="G2426" i="7"/>
  <c r="E2427" i="7"/>
  <c r="F2427" i="7"/>
  <c r="G2428" i="7"/>
  <c r="H2428" i="7" s="1"/>
  <c r="E2429" i="7"/>
  <c r="F2429" i="7"/>
  <c r="G2430" i="7"/>
  <c r="H2430" i="7" s="1"/>
  <c r="E2431" i="7"/>
  <c r="F2431" i="7"/>
  <c r="G2432" i="7"/>
  <c r="G2433" i="7"/>
  <c r="G2434" i="7"/>
  <c r="E2435" i="7"/>
  <c r="F2435" i="7"/>
  <c r="H2435" i="7"/>
  <c r="G2436" i="7"/>
  <c r="H2436" i="7" s="1"/>
  <c r="G2437" i="7"/>
  <c r="E2438" i="7"/>
  <c r="F2438" i="7"/>
  <c r="G2439" i="7"/>
  <c r="E2440" i="7"/>
  <c r="F2440" i="7"/>
  <c r="G2441" i="7"/>
  <c r="H2441" i="7" s="1"/>
  <c r="E2442" i="7"/>
  <c r="F2442" i="7"/>
  <c r="G2443" i="7"/>
  <c r="H2443" i="7" s="1"/>
  <c r="G2444" i="7"/>
  <c r="H2444" i="7" s="1"/>
  <c r="E2445" i="7"/>
  <c r="F2445" i="7"/>
  <c r="G2446" i="7"/>
  <c r="H2446" i="7" s="1"/>
  <c r="E2449" i="7"/>
  <c r="F2449" i="7"/>
  <c r="F2448" i="7" s="1"/>
  <c r="G2450" i="7"/>
  <c r="E2453" i="7"/>
  <c r="F2453" i="7"/>
  <c r="G2453" i="7"/>
  <c r="H2453" i="7" s="1"/>
  <c r="G2454" i="7"/>
  <c r="H2454" i="7" s="1"/>
  <c r="E2455" i="7"/>
  <c r="F2455" i="7"/>
  <c r="G2455" i="7"/>
  <c r="G2456" i="7"/>
  <c r="E2459" i="7"/>
  <c r="E2458" i="7" s="1"/>
  <c r="F2459" i="7"/>
  <c r="G2459" i="7" s="1"/>
  <c r="H2459" i="7"/>
  <c r="H2458" i="7" s="1"/>
  <c r="G2460" i="7"/>
  <c r="G2461" i="7"/>
  <c r="E2463" i="7"/>
  <c r="E2464" i="7"/>
  <c r="F2464" i="7"/>
  <c r="F2463" i="7" s="1"/>
  <c r="G2465" i="7"/>
  <c r="H2465" i="7"/>
  <c r="H2467" i="7"/>
  <c r="E2468" i="7"/>
  <c r="F2468" i="7"/>
  <c r="G2469" i="7"/>
  <c r="E2470" i="7"/>
  <c r="F2470" i="7"/>
  <c r="G2470" i="7" s="1"/>
  <c r="H2470" i="7" s="1"/>
  <c r="G2471" i="7"/>
  <c r="H2471" i="7"/>
  <c r="E2474" i="7"/>
  <c r="F2474" i="7"/>
  <c r="G2475" i="7"/>
  <c r="E2476" i="7"/>
  <c r="F2476" i="7"/>
  <c r="G2477" i="7"/>
  <c r="E2480" i="7"/>
  <c r="E2479" i="7" s="1"/>
  <c r="F2480" i="7"/>
  <c r="G2480" i="7" s="1"/>
  <c r="G2481" i="7"/>
  <c r="G2482" i="7"/>
  <c r="G2483" i="7"/>
  <c r="E2486" i="7"/>
  <c r="F2486" i="7"/>
  <c r="G2487" i="7"/>
  <c r="G2488" i="7"/>
  <c r="E2489" i="7"/>
  <c r="F2489" i="7"/>
  <c r="G2489" i="7"/>
  <c r="H2489" i="7" s="1"/>
  <c r="G2490" i="7"/>
  <c r="H2490" i="7" s="1"/>
  <c r="E2493" i="7"/>
  <c r="E2492" i="7" s="1"/>
  <c r="F2493" i="7"/>
  <c r="G2494" i="7"/>
  <c r="H2494" i="7" s="1"/>
  <c r="G2495" i="7"/>
  <c r="H2495" i="7" s="1"/>
  <c r="E2498" i="7"/>
  <c r="E2497" i="7" s="1"/>
  <c r="E2499" i="7"/>
  <c r="F2499" i="7"/>
  <c r="G2499" i="7" s="1"/>
  <c r="H2499" i="7" s="1"/>
  <c r="G2500" i="7"/>
  <c r="H2500" i="7"/>
  <c r="G2501" i="7"/>
  <c r="H2501" i="7" s="1"/>
  <c r="E2505" i="7"/>
  <c r="G2505" i="7" s="1"/>
  <c r="F2505" i="7"/>
  <c r="G2506" i="7"/>
  <c r="E2507" i="7"/>
  <c r="F2507" i="7"/>
  <c r="G2508" i="7"/>
  <c r="G2509" i="7"/>
  <c r="G2510" i="7"/>
  <c r="E2511" i="7"/>
  <c r="F2511" i="7"/>
  <c r="G2512" i="7"/>
  <c r="E2513" i="7"/>
  <c r="F2513" i="7"/>
  <c r="G2514" i="7"/>
  <c r="G2515" i="7"/>
  <c r="H2517" i="7"/>
  <c r="H2503" i="7" s="1"/>
  <c r="E2518" i="7"/>
  <c r="F2518" i="7"/>
  <c r="G2518" i="7" s="1"/>
  <c r="G2519" i="7"/>
  <c r="E2520" i="7"/>
  <c r="G2520" i="7" s="1"/>
  <c r="F2520" i="7"/>
  <c r="G2521" i="7"/>
  <c r="E2522" i="7"/>
  <c r="G2522" i="7" s="1"/>
  <c r="F2522" i="7"/>
  <c r="G2523" i="7"/>
  <c r="G2524" i="7"/>
  <c r="E2525" i="7"/>
  <c r="F2525" i="7"/>
  <c r="G2526" i="7"/>
  <c r="E2527" i="7"/>
  <c r="F2527" i="7"/>
  <c r="G2528" i="7"/>
  <c r="E2529" i="7"/>
  <c r="F2529" i="7"/>
  <c r="G2529" i="7" s="1"/>
  <c r="G2530" i="7"/>
  <c r="E2533" i="7"/>
  <c r="F2533" i="7"/>
  <c r="G2534" i="7"/>
  <c r="G2535" i="7"/>
  <c r="E2536" i="7"/>
  <c r="F2536" i="7"/>
  <c r="G2537" i="7"/>
  <c r="E2540" i="7"/>
  <c r="E2539" i="7" s="1"/>
  <c r="F2540" i="7"/>
  <c r="F2539" i="7" s="1"/>
  <c r="G2539" i="7" s="1"/>
  <c r="G2541" i="7"/>
  <c r="E2544" i="7"/>
  <c r="F2544" i="7"/>
  <c r="F2543" i="7" s="1"/>
  <c r="G2545" i="7"/>
  <c r="E2548" i="7"/>
  <c r="E2547" i="7" s="1"/>
  <c r="F2548" i="7"/>
  <c r="F2547" i="7" s="1"/>
  <c r="G2547" i="7" s="1"/>
  <c r="G2549" i="7"/>
  <c r="E2552" i="7"/>
  <c r="F2552" i="7"/>
  <c r="G2553" i="7"/>
  <c r="E2554" i="7"/>
  <c r="F2554" i="7"/>
  <c r="G2555" i="7"/>
  <c r="E2558" i="7"/>
  <c r="E2557" i="7" s="1"/>
  <c r="F2558" i="7"/>
  <c r="F2557" i="7" s="1"/>
  <c r="G2559" i="7"/>
  <c r="E2563" i="7"/>
  <c r="F2563" i="7"/>
  <c r="G2563" i="7" s="1"/>
  <c r="G2564" i="7"/>
  <c r="E2565" i="7"/>
  <c r="F2565" i="7"/>
  <c r="G2566" i="7"/>
  <c r="E2567" i="7"/>
  <c r="F2567" i="7"/>
  <c r="G2567" i="7" s="1"/>
  <c r="G2568" i="7"/>
  <c r="G2569" i="7"/>
  <c r="G2570" i="7"/>
  <c r="E2571" i="7"/>
  <c r="F2571" i="7"/>
  <c r="G2572" i="7"/>
  <c r="G2573" i="7"/>
  <c r="G2574" i="7"/>
  <c r="E2575" i="7"/>
  <c r="F2575" i="7"/>
  <c r="G2575" i="7" s="1"/>
  <c r="H2575" i="7" s="1"/>
  <c r="G2576" i="7"/>
  <c r="G2577" i="7"/>
  <c r="E2580" i="7"/>
  <c r="E2579" i="7" s="1"/>
  <c r="F2580" i="7"/>
  <c r="G2581" i="7"/>
  <c r="E2584" i="7"/>
  <c r="F2584" i="7"/>
  <c r="H2584" i="7"/>
  <c r="G2585" i="7"/>
  <c r="E2586" i="7"/>
  <c r="F2586" i="7"/>
  <c r="G2587" i="7"/>
  <c r="E2588" i="7"/>
  <c r="F2588" i="7"/>
  <c r="H2588" i="7"/>
  <c r="G2589" i="7"/>
  <c r="E2590" i="7"/>
  <c r="F2590" i="7"/>
  <c r="G2590" i="7" s="1"/>
  <c r="E2593" i="7"/>
  <c r="F2593" i="7"/>
  <c r="H2593" i="7"/>
  <c r="G2594" i="7"/>
  <c r="E2597" i="7"/>
  <c r="E2596" i="7" s="1"/>
  <c r="F2597" i="7"/>
  <c r="F2596" i="7" s="1"/>
  <c r="H2597" i="7"/>
  <c r="G2598" i="7"/>
  <c r="E2601" i="7"/>
  <c r="E2600" i="7" s="1"/>
  <c r="F2601" i="7"/>
  <c r="H2601" i="7"/>
  <c r="G2602" i="7"/>
  <c r="E2605" i="7"/>
  <c r="F2605" i="7"/>
  <c r="H2605" i="7"/>
  <c r="G2606" i="7"/>
  <c r="E2607" i="7"/>
  <c r="F2607" i="7"/>
  <c r="H2607" i="7"/>
  <c r="G2608" i="7"/>
  <c r="F2610" i="7"/>
  <c r="G2610" i="7" s="1"/>
  <c r="E2611" i="7"/>
  <c r="E2610" i="7" s="1"/>
  <c r="F2611" i="7"/>
  <c r="G2611" i="7" s="1"/>
  <c r="H2611" i="7"/>
  <c r="H2610" i="7" s="1"/>
  <c r="G2612" i="7"/>
  <c r="E2615" i="7"/>
  <c r="F2615" i="7"/>
  <c r="G2616" i="7"/>
  <c r="E2617" i="7"/>
  <c r="F2617" i="7"/>
  <c r="G2618" i="7"/>
  <c r="E2621" i="7"/>
  <c r="E2620" i="7" s="1"/>
  <c r="F2621" i="7"/>
  <c r="H2621" i="7"/>
  <c r="H2620" i="7" s="1"/>
  <c r="G2622" i="7"/>
  <c r="E2625" i="7"/>
  <c r="F2625" i="7"/>
  <c r="G2625" i="7" s="1"/>
  <c r="H2625" i="7"/>
  <c r="G2626" i="7"/>
  <c r="G2627" i="7"/>
  <c r="E2628" i="7"/>
  <c r="F2628" i="7"/>
  <c r="G2628" i="7"/>
  <c r="H2628" i="7"/>
  <c r="G2629" i="7"/>
  <c r="E2630" i="7"/>
  <c r="F2630" i="7"/>
  <c r="G2631" i="7"/>
  <c r="G2632" i="7"/>
  <c r="G2633" i="7"/>
  <c r="E2634" i="7"/>
  <c r="G2634" i="7" s="1"/>
  <c r="F2634" i="7"/>
  <c r="G2635" i="7"/>
  <c r="E2638" i="7"/>
  <c r="F2638" i="7"/>
  <c r="G2638" i="7" s="1"/>
  <c r="G2639" i="7"/>
  <c r="E2640" i="7"/>
  <c r="F2640" i="7"/>
  <c r="H2640" i="7"/>
  <c r="G2641" i="7"/>
  <c r="H2643" i="7"/>
  <c r="E2644" i="7"/>
  <c r="E2647" i="7"/>
  <c r="F2647" i="7"/>
  <c r="G2648" i="7"/>
  <c r="E2649" i="7"/>
  <c r="F2649" i="7"/>
  <c r="G2650" i="7"/>
  <c r="E2651" i="7"/>
  <c r="F2651" i="7"/>
  <c r="G2651" i="7" s="1"/>
  <c r="G2652" i="7"/>
  <c r="E2653" i="7"/>
  <c r="G2653" i="7" s="1"/>
  <c r="F2653" i="7"/>
  <c r="G2654" i="7"/>
  <c r="G2655" i="7"/>
  <c r="E2659" i="7"/>
  <c r="F2660" i="7"/>
  <c r="F2659" i="7" s="1"/>
  <c r="G2659" i="7" s="1"/>
  <c r="H2659" i="7" s="1"/>
  <c r="G2660" i="7"/>
  <c r="H2660" i="7" s="1"/>
  <c r="E2661" i="7"/>
  <c r="F2662" i="7"/>
  <c r="G2663" i="7"/>
  <c r="H2663" i="7" s="1"/>
  <c r="E2664" i="7"/>
  <c r="F2665" i="7"/>
  <c r="G2665" i="7" s="1"/>
  <c r="H2665" i="7" s="1"/>
  <c r="G2666" i="7"/>
  <c r="H2666" i="7" s="1"/>
  <c r="E2667" i="7"/>
  <c r="F2668" i="7"/>
  <c r="F2667" i="7" s="1"/>
  <c r="E2669" i="7"/>
  <c r="G2670" i="7"/>
  <c r="H2670" i="7" s="1"/>
  <c r="F2671" i="7"/>
  <c r="F2669" i="7" s="1"/>
  <c r="G2669" i="7" s="1"/>
  <c r="H2673" i="7"/>
  <c r="E2674" i="7"/>
  <c r="F2674" i="7"/>
  <c r="G2675" i="7"/>
  <c r="E2676" i="7"/>
  <c r="G2676" i="7" s="1"/>
  <c r="F2676" i="7"/>
  <c r="G2677" i="7"/>
  <c r="E2678" i="7"/>
  <c r="F2678" i="7"/>
  <c r="G2678" i="7" s="1"/>
  <c r="G2679" i="7"/>
  <c r="E2680" i="7"/>
  <c r="F2681" i="7"/>
  <c r="G2681" i="7" s="1"/>
  <c r="E2682" i="7"/>
  <c r="F2683" i="7"/>
  <c r="G2683" i="7" s="1"/>
  <c r="E2684" i="7"/>
  <c r="F2685" i="7"/>
  <c r="G2685" i="7" s="1"/>
  <c r="E2686" i="7"/>
  <c r="F2686" i="7"/>
  <c r="F2687" i="7"/>
  <c r="G2687" i="7"/>
  <c r="E2690" i="7"/>
  <c r="F2690" i="7"/>
  <c r="F2689" i="7" s="1"/>
  <c r="G2691" i="7"/>
  <c r="E2694" i="7"/>
  <c r="E2693" i="7" s="1"/>
  <c r="F2694" i="7"/>
  <c r="G2695" i="7"/>
  <c r="H2697" i="7"/>
  <c r="E2698" i="7"/>
  <c r="F2699" i="7"/>
  <c r="F2698" i="7" s="1"/>
  <c r="E2700" i="7"/>
  <c r="F2700" i="7"/>
  <c r="G2701" i="7"/>
  <c r="E2704" i="7"/>
  <c r="E2703" i="7" s="1"/>
  <c r="F2704" i="7"/>
  <c r="F2703" i="7" s="1"/>
  <c r="G2705" i="7"/>
  <c r="E2708" i="7"/>
  <c r="E2707" i="7" s="1"/>
  <c r="F2708" i="7"/>
  <c r="F2707" i="7" s="1"/>
  <c r="G2709" i="7"/>
  <c r="E2712" i="7"/>
  <c r="E2711" i="7" s="1"/>
  <c r="F2712" i="7"/>
  <c r="F2711" i="7" s="1"/>
  <c r="G2713" i="7"/>
  <c r="H2713" i="7" s="1"/>
  <c r="E2715" i="7"/>
  <c r="E2716" i="7"/>
  <c r="F2716" i="7"/>
  <c r="F2715" i="7" s="1"/>
  <c r="G2717" i="7"/>
  <c r="E2720" i="7"/>
  <c r="E2719" i="7" s="1"/>
  <c r="F2720" i="7"/>
  <c r="G2721" i="7"/>
  <c r="G2722" i="7"/>
  <c r="H2722" i="7" s="1"/>
  <c r="E2725" i="7"/>
  <c r="E2724" i="7" s="1"/>
  <c r="F2725" i="7"/>
  <c r="F2724" i="7" s="1"/>
  <c r="G2726" i="7"/>
  <c r="E2729" i="7"/>
  <c r="E2728" i="7" s="1"/>
  <c r="F2730" i="7"/>
  <c r="H2732" i="7"/>
  <c r="E2733" i="7"/>
  <c r="F2733" i="7"/>
  <c r="G2734" i="7"/>
  <c r="E2735" i="7"/>
  <c r="E2732" i="7" s="1"/>
  <c r="F2735" i="7"/>
  <c r="G2735" i="7" s="1"/>
  <c r="G2736" i="7"/>
  <c r="E2739" i="7"/>
  <c r="E2738" i="7" s="1"/>
  <c r="F2739" i="7"/>
  <c r="F2738" i="7" s="1"/>
  <c r="G2740" i="7"/>
  <c r="E2743" i="7"/>
  <c r="E2742" i="7" s="1"/>
  <c r="F2743" i="7"/>
  <c r="F2742" i="7" s="1"/>
  <c r="F2744" i="7"/>
  <c r="G2744" i="7"/>
  <c r="H2744" i="7" s="1"/>
  <c r="E2747" i="7"/>
  <c r="E2746" i="7" s="1"/>
  <c r="F2748" i="7"/>
  <c r="E2751" i="7"/>
  <c r="F2751" i="7"/>
  <c r="F2750" i="7" s="1"/>
  <c r="F2752" i="7"/>
  <c r="G2752" i="7"/>
  <c r="G2753" i="7"/>
  <c r="H2753" i="7" s="1"/>
  <c r="E2756" i="7"/>
  <c r="F2756" i="7"/>
  <c r="G2757" i="7"/>
  <c r="H2757" i="7" s="1"/>
  <c r="E2758" i="7"/>
  <c r="F2758" i="7"/>
  <c r="G2759" i="7"/>
  <c r="H2759" i="7" s="1"/>
  <c r="G2760" i="7"/>
  <c r="H2760" i="7" s="1"/>
  <c r="G2761" i="7"/>
  <c r="H2761" i="7" s="1"/>
  <c r="G2762" i="7"/>
  <c r="H2762" i="7" s="1"/>
  <c r="E2763" i="7"/>
  <c r="F2763" i="7"/>
  <c r="G2764" i="7"/>
  <c r="H2764" i="7" s="1"/>
  <c r="G2765" i="7"/>
  <c r="H2765" i="7" s="1"/>
  <c r="E2766" i="7"/>
  <c r="F2766" i="7"/>
  <c r="G2767" i="7"/>
  <c r="H2767" i="7" s="1"/>
  <c r="E2768" i="7"/>
  <c r="F2768" i="7"/>
  <c r="G2769" i="7"/>
  <c r="H2769" i="7" s="1"/>
  <c r="E2770" i="7"/>
  <c r="F2770" i="7"/>
  <c r="G2771" i="7"/>
  <c r="H2771" i="7" s="1"/>
  <c r="E2772" i="7"/>
  <c r="F2772" i="7"/>
  <c r="G2773" i="7"/>
  <c r="H2773" i="7" s="1"/>
  <c r="G2774" i="7"/>
  <c r="H2774" i="7" s="1"/>
  <c r="G2775" i="7"/>
  <c r="H2775" i="7" s="1"/>
  <c r="E2778" i="7"/>
  <c r="E2777" i="7" s="1"/>
  <c r="F2778" i="7"/>
  <c r="G2778" i="7" s="1"/>
  <c r="G2779" i="7"/>
  <c r="G2780" i="7"/>
  <c r="H2780" i="7" s="1"/>
  <c r="E2783" i="7"/>
  <c r="E2782" i="7" s="1"/>
  <c r="H2783" i="7"/>
  <c r="H2782" i="7" s="1"/>
  <c r="F2784" i="7"/>
  <c r="G2784" i="7" s="1"/>
  <c r="F2785" i="7"/>
  <c r="F2783" i="7" s="1"/>
  <c r="F2782" i="7" s="1"/>
  <c r="G2785" i="7"/>
  <c r="H2785" i="7" s="1"/>
  <c r="E2789" i="7"/>
  <c r="F2789" i="7"/>
  <c r="G2791" i="7"/>
  <c r="E2792" i="7"/>
  <c r="F2792" i="7"/>
  <c r="G2792" i="7" s="1"/>
  <c r="H2792" i="7"/>
  <c r="H2788" i="7" s="1"/>
  <c r="G2793" i="7"/>
  <c r="E2798" i="7"/>
  <c r="E2797" i="7" s="1"/>
  <c r="F2798" i="7"/>
  <c r="F2797" i="7" s="1"/>
  <c r="E2802" i="7"/>
  <c r="F2802" i="7"/>
  <c r="H2802" i="7"/>
  <c r="H2803" i="7"/>
  <c r="E2804" i="7"/>
  <c r="F2804" i="7"/>
  <c r="H2804" i="7"/>
  <c r="H2805" i="7"/>
  <c r="E2806" i="7"/>
  <c r="F2806" i="7"/>
  <c r="H2806" i="7"/>
  <c r="H2807" i="7"/>
  <c r="E2808" i="7"/>
  <c r="F2808" i="7"/>
  <c r="H2808" i="7"/>
  <c r="H2809" i="7"/>
  <c r="E2812" i="7"/>
  <c r="F2812" i="7"/>
  <c r="G2812" i="7"/>
  <c r="H2812" i="7" s="1"/>
  <c r="G2813" i="7"/>
  <c r="H2813" i="7" s="1"/>
  <c r="E2814" i="7"/>
  <c r="F2814" i="7"/>
  <c r="F2811" i="7" s="1"/>
  <c r="G2814" i="7"/>
  <c r="H2814" i="7" s="1"/>
  <c r="G2815" i="7"/>
  <c r="H2815" i="7"/>
  <c r="E2818" i="7"/>
  <c r="E2817" i="7" s="1"/>
  <c r="F2818" i="7"/>
  <c r="F2817" i="7" s="1"/>
  <c r="E2822" i="7"/>
  <c r="E2821" i="7" s="1"/>
  <c r="F2822" i="7"/>
  <c r="F2821" i="7" s="1"/>
  <c r="E2826" i="7"/>
  <c r="E2825" i="7" s="1"/>
  <c r="F2826" i="7"/>
  <c r="F2825" i="7" s="1"/>
  <c r="G2826" i="7"/>
  <c r="G2825" i="7" s="1"/>
  <c r="H2825" i="7" s="1"/>
  <c r="E2832" i="7"/>
  <c r="E2831" i="7" s="1"/>
  <c r="F2832" i="7"/>
  <c r="F2831" i="7" s="1"/>
  <c r="H2832" i="7"/>
  <c r="H2831" i="7" s="1"/>
  <c r="E2840" i="7"/>
  <c r="E2839" i="7" s="1"/>
  <c r="F2840" i="7"/>
  <c r="F2839" i="7" s="1"/>
  <c r="E2845" i="7"/>
  <c r="F2845" i="7"/>
  <c r="G2846" i="7"/>
  <c r="H2846" i="7" s="1"/>
  <c r="E2847" i="7"/>
  <c r="F2847" i="7"/>
  <c r="G2848" i="7"/>
  <c r="H2848" i="7" s="1"/>
  <c r="G2849" i="7"/>
  <c r="G2850" i="7"/>
  <c r="H2850" i="7" s="1"/>
  <c r="G2851" i="7"/>
  <c r="G2852" i="7"/>
  <c r="H2852" i="7" s="1"/>
  <c r="G2853" i="7"/>
  <c r="E2854" i="7"/>
  <c r="F2854" i="7"/>
  <c r="G2855" i="7"/>
  <c r="E2856" i="7"/>
  <c r="F2856" i="7"/>
  <c r="G2857" i="7"/>
  <c r="E2860" i="7"/>
  <c r="F2860" i="7"/>
  <c r="G2860" i="7"/>
  <c r="G2861" i="7"/>
  <c r="E2862" i="7"/>
  <c r="F2862" i="7"/>
  <c r="G2862" i="7" s="1"/>
  <c r="G2863" i="7"/>
  <c r="H2863" i="7" s="1"/>
  <c r="G2864" i="7"/>
  <c r="G2865" i="7"/>
  <c r="H2865" i="7" s="1"/>
  <c r="G2866" i="7"/>
  <c r="E2867" i="7"/>
  <c r="F2867" i="7"/>
  <c r="G2868" i="7"/>
  <c r="E2869" i="7"/>
  <c r="F2869" i="7"/>
  <c r="G2870" i="7"/>
  <c r="H2870" i="7"/>
  <c r="E2871" i="7"/>
  <c r="F2871" i="7"/>
  <c r="G2871" i="7"/>
  <c r="H2871" i="7" s="1"/>
  <c r="G2872" i="7"/>
  <c r="H2872" i="7" s="1"/>
  <c r="E2873" i="7"/>
  <c r="F2873" i="7"/>
  <c r="G2873" i="7" s="1"/>
  <c r="H2873" i="7" s="1"/>
  <c r="G2874" i="7"/>
  <c r="H2874" i="7" s="1"/>
  <c r="G2875" i="7"/>
  <c r="H2875" i="7" s="1"/>
  <c r="E2878" i="7"/>
  <c r="E2877" i="7" s="1"/>
  <c r="F2878" i="7"/>
  <c r="F2877" i="7" s="1"/>
  <c r="H2878" i="7"/>
  <c r="H2877" i="7" s="1"/>
  <c r="G2879" i="7"/>
  <c r="G2880" i="7"/>
  <c r="E2883" i="7"/>
  <c r="E2882" i="7" s="1"/>
  <c r="F2883" i="7"/>
  <c r="F2882" i="7" s="1"/>
  <c r="G2883" i="7"/>
  <c r="G2884" i="7"/>
  <c r="E2887" i="7"/>
  <c r="E2886" i="7" s="1"/>
  <c r="F2887" i="7"/>
  <c r="F2886" i="7" s="1"/>
  <c r="G2888" i="7"/>
  <c r="E2891" i="7"/>
  <c r="G2891" i="7" s="1"/>
  <c r="H2891" i="7" s="1"/>
  <c r="F2891" i="7"/>
  <c r="F2890" i="7" s="1"/>
  <c r="G2892" i="7"/>
  <c r="H2892" i="7" s="1"/>
  <c r="E2895" i="7"/>
  <c r="E2894" i="7" s="1"/>
  <c r="F2895" i="7"/>
  <c r="F2894" i="7" s="1"/>
  <c r="G2896" i="7"/>
  <c r="H2896" i="7" s="1"/>
  <c r="E2898" i="7"/>
  <c r="E2899" i="7"/>
  <c r="F2899" i="7"/>
  <c r="G2900" i="7"/>
  <c r="E2903" i="7"/>
  <c r="F2903" i="7"/>
  <c r="G2904" i="7"/>
  <c r="E2905" i="7"/>
  <c r="F2905" i="7"/>
  <c r="G2905" i="7" s="1"/>
  <c r="G2906" i="7"/>
  <c r="E2909" i="7"/>
  <c r="E2908" i="7" s="1"/>
  <c r="F2909" i="7"/>
  <c r="G2910" i="7"/>
  <c r="E2913" i="7"/>
  <c r="F2913" i="7"/>
  <c r="F2912" i="7" s="1"/>
  <c r="G2914" i="7"/>
  <c r="E2918" i="7"/>
  <c r="F2918" i="7"/>
  <c r="G2919" i="7"/>
  <c r="G2920" i="7"/>
  <c r="E2921" i="7"/>
  <c r="H2921" i="7"/>
  <c r="H2917" i="7" s="1"/>
  <c r="G2922" i="7"/>
  <c r="G2923" i="7"/>
  <c r="G2924" i="7"/>
  <c r="G2925" i="7"/>
  <c r="G2926" i="7"/>
  <c r="F2927" i="7"/>
  <c r="F2921" i="7" s="1"/>
  <c r="G2928" i="7"/>
  <c r="G2929" i="7"/>
  <c r="E2930" i="7"/>
  <c r="F2930" i="7"/>
  <c r="G2931" i="7"/>
  <c r="E2932" i="7"/>
  <c r="F2932" i="7"/>
  <c r="G2933" i="7"/>
  <c r="E2936" i="7"/>
  <c r="F2936" i="7"/>
  <c r="G2937" i="7"/>
  <c r="E2938" i="7"/>
  <c r="H2938" i="7"/>
  <c r="G2939" i="7"/>
  <c r="G2940" i="7"/>
  <c r="F2941" i="7"/>
  <c r="G2942" i="7"/>
  <c r="E2943" i="7"/>
  <c r="F2943" i="7"/>
  <c r="G2944" i="7"/>
  <c r="E2945" i="7"/>
  <c r="F2945" i="7"/>
  <c r="H2945" i="7"/>
  <c r="G2946" i="7"/>
  <c r="G2947" i="7"/>
  <c r="G2948" i="7"/>
  <c r="G2949" i="7"/>
  <c r="E2950" i="7"/>
  <c r="F2950" i="7"/>
  <c r="H2950" i="7"/>
  <c r="G2951" i="7"/>
  <c r="G2952" i="7"/>
  <c r="G2953" i="7"/>
  <c r="E2954" i="7"/>
  <c r="F2954" i="7"/>
  <c r="H2954" i="7"/>
  <c r="G2955" i="7"/>
  <c r="G2956" i="7"/>
  <c r="E2957" i="7"/>
  <c r="F2957" i="7"/>
  <c r="H2957" i="7"/>
  <c r="G2958" i="7"/>
  <c r="G2959" i="7"/>
  <c r="G2960" i="7"/>
  <c r="E2961" i="7"/>
  <c r="G2961" i="7" s="1"/>
  <c r="G2962" i="7"/>
  <c r="E2963" i="7"/>
  <c r="F2963" i="7"/>
  <c r="G2964" i="7"/>
  <c r="H2964" i="7" s="1"/>
  <c r="E2965" i="7"/>
  <c r="F2965" i="7"/>
  <c r="G2966" i="7"/>
  <c r="E2967" i="7"/>
  <c r="F2967" i="7"/>
  <c r="H2967" i="7"/>
  <c r="G2968" i="7"/>
  <c r="G2969" i="7"/>
  <c r="G2970" i="7"/>
  <c r="G2972" i="7"/>
  <c r="E2973" i="7"/>
  <c r="G2973" i="7" s="1"/>
  <c r="G2974" i="7"/>
  <c r="G2975" i="7"/>
  <c r="G2977" i="7"/>
  <c r="E2978" i="7"/>
  <c r="F2978" i="7"/>
  <c r="G2978" i="7" s="1"/>
  <c r="G2979" i="7"/>
  <c r="G2980" i="7"/>
  <c r="E2983" i="7"/>
  <c r="F2983" i="7"/>
  <c r="F2982" i="7" s="1"/>
  <c r="G2982" i="7" s="1"/>
  <c r="G2984" i="7"/>
  <c r="E2987" i="7"/>
  <c r="F2987" i="7"/>
  <c r="G2988" i="7"/>
  <c r="E2991" i="7"/>
  <c r="F2991" i="7"/>
  <c r="F2990" i="7" s="1"/>
  <c r="G2992" i="7"/>
  <c r="E2995" i="7"/>
  <c r="E2994" i="7" s="1"/>
  <c r="F2995" i="7"/>
  <c r="F2994" i="7" s="1"/>
  <c r="G2996" i="7"/>
  <c r="G2998" i="7"/>
  <c r="E2999" i="7"/>
  <c r="G2999" i="7" s="1"/>
  <c r="G3000" i="7"/>
  <c r="G3002" i="7"/>
  <c r="E3003" i="7"/>
  <c r="F3003" i="7"/>
  <c r="G3004" i="7"/>
  <c r="G3005" i="7"/>
  <c r="G3007" i="7"/>
  <c r="E3008" i="7"/>
  <c r="F3008" i="7"/>
  <c r="G3009" i="7"/>
  <c r="H3012" i="7"/>
  <c r="E3013" i="7"/>
  <c r="F3013" i="7"/>
  <c r="G3014" i="7"/>
  <c r="G3015" i="7"/>
  <c r="E3016" i="7"/>
  <c r="F3016" i="7"/>
  <c r="G3017" i="7"/>
  <c r="G3018" i="7"/>
  <c r="E3019" i="7"/>
  <c r="E3012" i="7" s="1"/>
  <c r="G3020" i="7"/>
  <c r="E3022" i="7"/>
  <c r="E3021" i="7" s="1"/>
  <c r="F3022" i="7"/>
  <c r="F3021" i="7" s="1"/>
  <c r="E3024" i="7"/>
  <c r="F3024" i="7"/>
  <c r="H3024" i="7"/>
  <c r="H3021" i="7" s="1"/>
  <c r="E3046" i="7"/>
  <c r="F3046" i="7"/>
  <c r="G3047" i="7"/>
  <c r="H3047" i="7" s="1"/>
  <c r="G3048" i="7"/>
  <c r="H3048" i="7" s="1"/>
  <c r="G3049" i="7"/>
  <c r="H3049" i="7" s="1"/>
  <c r="G3050" i="7"/>
  <c r="G3051" i="7"/>
  <c r="G3052" i="7"/>
  <c r="E3053" i="7"/>
  <c r="F3053" i="7"/>
  <c r="G3054" i="7"/>
  <c r="H3054" i="7" s="1"/>
  <c r="G3055" i="7"/>
  <c r="H3055" i="7" s="1"/>
  <c r="G3056" i="7"/>
  <c r="G3057" i="7"/>
  <c r="G3058" i="7"/>
  <c r="G3059" i="7"/>
  <c r="H3059" i="7" s="1"/>
  <c r="G3060" i="7"/>
  <c r="G3061" i="7"/>
  <c r="H3061" i="7" s="1"/>
  <c r="G3062" i="7"/>
  <c r="H3062" i="7" s="1"/>
  <c r="G3063" i="7"/>
  <c r="H3063" i="7" s="1"/>
  <c r="G3064" i="7"/>
  <c r="H3064" i="7" s="1"/>
  <c r="G3065" i="7"/>
  <c r="G3066" i="7"/>
  <c r="G3067" i="7"/>
  <c r="G3068" i="7"/>
  <c r="H3068" i="7" s="1"/>
  <c r="E3069" i="7"/>
  <c r="F3069" i="7"/>
  <c r="G3069" i="7" s="1"/>
  <c r="G3070" i="7"/>
  <c r="H3070" i="7" s="1"/>
  <c r="G3071" i="7"/>
  <c r="H3071" i="7" s="1"/>
  <c r="G3072" i="7"/>
  <c r="G3073" i="7"/>
  <c r="G3074" i="7"/>
  <c r="H3074" i="7" s="1"/>
  <c r="G3075" i="7"/>
  <c r="H3075" i="7" s="1"/>
  <c r="G3076" i="7"/>
  <c r="E3077" i="7"/>
  <c r="F3077" i="7"/>
  <c r="G3078" i="7"/>
  <c r="H3078" i="7" s="1"/>
  <c r="G3079" i="7"/>
  <c r="H3079" i="7" s="1"/>
  <c r="G3080" i="7"/>
  <c r="H3080" i="7" s="1"/>
  <c r="E3081" i="7"/>
  <c r="F3081" i="7"/>
  <c r="G3082" i="7"/>
  <c r="H3082" i="7" s="1"/>
  <c r="H3084" i="7"/>
  <c r="E3085" i="7"/>
  <c r="F3085" i="7"/>
  <c r="G3086" i="7"/>
  <c r="E3087" i="7"/>
  <c r="F3087" i="7"/>
  <c r="G3088" i="7"/>
  <c r="H3088" i="7" s="1"/>
  <c r="G3089" i="7"/>
  <c r="H3089" i="7" s="1"/>
  <c r="E3090" i="7"/>
  <c r="F3090" i="7"/>
  <c r="G3090" i="7" s="1"/>
  <c r="H3090" i="7" s="1"/>
  <c r="G3091" i="7"/>
  <c r="H3091" i="7" s="1"/>
  <c r="E3092" i="7"/>
  <c r="F3092" i="7"/>
  <c r="G3093" i="7"/>
  <c r="H3093" i="7" s="1"/>
  <c r="E3094" i="7"/>
  <c r="F3094" i="7"/>
  <c r="G3094" i="7" s="1"/>
  <c r="H3094" i="7" s="1"/>
  <c r="G3095" i="7"/>
  <c r="H3095" i="7" s="1"/>
  <c r="E3098" i="7"/>
  <c r="E3097" i="7" s="1"/>
  <c r="H3098" i="7"/>
  <c r="H3097" i="7" s="1"/>
  <c r="F3099" i="7"/>
  <c r="F3098" i="7" s="1"/>
  <c r="F3097" i="7" s="1"/>
  <c r="G3100" i="7"/>
  <c r="E3103" i="7"/>
  <c r="E3102" i="7" s="1"/>
  <c r="F3103" i="7"/>
  <c r="F3102" i="7" s="1"/>
  <c r="G3104" i="7"/>
  <c r="E3107" i="7"/>
  <c r="E3106" i="7" s="1"/>
  <c r="F3107" i="7"/>
  <c r="F3106" i="7" s="1"/>
  <c r="G3108" i="7"/>
  <c r="E3111" i="7"/>
  <c r="E3110" i="7" s="1"/>
  <c r="F3111" i="7"/>
  <c r="F3110" i="7" s="1"/>
  <c r="G3112" i="7"/>
  <c r="E3115" i="7"/>
  <c r="E3114" i="7" s="1"/>
  <c r="F3115" i="7"/>
  <c r="G3116" i="7"/>
  <c r="H3116" i="7" s="1"/>
  <c r="E3119" i="7"/>
  <c r="F3119" i="7"/>
  <c r="G3120" i="7"/>
  <c r="H3120" i="7" s="1"/>
  <c r="E3121" i="7"/>
  <c r="F3121" i="7"/>
  <c r="G3122" i="7"/>
  <c r="H3122" i="7" s="1"/>
  <c r="E3125" i="7"/>
  <c r="F3125" i="7"/>
  <c r="H3125" i="7"/>
  <c r="G3126" i="7"/>
  <c r="H3126" i="7" s="1"/>
  <c r="G3127" i="7"/>
  <c r="H3127" i="7" s="1"/>
  <c r="G3128" i="7"/>
  <c r="H3128" i="7" s="1"/>
  <c r="E3129" i="7"/>
  <c r="F3129" i="7"/>
  <c r="G3130" i="7"/>
  <c r="H3130" i="7" s="1"/>
  <c r="G3131" i="7"/>
  <c r="H3131" i="7" s="1"/>
  <c r="G3132" i="7"/>
  <c r="H3132" i="7" s="1"/>
  <c r="G3133" i="7"/>
  <c r="H3133" i="7" s="1"/>
  <c r="E3134" i="7"/>
  <c r="F3134" i="7"/>
  <c r="G3135" i="7"/>
  <c r="H3135" i="7" s="1"/>
  <c r="E3138" i="7"/>
  <c r="F3138" i="7"/>
  <c r="G3139" i="7"/>
  <c r="E3140" i="7"/>
  <c r="F3140" i="7"/>
  <c r="G3141" i="7"/>
  <c r="H3141" i="7" s="1"/>
  <c r="E3144" i="7"/>
  <c r="E3143" i="7" s="1"/>
  <c r="F3145" i="7"/>
  <c r="F3144" i="7" s="1"/>
  <c r="F3143" i="7" s="1"/>
  <c r="G3145" i="7"/>
  <c r="E3148" i="7"/>
  <c r="E3147" i="7" s="1"/>
  <c r="F3148" i="7"/>
  <c r="G3149" i="7"/>
  <c r="E3152" i="7"/>
  <c r="E3151" i="7" s="1"/>
  <c r="F3152" i="7"/>
  <c r="F3151" i="7" s="1"/>
  <c r="G3153" i="7"/>
  <c r="E3156" i="7"/>
  <c r="F3156" i="7"/>
  <c r="G3157" i="7"/>
  <c r="H3157" i="7" s="1"/>
  <c r="G3158" i="7"/>
  <c r="H3158" i="7" s="1"/>
  <c r="E3159" i="7"/>
  <c r="F3159" i="7"/>
  <c r="G3159" i="7" s="1"/>
  <c r="H3159" i="7" s="1"/>
  <c r="G3160" i="7"/>
  <c r="H3160" i="7" s="1"/>
  <c r="E3163" i="7"/>
  <c r="E3162" i="7" s="1"/>
  <c r="F3163" i="7"/>
  <c r="F3162" i="7" s="1"/>
  <c r="H3163" i="7"/>
  <c r="H3162" i="7" s="1"/>
  <c r="G3164" i="7"/>
  <c r="H3164" i="7" s="1"/>
  <c r="G3165" i="7"/>
  <c r="E3168" i="7"/>
  <c r="F3168" i="7"/>
  <c r="G3168" i="7" s="1"/>
  <c r="H3168" i="7"/>
  <c r="G3169" i="7"/>
  <c r="G3170" i="7"/>
  <c r="H3170" i="7" s="1"/>
  <c r="G3171" i="7"/>
  <c r="E3172" i="7"/>
  <c r="F3172" i="7"/>
  <c r="G3172" i="7" s="1"/>
  <c r="H3172" i="7" s="1"/>
  <c r="G3173" i="7"/>
  <c r="H3173" i="7" s="1"/>
  <c r="G3174" i="7"/>
  <c r="H3174" i="7" s="1"/>
  <c r="E3175" i="7"/>
  <c r="F3175" i="7"/>
  <c r="G3176" i="7"/>
  <c r="H3176" i="7" s="1"/>
  <c r="G3177" i="7"/>
  <c r="E3178" i="7"/>
  <c r="F3178" i="7"/>
  <c r="G3179" i="7"/>
  <c r="G3180" i="7"/>
  <c r="E3183" i="7"/>
  <c r="F3183" i="7"/>
  <c r="G3184" i="7"/>
  <c r="H3184" i="7" s="1"/>
  <c r="G3185" i="7"/>
  <c r="H3185" i="7" s="1"/>
  <c r="E3186" i="7"/>
  <c r="F3186" i="7"/>
  <c r="G3187" i="7"/>
  <c r="H3187" i="7" s="1"/>
  <c r="E3188" i="7"/>
  <c r="F3188" i="7"/>
  <c r="G3189" i="7"/>
  <c r="H3189" i="7" s="1"/>
  <c r="G3190" i="7"/>
  <c r="H3190" i="7" s="1"/>
  <c r="G3191" i="7"/>
  <c r="H3191" i="7" s="1"/>
  <c r="G3192" i="7"/>
  <c r="H3192" i="7" s="1"/>
  <c r="E3193" i="7"/>
  <c r="F3193" i="7"/>
  <c r="G3193" i="7" s="1"/>
  <c r="H3193" i="7" s="1"/>
  <c r="G3194" i="7"/>
  <c r="H3194" i="7" s="1"/>
  <c r="E3195" i="7"/>
  <c r="F3195" i="7"/>
  <c r="G3196" i="7"/>
  <c r="H3196" i="7" s="1"/>
  <c r="G3197" i="7"/>
  <c r="H3197" i="7" s="1"/>
  <c r="G3198" i="7"/>
  <c r="H3198" i="7" s="1"/>
  <c r="G3199" i="7"/>
  <c r="H3199" i="7" s="1"/>
  <c r="E3202" i="7"/>
  <c r="F3203" i="7"/>
  <c r="G3204" i="7"/>
  <c r="H3204" i="7" s="1"/>
  <c r="E3205" i="7"/>
  <c r="H3205" i="7"/>
  <c r="H3201" i="7" s="1"/>
  <c r="F3206" i="7"/>
  <c r="F3205" i="7" s="1"/>
  <c r="G3207" i="7"/>
  <c r="H3207" i="7" s="1"/>
  <c r="H3209" i="7"/>
  <c r="E3210" i="7"/>
  <c r="F3210" i="7"/>
  <c r="G3211" i="7"/>
  <c r="H3211" i="7" s="1"/>
  <c r="E3212" i="7"/>
  <c r="F3212" i="7"/>
  <c r="G3213" i="7"/>
  <c r="H3213" i="7" s="1"/>
  <c r="E3214" i="7"/>
  <c r="F3214" i="7"/>
  <c r="G3215" i="7"/>
  <c r="H3215" i="7" s="1"/>
  <c r="E3219" i="7"/>
  <c r="F3219" i="7"/>
  <c r="H3219" i="7"/>
  <c r="G3220" i="7"/>
  <c r="E3221" i="7"/>
  <c r="F3221" i="7"/>
  <c r="G3221" i="7"/>
  <c r="H3221" i="7"/>
  <c r="G3222" i="7"/>
  <c r="G3223" i="7"/>
  <c r="G3224" i="7"/>
  <c r="G3225" i="7"/>
  <c r="E3226" i="7"/>
  <c r="F3226" i="7"/>
  <c r="H3226" i="7"/>
  <c r="G3227" i="7"/>
  <c r="E3230" i="7"/>
  <c r="F3230" i="7"/>
  <c r="H3230" i="7"/>
  <c r="H3229" i="7" s="1"/>
  <c r="G3231" i="7"/>
  <c r="E3232" i="7"/>
  <c r="F3232" i="7"/>
  <c r="G3232" i="7"/>
  <c r="H3232" i="7"/>
  <c r="G3233" i="7"/>
  <c r="E3234" i="7"/>
  <c r="F3234" i="7"/>
  <c r="G3234" i="7" s="1"/>
  <c r="H3234" i="7"/>
  <c r="G3235" i="7"/>
  <c r="G3236" i="7"/>
  <c r="F3237" i="7"/>
  <c r="G3237" i="7" s="1"/>
  <c r="H3237" i="7"/>
  <c r="G3238" i="7"/>
  <c r="E3241" i="7"/>
  <c r="F3241" i="7"/>
  <c r="H3241" i="7"/>
  <c r="G3242" i="7"/>
  <c r="E3243" i="7"/>
  <c r="F3243" i="7"/>
  <c r="G3243" i="7" s="1"/>
  <c r="H3243" i="7"/>
  <c r="G3244" i="7"/>
  <c r="E3247" i="7"/>
  <c r="F3247" i="7"/>
  <c r="H3247" i="7"/>
  <c r="G3248" i="7"/>
  <c r="G3249" i="7"/>
  <c r="E3250" i="7"/>
  <c r="F3250" i="7"/>
  <c r="H3250" i="7"/>
  <c r="G3251" i="7"/>
  <c r="E3252" i="7"/>
  <c r="F3252" i="7"/>
  <c r="H3252" i="7"/>
  <c r="G3253" i="7"/>
  <c r="E3256" i="7"/>
  <c r="E3255" i="7" s="1"/>
  <c r="F3256" i="7"/>
  <c r="F3255" i="7" s="1"/>
  <c r="H3256" i="7"/>
  <c r="H3255" i="7" s="1"/>
  <c r="G3257" i="7"/>
  <c r="E3260" i="7"/>
  <c r="F3260" i="7"/>
  <c r="G3260" i="7" s="1"/>
  <c r="H3260" i="7"/>
  <c r="G3261" i="7"/>
  <c r="E3262" i="7"/>
  <c r="F3262" i="7"/>
  <c r="H3262" i="7"/>
  <c r="G3263" i="7"/>
  <c r="E3266" i="7"/>
  <c r="F3266" i="7"/>
  <c r="F3265" i="7" s="1"/>
  <c r="H3266" i="7"/>
  <c r="H3265" i="7" s="1"/>
  <c r="G3267" i="7"/>
  <c r="E3270" i="7"/>
  <c r="F3270" i="7"/>
  <c r="H3270" i="7"/>
  <c r="G3271" i="7"/>
  <c r="E3272" i="7"/>
  <c r="F3272" i="7"/>
  <c r="H3272" i="7"/>
  <c r="G3273" i="7"/>
  <c r="G3274" i="7"/>
  <c r="E3275" i="7"/>
  <c r="G3275" i="7" s="1"/>
  <c r="F3275" i="7"/>
  <c r="H3275" i="7"/>
  <c r="G3276" i="7"/>
  <c r="E3277" i="7"/>
  <c r="F3277" i="7"/>
  <c r="H3277" i="7"/>
  <c r="G3278" i="7"/>
  <c r="E3281" i="7"/>
  <c r="E3280" i="7" s="1"/>
  <c r="F3281" i="7"/>
  <c r="H3281" i="7"/>
  <c r="H3280" i="7" s="1"/>
  <c r="G3282" i="7"/>
  <c r="E3285" i="7"/>
  <c r="F3285" i="7"/>
  <c r="H3285" i="7"/>
  <c r="G3286" i="7"/>
  <c r="E3287" i="7"/>
  <c r="F3287" i="7"/>
  <c r="H3287" i="7"/>
  <c r="G3288" i="7"/>
  <c r="E3289" i="7"/>
  <c r="F3289" i="7"/>
  <c r="H3289" i="7"/>
  <c r="G3290" i="7"/>
  <c r="G3291" i="7"/>
  <c r="G3292" i="7"/>
  <c r="E3293" i="7"/>
  <c r="F3293" i="7"/>
  <c r="H3293" i="7"/>
  <c r="G3294" i="7"/>
  <c r="E3295" i="7"/>
  <c r="F3295" i="7"/>
  <c r="H3295" i="7"/>
  <c r="G3296" i="7"/>
  <c r="E3299" i="7"/>
  <c r="F3299" i="7"/>
  <c r="H3299" i="7"/>
  <c r="G3300" i="7"/>
  <c r="G3301" i="7"/>
  <c r="E3302" i="7"/>
  <c r="F3302" i="7"/>
  <c r="H3302" i="7"/>
  <c r="G3303" i="7"/>
  <c r="E3304" i="7"/>
  <c r="F3304" i="7"/>
  <c r="G3304" i="7" s="1"/>
  <c r="H3304" i="7"/>
  <c r="G3305" i="7"/>
  <c r="E3306" i="7"/>
  <c r="F3306" i="7"/>
  <c r="G3306" i="7" s="1"/>
  <c r="H3306" i="7"/>
  <c r="G3307" i="7"/>
  <c r="E3308" i="7"/>
  <c r="F3308" i="7"/>
  <c r="G3308" i="7" s="1"/>
  <c r="H3308" i="7"/>
  <c r="G3309" i="7"/>
  <c r="G3310" i="7"/>
  <c r="E3313" i="7"/>
  <c r="E3312" i="7" s="1"/>
  <c r="F3313" i="7"/>
  <c r="H3313" i="7"/>
  <c r="G3314" i="7"/>
  <c r="E3315" i="7"/>
  <c r="F3315" i="7"/>
  <c r="H3315" i="7"/>
  <c r="G3316" i="7"/>
  <c r="E3318" i="7"/>
  <c r="F3318" i="7"/>
  <c r="H3318" i="7"/>
  <c r="G3319" i="7"/>
  <c r="G3320" i="7"/>
  <c r="G3321" i="7"/>
  <c r="F3326" i="7"/>
  <c r="F3325" i="7" s="1"/>
  <c r="G3327" i="7"/>
  <c r="F3328" i="7"/>
  <c r="G3328" i="7" s="1"/>
  <c r="G3329" i="7"/>
  <c r="G3330" i="7"/>
  <c r="H3330" i="7"/>
  <c r="H3329" i="7" s="1"/>
  <c r="H3328" i="7" s="1"/>
  <c r="H3324" i="7" s="1"/>
  <c r="G3331" i="7"/>
  <c r="G3332" i="7"/>
  <c r="G3333" i="7"/>
  <c r="G3334" i="7"/>
  <c r="G3335" i="7"/>
  <c r="G3336" i="7"/>
  <c r="G3337" i="7"/>
  <c r="G3338" i="7"/>
  <c r="H3338" i="7" s="1"/>
  <c r="H3335" i="7" s="1"/>
  <c r="G3339" i="7"/>
  <c r="G3340" i="7"/>
  <c r="G3341" i="7"/>
  <c r="G3342" i="7"/>
  <c r="G3343" i="7"/>
  <c r="G3344" i="7"/>
  <c r="G3345" i="7"/>
  <c r="G3346" i="7"/>
  <c r="G3347" i="7"/>
  <c r="G3348" i="7"/>
  <c r="G3349" i="7"/>
  <c r="G3350" i="7"/>
  <c r="G3351" i="7"/>
  <c r="G3352" i="7"/>
  <c r="G3353" i="7"/>
  <c r="H3353" i="7" s="1"/>
  <c r="G3354" i="7"/>
  <c r="G3355" i="7"/>
  <c r="H3355" i="7" s="1"/>
  <c r="G3356" i="7"/>
  <c r="G3357" i="7"/>
  <c r="H3357" i="7" s="1"/>
  <c r="G3358" i="7"/>
  <c r="H3358" i="7" s="1"/>
  <c r="G3359" i="7"/>
  <c r="G3360" i="7"/>
  <c r="G3361" i="7"/>
  <c r="G3362" i="7"/>
  <c r="H3362" i="7" s="1"/>
  <c r="G3363" i="7"/>
  <c r="H3363" i="7" s="1"/>
  <c r="G3364" i="7"/>
  <c r="H3364" i="7" s="1"/>
  <c r="G3365" i="7"/>
  <c r="H3365" i="7" s="1"/>
  <c r="G3366" i="7"/>
  <c r="G3367" i="7"/>
  <c r="G3368" i="7"/>
  <c r="G3369" i="7"/>
  <c r="G3370" i="7"/>
  <c r="H3370" i="7"/>
  <c r="G3371" i="7"/>
  <c r="G3372" i="7"/>
  <c r="G3373" i="7"/>
  <c r="G3374" i="7"/>
  <c r="G3375" i="7"/>
  <c r="G3376" i="7"/>
  <c r="G3377" i="7"/>
  <c r="G3379" i="7"/>
  <c r="H3379" i="7"/>
  <c r="G3380" i="7"/>
  <c r="G3381" i="7"/>
  <c r="G3382" i="7"/>
  <c r="G3383" i="7"/>
  <c r="G3384" i="7"/>
  <c r="G3385" i="7"/>
  <c r="G3386" i="7"/>
  <c r="G3388" i="7"/>
  <c r="G3389" i="7"/>
  <c r="H3389" i="7"/>
  <c r="G3390" i="7"/>
  <c r="G3391" i="7"/>
  <c r="G3392" i="7"/>
  <c r="G3393" i="7"/>
  <c r="G3394" i="7"/>
  <c r="G3395" i="7"/>
  <c r="G3396" i="7"/>
  <c r="H3396" i="7"/>
  <c r="G3397" i="7"/>
  <c r="G3398" i="7"/>
  <c r="G3399" i="7"/>
  <c r="G3400" i="7"/>
  <c r="G3401" i="7"/>
  <c r="G3402" i="7"/>
  <c r="H3402" i="7" s="1"/>
  <c r="H3401" i="7" s="1"/>
  <c r="G3403" i="7"/>
  <c r="G3404" i="7"/>
  <c r="G3405" i="7"/>
  <c r="H3405" i="7"/>
  <c r="G3406" i="7"/>
  <c r="G3407" i="7"/>
  <c r="G3408" i="7"/>
  <c r="G3409" i="7"/>
  <c r="G3410" i="7"/>
  <c r="G3411" i="7"/>
  <c r="G3412" i="7"/>
  <c r="G3413" i="7"/>
  <c r="G3414" i="7"/>
  <c r="G3415" i="7"/>
  <c r="G3416" i="7"/>
  <c r="G3417" i="7"/>
  <c r="G3418" i="7"/>
  <c r="H3418" i="7"/>
  <c r="G3419" i="7"/>
  <c r="G3420" i="7"/>
  <c r="G3421" i="7"/>
  <c r="G3422" i="7"/>
  <c r="H3422" i="7"/>
  <c r="G3423" i="7"/>
  <c r="H3423" i="7" s="1"/>
  <c r="G3424" i="7"/>
  <c r="G3425" i="7"/>
  <c r="G3426" i="7"/>
  <c r="H3426" i="7" s="1"/>
  <c r="G3427" i="7"/>
  <c r="H3427" i="7" s="1"/>
  <c r="G3429" i="7"/>
  <c r="G3430" i="7"/>
  <c r="H3430" i="7"/>
  <c r="G3431" i="7"/>
  <c r="G3432" i="7"/>
  <c r="G3433" i="7"/>
  <c r="G3434" i="7"/>
  <c r="G3435" i="7"/>
  <c r="G3436" i="7"/>
  <c r="G3437" i="7"/>
  <c r="G3438" i="7"/>
  <c r="H3438" i="7" s="1"/>
  <c r="H3433" i="7" s="1"/>
  <c r="G3439" i="7"/>
  <c r="H3439" i="7"/>
  <c r="G3440" i="7"/>
  <c r="G3441" i="7"/>
  <c r="G3443" i="7"/>
  <c r="G3444" i="7"/>
  <c r="H3444" i="7"/>
  <c r="G3445" i="7"/>
  <c r="G3446" i="7"/>
  <c r="G3447" i="7"/>
  <c r="G3448" i="7"/>
  <c r="G3449" i="7"/>
  <c r="H3449" i="7"/>
  <c r="G3450" i="7"/>
  <c r="G3451" i="7"/>
  <c r="G3452" i="7"/>
  <c r="G3453" i="7"/>
  <c r="G3454" i="7"/>
  <c r="G3455" i="7"/>
  <c r="G3456" i="7"/>
  <c r="G3457" i="7"/>
  <c r="G3458" i="7"/>
  <c r="G3459" i="7"/>
  <c r="G3460" i="7"/>
  <c r="G3461" i="7"/>
  <c r="G3462" i="7"/>
  <c r="G3463" i="7"/>
  <c r="G3464" i="7"/>
  <c r="G3465" i="7"/>
  <c r="H3465" i="7"/>
  <c r="G3466" i="7"/>
  <c r="G3467" i="7"/>
  <c r="G3468" i="7"/>
  <c r="G3469" i="7"/>
  <c r="G3470" i="7"/>
  <c r="G3472" i="7"/>
  <c r="G3473" i="7"/>
  <c r="G3474" i="7"/>
  <c r="G3475" i="7"/>
  <c r="H3475" i="7"/>
  <c r="G3476" i="7"/>
  <c r="G3477" i="7"/>
  <c r="G3478" i="7"/>
  <c r="G3479" i="7"/>
  <c r="G3480" i="7"/>
  <c r="G3481" i="7"/>
  <c r="H3481" i="7" s="1"/>
  <c r="H3478" i="7" s="1"/>
  <c r="H3472" i="7" s="1"/>
  <c r="G3482" i="7"/>
  <c r="G3484" i="7"/>
  <c r="G3485" i="7"/>
  <c r="G3486" i="7"/>
  <c r="G3488" i="7"/>
  <c r="G3489" i="7"/>
  <c r="G3490" i="7"/>
  <c r="G3492" i="7"/>
  <c r="G3493" i="7"/>
  <c r="G3494" i="7"/>
  <c r="G3496" i="7"/>
  <c r="G3497" i="7"/>
  <c r="G3498" i="7"/>
  <c r="G3499" i="7"/>
  <c r="G3500" i="7"/>
  <c r="G3501" i="7"/>
  <c r="G3503" i="7"/>
  <c r="G3504" i="7"/>
  <c r="H3504" i="7"/>
  <c r="H3503" i="7" s="1"/>
  <c r="G3505" i="7"/>
  <c r="G3506" i="7"/>
  <c r="G3507" i="7"/>
  <c r="G3508" i="7"/>
  <c r="G3510" i="7"/>
  <c r="G3511" i="7"/>
  <c r="G3512" i="7"/>
  <c r="H3512" i="7" s="1"/>
  <c r="H3511" i="7" s="1"/>
  <c r="G3513" i="7"/>
  <c r="G3514" i="7"/>
  <c r="G3515" i="7"/>
  <c r="G3516" i="7"/>
  <c r="G3517" i="7"/>
  <c r="G3518" i="7"/>
  <c r="G3519" i="7"/>
  <c r="G3520" i="7"/>
  <c r="H3520" i="7" s="1"/>
  <c r="H3519" i="7" s="1"/>
  <c r="G3521" i="7"/>
  <c r="G3522" i="7"/>
  <c r="G3523" i="7"/>
  <c r="G3524" i="7"/>
  <c r="G3525" i="7"/>
  <c r="H3525" i="7" s="1"/>
  <c r="H3524" i="7" s="1"/>
  <c r="G3526" i="7"/>
  <c r="G3527" i="7"/>
  <c r="H3527" i="7"/>
  <c r="G3528" i="7"/>
  <c r="H3528" i="7" s="1"/>
  <c r="G3529" i="7"/>
  <c r="G3530" i="7"/>
  <c r="G3531" i="7"/>
  <c r="H3531" i="7"/>
  <c r="G3532" i="7"/>
  <c r="G3533" i="7"/>
  <c r="G3534" i="7"/>
  <c r="G3535" i="7"/>
  <c r="G3536" i="7"/>
  <c r="G3537" i="7"/>
  <c r="G3538" i="7"/>
  <c r="H3538" i="7"/>
  <c r="G3539" i="7"/>
  <c r="G3540" i="7"/>
  <c r="G3541" i="7"/>
  <c r="G3542" i="7"/>
  <c r="G3543" i="7"/>
  <c r="G3544" i="7"/>
  <c r="G3545" i="7"/>
  <c r="H3545" i="7"/>
  <c r="G3546" i="7"/>
  <c r="G3547" i="7"/>
  <c r="G3549" i="7"/>
  <c r="G3550" i="7"/>
  <c r="G3551" i="7"/>
  <c r="G3553" i="7"/>
  <c r="G3554" i="7"/>
  <c r="G3555" i="7"/>
  <c r="G3556" i="7"/>
  <c r="H3556" i="7" s="1"/>
  <c r="G3558" i="7"/>
  <c r="G3559" i="7"/>
  <c r="G3560" i="7"/>
  <c r="G3561" i="7"/>
  <c r="G3562" i="7"/>
  <c r="G3563" i="7"/>
  <c r="G3564" i="7"/>
  <c r="G3565" i="7"/>
  <c r="H3565" i="7" s="1"/>
  <c r="G3566" i="7"/>
  <c r="H3566" i="7" s="1"/>
  <c r="G3567" i="7"/>
  <c r="G3568" i="7"/>
  <c r="G3569" i="7"/>
  <c r="H3569" i="7" s="1"/>
  <c r="G3570" i="7"/>
  <c r="H3570" i="7" s="1"/>
  <c r="G3571" i="7"/>
  <c r="G3572" i="7"/>
  <c r="G3573" i="7"/>
  <c r="G3574" i="7"/>
  <c r="G3575" i="7"/>
  <c r="G3576" i="7"/>
  <c r="G3578" i="7"/>
  <c r="G3579" i="7"/>
  <c r="G3580" i="7"/>
  <c r="G3581" i="7"/>
  <c r="G3582" i="7"/>
  <c r="G3583" i="7"/>
  <c r="G3584" i="7"/>
  <c r="G3585" i="7"/>
  <c r="G3586" i="7"/>
  <c r="G3587" i="7"/>
  <c r="G3588" i="7"/>
  <c r="G3589" i="7"/>
  <c r="G3590" i="7"/>
  <c r="G3591" i="7"/>
  <c r="G3592" i="7"/>
  <c r="G3593" i="7"/>
  <c r="G3594" i="7"/>
  <c r="G3595" i="7"/>
  <c r="G3596" i="7"/>
  <c r="G3598" i="7"/>
  <c r="G3599" i="7"/>
  <c r="G3600" i="7"/>
  <c r="G3601" i="7"/>
  <c r="G3602" i="7"/>
  <c r="G3603" i="7"/>
  <c r="G3604" i="7"/>
  <c r="G3606" i="7"/>
  <c r="H3606" i="7"/>
  <c r="G3607" i="7"/>
  <c r="G3608" i="7"/>
  <c r="G3609" i="7"/>
  <c r="G3610" i="7"/>
  <c r="G3611" i="7"/>
  <c r="G3612" i="7"/>
  <c r="G3613" i="7"/>
  <c r="H3613" i="7" s="1"/>
  <c r="G3614" i="7"/>
  <c r="H3614" i="7" s="1"/>
  <c r="G3616" i="7"/>
  <c r="G3617" i="7"/>
  <c r="G3618" i="7"/>
  <c r="G3620" i="7"/>
  <c r="G3621" i="7"/>
  <c r="G3622" i="7"/>
  <c r="H3622" i="7"/>
  <c r="G3623" i="7"/>
  <c r="G3624" i="7"/>
  <c r="G3625" i="7"/>
  <c r="G3626" i="7"/>
  <c r="H3626" i="7"/>
  <c r="H3620" i="7" s="1"/>
  <c r="G3627" i="7"/>
  <c r="G3628" i="7"/>
  <c r="G3629" i="7"/>
  <c r="G3631" i="7"/>
  <c r="G3632" i="7"/>
  <c r="G3633" i="7"/>
  <c r="G3634" i="7"/>
  <c r="G3635" i="7"/>
  <c r="G3636" i="7"/>
  <c r="G3637" i="7"/>
  <c r="G3638" i="7"/>
  <c r="G3639" i="7"/>
  <c r="H3639" i="7"/>
  <c r="H3631" i="7" s="1"/>
  <c r="G3640" i="7"/>
  <c r="G3641" i="7"/>
  <c r="G3643" i="7"/>
  <c r="G3644" i="7"/>
  <c r="G3645" i="7"/>
  <c r="G3646" i="7"/>
  <c r="G3648" i="7"/>
  <c r="H3648" i="7" s="1"/>
  <c r="H3643" i="7" s="1"/>
  <c r="G3649" i="7"/>
  <c r="G3650" i="7"/>
  <c r="G3651" i="7"/>
  <c r="H3651" i="7" s="1"/>
  <c r="G3652" i="7"/>
  <c r="H3652" i="7" s="1"/>
  <c r="G3653" i="7"/>
  <c r="G3654" i="7"/>
  <c r="H3654" i="7" s="1"/>
  <c r="G3656" i="7"/>
  <c r="G3657" i="7"/>
  <c r="G3658" i="7"/>
  <c r="G3660" i="7"/>
  <c r="G3661" i="7"/>
  <c r="G3662" i="7"/>
  <c r="G3663" i="7"/>
  <c r="G3664" i="7"/>
  <c r="H3664" i="7" s="1"/>
  <c r="H3661" i="7" s="1"/>
  <c r="G3665" i="7"/>
  <c r="G3666" i="7"/>
  <c r="G3667" i="7"/>
  <c r="G3668" i="7"/>
  <c r="G3669" i="7"/>
  <c r="G3670" i="7"/>
  <c r="G3671" i="7"/>
  <c r="H3671" i="7" s="1"/>
  <c r="G3672" i="7"/>
  <c r="G3673" i="7"/>
  <c r="H3673" i="7"/>
  <c r="G3674" i="7"/>
  <c r="G3675" i="7"/>
  <c r="G3676" i="7"/>
  <c r="G3677" i="7"/>
  <c r="G3678" i="7"/>
  <c r="G3679" i="7"/>
  <c r="G3680" i="7"/>
  <c r="G3681" i="7"/>
  <c r="G3682" i="7"/>
  <c r="G3683" i="7"/>
  <c r="G3684" i="7"/>
  <c r="G3685" i="7"/>
  <c r="G3686" i="7"/>
  <c r="H3686" i="7"/>
  <c r="H3685" i="7" s="1"/>
  <c r="G3687" i="7"/>
  <c r="G3688" i="7"/>
  <c r="G3689" i="7"/>
  <c r="G3690" i="7"/>
  <c r="G3691" i="7"/>
  <c r="G3692" i="7"/>
  <c r="G3693" i="7"/>
  <c r="G3694" i="7"/>
  <c r="G3695" i="7"/>
  <c r="G3696" i="7"/>
  <c r="G3697" i="7"/>
  <c r="G3698" i="7"/>
  <c r="G3700" i="7"/>
  <c r="G3701" i="7"/>
  <c r="G3702" i="7"/>
  <c r="G3703" i="7"/>
  <c r="H3703" i="7"/>
  <c r="H3700" i="7" s="1"/>
  <c r="G3704" i="7"/>
  <c r="G3705" i="7"/>
  <c r="G3706" i="7"/>
  <c r="F3711" i="7"/>
  <c r="F3710" i="7" s="1"/>
  <c r="F3709" i="7" s="1"/>
  <c r="F3708" i="7" s="1"/>
  <c r="G3708" i="7" s="1"/>
  <c r="H3708" i="7" s="1"/>
  <c r="G15" i="6"/>
  <c r="H15" i="6"/>
  <c r="K15" i="6" s="1"/>
  <c r="I15" i="6"/>
  <c r="E16" i="6"/>
  <c r="G16" i="6" s="1"/>
  <c r="H16" i="6"/>
  <c r="K16" i="6" s="1"/>
  <c r="L16" i="6" s="1"/>
  <c r="M16" i="6" s="1"/>
  <c r="G17" i="6"/>
  <c r="I17" i="6"/>
  <c r="J17" i="6"/>
  <c r="K17" i="6"/>
  <c r="L17" i="6"/>
  <c r="M17" i="6" s="1"/>
  <c r="G18" i="6"/>
  <c r="I18" i="6"/>
  <c r="J18" i="6" s="1"/>
  <c r="K18" i="6"/>
  <c r="L18" i="6" s="1"/>
  <c r="M18" i="6" s="1"/>
  <c r="G19" i="6"/>
  <c r="I19" i="6"/>
  <c r="J19" i="6"/>
  <c r="K19" i="6"/>
  <c r="L19" i="6"/>
  <c r="M19" i="6" s="1"/>
  <c r="G20" i="6"/>
  <c r="I20" i="6"/>
  <c r="J20" i="6" s="1"/>
  <c r="K20" i="6"/>
  <c r="L20" i="6" s="1"/>
  <c r="M20" i="6" s="1"/>
  <c r="G21" i="6"/>
  <c r="I21" i="6"/>
  <c r="J21" i="6"/>
  <c r="K21" i="6"/>
  <c r="L21" i="6"/>
  <c r="M21" i="6" s="1"/>
  <c r="G22" i="6"/>
  <c r="I22" i="6"/>
  <c r="J22" i="6" s="1"/>
  <c r="K22" i="6"/>
  <c r="L22" i="6" s="1"/>
  <c r="M22" i="6" s="1"/>
  <c r="G23" i="6"/>
  <c r="I23" i="6"/>
  <c r="J23" i="6"/>
  <c r="K23" i="6"/>
  <c r="L23" i="6"/>
  <c r="M23" i="6" s="1"/>
  <c r="G24" i="6"/>
  <c r="I24" i="6"/>
  <c r="J24" i="6" s="1"/>
  <c r="K24" i="6"/>
  <c r="L24" i="6" s="1"/>
  <c r="M24" i="6" s="1"/>
  <c r="G25" i="6"/>
  <c r="I25" i="6"/>
  <c r="J25" i="6"/>
  <c r="K25" i="6"/>
  <c r="L25" i="6"/>
  <c r="M25" i="6" s="1"/>
  <c r="G26" i="6"/>
  <c r="I26" i="6"/>
  <c r="J26" i="6" s="1"/>
  <c r="K26" i="6"/>
  <c r="L26" i="6" s="1"/>
  <c r="M26" i="6" s="1"/>
  <c r="G27" i="6"/>
  <c r="I27" i="6"/>
  <c r="J27" i="6"/>
  <c r="K27" i="6"/>
  <c r="L27" i="6"/>
  <c r="M27" i="6" s="1"/>
  <c r="G28" i="6"/>
  <c r="I28" i="6"/>
  <c r="J28" i="6" s="1"/>
  <c r="K28" i="6"/>
  <c r="L28" i="6" s="1"/>
  <c r="M28" i="6" s="1"/>
  <c r="G29" i="6"/>
  <c r="I29" i="6"/>
  <c r="J29" i="6"/>
  <c r="K29" i="6"/>
  <c r="L29" i="6"/>
  <c r="M29" i="6" s="1"/>
  <c r="G30" i="6"/>
  <c r="I30" i="6"/>
  <c r="J30" i="6" s="1"/>
  <c r="K30" i="6"/>
  <c r="L30" i="6" s="1"/>
  <c r="M30" i="6" s="1"/>
  <c r="G31" i="6"/>
  <c r="I31" i="6"/>
  <c r="J31" i="6"/>
  <c r="K31" i="6"/>
  <c r="L31" i="6" s="1"/>
  <c r="M31" i="6" s="1"/>
  <c r="G32" i="6"/>
  <c r="I32" i="6"/>
  <c r="J32" i="6" s="1"/>
  <c r="K32" i="6"/>
  <c r="L32" i="6" s="1"/>
  <c r="M32" i="6" s="1"/>
  <c r="G33" i="6"/>
  <c r="I33" i="6"/>
  <c r="J33" i="6"/>
  <c r="K33" i="6"/>
  <c r="L33" i="6" s="1"/>
  <c r="M33" i="6" s="1"/>
  <c r="G34" i="6"/>
  <c r="I34" i="6"/>
  <c r="J34" i="6" s="1"/>
  <c r="K34" i="6"/>
  <c r="L34" i="6" s="1"/>
  <c r="M34" i="6" s="1"/>
  <c r="G35" i="6"/>
  <c r="I35" i="6"/>
  <c r="J35" i="6"/>
  <c r="K35" i="6"/>
  <c r="L35" i="6" s="1"/>
  <c r="M35" i="6" s="1"/>
  <c r="G36" i="6"/>
  <c r="I36" i="6"/>
  <c r="J36" i="6" s="1"/>
  <c r="K36" i="6"/>
  <c r="L36" i="6" s="1"/>
  <c r="M36" i="6" s="1"/>
  <c r="G37" i="6"/>
  <c r="I37" i="6"/>
  <c r="J37" i="6"/>
  <c r="K37" i="6"/>
  <c r="L37" i="6" s="1"/>
  <c r="M37" i="6" s="1"/>
  <c r="G38" i="6"/>
  <c r="I38" i="6"/>
  <c r="J38" i="6" s="1"/>
  <c r="K38" i="6"/>
  <c r="L38" i="6" s="1"/>
  <c r="M38" i="6" s="1"/>
  <c r="G39" i="6"/>
  <c r="I39" i="6"/>
  <c r="J39" i="6"/>
  <c r="K39" i="6"/>
  <c r="L39" i="6" s="1"/>
  <c r="M39" i="6" s="1"/>
  <c r="G40" i="6"/>
  <c r="I40" i="6"/>
  <c r="J40" i="6" s="1"/>
  <c r="K40" i="6"/>
  <c r="L40" i="6" s="1"/>
  <c r="M40" i="6" s="1"/>
  <c r="G41" i="6"/>
  <c r="I41" i="6"/>
  <c r="J41" i="6"/>
  <c r="K41" i="6"/>
  <c r="L41" i="6" s="1"/>
  <c r="M41" i="6" s="1"/>
  <c r="G42" i="6"/>
  <c r="I42" i="6"/>
  <c r="J42" i="6" s="1"/>
  <c r="K42" i="6"/>
  <c r="L42" i="6" s="1"/>
  <c r="M42" i="6" s="1"/>
  <c r="G43" i="6"/>
  <c r="I43" i="6"/>
  <c r="J43" i="6"/>
  <c r="K43" i="6"/>
  <c r="L43" i="6" s="1"/>
  <c r="M43" i="6" s="1"/>
  <c r="G44" i="6"/>
  <c r="I44" i="6"/>
  <c r="J44" i="6" s="1"/>
  <c r="K44" i="6"/>
  <c r="L44" i="6" s="1"/>
  <c r="M44" i="6" s="1"/>
  <c r="G45" i="6"/>
  <c r="I45" i="6"/>
  <c r="J45" i="6"/>
  <c r="K45" i="6"/>
  <c r="L45" i="6" s="1"/>
  <c r="M45" i="6" s="1"/>
  <c r="E46" i="6"/>
  <c r="I46" i="6" s="1"/>
  <c r="J46" i="6" s="1"/>
  <c r="G46" i="6"/>
  <c r="H46" i="6"/>
  <c r="G47" i="6"/>
  <c r="I47" i="6"/>
  <c r="J47" i="6" s="1"/>
  <c r="K47" i="6"/>
  <c r="L47" i="6" s="1"/>
  <c r="M47" i="6" s="1"/>
  <c r="G48" i="6"/>
  <c r="I48" i="6"/>
  <c r="J48" i="6" s="1"/>
  <c r="K48" i="6"/>
  <c r="L48" i="6" s="1"/>
  <c r="M48" i="6" s="1"/>
  <c r="G49" i="6"/>
  <c r="I49" i="6"/>
  <c r="J49" i="6" s="1"/>
  <c r="K49" i="6"/>
  <c r="L49" i="6" s="1"/>
  <c r="M49" i="6" s="1"/>
  <c r="G50" i="6"/>
  <c r="I50" i="6"/>
  <c r="J50" i="6" s="1"/>
  <c r="K50" i="6"/>
  <c r="L50" i="6" s="1"/>
  <c r="M50" i="6" s="1"/>
  <c r="G51" i="6"/>
  <c r="I51" i="6"/>
  <c r="J51" i="6" s="1"/>
  <c r="K51" i="6"/>
  <c r="L51" i="6" s="1"/>
  <c r="M51" i="6" s="1"/>
  <c r="G52" i="6"/>
  <c r="I52" i="6"/>
  <c r="J52" i="6" s="1"/>
  <c r="K52" i="6"/>
  <c r="L52" i="6" s="1"/>
  <c r="M52" i="6" s="1"/>
  <c r="G53" i="6"/>
  <c r="I53" i="6"/>
  <c r="J53" i="6" s="1"/>
  <c r="K53" i="6"/>
  <c r="L53" i="6" s="1"/>
  <c r="M53" i="6" s="1"/>
  <c r="G54" i="6"/>
  <c r="I54" i="6"/>
  <c r="J54" i="6" s="1"/>
  <c r="K54" i="6"/>
  <c r="L54" i="6" s="1"/>
  <c r="M54" i="6" s="1"/>
  <c r="G55" i="6"/>
  <c r="I55" i="6"/>
  <c r="J55" i="6"/>
  <c r="K55" i="6"/>
  <c r="L55" i="6" s="1"/>
  <c r="M55" i="6" s="1"/>
  <c r="G56" i="6"/>
  <c r="I56" i="6"/>
  <c r="J56" i="6" s="1"/>
  <c r="K56" i="6"/>
  <c r="L56" i="6" s="1"/>
  <c r="M56" i="6" s="1"/>
  <c r="G57" i="6"/>
  <c r="I57" i="6"/>
  <c r="J57" i="6" s="1"/>
  <c r="K57" i="6"/>
  <c r="L57" i="6" s="1"/>
  <c r="M57" i="6" s="1"/>
  <c r="G58" i="6"/>
  <c r="I58" i="6"/>
  <c r="J58" i="6" s="1"/>
  <c r="K58" i="6"/>
  <c r="L58" i="6"/>
  <c r="M58" i="6" s="1"/>
  <c r="G59" i="6"/>
  <c r="I59" i="6"/>
  <c r="J59" i="6" s="1"/>
  <c r="K59" i="6"/>
  <c r="L59" i="6" s="1"/>
  <c r="M59" i="6" s="1"/>
  <c r="G60" i="6"/>
  <c r="I60" i="6"/>
  <c r="J60" i="6" s="1"/>
  <c r="K60" i="6"/>
  <c r="L60" i="6" s="1"/>
  <c r="M60" i="6" s="1"/>
  <c r="G61" i="6"/>
  <c r="I61" i="6"/>
  <c r="J61" i="6"/>
  <c r="K61" i="6"/>
  <c r="L61" i="6" s="1"/>
  <c r="M61" i="6" s="1"/>
  <c r="G62" i="6"/>
  <c r="I62" i="6"/>
  <c r="J62" i="6" s="1"/>
  <c r="K62" i="6"/>
  <c r="L62" i="6" s="1"/>
  <c r="M62" i="6" s="1"/>
  <c r="G63" i="6"/>
  <c r="I63" i="6"/>
  <c r="J63" i="6" s="1"/>
  <c r="K63" i="6"/>
  <c r="L63" i="6" s="1"/>
  <c r="M63" i="6" s="1"/>
  <c r="G64" i="6"/>
  <c r="I64" i="6"/>
  <c r="J64" i="6" s="1"/>
  <c r="K64" i="6"/>
  <c r="L64" i="6"/>
  <c r="M64" i="6" s="1"/>
  <c r="G65" i="6"/>
  <c r="I65" i="6"/>
  <c r="J65" i="6" s="1"/>
  <c r="K65" i="6"/>
  <c r="L65" i="6" s="1"/>
  <c r="M65" i="6" s="1"/>
  <c r="G66" i="6"/>
  <c r="I66" i="6"/>
  <c r="J66" i="6" s="1"/>
  <c r="K66" i="6"/>
  <c r="L66" i="6" s="1"/>
  <c r="M66" i="6" s="1"/>
  <c r="G67" i="6"/>
  <c r="I67" i="6"/>
  <c r="J67" i="6"/>
  <c r="K67" i="6"/>
  <c r="L67" i="6" s="1"/>
  <c r="M67" i="6" s="1"/>
  <c r="H3359" i="7" l="1"/>
  <c r="G3281" i="7"/>
  <c r="G3277" i="7"/>
  <c r="E775" i="8"/>
  <c r="H68" i="6"/>
  <c r="J15" i="6"/>
  <c r="G3272" i="7"/>
  <c r="G3205" i="7"/>
  <c r="F3202" i="7"/>
  <c r="G3203" i="7"/>
  <c r="G3318" i="7"/>
  <c r="G3315" i="7"/>
  <c r="G3252" i="7"/>
  <c r="F702" i="8"/>
  <c r="F2801" i="7"/>
  <c r="G2739" i="7"/>
  <c r="G2733" i="7"/>
  <c r="G2699" i="7"/>
  <c r="F2684" i="7"/>
  <c r="F2682" i="7"/>
  <c r="G2682" i="7" s="1"/>
  <c r="F2680" i="7"/>
  <c r="G2671" i="7"/>
  <c r="G2668" i="7"/>
  <c r="H2668" i="7" s="1"/>
  <c r="G2649" i="7"/>
  <c r="G2607" i="7"/>
  <c r="F2604" i="7"/>
  <c r="G2597" i="7"/>
  <c r="E2467" i="7"/>
  <c r="H2293" i="7"/>
  <c r="G1908" i="7"/>
  <c r="H1908" i="7" s="1"/>
  <c r="G1567" i="7"/>
  <c r="E1490" i="7"/>
  <c r="G1457" i="7"/>
  <c r="H1336" i="7"/>
  <c r="E1171" i="7"/>
  <c r="G874" i="7"/>
  <c r="G674" i="7"/>
  <c r="E644" i="7"/>
  <c r="G556" i="7"/>
  <c r="F352" i="7"/>
  <c r="G17" i="7"/>
  <c r="F844" i="8"/>
  <c r="F843" i="8" s="1"/>
  <c r="G843" i="8" s="1"/>
  <c r="G836" i="8"/>
  <c r="G824" i="8"/>
  <c r="H824" i="8" s="1"/>
  <c r="E815" i="8"/>
  <c r="E751" i="8"/>
  <c r="E732" i="8" s="1"/>
  <c r="F717" i="8"/>
  <c r="G691" i="8"/>
  <c r="G682" i="8"/>
  <c r="F672" i="8"/>
  <c r="G672" i="8" s="1"/>
  <c r="H672" i="8" s="1"/>
  <c r="G630" i="8"/>
  <c r="F552" i="8"/>
  <c r="F551" i="8" s="1"/>
  <c r="G551" i="8" s="1"/>
  <c r="G548" i="8"/>
  <c r="G526" i="8"/>
  <c r="H526" i="8" s="1"/>
  <c r="F438" i="8"/>
  <c r="F437" i="8" s="1"/>
  <c r="G414" i="8"/>
  <c r="E394" i="8"/>
  <c r="E3155" i="7"/>
  <c r="G3077" i="7"/>
  <c r="H3077" i="7" s="1"/>
  <c r="E2811" i="7"/>
  <c r="G2811" i="7" s="1"/>
  <c r="H2811" i="7" s="1"/>
  <c r="H2787" i="7" s="1"/>
  <c r="F2788" i="7"/>
  <c r="E2643" i="7"/>
  <c r="G2442" i="7"/>
  <c r="G2065" i="7"/>
  <c r="G2061" i="7"/>
  <c r="G2029" i="7"/>
  <c r="G1987" i="7"/>
  <c r="H1987" i="7" s="1"/>
  <c r="G1901" i="7"/>
  <c r="H1901" i="7" s="1"/>
  <c r="G1719" i="7"/>
  <c r="H1719" i="7" s="1"/>
  <c r="H1624" i="7"/>
  <c r="E1534" i="7"/>
  <c r="G1486" i="7"/>
  <c r="G1483" i="7"/>
  <c r="H1483" i="7" s="1"/>
  <c r="E1439" i="7"/>
  <c r="E1218" i="7"/>
  <c r="F867" i="7"/>
  <c r="G867" i="7" s="1"/>
  <c r="G649" i="7"/>
  <c r="E587" i="7"/>
  <c r="E586" i="7" s="1"/>
  <c r="H878" i="8"/>
  <c r="E828" i="8"/>
  <c r="G828" i="8" s="1"/>
  <c r="F815" i="8"/>
  <c r="G815" i="8" s="1"/>
  <c r="G812" i="8"/>
  <c r="H812" i="8" s="1"/>
  <c r="G746" i="8"/>
  <c r="G743" i="8"/>
  <c r="G734" i="8"/>
  <c r="G690" i="8"/>
  <c r="G636" i="8"/>
  <c r="E438" i="8"/>
  <c r="E437" i="8" s="1"/>
  <c r="G437" i="8" s="1"/>
  <c r="G506" i="9"/>
  <c r="G505" i="9" s="1"/>
  <c r="F505" i="9"/>
  <c r="G2954" i="7"/>
  <c r="E2788" i="7"/>
  <c r="E2787" i="7" s="1"/>
  <c r="G2768" i="7"/>
  <c r="H2768" i="7" s="1"/>
  <c r="G2766" i="7"/>
  <c r="H2766" i="7" s="1"/>
  <c r="G2756" i="7"/>
  <c r="H2756" i="7" s="1"/>
  <c r="F2664" i="7"/>
  <c r="E2637" i="7"/>
  <c r="G2571" i="7"/>
  <c r="H2571" i="7" s="1"/>
  <c r="H2165" i="7"/>
  <c r="G2064" i="7"/>
  <c r="G2031" i="7"/>
  <c r="G2004" i="7"/>
  <c r="G1769" i="7"/>
  <c r="E1766" i="7"/>
  <c r="E1751" i="7"/>
  <c r="E1708" i="7"/>
  <c r="F1666" i="7"/>
  <c r="F1649" i="7"/>
  <c r="H1470" i="7"/>
  <c r="E1431" i="7"/>
  <c r="G1302" i="7"/>
  <c r="G1274" i="7"/>
  <c r="G1211" i="7"/>
  <c r="G1203" i="7"/>
  <c r="H1203" i="7" s="1"/>
  <c r="G878" i="7"/>
  <c r="H867" i="7"/>
  <c r="G823" i="7"/>
  <c r="G821" i="7"/>
  <c r="G800" i="7"/>
  <c r="F752" i="7"/>
  <c r="G689" i="7"/>
  <c r="G777" i="8"/>
  <c r="E717" i="8"/>
  <c r="E716" i="8" s="1"/>
  <c r="G650" i="8"/>
  <c r="E613" i="8"/>
  <c r="E612" i="8" s="1"/>
  <c r="F592" i="8"/>
  <c r="E570" i="8"/>
  <c r="G570" i="8" s="1"/>
  <c r="E530" i="8"/>
  <c r="H511" i="8"/>
  <c r="H507" i="8" s="1"/>
  <c r="H506" i="8" s="1"/>
  <c r="F507" i="8"/>
  <c r="F506" i="8" s="1"/>
  <c r="G484" i="8"/>
  <c r="G3053" i="7"/>
  <c r="G2895" i="7"/>
  <c r="H2895" i="7" s="1"/>
  <c r="G2878" i="7"/>
  <c r="G2404" i="7"/>
  <c r="H2404" i="7" s="1"/>
  <c r="F2323" i="7"/>
  <c r="G2323" i="7" s="1"/>
  <c r="H2220" i="7"/>
  <c r="G1934" i="7"/>
  <c r="H1934" i="7" s="1"/>
  <c r="E1624" i="7"/>
  <c r="G1587" i="7"/>
  <c r="G1434" i="7"/>
  <c r="G1223" i="7"/>
  <c r="E885" i="7"/>
  <c r="F871" i="7"/>
  <c r="G871" i="7" s="1"/>
  <c r="G685" i="7"/>
  <c r="F621" i="7"/>
  <c r="G568" i="7"/>
  <c r="H568" i="7" s="1"/>
  <c r="G544" i="7"/>
  <c r="H174" i="7"/>
  <c r="G707" i="8"/>
  <c r="G658" i="8"/>
  <c r="H658" i="8" s="1"/>
  <c r="F649" i="8"/>
  <c r="F648" i="8" s="1"/>
  <c r="G652" i="8"/>
  <c r="F613" i="8"/>
  <c r="E552" i="8"/>
  <c r="E551" i="8" s="1"/>
  <c r="E489" i="8"/>
  <c r="E470" i="8"/>
  <c r="E469" i="8" s="1"/>
  <c r="H395" i="8"/>
  <c r="H394" i="8" s="1"/>
  <c r="G369" i="8"/>
  <c r="H270" i="8"/>
  <c r="E419" i="9"/>
  <c r="E437" i="9"/>
  <c r="E412" i="9"/>
  <c r="E392" i="9"/>
  <c r="E391" i="9" s="1"/>
  <c r="F333" i="9"/>
  <c r="H105" i="9"/>
  <c r="H104" i="9" s="1"/>
  <c r="F426" i="8"/>
  <c r="F425" i="8" s="1"/>
  <c r="G425" i="8" s="1"/>
  <c r="H419" i="8"/>
  <c r="H418" i="8" s="1"/>
  <c r="H367" i="8"/>
  <c r="F364" i="8"/>
  <c r="G364" i="8" s="1"/>
  <c r="G320" i="8"/>
  <c r="G265" i="8"/>
  <c r="G201" i="8"/>
  <c r="G200" i="8" s="1"/>
  <c r="F171" i="8"/>
  <c r="G174" i="8"/>
  <c r="H56" i="8"/>
  <c r="H53" i="8" s="1"/>
  <c r="G713" i="9"/>
  <c r="H713" i="9" s="1"/>
  <c r="E667" i="9"/>
  <c r="E666" i="9" s="1"/>
  <c r="H646" i="9"/>
  <c r="G592" i="9"/>
  <c r="F582" i="9"/>
  <c r="G583" i="9"/>
  <c r="G462" i="9"/>
  <c r="H462" i="9" s="1"/>
  <c r="G403" i="9"/>
  <c r="E333" i="9"/>
  <c r="G261" i="9"/>
  <c r="G257" i="9"/>
  <c r="G240" i="9"/>
  <c r="E234" i="9"/>
  <c r="F105" i="9"/>
  <c r="H74" i="9"/>
  <c r="G382" i="8"/>
  <c r="G372" i="8"/>
  <c r="E319" i="8"/>
  <c r="E292" i="8" s="1"/>
  <c r="G279" i="8"/>
  <c r="H279" i="8" s="1"/>
  <c r="E256" i="8"/>
  <c r="E255" i="8" s="1"/>
  <c r="F247" i="8"/>
  <c r="G247" i="8" s="1"/>
  <c r="G149" i="8"/>
  <c r="G118" i="8"/>
  <c r="H748" i="9"/>
  <c r="H738" i="9" s="1"/>
  <c r="H704" i="9"/>
  <c r="F632" i="9"/>
  <c r="G500" i="9"/>
  <c r="G485" i="9"/>
  <c r="G473" i="9"/>
  <c r="G464" i="9"/>
  <c r="H464" i="9" s="1"/>
  <c r="E446" i="9"/>
  <c r="G423" i="9"/>
  <c r="H423" i="9" s="1"/>
  <c r="H420" i="9" s="1"/>
  <c r="H419" i="9" s="1"/>
  <c r="H412" i="9"/>
  <c r="F405" i="9"/>
  <c r="G405" i="9" s="1"/>
  <c r="H392" i="9"/>
  <c r="G342" i="9"/>
  <c r="F263" i="9"/>
  <c r="G263" i="9" s="1"/>
  <c r="E161" i="9"/>
  <c r="G161" i="9" s="1"/>
  <c r="G106" i="9"/>
  <c r="F215" i="10"/>
  <c r="F368" i="8"/>
  <c r="E357" i="8"/>
  <c r="G282" i="8"/>
  <c r="G275" i="8"/>
  <c r="G270" i="8"/>
  <c r="H262" i="8"/>
  <c r="F207" i="8"/>
  <c r="F183" i="8"/>
  <c r="G183" i="8" s="1"/>
  <c r="G145" i="8"/>
  <c r="H145" i="8" s="1"/>
  <c r="G127" i="8"/>
  <c r="H108" i="8"/>
  <c r="G102" i="8"/>
  <c r="E724" i="9"/>
  <c r="G711" i="9"/>
  <c r="H711" i="9" s="1"/>
  <c r="F705" i="9"/>
  <c r="G697" i="9"/>
  <c r="G675" i="9"/>
  <c r="F661" i="9"/>
  <c r="G661" i="9" s="1"/>
  <c r="G657" i="9"/>
  <c r="H657" i="9" s="1"/>
  <c r="E643" i="9"/>
  <c r="E642" i="9" s="1"/>
  <c r="E632" i="9"/>
  <c r="G620" i="9"/>
  <c r="G608" i="9"/>
  <c r="E601" i="9"/>
  <c r="E600" i="9" s="1"/>
  <c r="G564" i="9"/>
  <c r="E513" i="9"/>
  <c r="G513" i="9" s="1"/>
  <c r="G507" i="9"/>
  <c r="E495" i="9"/>
  <c r="G486" i="9"/>
  <c r="G458" i="9"/>
  <c r="E455" i="9"/>
  <c r="G437" i="9"/>
  <c r="G425" i="9"/>
  <c r="G415" i="9"/>
  <c r="G413" i="9"/>
  <c r="G399" i="9"/>
  <c r="G397" i="9"/>
  <c r="G395" i="9"/>
  <c r="G385" i="9"/>
  <c r="G354" i="9"/>
  <c r="G350" i="9"/>
  <c r="H333" i="9"/>
  <c r="H332" i="9" s="1"/>
  <c r="G334" i="9"/>
  <c r="G329" i="9"/>
  <c r="H268" i="9"/>
  <c r="H267" i="9" s="1"/>
  <c r="F223" i="9"/>
  <c r="G223" i="9" s="1"/>
  <c r="G123" i="9"/>
  <c r="F130" i="10"/>
  <c r="G188" i="10"/>
  <c r="G19" i="10"/>
  <c r="E13" i="10"/>
  <c r="F214" i="10"/>
  <c r="D210" i="10"/>
  <c r="F210" i="10" s="1"/>
  <c r="G177" i="10"/>
  <c r="D177" i="10"/>
  <c r="F177" i="10" s="1"/>
  <c r="D144" i="10"/>
  <c r="F144" i="10" s="1"/>
  <c r="G167" i="10"/>
  <c r="G144" i="10" s="1"/>
  <c r="F95" i="10"/>
  <c r="D18" i="10"/>
  <c r="F18" i="10" s="1"/>
  <c r="H3421" i="7"/>
  <c r="H3388" i="7" s="1"/>
  <c r="H3323" i="7" s="1"/>
  <c r="H3443" i="7"/>
  <c r="H3347" i="7"/>
  <c r="F3240" i="7"/>
  <c r="G3302" i="7"/>
  <c r="G3295" i="7"/>
  <c r="G3293" i="7"/>
  <c r="E3269" i="7"/>
  <c r="F3259" i="7"/>
  <c r="G3259" i="7" s="1"/>
  <c r="G3256" i="7"/>
  <c r="H3240" i="7"/>
  <c r="G3241" i="7"/>
  <c r="F3229" i="7"/>
  <c r="G3226" i="7"/>
  <c r="F3218" i="7"/>
  <c r="E3137" i="7"/>
  <c r="E3118" i="7"/>
  <c r="F3209" i="7"/>
  <c r="G3188" i="7"/>
  <c r="G2991" i="7"/>
  <c r="F3312" i="7"/>
  <c r="G3312" i="7" s="1"/>
  <c r="H3298" i="7"/>
  <c r="E3298" i="7"/>
  <c r="G3289" i="7"/>
  <c r="H3284" i="7"/>
  <c r="F3280" i="7"/>
  <c r="F3269" i="7"/>
  <c r="G3269" i="7" s="1"/>
  <c r="G3262" i="7"/>
  <c r="H3259" i="7"/>
  <c r="G3255" i="7"/>
  <c r="G3230" i="7"/>
  <c r="H3218" i="7"/>
  <c r="E3218" i="7"/>
  <c r="G3218" i="7" s="1"/>
  <c r="H3312" i="7"/>
  <c r="G3299" i="7"/>
  <c r="F3284" i="7"/>
  <c r="H3269" i="7"/>
  <c r="E3259" i="7"/>
  <c r="H3246" i="7"/>
  <c r="E3246" i="7"/>
  <c r="H3069" i="7"/>
  <c r="G3195" i="7"/>
  <c r="H3195" i="7" s="1"/>
  <c r="G3186" i="7"/>
  <c r="H3186" i="7" s="1"/>
  <c r="E3182" i="7"/>
  <c r="F3118" i="7"/>
  <c r="G3118" i="7" s="1"/>
  <c r="H3118" i="7" s="1"/>
  <c r="G3110" i="7"/>
  <c r="G2932" i="7"/>
  <c r="G2963" i="7"/>
  <c r="H2963" i="7" s="1"/>
  <c r="G3106" i="7"/>
  <c r="H3188" i="7"/>
  <c r="G3162" i="7"/>
  <c r="G3102" i="7"/>
  <c r="H3046" i="7"/>
  <c r="H3045" i="7" s="1"/>
  <c r="G3214" i="7"/>
  <c r="H3214" i="7" s="1"/>
  <c r="G3212" i="7"/>
  <c r="H3212" i="7" s="1"/>
  <c r="G3210" i="7"/>
  <c r="H3210" i="7" s="1"/>
  <c r="E3201" i="7"/>
  <c r="F3182" i="7"/>
  <c r="G3182" i="7" s="1"/>
  <c r="G3178" i="7"/>
  <c r="G3175" i="7"/>
  <c r="G3151" i="7"/>
  <c r="G3148" i="7"/>
  <c r="F3147" i="7"/>
  <c r="G3147" i="7" s="1"/>
  <c r="G3144" i="7"/>
  <c r="G3140" i="7"/>
  <c r="H3140" i="7" s="1"/>
  <c r="G3138" i="7"/>
  <c r="F3137" i="7"/>
  <c r="G3137" i="7" s="1"/>
  <c r="G3134" i="7"/>
  <c r="H3134" i="7" s="1"/>
  <c r="E3124" i="7"/>
  <c r="G3121" i="7"/>
  <c r="H3121" i="7" s="1"/>
  <c r="G3111" i="7"/>
  <c r="G3092" i="7"/>
  <c r="H3092" i="7" s="1"/>
  <c r="E3084" i="7"/>
  <c r="G3087" i="7"/>
  <c r="H3087" i="7" s="1"/>
  <c r="G3085" i="7"/>
  <c r="G3081" i="7"/>
  <c r="H3081" i="7" s="1"/>
  <c r="H3053" i="7"/>
  <c r="G3013" i="7"/>
  <c r="G2994" i="7"/>
  <c r="G2950" i="7"/>
  <c r="G2945" i="7"/>
  <c r="G2918" i="7"/>
  <c r="H2935" i="7"/>
  <c r="G2943" i="7"/>
  <c r="G2930" i="7"/>
  <c r="G2927" i="7"/>
  <c r="G3016" i="7"/>
  <c r="G3008" i="7"/>
  <c r="G3003" i="7"/>
  <c r="E2990" i="7"/>
  <c r="G2990" i="7" s="1"/>
  <c r="G2987" i="7"/>
  <c r="F2986" i="7"/>
  <c r="G2986" i="7" s="1"/>
  <c r="G2957" i="7"/>
  <c r="G2921" i="7"/>
  <c r="G2882" i="7"/>
  <c r="G2869" i="7"/>
  <c r="H2869" i="7" s="1"/>
  <c r="H2847" i="7"/>
  <c r="G2913" i="7"/>
  <c r="G2894" i="7"/>
  <c r="H2894" i="7" s="1"/>
  <c r="E2890" i="7"/>
  <c r="G2886" i="7"/>
  <c r="H2862" i="7"/>
  <c r="H2859" i="7" s="1"/>
  <c r="F2859" i="7"/>
  <c r="F2858" i="7" s="1"/>
  <c r="G2856" i="7"/>
  <c r="G2854" i="7"/>
  <c r="G2847" i="7"/>
  <c r="H2826" i="7"/>
  <c r="E2801" i="7"/>
  <c r="G2801" i="7" s="1"/>
  <c r="G2772" i="7"/>
  <c r="H2772" i="7" s="1"/>
  <c r="G2758" i="7"/>
  <c r="H2758" i="7" s="1"/>
  <c r="G2720" i="7"/>
  <c r="G2708" i="7"/>
  <c r="G2704" i="7"/>
  <c r="F2697" i="7"/>
  <c r="G2680" i="7"/>
  <c r="G2664" i="7"/>
  <c r="H2664" i="7" s="1"/>
  <c r="G2686" i="7"/>
  <c r="G2674" i="7"/>
  <c r="G2707" i="7"/>
  <c r="F2777" i="7"/>
  <c r="G2777" i="7" s="1"/>
  <c r="F2719" i="7"/>
  <c r="E2658" i="7"/>
  <c r="G2783" i="7"/>
  <c r="G2770" i="7"/>
  <c r="H2770" i="7" s="1"/>
  <c r="G2763" i="7"/>
  <c r="H2763" i="7" s="1"/>
  <c r="G2742" i="7"/>
  <c r="H2742" i="7" s="1"/>
  <c r="G2716" i="7"/>
  <c r="G2711" i="7"/>
  <c r="H2711" i="7" s="1"/>
  <c r="G2698" i="7"/>
  <c r="G2684" i="7"/>
  <c r="E2673" i="7"/>
  <c r="F2643" i="7"/>
  <c r="G2643" i="7" s="1"/>
  <c r="G2588" i="7"/>
  <c r="G2584" i="7"/>
  <c r="E2562" i="7"/>
  <c r="G2647" i="7"/>
  <c r="G2640" i="7"/>
  <c r="G2630" i="7"/>
  <c r="F2624" i="7"/>
  <c r="G2617" i="7"/>
  <c r="E2614" i="7"/>
  <c r="G2596" i="7"/>
  <c r="G2565" i="7"/>
  <c r="F2551" i="7"/>
  <c r="G2536" i="7"/>
  <c r="F2452" i="7"/>
  <c r="G2449" i="7"/>
  <c r="G2440" i="7"/>
  <c r="H2440" i="7" s="1"/>
  <c r="G2438" i="7"/>
  <c r="G2435" i="7"/>
  <c r="G2431" i="7"/>
  <c r="G2427" i="7"/>
  <c r="H2427" i="7" s="1"/>
  <c r="H2424" i="7" s="1"/>
  <c r="H2396" i="7"/>
  <c r="H2287" i="7"/>
  <c r="G2557" i="7"/>
  <c r="F2532" i="7"/>
  <c r="F2504" i="7"/>
  <c r="G2558" i="7"/>
  <c r="G2554" i="7"/>
  <c r="G2552" i="7"/>
  <c r="E2551" i="7"/>
  <c r="G2540" i="7"/>
  <c r="E2532" i="7"/>
  <c r="G2527" i="7"/>
  <c r="G2525" i="7"/>
  <c r="E2517" i="7"/>
  <c r="G2513" i="7"/>
  <c r="G2507" i="7"/>
  <c r="E2452" i="7"/>
  <c r="F2403" i="7"/>
  <c r="F2473" i="7"/>
  <c r="G2474" i="7"/>
  <c r="G2396" i="7"/>
  <c r="G2320" i="7"/>
  <c r="G2316" i="7"/>
  <c r="G2287" i="7"/>
  <c r="G2263" i="7"/>
  <c r="H2263" i="7" s="1"/>
  <c r="G2452" i="7"/>
  <c r="E2485" i="7"/>
  <c r="F2479" i="7"/>
  <c r="G2479" i="7" s="1"/>
  <c r="G2463" i="7"/>
  <c r="H2463" i="7" s="1"/>
  <c r="E2448" i="7"/>
  <c r="G2448" i="7" s="1"/>
  <c r="G2429" i="7"/>
  <c r="H2429" i="7" s="1"/>
  <c r="G2476" i="7"/>
  <c r="E2473" i="7"/>
  <c r="G2473" i="7" s="1"/>
  <c r="G2464" i="7"/>
  <c r="H2464" i="7" s="1"/>
  <c r="G2445" i="7"/>
  <c r="H2445" i="7" s="1"/>
  <c r="F2367" i="7"/>
  <c r="G2367" i="7" s="1"/>
  <c r="E2327" i="7"/>
  <c r="G2327" i="7" s="1"/>
  <c r="G2319" i="7"/>
  <c r="G2315" i="7"/>
  <c r="G2310" i="7"/>
  <c r="G2303" i="7"/>
  <c r="E2391" i="7"/>
  <c r="G2388" i="7"/>
  <c r="G2380" i="7"/>
  <c r="H2376" i="7"/>
  <c r="G2376" i="7"/>
  <c r="E2367" i="7"/>
  <c r="F2353" i="7"/>
  <c r="G2353" i="7" s="1"/>
  <c r="H2300" i="7"/>
  <c r="G2247" i="7"/>
  <c r="H2247" i="7" s="1"/>
  <c r="G2086" i="7"/>
  <c r="G2078" i="7"/>
  <c r="H2392" i="7"/>
  <c r="F2391" i="7"/>
  <c r="G2391" i="7" s="1"/>
  <c r="H2387" i="7"/>
  <c r="G2383" i="7"/>
  <c r="G2372" i="7"/>
  <c r="G2368" i="7"/>
  <c r="H2368" i="7"/>
  <c r="H2359" i="7"/>
  <c r="G2356" i="7"/>
  <c r="G2350" i="7"/>
  <c r="E2341" i="7"/>
  <c r="G2344" i="7"/>
  <c r="G2330" i="7"/>
  <c r="H2310" i="7"/>
  <c r="G2307" i="7"/>
  <c r="E2306" i="7"/>
  <c r="F2306" i="7" s="1"/>
  <c r="G2306" i="7" s="1"/>
  <c r="G2300" i="7"/>
  <c r="F2385" i="7"/>
  <c r="G2385" i="7" s="1"/>
  <c r="E2379" i="7"/>
  <c r="E2375" i="7"/>
  <c r="G2375" i="7" s="1"/>
  <c r="G2295" i="7"/>
  <c r="H2275" i="7"/>
  <c r="H2274" i="7" s="1"/>
  <c r="E2251" i="7"/>
  <c r="G2251" i="7" s="1"/>
  <c r="H2251" i="7" s="1"/>
  <c r="E2069" i="7"/>
  <c r="E2068" i="7" s="1"/>
  <c r="H2147" i="7"/>
  <c r="G2259" i="7"/>
  <c r="G2255" i="7"/>
  <c r="H2255" i="7" s="1"/>
  <c r="E2231" i="7"/>
  <c r="G2231" i="7" s="1"/>
  <c r="G2212" i="7"/>
  <c r="H2212" i="7" s="1"/>
  <c r="E2203" i="7"/>
  <c r="G2203" i="7" s="1"/>
  <c r="E2220" i="7"/>
  <c r="G2220" i="7" s="1"/>
  <c r="G2100" i="7"/>
  <c r="G2060" i="7"/>
  <c r="G2038" i="7"/>
  <c r="F2024" i="7"/>
  <c r="G2018" i="7"/>
  <c r="G2015" i="7"/>
  <c r="H2015" i="7" s="1"/>
  <c r="H2003" i="7" s="1"/>
  <c r="H2002" i="7" s="1"/>
  <c r="E2003" i="7"/>
  <c r="G2053" i="7"/>
  <c r="E2052" i="7"/>
  <c r="G2041" i="7"/>
  <c r="E2024" i="7"/>
  <c r="G2025" i="7"/>
  <c r="E1982" i="7"/>
  <c r="F1972" i="7"/>
  <c r="E1946" i="7"/>
  <c r="F1892" i="7"/>
  <c r="G1867" i="7"/>
  <c r="E1996" i="7"/>
  <c r="F1982" i="7"/>
  <c r="G1943" i="7"/>
  <c r="H1943" i="7" s="1"/>
  <c r="G1928" i="7"/>
  <c r="H1878" i="7"/>
  <c r="F1996" i="7"/>
  <c r="G1958" i="7"/>
  <c r="H1958" i="7" s="1"/>
  <c r="G1942" i="7"/>
  <c r="H1942" i="7" s="1"/>
  <c r="E1922" i="7"/>
  <c r="G1919" i="7"/>
  <c r="E1992" i="7"/>
  <c r="G1992" i="7" s="1"/>
  <c r="H1992" i="7" s="1"/>
  <c r="G1979" i="7"/>
  <c r="H1979" i="7" s="1"/>
  <c r="G1973" i="7"/>
  <c r="H1973" i="7" s="1"/>
  <c r="G1963" i="7"/>
  <c r="H1963" i="7" s="1"/>
  <c r="F1962" i="7"/>
  <c r="G1959" i="7"/>
  <c r="H1959" i="7" s="1"/>
  <c r="G1951" i="7"/>
  <c r="H1951" i="7" s="1"/>
  <c r="E1931" i="7"/>
  <c r="G1925" i="7"/>
  <c r="H1925" i="7" s="1"/>
  <c r="F1922" i="7"/>
  <c r="G1914" i="7"/>
  <c r="G1899" i="7"/>
  <c r="H1899" i="7" s="1"/>
  <c r="H1892" i="7" s="1"/>
  <c r="E1845" i="7"/>
  <c r="E1832" i="7"/>
  <c r="E1799" i="7"/>
  <c r="E1819" i="7"/>
  <c r="G1778" i="7"/>
  <c r="F1743" i="7"/>
  <c r="G1775" i="7"/>
  <c r="G1771" i="7"/>
  <c r="G1758" i="7"/>
  <c r="G1738" i="7"/>
  <c r="H1738" i="7" s="1"/>
  <c r="G1731" i="7"/>
  <c r="G1729" i="7"/>
  <c r="H1729" i="7" s="1"/>
  <c r="H1726" i="7" s="1"/>
  <c r="E1726" i="7"/>
  <c r="G1722" i="7"/>
  <c r="E1593" i="7"/>
  <c r="H1580" i="7"/>
  <c r="F1560" i="7"/>
  <c r="H1701" i="7"/>
  <c r="F1694" i="7"/>
  <c r="G1681" i="7"/>
  <c r="E1680" i="7"/>
  <c r="G1680" i="7" s="1"/>
  <c r="H1666" i="7"/>
  <c r="E1666" i="7"/>
  <c r="G1666" i="7" s="1"/>
  <c r="F1644" i="7"/>
  <c r="G1644" i="7" s="1"/>
  <c r="H1630" i="7"/>
  <c r="G1627" i="7"/>
  <c r="G1618" i="7"/>
  <c r="G1604" i="7"/>
  <c r="G1588" i="7"/>
  <c r="G1583" i="7"/>
  <c r="E1580" i="7"/>
  <c r="G1577" i="7"/>
  <c r="G1574" i="7"/>
  <c r="G1563" i="7"/>
  <c r="G1561" i="7"/>
  <c r="H1534" i="7"/>
  <c r="E1527" i="7"/>
  <c r="F1518" i="7"/>
  <c r="G1518" i="7" s="1"/>
  <c r="F1470" i="7"/>
  <c r="F1445" i="7"/>
  <c r="F1431" i="7"/>
  <c r="G1530" i="7"/>
  <c r="G1522" i="7"/>
  <c r="G1510" i="7"/>
  <c r="G1487" i="7"/>
  <c r="E1470" i="7"/>
  <c r="E1445" i="7"/>
  <c r="H1358" i="7"/>
  <c r="H1351" i="7" s="1"/>
  <c r="F1313" i="7"/>
  <c r="G1313" i="7" s="1"/>
  <c r="F1301" i="7"/>
  <c r="G1301" i="7" s="1"/>
  <c r="E1267" i="7"/>
  <c r="G1328" i="7"/>
  <c r="G1320" i="7"/>
  <c r="G1298" i="7"/>
  <c r="H1298" i="7" s="1"/>
  <c r="G1296" i="7"/>
  <c r="F1291" i="7"/>
  <c r="F1262" i="7"/>
  <c r="E1187" i="7"/>
  <c r="G1187" i="7" s="1"/>
  <c r="G1222" i="7"/>
  <c r="G1214" i="7"/>
  <c r="G1207" i="7"/>
  <c r="F1206" i="7"/>
  <c r="G1206" i="7" s="1"/>
  <c r="G1198" i="7"/>
  <c r="H1198" i="7" s="1"/>
  <c r="G1190" i="7"/>
  <c r="G1182" i="7"/>
  <c r="H1182" i="7" s="1"/>
  <c r="H1088" i="7"/>
  <c r="H908" i="7"/>
  <c r="F894" i="7"/>
  <c r="G894" i="7" s="1"/>
  <c r="F881" i="7"/>
  <c r="H830" i="7"/>
  <c r="H829" i="7" s="1"/>
  <c r="H826" i="7"/>
  <c r="G888" i="7"/>
  <c r="G826" i="7"/>
  <c r="G816" i="7"/>
  <c r="F811" i="7"/>
  <c r="G811" i="7" s="1"/>
  <c r="G807" i="7"/>
  <c r="F803" i="7"/>
  <c r="F760" i="7"/>
  <c r="G760" i="7" s="1"/>
  <c r="G752" i="7"/>
  <c r="E711" i="7"/>
  <c r="F636" i="7"/>
  <c r="G636" i="7" s="1"/>
  <c r="F699" i="7"/>
  <c r="G699" i="7" s="1"/>
  <c r="G696" i="7"/>
  <c r="E684" i="7"/>
  <c r="G684" i="7" s="1"/>
  <c r="G679" i="7"/>
  <c r="G647" i="7"/>
  <c r="F629" i="7"/>
  <c r="G629" i="7" s="1"/>
  <c r="E621" i="7"/>
  <c r="F555" i="7"/>
  <c r="E519" i="7"/>
  <c r="E616" i="7"/>
  <c r="G616" i="7" s="1"/>
  <c r="G609" i="7"/>
  <c r="H609" i="7" s="1"/>
  <c r="G607" i="7"/>
  <c r="F599" i="7"/>
  <c r="G591" i="7"/>
  <c r="G582" i="7"/>
  <c r="H582" i="7" s="1"/>
  <c r="E567" i="7"/>
  <c r="E555" i="7"/>
  <c r="G547" i="7"/>
  <c r="H547" i="7" s="1"/>
  <c r="H536" i="7" s="1"/>
  <c r="E536" i="7"/>
  <c r="G528" i="7"/>
  <c r="H528" i="7" s="1"/>
  <c r="G524" i="7"/>
  <c r="H419" i="7"/>
  <c r="F418" i="7"/>
  <c r="G414" i="7"/>
  <c r="G405" i="7"/>
  <c r="F402" i="7"/>
  <c r="G399" i="7"/>
  <c r="F398" i="7"/>
  <c r="G398" i="7" s="1"/>
  <c r="G392" i="7"/>
  <c r="G388" i="7"/>
  <c r="G359" i="7"/>
  <c r="F410" i="7"/>
  <c r="G410" i="7" s="1"/>
  <c r="H369" i="7"/>
  <c r="H359" i="7"/>
  <c r="H352" i="7" s="1"/>
  <c r="H353" i="7"/>
  <c r="G3156" i="7"/>
  <c r="H3156" i="7" s="1"/>
  <c r="F3155" i="7"/>
  <c r="G3155" i="7" s="1"/>
  <c r="H3155" i="7" s="1"/>
  <c r="G3097" i="7"/>
  <c r="F2844" i="7"/>
  <c r="G2845" i="7"/>
  <c r="H2845" i="7" s="1"/>
  <c r="F3324" i="7"/>
  <c r="G3325" i="7"/>
  <c r="F3201" i="7"/>
  <c r="G3202" i="7"/>
  <c r="G3115" i="7"/>
  <c r="H3115" i="7" s="1"/>
  <c r="F3114" i="7"/>
  <c r="G3114" i="7" s="1"/>
  <c r="H3114" i="7" s="1"/>
  <c r="E2403" i="7"/>
  <c r="G2408" i="7"/>
  <c r="H3510" i="7"/>
  <c r="H3182" i="7"/>
  <c r="G3143" i="7"/>
  <c r="E2323" i="7"/>
  <c r="G2324" i="7"/>
  <c r="H2289" i="7"/>
  <c r="E2286" i="7"/>
  <c r="G2289" i="7"/>
  <c r="G3287" i="7"/>
  <c r="E3284" i="7"/>
  <c r="H3429" i="7"/>
  <c r="G3284" i="7"/>
  <c r="F3124" i="7"/>
  <c r="G3125" i="7"/>
  <c r="K46" i="6"/>
  <c r="L46" i="6" s="1"/>
  <c r="M46" i="6" s="1"/>
  <c r="G2903" i="7"/>
  <c r="E2902" i="7"/>
  <c r="L15" i="6"/>
  <c r="H3167" i="7"/>
  <c r="G2867" i="7"/>
  <c r="E2859" i="7"/>
  <c r="E2858" i="7" s="1"/>
  <c r="G2858" i="7" s="1"/>
  <c r="H2858" i="7" s="1"/>
  <c r="G2601" i="7"/>
  <c r="F2600" i="7"/>
  <c r="G2600" i="7" s="1"/>
  <c r="H3649" i="7"/>
  <c r="H3660" i="7"/>
  <c r="G3250" i="7"/>
  <c r="F3246" i="7"/>
  <c r="G3246" i="7" s="1"/>
  <c r="E3167" i="7"/>
  <c r="G2941" i="7"/>
  <c r="F2938" i="7"/>
  <c r="G2938" i="7" s="1"/>
  <c r="G2909" i="7"/>
  <c r="F2908" i="7"/>
  <c r="G2908" i="7" s="1"/>
  <c r="G3710" i="7"/>
  <c r="H3710" i="7" s="1"/>
  <c r="G3280" i="7"/>
  <c r="G3266" i="7"/>
  <c r="E3265" i="7"/>
  <c r="G3265" i="7" s="1"/>
  <c r="G3709" i="7"/>
  <c r="H3709" i="7" s="1"/>
  <c r="E3011" i="7"/>
  <c r="G2748" i="7"/>
  <c r="F2747" i="7"/>
  <c r="E68" i="6"/>
  <c r="G68" i="6" s="1"/>
  <c r="G3326" i="7"/>
  <c r="G3313" i="7"/>
  <c r="F3298" i="7"/>
  <c r="G3298" i="7" s="1"/>
  <c r="G3270" i="7"/>
  <c r="E3240" i="7"/>
  <c r="G3240" i="7" s="1"/>
  <c r="E3229" i="7"/>
  <c r="E3209" i="7"/>
  <c r="G3209" i="7" s="1"/>
  <c r="G3183" i="7"/>
  <c r="F3167" i="7"/>
  <c r="G3107" i="7"/>
  <c r="G3099" i="7"/>
  <c r="G3022" i="7"/>
  <c r="G2995" i="7"/>
  <c r="G2967" i="7"/>
  <c r="F2902" i="7"/>
  <c r="G2902" i="7" s="1"/>
  <c r="G2877" i="7"/>
  <c r="E2844" i="7"/>
  <c r="G2782" i="7"/>
  <c r="F2732" i="7"/>
  <c r="G2732" i="7" s="1"/>
  <c r="G2712" i="7"/>
  <c r="H2712" i="7" s="1"/>
  <c r="F2614" i="7"/>
  <c r="G2614" i="7" s="1"/>
  <c r="H2614" i="7" s="1"/>
  <c r="G2615" i="7"/>
  <c r="I16" i="6"/>
  <c r="G3129" i="7"/>
  <c r="H3129" i="7" s="1"/>
  <c r="H3124" i="7" s="1"/>
  <c r="G3119" i="7"/>
  <c r="H3119" i="7" s="1"/>
  <c r="G3046" i="7"/>
  <c r="F3045" i="7"/>
  <c r="F2917" i="7"/>
  <c r="G2703" i="7"/>
  <c r="E2624" i="7"/>
  <c r="G2624" i="7" s="1"/>
  <c r="F2583" i="7"/>
  <c r="H2388" i="7"/>
  <c r="H2379" i="7" s="1"/>
  <c r="G606" i="9"/>
  <c r="F601" i="9"/>
  <c r="E557" i="9"/>
  <c r="E556" i="9" s="1"/>
  <c r="G571" i="9"/>
  <c r="G3285" i="7"/>
  <c r="E3045" i="7"/>
  <c r="G3021" i="7"/>
  <c r="F3012" i="7"/>
  <c r="F2755" i="7"/>
  <c r="G2738" i="7"/>
  <c r="F2729" i="7"/>
  <c r="G2730" i="7"/>
  <c r="G2548" i="7"/>
  <c r="F2467" i="7"/>
  <c r="G2468" i="7"/>
  <c r="F1609" i="7"/>
  <c r="G1612" i="7"/>
  <c r="G3206" i="7"/>
  <c r="G3098" i="7"/>
  <c r="G2965" i="7"/>
  <c r="G2899" i="7"/>
  <c r="E2755" i="7"/>
  <c r="G2719" i="7"/>
  <c r="G2694" i="7"/>
  <c r="F2637" i="7"/>
  <c r="G2637" i="7" s="1"/>
  <c r="G2580" i="7"/>
  <c r="H2346" i="7"/>
  <c r="G2346" i="7"/>
  <c r="G2312" i="7"/>
  <c r="H2312" i="7"/>
  <c r="H2306" i="7"/>
  <c r="G2147" i="7"/>
  <c r="E2144" i="7"/>
  <c r="G1746" i="7"/>
  <c r="E1743" i="7"/>
  <c r="G1743" i="7" s="1"/>
  <c r="G1625" i="7"/>
  <c r="F1624" i="7"/>
  <c r="G1624" i="7" s="1"/>
  <c r="G3219" i="7"/>
  <c r="H3011" i="7"/>
  <c r="H2916" i="7" s="1"/>
  <c r="F2661" i="7"/>
  <c r="G2661" i="7" s="1"/>
  <c r="H2661" i="7" s="1"/>
  <c r="G2662" i="7"/>
  <c r="H2662" i="7" s="1"/>
  <c r="F2620" i="7"/>
  <c r="G2620" i="7" s="1"/>
  <c r="G2621" i="7"/>
  <c r="E2504" i="7"/>
  <c r="G2511" i="7"/>
  <c r="F2485" i="7"/>
  <c r="G2485" i="7" s="1"/>
  <c r="G2486" i="7"/>
  <c r="E1762" i="7"/>
  <c r="G1762" i="7" s="1"/>
  <c r="G1763" i="7"/>
  <c r="G3247" i="7"/>
  <c r="G3711" i="7"/>
  <c r="H3711" i="7" s="1"/>
  <c r="G3019" i="7"/>
  <c r="G2983" i="7"/>
  <c r="F2898" i="7"/>
  <c r="G2898" i="7" s="1"/>
  <c r="G2890" i="7"/>
  <c r="H2890" i="7" s="1"/>
  <c r="G2743" i="7"/>
  <c r="H2743" i="7" s="1"/>
  <c r="F2693" i="7"/>
  <c r="G2693" i="7" s="1"/>
  <c r="F2579" i="7"/>
  <c r="G2579" i="7" s="1"/>
  <c r="F2492" i="7"/>
  <c r="G2492" i="7" s="1"/>
  <c r="H2492" i="7" s="1"/>
  <c r="G2493" i="7"/>
  <c r="H2493" i="7" s="1"/>
  <c r="H2403" i="7"/>
  <c r="G3152" i="7"/>
  <c r="F3084" i="7"/>
  <c r="E2697" i="7"/>
  <c r="G2700" i="7"/>
  <c r="E2604" i="7"/>
  <c r="G2604" i="7" s="1"/>
  <c r="H2604" i="7" s="1"/>
  <c r="G2605" i="7"/>
  <c r="H2144" i="7"/>
  <c r="G3163" i="7"/>
  <c r="G3103" i="7"/>
  <c r="G2936" i="7"/>
  <c r="F2935" i="7"/>
  <c r="G2725" i="7"/>
  <c r="G2715" i="7"/>
  <c r="G2667" i="7"/>
  <c r="H2667" i="7" s="1"/>
  <c r="G2586" i="7"/>
  <c r="G2544" i="7"/>
  <c r="E2543" i="7"/>
  <c r="G2543" i="7" s="1"/>
  <c r="G2533" i="7"/>
  <c r="F2424" i="7"/>
  <c r="G2425" i="7"/>
  <c r="E2353" i="7"/>
  <c r="G2354" i="7"/>
  <c r="E2935" i="7"/>
  <c r="F2787" i="7"/>
  <c r="G2751" i="7"/>
  <c r="E2750" i="7"/>
  <c r="G2750" i="7" s="1"/>
  <c r="G2690" i="7"/>
  <c r="E2689" i="7"/>
  <c r="G2689" i="7" s="1"/>
  <c r="E2583" i="7"/>
  <c r="E2561" i="7" s="1"/>
  <c r="F2458" i="7"/>
  <c r="G2458" i="7" s="1"/>
  <c r="E2424" i="7"/>
  <c r="E2912" i="7"/>
  <c r="G2912" i="7" s="1"/>
  <c r="G2724" i="7"/>
  <c r="H2391" i="7"/>
  <c r="E1866" i="7"/>
  <c r="G1885" i="7"/>
  <c r="H1885" i="7" s="1"/>
  <c r="G2887" i="7"/>
  <c r="G2831" i="7"/>
  <c r="F2658" i="7"/>
  <c r="G2593" i="7"/>
  <c r="F2498" i="7"/>
  <c r="F2562" i="7"/>
  <c r="F2517" i="7"/>
  <c r="G2517" i="7" s="1"/>
  <c r="F2341" i="7"/>
  <c r="H2342" i="7"/>
  <c r="G2334" i="7"/>
  <c r="F2333" i="7"/>
  <c r="G2333" i="7" s="1"/>
  <c r="G1962" i="7"/>
  <c r="H1962" i="7" s="1"/>
  <c r="F1701" i="7"/>
  <c r="G1701" i="7" s="1"/>
  <c r="G1702" i="7"/>
  <c r="H1673" i="7"/>
  <c r="G1326" i="7"/>
  <c r="E1325" i="7"/>
  <c r="G1262" i="7"/>
  <c r="F1261" i="7"/>
  <c r="G1261" i="7" s="1"/>
  <c r="E2165" i="7"/>
  <c r="G2165" i="7" s="1"/>
  <c r="F2069" i="7"/>
  <c r="G2070" i="7"/>
  <c r="F1954" i="7"/>
  <c r="G1954" i="7" s="1"/>
  <c r="H1954" i="7" s="1"/>
  <c r="G1947" i="7"/>
  <c r="F1946" i="7"/>
  <c r="F1939" i="7"/>
  <c r="G1939" i="7" s="1"/>
  <c r="H1939" i="7" s="1"/>
  <c r="G1940" i="7"/>
  <c r="H1940" i="7" s="1"/>
  <c r="E1684" i="7"/>
  <c r="G1684" i="7" s="1"/>
  <c r="G1685" i="7"/>
  <c r="G1505" i="7"/>
  <c r="H1505" i="7" s="1"/>
  <c r="F1490" i="7"/>
  <c r="G1967" i="7"/>
  <c r="H1967" i="7" s="1"/>
  <c r="F1966" i="7"/>
  <c r="G1966" i="7" s="1"/>
  <c r="H1966" i="7" s="1"/>
  <c r="G1598" i="7"/>
  <c r="F1593" i="7"/>
  <c r="G1593" i="7" s="1"/>
  <c r="G2370" i="7"/>
  <c r="G2359" i="7"/>
  <c r="G2217" i="7"/>
  <c r="H2217" i="7" s="1"/>
  <c r="G2087" i="7"/>
  <c r="G2039" i="7"/>
  <c r="F1931" i="7"/>
  <c r="G1931" i="7" s="1"/>
  <c r="E1649" i="7"/>
  <c r="G1632" i="7"/>
  <c r="F1631" i="7"/>
  <c r="G1332" i="7"/>
  <c r="F1331" i="7"/>
  <c r="G1331" i="7" s="1"/>
  <c r="F1218" i="7"/>
  <c r="G1218" i="7" s="1"/>
  <c r="G1219" i="7"/>
  <c r="G674" i="8"/>
  <c r="H674" i="8" s="1"/>
  <c r="F2052" i="7"/>
  <c r="G2052" i="7" s="1"/>
  <c r="G2057" i="7"/>
  <c r="G1893" i="7"/>
  <c r="E1892" i="7"/>
  <c r="G1892" i="7" s="1"/>
  <c r="F1866" i="7"/>
  <c r="G1882" i="7"/>
  <c r="H1882" i="7" s="1"/>
  <c r="F1648" i="7"/>
  <c r="G2364" i="7"/>
  <c r="F2133" i="7"/>
  <c r="G2133" i="7" s="1"/>
  <c r="E2048" i="7"/>
  <c r="G2048" i="7" s="1"/>
  <c r="G2049" i="7"/>
  <c r="G2006" i="7"/>
  <c r="F2003" i="7"/>
  <c r="H1870" i="7"/>
  <c r="H1866" i="7" s="1"/>
  <c r="F1708" i="7"/>
  <c r="G1689" i="7"/>
  <c r="G1573" i="7"/>
  <c r="G1228" i="7"/>
  <c r="E1227" i="7"/>
  <c r="H2344" i="7"/>
  <c r="G2338" i="7"/>
  <c r="F2339" i="7"/>
  <c r="H2308" i="7"/>
  <c r="E2274" i="7"/>
  <c r="G2274" i="7" s="1"/>
  <c r="F1766" i="7"/>
  <c r="F1674" i="7"/>
  <c r="G1535" i="7"/>
  <c r="F1534" i="7"/>
  <c r="G1479" i="7"/>
  <c r="F2379" i="7"/>
  <c r="G2379" i="7" s="1"/>
  <c r="G1978" i="7"/>
  <c r="H1978" i="7" s="1"/>
  <c r="E1972" i="7"/>
  <c r="G1972" i="7" s="1"/>
  <c r="H1972" i="7" s="1"/>
  <c r="G1237" i="7"/>
  <c r="F1236" i="7"/>
  <c r="G1236" i="7" s="1"/>
  <c r="F2349" i="7"/>
  <c r="G2349" i="7" s="1"/>
  <c r="G2328" i="7"/>
  <c r="F2286" i="7"/>
  <c r="E2189" i="7"/>
  <c r="G2189" i="7" s="1"/>
  <c r="G2190" i="7"/>
  <c r="E2083" i="7"/>
  <c r="G2083" i="7" s="1"/>
  <c r="G2084" i="7"/>
  <c r="G2044" i="7"/>
  <c r="F2035" i="7"/>
  <c r="G2036" i="7"/>
  <c r="H1709" i="7"/>
  <c r="H1708" i="7" s="1"/>
  <c r="G1688" i="7"/>
  <c r="H1609" i="7"/>
  <c r="H1593" i="7"/>
  <c r="G2199" i="7"/>
  <c r="H2199" i="7" s="1"/>
  <c r="E2198" i="7"/>
  <c r="G2198" i="7" s="1"/>
  <c r="H2198" i="7" s="1"/>
  <c r="F1726" i="7"/>
  <c r="G1726" i="7" s="1"/>
  <c r="E1560" i="7"/>
  <c r="G1319" i="7"/>
  <c r="F1318" i="7"/>
  <c r="G1318" i="7" s="1"/>
  <c r="G1636" i="7"/>
  <c r="F1635" i="7"/>
  <c r="G1635" i="7" s="1"/>
  <c r="F1439" i="7"/>
  <c r="G1439" i="7" s="1"/>
  <c r="G1440" i="7"/>
  <c r="G1878" i="7"/>
  <c r="G1677" i="7"/>
  <c r="G1594" i="7"/>
  <c r="F1580" i="7"/>
  <c r="G1496" i="7"/>
  <c r="G1461" i="7"/>
  <c r="H1397" i="7"/>
  <c r="H1335" i="7" s="1"/>
  <c r="F1309" i="7"/>
  <c r="G1309" i="7" s="1"/>
  <c r="G1310" i="7"/>
  <c r="E1291" i="7"/>
  <c r="G1292" i="7"/>
  <c r="G1268" i="7"/>
  <c r="F1267" i="7"/>
  <c r="H1072" i="7"/>
  <c r="H1071" i="7" s="1"/>
  <c r="H934" i="7"/>
  <c r="F712" i="7"/>
  <c r="G713" i="7"/>
  <c r="G346" i="7"/>
  <c r="E345" i="7"/>
  <c r="E344" i="7" s="1"/>
  <c r="E343" i="7" s="1"/>
  <c r="F581" i="9"/>
  <c r="G581" i="9" s="1"/>
  <c r="E1783" i="7"/>
  <c r="G1767" i="7"/>
  <c r="G1752" i="7"/>
  <c r="F1527" i="7"/>
  <c r="G1527" i="7" s="1"/>
  <c r="G1445" i="7"/>
  <c r="F1325" i="7"/>
  <c r="G1325" i="7" s="1"/>
  <c r="G1227" i="7"/>
  <c r="G1202" i="7"/>
  <c r="H1202" i="7" s="1"/>
  <c r="G768" i="7"/>
  <c r="G562" i="7"/>
  <c r="E561" i="7"/>
  <c r="G561" i="7" s="1"/>
  <c r="E1694" i="7"/>
  <c r="G1694" i="7" s="1"/>
  <c r="G1306" i="7"/>
  <c r="F1305" i="7"/>
  <c r="G1305" i="7" s="1"/>
  <c r="G1288" i="7"/>
  <c r="G1282" i="7"/>
  <c r="H1282" i="7" s="1"/>
  <c r="H1267" i="7" s="1"/>
  <c r="H1240" i="7" s="1"/>
  <c r="E820" i="7"/>
  <c r="F789" i="7"/>
  <c r="G789" i="7" s="1"/>
  <c r="G790" i="7"/>
  <c r="G395" i="7"/>
  <c r="E381" i="7"/>
  <c r="G1895" i="7"/>
  <c r="G1452" i="7"/>
  <c r="G853" i="7"/>
  <c r="E368" i="8"/>
  <c r="G1242" i="7"/>
  <c r="F1241" i="7"/>
  <c r="G1910" i="7"/>
  <c r="G1779" i="7"/>
  <c r="F1751" i="7"/>
  <c r="G1751" i="7" s="1"/>
  <c r="G1640" i="7"/>
  <c r="G1621" i="7"/>
  <c r="H1560" i="7"/>
  <c r="G1523" i="7"/>
  <c r="G1467" i="7"/>
  <c r="E1241" i="7"/>
  <c r="E1240" i="7" s="1"/>
  <c r="F1181" i="7"/>
  <c r="G1181" i="7" s="1"/>
  <c r="G904" i="7"/>
  <c r="F903" i="7"/>
  <c r="G903" i="7" s="1"/>
  <c r="F885" i="7"/>
  <c r="G885" i="7" s="1"/>
  <c r="G886" i="7"/>
  <c r="G873" i="7"/>
  <c r="G633" i="7"/>
  <c r="F632" i="7"/>
  <c r="H842" i="8"/>
  <c r="H613" i="8"/>
  <c r="H612" i="8" s="1"/>
  <c r="E1609" i="7"/>
  <c r="G1345" i="7"/>
  <c r="F1336" i="7"/>
  <c r="F1171" i="7"/>
  <c r="G1172" i="7"/>
  <c r="E852" i="7"/>
  <c r="F820" i="7"/>
  <c r="G653" i="7"/>
  <c r="F652" i="7"/>
  <c r="G652" i="7" s="1"/>
  <c r="G748" i="8"/>
  <c r="F733" i="8"/>
  <c r="G1727" i="7"/>
  <c r="G1698" i="7"/>
  <c r="H1649" i="7"/>
  <c r="H1648" i="7" s="1"/>
  <c r="G1614" i="7"/>
  <c r="G1596" i="7"/>
  <c r="F1466" i="7"/>
  <c r="G1466" i="7" s="1"/>
  <c r="G1294" i="7"/>
  <c r="E1232" i="7"/>
  <c r="E1231" i="7" s="1"/>
  <c r="G1231" i="7" s="1"/>
  <c r="H1231" i="7" s="1"/>
  <c r="F891" i="7"/>
  <c r="G891" i="7" s="1"/>
  <c r="G892" i="7"/>
  <c r="G879" i="7"/>
  <c r="F519" i="7"/>
  <c r="F827" i="8"/>
  <c r="G827" i="8" s="1"/>
  <c r="G1932" i="7"/>
  <c r="H1932" i="7" s="1"/>
  <c r="G1714" i="7"/>
  <c r="G1667" i="7"/>
  <c r="E1630" i="7"/>
  <c r="G1480" i="7"/>
  <c r="G1431" i="7"/>
  <c r="G1194" i="7"/>
  <c r="F1193" i="7"/>
  <c r="G1193" i="7" s="1"/>
  <c r="H861" i="7"/>
  <c r="H852" i="7" s="1"/>
  <c r="G858" i="7"/>
  <c r="G670" i="7"/>
  <c r="E667" i="7"/>
  <c r="E594" i="7"/>
  <c r="G594" i="7" s="1"/>
  <c r="H594" i="7" s="1"/>
  <c r="G595" i="7"/>
  <c r="H595" i="7" s="1"/>
  <c r="F567" i="7"/>
  <c r="G537" i="7"/>
  <c r="F536" i="7"/>
  <c r="G536" i="7" s="1"/>
  <c r="F344" i="7"/>
  <c r="G345" i="7"/>
  <c r="G613" i="7"/>
  <c r="G603" i="7"/>
  <c r="H603" i="7" s="1"/>
  <c r="E402" i="7"/>
  <c r="H261" i="7"/>
  <c r="H777" i="8"/>
  <c r="G687" i="8"/>
  <c r="E705" i="9"/>
  <c r="E704" i="9" s="1"/>
  <c r="H643" i="9"/>
  <c r="H642" i="9" s="1"/>
  <c r="G641" i="7"/>
  <c r="F640" i="7"/>
  <c r="G640" i="7" s="1"/>
  <c r="G622" i="7"/>
  <c r="G160" i="9"/>
  <c r="F899" i="7"/>
  <c r="G899" i="7" s="1"/>
  <c r="G900" i="7"/>
  <c r="H834" i="7"/>
  <c r="F381" i="7"/>
  <c r="H197" i="7"/>
  <c r="H36" i="7"/>
  <c r="H16" i="7" s="1"/>
  <c r="G16" i="7"/>
  <c r="E15" i="7"/>
  <c r="H784" i="8"/>
  <c r="G678" i="8"/>
  <c r="H678" i="8" s="1"/>
  <c r="F677" i="8"/>
  <c r="G677" i="8" s="1"/>
  <c r="H677" i="8" s="1"/>
  <c r="H671" i="8" s="1"/>
  <c r="H670" i="8" s="1"/>
  <c r="G506" i="8"/>
  <c r="G1215" i="7"/>
  <c r="G668" i="7"/>
  <c r="H668" i="7" s="1"/>
  <c r="F667" i="7"/>
  <c r="G667" i="7" s="1"/>
  <c r="G612" i="7"/>
  <c r="G550" i="7"/>
  <c r="F532" i="7"/>
  <c r="G533" i="7"/>
  <c r="G418" i="7"/>
  <c r="E352" i="7"/>
  <c r="F842" i="8"/>
  <c r="H800" i="8"/>
  <c r="H717" i="8"/>
  <c r="H716" i="8" s="1"/>
  <c r="G686" i="8"/>
  <c r="E671" i="8"/>
  <c r="E670" i="8" s="1"/>
  <c r="H595" i="8"/>
  <c r="G508" i="8"/>
  <c r="E507" i="8"/>
  <c r="E506" i="8" s="1"/>
  <c r="F180" i="9"/>
  <c r="G180" i="9" s="1"/>
  <c r="G181" i="9"/>
  <c r="G875" i="7"/>
  <c r="H329" i="8"/>
  <c r="H328" i="8" s="1"/>
  <c r="F378" i="9"/>
  <c r="G381" i="9"/>
  <c r="G881" i="7"/>
  <c r="F581" i="7"/>
  <c r="H159" i="7"/>
  <c r="H815" i="8"/>
  <c r="G717" i="8"/>
  <c r="F716" i="8"/>
  <c r="G716" i="8" s="1"/>
  <c r="E703" i="8"/>
  <c r="E702" i="8" s="1"/>
  <c r="G606" i="8"/>
  <c r="H606" i="8"/>
  <c r="F388" i="8"/>
  <c r="G388" i="8" s="1"/>
  <c r="G389" i="8"/>
  <c r="G606" i="7"/>
  <c r="F587" i="7"/>
  <c r="G588" i="7"/>
  <c r="H115" i="7"/>
  <c r="H55" i="7" s="1"/>
  <c r="F776" i="8"/>
  <c r="G808" i="8"/>
  <c r="H808" i="8" s="1"/>
  <c r="E649" i="8"/>
  <c r="E648" i="8" s="1"/>
  <c r="G638" i="8"/>
  <c r="F635" i="8"/>
  <c r="F455" i="9"/>
  <c r="G456" i="9"/>
  <c r="H391" i="9"/>
  <c r="F846" i="7"/>
  <c r="G846" i="7" s="1"/>
  <c r="G847" i="7"/>
  <c r="G803" i="7"/>
  <c r="G577" i="7"/>
  <c r="F576" i="7"/>
  <c r="G702" i="8"/>
  <c r="H573" i="8"/>
  <c r="H570" i="8" s="1"/>
  <c r="H569" i="8" s="1"/>
  <c r="H470" i="8"/>
  <c r="H469" i="8" s="1"/>
  <c r="F395" i="8"/>
  <c r="G400" i="8"/>
  <c r="G361" i="8"/>
  <c r="F357" i="8"/>
  <c r="F644" i="7"/>
  <c r="G644" i="7" s="1"/>
  <c r="G645" i="7"/>
  <c r="H645" i="7" s="1"/>
  <c r="G592" i="8"/>
  <c r="F591" i="8"/>
  <c r="G591" i="8" s="1"/>
  <c r="F530" i="8"/>
  <c r="F256" i="8"/>
  <c r="G257" i="8"/>
  <c r="F206" i="8"/>
  <c r="G206" i="8" s="1"/>
  <c r="G207" i="8"/>
  <c r="E153" i="8"/>
  <c r="E101" i="8"/>
  <c r="G101" i="8" s="1"/>
  <c r="E14" i="8"/>
  <c r="G15" i="8"/>
  <c r="E320" i="9"/>
  <c r="G321" i="9"/>
  <c r="H321" i="9" s="1"/>
  <c r="G260" i="9"/>
  <c r="H249" i="9"/>
  <c r="E160" i="9"/>
  <c r="G95" i="10"/>
  <c r="G857" i="7"/>
  <c r="G915" i="8"/>
  <c r="F476" i="8"/>
  <c r="F292" i="8"/>
  <c r="G292" i="8" s="1"/>
  <c r="G319" i="8"/>
  <c r="E171" i="8"/>
  <c r="E170" i="8" s="1"/>
  <c r="G172" i="8"/>
  <c r="E546" i="9"/>
  <c r="F547" i="9"/>
  <c r="E454" i="9"/>
  <c r="G333" i="9"/>
  <c r="G267" i="9"/>
  <c r="G520" i="7"/>
  <c r="H520" i="7" s="1"/>
  <c r="H519" i="7" s="1"/>
  <c r="G654" i="8"/>
  <c r="G427" i="8"/>
  <c r="G390" i="8"/>
  <c r="G358" i="8"/>
  <c r="G180" i="8"/>
  <c r="F179" i="8"/>
  <c r="H34" i="8"/>
  <c r="H14" i="8" s="1"/>
  <c r="F724" i="9"/>
  <c r="G727" i="9"/>
  <c r="H365" i="9"/>
  <c r="H358" i="9" s="1"/>
  <c r="H357" i="9" s="1"/>
  <c r="H14" i="9"/>
  <c r="H13" i="9" s="1"/>
  <c r="G78" i="10"/>
  <c r="G551" i="7"/>
  <c r="H418" i="7"/>
  <c r="G353" i="7"/>
  <c r="G426" i="8"/>
  <c r="H667" i="9"/>
  <c r="H666" i="9" s="1"/>
  <c r="E615" i="9"/>
  <c r="F557" i="9"/>
  <c r="G560" i="9"/>
  <c r="H560" i="9" s="1"/>
  <c r="H557" i="9" s="1"/>
  <c r="H556" i="9" s="1"/>
  <c r="H386" i="7"/>
  <c r="H381" i="7" s="1"/>
  <c r="H593" i="8"/>
  <c r="G551" i="9"/>
  <c r="H551" i="9"/>
  <c r="H243" i="9"/>
  <c r="H234" i="9" s="1"/>
  <c r="H233" i="9" s="1"/>
  <c r="G386" i="7"/>
  <c r="G844" i="8"/>
  <c r="G593" i="8"/>
  <c r="H425" i="8"/>
  <c r="G380" i="8"/>
  <c r="G148" i="8"/>
  <c r="H724" i="9"/>
  <c r="H723" i="9" s="1"/>
  <c r="G618" i="9"/>
  <c r="G409" i="9"/>
  <c r="F104" i="9"/>
  <c r="G171" i="8"/>
  <c r="F643" i="9"/>
  <c r="G651" i="9"/>
  <c r="H455" i="9"/>
  <c r="H454" i="9" s="1"/>
  <c r="E326" i="9"/>
  <c r="G327" i="9"/>
  <c r="G439" i="8"/>
  <c r="H101" i="8"/>
  <c r="H513" i="9"/>
  <c r="H512" i="9" s="1"/>
  <c r="D188" i="10"/>
  <c r="F367" i="8"/>
  <c r="G367" i="8" s="1"/>
  <c r="H293" i="8"/>
  <c r="H292" i="8" s="1"/>
  <c r="G471" i="8"/>
  <c r="G385" i="8"/>
  <c r="H266" i="8"/>
  <c r="H265" i="8" s="1"/>
  <c r="H256" i="8" s="1"/>
  <c r="H255" i="8" s="1"/>
  <c r="F631" i="9"/>
  <c r="G631" i="9" s="1"/>
  <c r="G632" i="9"/>
  <c r="F495" i="9"/>
  <c r="G498" i="9"/>
  <c r="F392" i="9"/>
  <c r="G393" i="9"/>
  <c r="G122" i="9"/>
  <c r="E582" i="9"/>
  <c r="G582" i="9" s="1"/>
  <c r="E537" i="9"/>
  <c r="G537" i="9" s="1"/>
  <c r="F249" i="9"/>
  <c r="G249" i="9" s="1"/>
  <c r="E105" i="9"/>
  <c r="E104" i="9" s="1"/>
  <c r="F196" i="8"/>
  <c r="G196" i="8" s="1"/>
  <c r="H196" i="8" s="1"/>
  <c r="H170" i="8" s="1"/>
  <c r="F131" i="8"/>
  <c r="F87" i="8"/>
  <c r="F53" i="8"/>
  <c r="F718" i="9"/>
  <c r="G718" i="9" s="1"/>
  <c r="F624" i="9"/>
  <c r="G624" i="9" s="1"/>
  <c r="F420" i="9"/>
  <c r="F353" i="9"/>
  <c r="G353" i="9" s="1"/>
  <c r="F237" i="9"/>
  <c r="G283" i="8"/>
  <c r="G250" i="8"/>
  <c r="G208" i="8"/>
  <c r="G154" i="8"/>
  <c r="H144" i="8"/>
  <c r="H131" i="8" s="1"/>
  <c r="G623" i="9"/>
  <c r="F145" i="10"/>
  <c r="G184" i="8"/>
  <c r="G176" i="8"/>
  <c r="F670" i="9"/>
  <c r="G670" i="9" s="1"/>
  <c r="F326" i="9"/>
  <c r="G326" i="9" s="1"/>
  <c r="F320" i="9"/>
  <c r="G256" i="9"/>
  <c r="G182" i="9"/>
  <c r="G176" i="9"/>
  <c r="F126" i="9"/>
  <c r="G126" i="9" s="1"/>
  <c r="F195" i="10"/>
  <c r="F194" i="9"/>
  <c r="H553" i="9"/>
  <c r="H549" i="9"/>
  <c r="H127" i="8"/>
  <c r="F412" i="9"/>
  <c r="G412" i="9" s="1"/>
  <c r="G116" i="9"/>
  <c r="H548" i="9"/>
  <c r="H155" i="9"/>
  <c r="H126" i="9" s="1"/>
  <c r="G587" i="9"/>
  <c r="G442" i="9"/>
  <c r="H442" i="9" s="1"/>
  <c r="G167" i="9"/>
  <c r="H167" i="9" s="1"/>
  <c r="H161" i="9" s="1"/>
  <c r="H160" i="9" s="1"/>
  <c r="E512" i="9" l="1"/>
  <c r="G512" i="9" s="1"/>
  <c r="G438" i="8"/>
  <c r="H13" i="8"/>
  <c r="H820" i="7"/>
  <c r="G552" i="8"/>
  <c r="E1533" i="7"/>
  <c r="F852" i="7"/>
  <c r="G1267" i="7"/>
  <c r="H1707" i="7"/>
  <c r="G1766" i="7"/>
  <c r="G1946" i="7"/>
  <c r="F2673" i="7"/>
  <c r="G2673" i="7" s="1"/>
  <c r="G2467" i="7"/>
  <c r="G3229" i="7"/>
  <c r="G3201" i="7"/>
  <c r="F170" i="8"/>
  <c r="G170" i="8" s="1"/>
  <c r="E319" i="9"/>
  <c r="G352" i="7"/>
  <c r="G402" i="7"/>
  <c r="G1580" i="7"/>
  <c r="E1559" i="7"/>
  <c r="H2658" i="7"/>
  <c r="H2657" i="7" s="1"/>
  <c r="G3084" i="7"/>
  <c r="G3124" i="7"/>
  <c r="H2844" i="7"/>
  <c r="E518" i="7"/>
  <c r="G555" i="7"/>
  <c r="E1673" i="7"/>
  <c r="G613" i="8"/>
  <c r="F612" i="8"/>
  <c r="G612" i="8" s="1"/>
  <c r="F332" i="9"/>
  <c r="G332" i="9" s="1"/>
  <c r="E99" i="8"/>
  <c r="H1559" i="7"/>
  <c r="H907" i="7"/>
  <c r="E1648" i="7"/>
  <c r="G1490" i="7"/>
  <c r="H1490" i="7" s="1"/>
  <c r="H1430" i="7" s="1"/>
  <c r="E620" i="7"/>
  <c r="G1291" i="7"/>
  <c r="G2551" i="7"/>
  <c r="G2788" i="7"/>
  <c r="F13" i="10"/>
  <c r="E217" i="10"/>
  <c r="G18" i="10"/>
  <c r="H3217" i="7"/>
  <c r="E2916" i="7"/>
  <c r="G2787" i="7"/>
  <c r="E2657" i="7"/>
  <c r="F2503" i="7"/>
  <c r="G2532" i="7"/>
  <c r="G2424" i="7"/>
  <c r="H2375" i="7"/>
  <c r="G2024" i="7"/>
  <c r="G1922" i="7"/>
  <c r="G1996" i="7"/>
  <c r="G1982" i="7"/>
  <c r="H1982" i="7" s="1"/>
  <c r="E1782" i="7"/>
  <c r="G1560" i="7"/>
  <c r="G1470" i="7"/>
  <c r="E1170" i="7"/>
  <c r="G1232" i="7"/>
  <c r="H1232" i="7" s="1"/>
  <c r="H1170" i="7" s="1"/>
  <c r="G621" i="7"/>
  <c r="G567" i="7"/>
  <c r="G599" i="7"/>
  <c r="H599" i="7" s="1"/>
  <c r="F598" i="7"/>
  <c r="G598" i="7" s="1"/>
  <c r="H598" i="7" s="1"/>
  <c r="H351" i="7"/>
  <c r="G13" i="10"/>
  <c r="G217" i="10"/>
  <c r="H15" i="7"/>
  <c r="G643" i="9"/>
  <c r="F642" i="9"/>
  <c r="G642" i="9" s="1"/>
  <c r="G104" i="9"/>
  <c r="G2144" i="7"/>
  <c r="E2143" i="7"/>
  <c r="G2143" i="7" s="1"/>
  <c r="G2729" i="7"/>
  <c r="F2728" i="7"/>
  <c r="G2728" i="7" s="1"/>
  <c r="G105" i="9"/>
  <c r="F470" i="8"/>
  <c r="G476" i="8"/>
  <c r="E13" i="8"/>
  <c r="G14" i="8"/>
  <c r="F356" i="8"/>
  <c r="G356" i="8" s="1"/>
  <c r="G357" i="8"/>
  <c r="G587" i="7"/>
  <c r="F586" i="7"/>
  <c r="G586" i="7" s="1"/>
  <c r="H776" i="8"/>
  <c r="H775" i="8" s="1"/>
  <c r="G632" i="7"/>
  <c r="F620" i="7"/>
  <c r="G620" i="7" s="1"/>
  <c r="G2583" i="7"/>
  <c r="G3167" i="7"/>
  <c r="F2746" i="7"/>
  <c r="G2746" i="7" s="1"/>
  <c r="G2747" i="7"/>
  <c r="E3217" i="7"/>
  <c r="E103" i="9"/>
  <c r="E831" i="9" s="1"/>
  <c r="G820" i="7"/>
  <c r="F819" i="7"/>
  <c r="G819" i="7" s="1"/>
  <c r="G1534" i="7"/>
  <c r="F1533" i="7"/>
  <c r="G1533" i="7" s="1"/>
  <c r="F671" i="8"/>
  <c r="G2755" i="7"/>
  <c r="F2497" i="7"/>
  <c r="G2497" i="7" s="1"/>
  <c r="H2497" i="7" s="1"/>
  <c r="H2402" i="7" s="1"/>
  <c r="G2498" i="7"/>
  <c r="H2498" i="7" s="1"/>
  <c r="H1533" i="7"/>
  <c r="F3011" i="7"/>
  <c r="G3011" i="7" s="1"/>
  <c r="G3012" i="7"/>
  <c r="G2697" i="7"/>
  <c r="F419" i="9"/>
  <c r="G419" i="9" s="1"/>
  <c r="G420" i="9"/>
  <c r="G2562" i="7"/>
  <c r="H2562" i="7" s="1"/>
  <c r="H2561" i="7" s="1"/>
  <c r="F2561" i="7"/>
  <c r="G2561" i="7" s="1"/>
  <c r="F615" i="9"/>
  <c r="G395" i="8"/>
  <c r="F394" i="8"/>
  <c r="G394" i="8" s="1"/>
  <c r="G153" i="8"/>
  <c r="G2286" i="7"/>
  <c r="F2285" i="7"/>
  <c r="G1674" i="7"/>
  <c r="F1673" i="7"/>
  <c r="G1649" i="7"/>
  <c r="G2935" i="7"/>
  <c r="E2402" i="7"/>
  <c r="G2403" i="7"/>
  <c r="F130" i="8"/>
  <c r="G131" i="8"/>
  <c r="F234" i="9"/>
  <c r="G237" i="9"/>
  <c r="F634" i="8"/>
  <c r="G634" i="8" s="1"/>
  <c r="G635" i="8"/>
  <c r="G507" i="8"/>
  <c r="G705" i="9"/>
  <c r="G381" i="7"/>
  <c r="F351" i="7"/>
  <c r="G1648" i="7"/>
  <c r="G2658" i="7"/>
  <c r="F1559" i="7"/>
  <c r="G1559" i="7" s="1"/>
  <c r="E3044" i="7"/>
  <c r="F2916" i="7"/>
  <c r="G2916" i="7" s="1"/>
  <c r="G2917" i="7"/>
  <c r="G2859" i="7"/>
  <c r="M15" i="6"/>
  <c r="L68" i="6"/>
  <c r="M68" i="6" s="1"/>
  <c r="F3323" i="7"/>
  <c r="G3324" i="7"/>
  <c r="F580" i="7"/>
  <c r="G580" i="7" s="1"/>
  <c r="H580" i="7" s="1"/>
  <c r="G581" i="7"/>
  <c r="H581" i="7" s="1"/>
  <c r="H518" i="7" s="1"/>
  <c r="F319" i="9"/>
  <c r="G319" i="9" s="1"/>
  <c r="G320" i="9"/>
  <c r="F454" i="9"/>
  <c r="G454" i="9" s="1"/>
  <c r="G455" i="9"/>
  <c r="G378" i="9"/>
  <c r="F377" i="9"/>
  <c r="G377" i="9" s="1"/>
  <c r="F667" i="9"/>
  <c r="G842" i="8"/>
  <c r="G1171" i="7"/>
  <c r="F1170" i="7"/>
  <c r="G1170" i="7" s="1"/>
  <c r="F1240" i="7"/>
  <c r="G1240" i="7" s="1"/>
  <c r="G649" i="8"/>
  <c r="H649" i="8" s="1"/>
  <c r="H648" i="8" s="1"/>
  <c r="H99" i="8" s="1"/>
  <c r="H923" i="8" s="1"/>
  <c r="F1707" i="7"/>
  <c r="G1707" i="7" s="1"/>
  <c r="G1708" i="7"/>
  <c r="F3044" i="7"/>
  <c r="G3045" i="7"/>
  <c r="K68" i="6"/>
  <c r="F3217" i="7"/>
  <c r="F546" i="9"/>
  <c r="G546" i="9" s="1"/>
  <c r="H546" i="9" s="1"/>
  <c r="H103" i="9" s="1"/>
  <c r="H831" i="9" s="1"/>
  <c r="H547" i="9"/>
  <c r="G547" i="9"/>
  <c r="F1335" i="7"/>
  <c r="G1335" i="7" s="1"/>
  <c r="G1336" i="7"/>
  <c r="G648" i="8"/>
  <c r="H1865" i="7"/>
  <c r="G1609" i="7"/>
  <c r="H3044" i="7"/>
  <c r="H2843" i="7"/>
  <c r="G724" i="9"/>
  <c r="F723" i="9"/>
  <c r="G723" i="9" s="1"/>
  <c r="F255" i="8"/>
  <c r="G255" i="8" s="1"/>
  <c r="G256" i="8"/>
  <c r="G557" i="9"/>
  <c r="F556" i="9"/>
  <c r="G556" i="9" s="1"/>
  <c r="F529" i="8"/>
  <c r="G529" i="8" s="1"/>
  <c r="G530" i="8"/>
  <c r="F575" i="7"/>
  <c r="G575" i="7" s="1"/>
  <c r="G576" i="7"/>
  <c r="G703" i="8"/>
  <c r="G1866" i="7"/>
  <c r="F1865" i="7"/>
  <c r="F1630" i="7"/>
  <c r="G1630" i="7" s="1"/>
  <c r="G1631" i="7"/>
  <c r="F2068" i="7"/>
  <c r="G2068" i="7" s="1"/>
  <c r="G2069" i="7"/>
  <c r="H2143" i="7"/>
  <c r="E2285" i="7"/>
  <c r="F2843" i="7"/>
  <c r="G2843" i="7" s="1"/>
  <c r="G2844" i="7"/>
  <c r="F193" i="9"/>
  <c r="G193" i="9" s="1"/>
  <c r="G194" i="9"/>
  <c r="H819" i="7"/>
  <c r="F600" i="9"/>
  <c r="G600" i="9" s="1"/>
  <c r="G601" i="9"/>
  <c r="G2003" i="7"/>
  <c r="G776" i="8"/>
  <c r="F775" i="8"/>
  <c r="G775" i="8" s="1"/>
  <c r="F531" i="7"/>
  <c r="G531" i="7" s="1"/>
  <c r="G532" i="7"/>
  <c r="F343" i="7"/>
  <c r="G344" i="7"/>
  <c r="G519" i="7"/>
  <c r="F732" i="8"/>
  <c r="G732" i="8" s="1"/>
  <c r="G733" i="8"/>
  <c r="G2035" i="7"/>
  <c r="F2034" i="7"/>
  <c r="G2034" i="7" s="1"/>
  <c r="H2339" i="7"/>
  <c r="G2339" i="7"/>
  <c r="H2341" i="7"/>
  <c r="G2341" i="7"/>
  <c r="E2503" i="7"/>
  <c r="G2503" i="7" s="1"/>
  <c r="J16" i="6"/>
  <c r="I68" i="6"/>
  <c r="J68" i="6" s="1"/>
  <c r="F391" i="9"/>
  <c r="G391" i="9" s="1"/>
  <c r="G392" i="9"/>
  <c r="G53" i="8"/>
  <c r="D217" i="10"/>
  <c r="F217" i="10" s="1"/>
  <c r="F188" i="10"/>
  <c r="F704" i="9"/>
  <c r="G704" i="9" s="1"/>
  <c r="F86" i="8"/>
  <c r="G87" i="8"/>
  <c r="G495" i="9"/>
  <c r="F494" i="9"/>
  <c r="G494" i="9" s="1"/>
  <c r="F1430" i="7"/>
  <c r="G1430" i="7" s="1"/>
  <c r="G852" i="7"/>
  <c r="G712" i="7"/>
  <c r="F711" i="7"/>
  <c r="G711" i="7" s="1"/>
  <c r="E1865" i="7"/>
  <c r="G2504" i="7"/>
  <c r="G3217" i="7" l="1"/>
  <c r="E923" i="8"/>
  <c r="E350" i="7"/>
  <c r="G1673" i="7"/>
  <c r="G2285" i="7"/>
  <c r="H2285" i="7" s="1"/>
  <c r="H350" i="7"/>
  <c r="H3712" i="7" s="1"/>
  <c r="G667" i="9"/>
  <c r="F666" i="9"/>
  <c r="G666" i="9" s="1"/>
  <c r="G1865" i="7"/>
  <c r="G3323" i="7"/>
  <c r="F518" i="7"/>
  <c r="G518" i="7" s="1"/>
  <c r="G3044" i="7"/>
  <c r="G343" i="7"/>
  <c r="F15" i="7"/>
  <c r="G15" i="7" s="1"/>
  <c r="G130" i="8"/>
  <c r="F469" i="8"/>
  <c r="F99" i="8" s="1"/>
  <c r="G470" i="8"/>
  <c r="G469" i="8" s="1"/>
  <c r="F85" i="8"/>
  <c r="G86" i="8"/>
  <c r="F2657" i="7"/>
  <c r="G2657" i="7" s="1"/>
  <c r="G615" i="9"/>
  <c r="F614" i="9"/>
  <c r="G614" i="9" s="1"/>
  <c r="G234" i="9"/>
  <c r="F233" i="9"/>
  <c r="G233" i="9" s="1"/>
  <c r="F2002" i="7"/>
  <c r="G2002" i="7" s="1"/>
  <c r="F2402" i="7"/>
  <c r="G2402" i="7" s="1"/>
  <c r="G351" i="7"/>
  <c r="G671" i="8"/>
  <c r="F670" i="8"/>
  <c r="G670" i="8" s="1"/>
  <c r="G99" i="8" l="1"/>
  <c r="F103" i="9"/>
  <c r="G85" i="8"/>
  <c r="F13" i="8"/>
  <c r="G13" i="8" s="1"/>
  <c r="F350" i="7"/>
  <c r="G350" i="7" l="1"/>
  <c r="F3712" i="7"/>
  <c r="G103" i="9"/>
  <c r="F831" i="9"/>
  <c r="G831" i="9" s="1"/>
  <c r="F923" i="8"/>
  <c r="G923" i="8" s="1"/>
  <c r="G3712" i="7" l="1"/>
  <c r="C71" i="3" l="1"/>
  <c r="C69" i="3"/>
  <c r="C65" i="3"/>
  <c r="C51" i="3"/>
  <c r="E3772" i="2"/>
  <c r="E3769" i="2"/>
  <c r="E3765" i="2"/>
  <c r="E3755" i="2"/>
  <c r="E3751" i="2"/>
  <c r="E3749" i="2"/>
  <c r="E3741" i="2"/>
  <c r="E3734" i="2"/>
  <c r="E3727" i="2"/>
  <c r="E3723" i="2"/>
  <c r="E3719" i="2"/>
  <c r="E3717" i="2"/>
  <c r="E3714" i="2"/>
  <c r="E3710" i="2"/>
  <c r="E3704" i="2"/>
  <c r="E3700" i="2"/>
  <c r="E3697" i="2"/>
  <c r="E3692" i="2"/>
  <c r="E3689" i="2"/>
  <c r="E3687" i="2"/>
  <c r="E3683" i="2"/>
  <c r="E3674" i="2"/>
  <c r="E3669" i="2"/>
  <c r="E3667" i="2"/>
  <c r="E3664" i="2"/>
  <c r="E3660" i="2"/>
  <c r="E3658" i="2"/>
  <c r="E3656" i="2"/>
  <c r="E3650" i="2"/>
  <c r="E3645" i="2"/>
  <c r="E3641" i="2"/>
  <c r="E3636" i="2"/>
  <c r="E3630" i="2"/>
  <c r="E3624" i="2"/>
  <c r="E3621" i="2"/>
  <c r="E3619" i="2"/>
  <c r="E3616" i="2"/>
  <c r="E3608" i="2"/>
  <c r="E3606" i="2"/>
  <c r="E3604" i="2"/>
  <c r="E3600" i="2"/>
  <c r="E3598" i="2"/>
  <c r="E3596" i="2"/>
  <c r="E3591" i="2"/>
  <c r="E3586" i="2"/>
  <c r="E3584" i="2"/>
  <c r="E3580" i="2"/>
  <c r="E3578" i="2"/>
  <c r="E3575" i="2"/>
  <c r="E3563" i="2"/>
  <c r="E3561" i="2"/>
  <c r="E3559" i="2"/>
  <c r="E3556" i="2"/>
  <c r="E3549" i="2"/>
  <c r="E3546" i="2"/>
  <c r="E3545" i="2" s="1"/>
  <c r="E3542" i="2"/>
  <c r="E3537" i="2"/>
  <c r="E3540" i="2"/>
  <c r="E3451" i="2"/>
  <c r="E3320" i="2"/>
  <c r="E3314" i="2"/>
  <c r="E3539" i="2" l="1"/>
  <c r="E3231" i="2"/>
  <c r="E3230" i="2" s="1"/>
  <c r="E3279" i="2"/>
  <c r="E3277" i="2"/>
  <c r="E3273" i="2"/>
  <c r="E3270" i="2"/>
  <c r="E3269" i="2" s="1"/>
  <c r="E3264" i="2"/>
  <c r="E3263" i="2" s="1"/>
  <c r="E3260" i="2"/>
  <c r="E3259" i="2" s="1"/>
  <c r="E3256" i="2"/>
  <c r="E3254" i="2"/>
  <c r="E3252" i="2"/>
  <c r="E3251" i="2" s="1"/>
  <c r="E3247" i="2"/>
  <c r="E3245" i="2"/>
  <c r="E3242" i="2"/>
  <c r="E3241" i="2" s="1"/>
  <c r="E3237" i="2"/>
  <c r="E3235" i="2"/>
  <c r="E3227" i="2"/>
  <c r="E3226" i="2" s="1"/>
  <c r="E3222" i="2"/>
  <c r="E3223" i="2"/>
  <c r="E3219" i="2"/>
  <c r="E3217" i="2"/>
  <c r="E3216" i="2" s="1"/>
  <c r="E3212" i="2"/>
  <c r="E3210" i="2"/>
  <c r="E3206" i="2"/>
  <c r="E3205" i="2" s="1"/>
  <c r="E3200" i="2"/>
  <c r="E3201" i="2"/>
  <c r="E3195" i="2"/>
  <c r="E3194" i="2" s="1"/>
  <c r="E3191" i="2"/>
  <c r="E3188" i="2"/>
  <c r="E3187" i="2" s="1"/>
  <c r="E3183" i="2"/>
  <c r="E3179" i="2"/>
  <c r="E3176" i="2"/>
  <c r="E3174" i="2"/>
  <c r="E3170" i="2"/>
  <c r="E3166" i="2"/>
  <c r="E3157" i="2"/>
  <c r="E3154" i="2"/>
  <c r="E3153" i="2" s="1"/>
  <c r="E3071" i="2"/>
  <c r="E3059" i="2"/>
  <c r="E3055" i="2"/>
  <c r="E3051" i="2"/>
  <c r="E3047" i="2"/>
  <c r="E3043" i="2"/>
  <c r="E3040" i="2"/>
  <c r="E3030" i="2"/>
  <c r="E3027" i="2"/>
  <c r="E3023" i="2"/>
  <c r="E3021" i="2"/>
  <c r="E3019" i="2"/>
  <c r="E2998" i="2"/>
  <c r="E2970" i="2"/>
  <c r="E2969" i="2" s="1"/>
  <c r="E2965" i="2"/>
  <c r="E2966" i="2"/>
  <c r="E2962" i="2"/>
  <c r="E2961" i="2" s="1"/>
  <c r="E2957" i="2"/>
  <c r="E2958" i="2"/>
  <c r="E2954" i="2"/>
  <c r="E2953" i="2" s="1"/>
  <c r="E2811" i="2"/>
  <c r="E2784" i="2"/>
  <c r="E2781" i="2"/>
  <c r="E2778" i="2"/>
  <c r="E2766" i="2"/>
  <c r="E2762" i="2"/>
  <c r="E2761" i="2" s="1"/>
  <c r="E2758" i="2"/>
  <c r="E2754" i="2"/>
  <c r="E2750" i="2"/>
  <c r="E2746" i="2"/>
  <c r="E2721" i="2"/>
  <c r="E2719" i="2"/>
  <c r="E2705" i="2"/>
  <c r="E2693" i="2"/>
  <c r="E2690" i="2"/>
  <c r="E2688" i="2"/>
  <c r="E2630" i="2"/>
  <c r="E2623" i="2"/>
  <c r="E2621" i="2"/>
  <c r="E2540" i="2"/>
  <c r="E2536" i="2"/>
  <c r="E2535" i="2" s="1"/>
  <c r="E2532" i="2"/>
  <c r="E2528" i="2"/>
  <c r="E2523" i="2"/>
  <c r="E2519" i="2"/>
  <c r="E2520" i="2"/>
  <c r="E2498" i="2"/>
  <c r="E2493" i="2"/>
  <c r="E2600" i="2"/>
  <c r="E2598" i="2"/>
  <c r="E2595" i="2"/>
  <c r="E2593" i="2"/>
  <c r="E2589" i="2"/>
  <c r="E2588" i="2" s="1"/>
  <c r="E2585" i="2"/>
  <c r="E2584" i="2" s="1"/>
  <c r="E2581" i="2"/>
  <c r="E2580" i="2" s="1"/>
  <c r="E2577" i="2"/>
  <c r="E2575" i="2"/>
  <c r="E2573" i="2"/>
  <c r="E2568" i="2"/>
  <c r="E2567" i="2" s="1"/>
  <c r="E2564" i="2"/>
  <c r="E2563" i="2" s="1"/>
  <c r="E2560" i="2"/>
  <c r="E2559" i="2" s="1"/>
  <c r="E2553" i="2"/>
  <c r="E2551" i="2"/>
  <c r="E2547" i="2"/>
  <c r="E2544" i="2"/>
  <c r="E2542" i="2"/>
  <c r="E2530" i="2"/>
  <c r="E2516" i="2"/>
  <c r="E2514" i="2"/>
  <c r="E2508" i="2"/>
  <c r="E2506" i="2"/>
  <c r="E2504" i="2"/>
  <c r="E2487" i="2"/>
  <c r="E2484" i="2"/>
  <c r="E2483" i="2" s="1"/>
  <c r="E2467" i="2"/>
  <c r="E2466" i="2" s="1"/>
  <c r="E2462" i="2"/>
  <c r="E2454" i="2"/>
  <c r="E2446" i="2"/>
  <c r="E2394" i="2"/>
  <c r="E2391" i="2"/>
  <c r="E2386" i="2"/>
  <c r="E2384" i="2"/>
  <c r="E2379" i="2"/>
  <c r="E2368" i="2"/>
  <c r="E2333" i="2"/>
  <c r="E2307" i="2"/>
  <c r="E2296" i="2"/>
  <c r="E2295" i="2" s="1"/>
  <c r="E2292" i="2"/>
  <c r="E2286" i="2"/>
  <c r="E2285" i="2" s="1"/>
  <c r="E2282" i="2"/>
  <c r="E2281" i="2" s="1"/>
  <c r="E2278" i="2"/>
  <c r="E2277" i="2" s="1"/>
  <c r="E2274" i="2"/>
  <c r="E2273" i="2" s="1"/>
  <c r="E2269" i="2"/>
  <c r="E2265" i="2"/>
  <c r="E2263" i="2"/>
  <c r="E2259" i="2"/>
  <c r="E2258" i="2" s="1"/>
  <c r="E2255" i="2"/>
  <c r="E2254" i="2" s="1"/>
  <c r="E2251" i="2"/>
  <c r="E2227" i="2"/>
  <c r="E2226" i="2" s="1"/>
  <c r="E2217" i="2"/>
  <c r="E2211" i="2"/>
  <c r="E2210" i="2" s="1"/>
  <c r="E2207" i="2"/>
  <c r="E2204" i="2"/>
  <c r="E2200" i="2"/>
  <c r="E2199" i="2" s="1"/>
  <c r="E2196" i="2"/>
  <c r="E2195" i="2" s="1"/>
  <c r="E2192" i="2"/>
  <c r="E2190" i="2"/>
  <c r="E2188" i="2"/>
  <c r="E2185" i="2"/>
  <c r="E2183" i="2"/>
  <c r="E2181" i="2"/>
  <c r="E2169" i="2"/>
  <c r="E2161" i="2"/>
  <c r="E2160" i="2" s="1"/>
  <c r="E2156" i="2"/>
  <c r="E2157" i="2"/>
  <c r="E2153" i="2"/>
  <c r="E2147" i="2"/>
  <c r="E2145" i="2"/>
  <c r="E2141" i="2"/>
  <c r="E2135" i="2"/>
  <c r="E2133" i="2"/>
  <c r="E2125" i="2"/>
  <c r="E2121" i="2"/>
  <c r="E2112" i="2"/>
  <c r="E2111" i="2" s="1"/>
  <c r="E2108" i="2"/>
  <c r="E2107" i="2" s="1"/>
  <c r="E2102" i="2"/>
  <c r="E2088" i="2"/>
  <c r="E2085" i="2"/>
  <c r="E2080" i="2"/>
  <c r="E2078" i="2"/>
  <c r="E2061" i="2"/>
  <c r="E2054" i="2"/>
  <c r="E2048" i="2"/>
  <c r="E2037" i="2"/>
  <c r="E2036" i="2" s="1"/>
  <c r="E2014" i="2"/>
  <c r="E1980" i="2"/>
  <c r="E1973" i="2"/>
  <c r="E1944" i="2"/>
  <c r="E1942" i="2"/>
  <c r="E1940" i="2"/>
  <c r="E1938" i="2"/>
  <c r="E1934" i="2"/>
  <c r="E1932" i="2"/>
  <c r="E1927" i="2"/>
  <c r="E1925" i="2"/>
  <c r="E1923" i="2"/>
  <c r="E1920" i="2"/>
  <c r="E1917" i="2"/>
  <c r="E1913" i="2"/>
  <c r="E1902" i="2"/>
  <c r="E1900" i="2"/>
  <c r="E1898" i="2"/>
  <c r="E1896" i="2"/>
  <c r="E1894" i="2"/>
  <c r="E1891" i="2"/>
  <c r="E1889" i="2"/>
  <c r="E1884" i="2"/>
  <c r="E1880" i="2"/>
  <c r="E1878" i="2"/>
  <c r="E1875" i="2"/>
  <c r="E1873" i="2"/>
  <c r="E1868" i="2"/>
  <c r="E1865" i="2"/>
  <c r="E1859" i="2"/>
  <c r="E1851" i="2"/>
  <c r="E1847" i="2"/>
  <c r="E1839" i="2"/>
  <c r="E1835" i="2"/>
  <c r="E1834" i="2" s="1"/>
  <c r="E1831" i="2"/>
  <c r="E1829" i="2"/>
  <c r="E1825" i="2"/>
  <c r="E1823" i="2"/>
  <c r="E1810" i="2"/>
  <c r="E1806" i="2"/>
  <c r="E1800" i="2"/>
  <c r="E1796" i="2"/>
  <c r="E1795" i="2" s="1"/>
  <c r="E1792" i="2"/>
  <c r="E1791" i="2" s="1"/>
  <c r="E1787" i="2"/>
  <c r="E1786" i="2" s="1"/>
  <c r="E1782" i="2"/>
  <c r="E1780" i="2"/>
  <c r="E1768" i="2"/>
  <c r="E1766" i="2"/>
  <c r="E1764" i="2"/>
  <c r="E1690" i="2"/>
  <c r="E1689" i="2" s="1"/>
  <c r="E1686" i="2"/>
  <c r="E1684" i="2"/>
  <c r="E1681" i="2"/>
  <c r="E1608" i="2"/>
  <c r="E1607" i="2" s="1"/>
  <c r="E1604" i="2"/>
  <c r="E1603" i="2" s="1"/>
  <c r="E1600" i="2"/>
  <c r="E1598" i="2"/>
  <c r="E1596" i="2"/>
  <c r="E1591" i="2"/>
  <c r="E1590" i="2" s="1"/>
  <c r="E1587" i="2"/>
  <c r="E1584" i="2"/>
  <c r="E1581" i="2"/>
  <c r="E1580" i="2" s="1"/>
  <c r="E1577" i="2"/>
  <c r="E1576" i="2" s="1"/>
  <c r="E1573" i="2"/>
  <c r="E1571" i="2"/>
  <c r="E1570" i="2"/>
  <c r="E1567" i="2"/>
  <c r="E1566" i="2" s="1"/>
  <c r="E1563" i="2"/>
  <c r="E1562" i="2" s="1"/>
  <c r="E1558" i="2"/>
  <c r="E1557" i="2" s="1"/>
  <c r="E1548" i="2"/>
  <c r="E1546" i="2"/>
  <c r="E1544" i="2"/>
  <c r="E1542" i="2"/>
  <c r="E1540" i="2"/>
  <c r="E1537" i="2"/>
  <c r="E1535" i="2"/>
  <c r="E1533" i="2"/>
  <c r="E1531" i="2"/>
  <c r="E1527" i="2"/>
  <c r="E1522" i="2"/>
  <c r="E1519" i="2"/>
  <c r="E1514" i="2"/>
  <c r="E1505" i="2"/>
  <c r="E1499" i="2"/>
  <c r="E1438" i="2"/>
  <c r="E1437" i="2" s="1"/>
  <c r="E1434" i="2"/>
  <c r="E1433" i="2" s="1"/>
  <c r="E1430" i="2"/>
  <c r="E1429" i="2" s="1"/>
  <c r="E1426" i="2"/>
  <c r="E1425" i="2" s="1"/>
  <c r="E1422" i="2"/>
  <c r="E1421" i="2" s="1"/>
  <c r="E1418" i="2"/>
  <c r="E1416" i="2"/>
  <c r="E1413" i="2"/>
  <c r="E1412" i="2" s="1"/>
  <c r="E1409" i="2"/>
  <c r="E1408" i="2" s="1"/>
  <c r="E1405" i="2"/>
  <c r="E1404" i="2" s="1"/>
  <c r="E1401" i="2"/>
  <c r="E1400" i="2" s="1"/>
  <c r="E1397" i="2"/>
  <c r="E1396" i="2" s="1"/>
  <c r="E1393" i="2"/>
  <c r="E1392" i="2" s="1"/>
  <c r="E1389" i="2"/>
  <c r="E1388" i="2" s="1"/>
  <c r="E1385" i="2"/>
  <c r="E1383" i="2"/>
  <c r="E1379" i="2"/>
  <c r="E1377" i="2"/>
  <c r="E1369" i="2"/>
  <c r="E1368" i="2" s="1"/>
  <c r="E1364" i="2"/>
  <c r="E1362" i="2"/>
  <c r="E1358" i="2"/>
  <c r="E1356" i="2"/>
  <c r="E1338" i="2"/>
  <c r="E1337" i="2" s="1"/>
  <c r="E1334" i="2"/>
  <c r="E1332" i="2"/>
  <c r="E1303" i="2"/>
  <c r="E1299" i="2"/>
  <c r="E1297" i="2"/>
  <c r="E1292" i="2"/>
  <c r="E1289" i="2"/>
  <c r="E1284" i="2"/>
  <c r="E1281" i="2"/>
  <c r="E1277" i="2"/>
  <c r="E1275" i="2"/>
  <c r="E1254" i="2"/>
  <c r="E1250" i="2"/>
  <c r="E805" i="2"/>
  <c r="E650" i="2"/>
  <c r="E643" i="2"/>
  <c r="E641" i="2"/>
  <c r="E637" i="2"/>
  <c r="E635" i="2"/>
  <c r="E629" i="2"/>
  <c r="E628" i="2" s="1"/>
  <c r="E625" i="2"/>
  <c r="E624" i="2" s="1"/>
  <c r="E621" i="2"/>
  <c r="E619" i="2"/>
  <c r="E617" i="2"/>
  <c r="E613" i="2"/>
  <c r="E611" i="2"/>
  <c r="E610" i="2" s="1"/>
  <c r="E596" i="2"/>
  <c r="E591" i="2"/>
  <c r="E587" i="2"/>
  <c r="E586" i="2" s="1"/>
  <c r="E583" i="2"/>
  <c r="E581" i="2"/>
  <c r="E579" i="2"/>
  <c r="E574" i="2"/>
  <c r="E573" i="2" s="1"/>
  <c r="E572" i="2" s="1"/>
  <c r="E563" i="2"/>
  <c r="E569" i="2"/>
  <c r="E567" i="2"/>
  <c r="E565" i="2"/>
  <c r="E558" i="2"/>
  <c r="E557" i="2" s="1"/>
  <c r="E550" i="2"/>
  <c r="E549" i="2" s="1"/>
  <c r="E545" i="2"/>
  <c r="E543" i="2"/>
  <c r="E541" i="2"/>
  <c r="E535" i="2"/>
  <c r="E533" i="2"/>
  <c r="E528" i="2"/>
  <c r="E526" i="2"/>
  <c r="E521" i="2"/>
  <c r="E519" i="2"/>
  <c r="E517" i="2"/>
  <c r="E515" i="2"/>
  <c r="E510" i="2"/>
  <c r="E508" i="2"/>
  <c r="E506" i="2"/>
  <c r="E504" i="2"/>
  <c r="E499" i="2"/>
  <c r="E498" i="2" s="1"/>
  <c r="E497" i="2" s="1"/>
  <c r="E494" i="2"/>
  <c r="E493" i="2" s="1"/>
  <c r="E492" i="2" s="1"/>
  <c r="E489" i="2"/>
  <c r="E487" i="2"/>
  <c r="E483" i="2"/>
  <c r="E478" i="2"/>
  <c r="E475" i="2"/>
  <c r="E470" i="2"/>
  <c r="E468" i="2"/>
  <c r="E461" i="2"/>
  <c r="E459" i="2"/>
  <c r="E453" i="2"/>
  <c r="E451" i="2"/>
  <c r="E449" i="2"/>
  <c r="E446" i="2"/>
  <c r="E444" i="2"/>
  <c r="E441" i="2"/>
  <c r="E439" i="2"/>
  <c r="E433" i="2"/>
  <c r="E430" i="2"/>
  <c r="E427" i="2"/>
  <c r="E425" i="2"/>
  <c r="E421" i="2"/>
  <c r="E417" i="2"/>
  <c r="E406" i="2"/>
  <c r="E400" i="2"/>
  <c r="E388" i="2"/>
  <c r="E387" i="2" s="1"/>
  <c r="E375" i="2"/>
  <c r="E374" i="2" s="1"/>
  <c r="E371" i="2"/>
  <c r="E368" i="2"/>
  <c r="E364" i="2"/>
  <c r="E358" i="2"/>
  <c r="E173" i="2"/>
  <c r="E167" i="2"/>
  <c r="E1937" i="2" l="1"/>
  <c r="E2527" i="2"/>
  <c r="E1361" i="2"/>
  <c r="E1916" i="2"/>
  <c r="E1931" i="2"/>
  <c r="E2203" i="2"/>
  <c r="E3169" i="2"/>
  <c r="E3152" i="2" s="1"/>
  <c r="E3209" i="2"/>
  <c r="E3234" i="2"/>
  <c r="E3276" i="2"/>
  <c r="E3268" i="2" s="1"/>
  <c r="E467" i="2"/>
  <c r="E466" i="2" s="1"/>
  <c r="E482" i="2"/>
  <c r="E1376" i="2"/>
  <c r="E1382" i="2"/>
  <c r="E1595" i="2"/>
  <c r="E2132" i="2"/>
  <c r="E474" i="2"/>
  <c r="E562" i="2"/>
  <c r="E561" i="2" s="1"/>
  <c r="E578" i="2"/>
  <c r="E634" i="2"/>
  <c r="E1498" i="2"/>
  <c r="E1763" i="2"/>
  <c r="E1530" i="2"/>
  <c r="E616" i="2"/>
  <c r="E525" i="2"/>
  <c r="E524" i="2" s="1"/>
  <c r="E540" i="2"/>
  <c r="E539" i="2" s="1"/>
  <c r="E532" i="2"/>
  <c r="E531" i="2" s="1"/>
  <c r="E514" i="2"/>
  <c r="E513" i="2" s="1"/>
  <c r="E503" i="2"/>
  <c r="E502" i="2" s="1"/>
  <c r="E458" i="2"/>
  <c r="E438" i="2"/>
  <c r="E424" i="2"/>
  <c r="E399" i="2"/>
  <c r="C246" i="3"/>
  <c r="C245" i="3" s="1"/>
  <c r="D286" i="4"/>
  <c r="D285" i="4" s="1"/>
  <c r="D282" i="4"/>
  <c r="D280" i="4"/>
  <c r="D278" i="4"/>
  <c r="D271" i="4"/>
  <c r="D268" i="4"/>
  <c r="D266" i="4"/>
  <c r="D258" i="4"/>
  <c r="D256" i="4"/>
  <c r="E1006" i="2"/>
  <c r="E1001" i="2"/>
  <c r="E998" i="2"/>
  <c r="E923" i="2"/>
  <c r="E925" i="2"/>
  <c r="E933" i="2"/>
  <c r="E935" i="2"/>
  <c r="E922" i="2" l="1"/>
  <c r="D255" i="4"/>
  <c r="D254" i="4" s="1"/>
  <c r="E3786" i="2" l="1"/>
  <c r="E3785" i="2" s="1"/>
  <c r="E3784" i="2" s="1"/>
  <c r="D161" i="5" l="1"/>
  <c r="D160" i="5" s="1"/>
  <c r="D158" i="5"/>
  <c r="D157" i="5" s="1"/>
  <c r="D156" i="5" l="1"/>
  <c r="D155" i="5" s="1"/>
  <c r="D154" i="5" s="1"/>
  <c r="F162" i="5"/>
  <c r="F161" i="5"/>
  <c r="F160" i="5"/>
  <c r="F159" i="5"/>
  <c r="F158" i="5"/>
  <c r="F157" i="5"/>
  <c r="F156" i="5"/>
  <c r="F155" i="5"/>
  <c r="F154" i="5"/>
  <c r="D153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D127" i="5"/>
  <c r="F127" i="5" s="1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D21" i="5"/>
  <c r="F21" i="5" s="1"/>
  <c r="F19" i="5"/>
  <c r="F18" i="5"/>
  <c r="D17" i="5"/>
  <c r="F17" i="5" s="1"/>
  <c r="F15" i="5"/>
  <c r="F14" i="5"/>
  <c r="D13" i="5"/>
  <c r="F816" i="4"/>
  <c r="F815" i="4"/>
  <c r="F814" i="4"/>
  <c r="F813" i="4"/>
  <c r="F812" i="4"/>
  <c r="D811" i="4"/>
  <c r="F811" i="4" s="1"/>
  <c r="F810" i="4"/>
  <c r="D809" i="4"/>
  <c r="F809" i="4" s="1"/>
  <c r="F808" i="4"/>
  <c r="D807" i="4"/>
  <c r="F807" i="4" s="1"/>
  <c r="F806" i="4"/>
  <c r="F805" i="4"/>
  <c r="F804" i="4"/>
  <c r="D803" i="4"/>
  <c r="F803" i="4" s="1"/>
  <c r="F802" i="4"/>
  <c r="D801" i="4"/>
  <c r="F800" i="4"/>
  <c r="D799" i="4"/>
  <c r="F799" i="4" s="1"/>
  <c r="F796" i="4"/>
  <c r="F795" i="4"/>
  <c r="D794" i="4"/>
  <c r="F794" i="4" s="1"/>
  <c r="F793" i="4"/>
  <c r="F792" i="4"/>
  <c r="F791" i="4"/>
  <c r="F790" i="4"/>
  <c r="D789" i="4"/>
  <c r="F789" i="4" s="1"/>
  <c r="F788" i="4"/>
  <c r="D787" i="4"/>
  <c r="F784" i="4"/>
  <c r="F783" i="4"/>
  <c r="D783" i="4"/>
  <c r="F782" i="4"/>
  <c r="D781" i="4"/>
  <c r="F781" i="4" s="1"/>
  <c r="F780" i="4"/>
  <c r="F779" i="4"/>
  <c r="D778" i="4"/>
  <c r="F778" i="4" s="1"/>
  <c r="F777" i="4"/>
  <c r="F776" i="4"/>
  <c r="F775" i="4"/>
  <c r="F774" i="4"/>
  <c r="F773" i="4"/>
  <c r="F772" i="4"/>
  <c r="F771" i="4"/>
  <c r="F770" i="4"/>
  <c r="F769" i="4"/>
  <c r="F768" i="4"/>
  <c r="F767" i="4"/>
  <c r="D766" i="4"/>
  <c r="F766" i="4" s="1"/>
  <c r="F765" i="4"/>
  <c r="D764" i="4"/>
  <c r="F764" i="4" s="1"/>
  <c r="F763" i="4"/>
  <c r="D762" i="4"/>
  <c r="F762" i="4" s="1"/>
  <c r="F761" i="4"/>
  <c r="F760" i="4"/>
  <c r="D759" i="4"/>
  <c r="F759" i="4" s="1"/>
  <c r="F757" i="4"/>
  <c r="F756" i="4"/>
  <c r="F753" i="4"/>
  <c r="F752" i="4"/>
  <c r="F751" i="4"/>
  <c r="F750" i="4"/>
  <c r="F749" i="4"/>
  <c r="D748" i="4"/>
  <c r="F748" i="4" s="1"/>
  <c r="F745" i="4"/>
  <c r="F744" i="4"/>
  <c r="D743" i="4"/>
  <c r="F743" i="4" s="1"/>
  <c r="F742" i="4"/>
  <c r="D741" i="4"/>
  <c r="F741" i="4" s="1"/>
  <c r="F740" i="4"/>
  <c r="D739" i="4"/>
  <c r="F739" i="4" s="1"/>
  <c r="F738" i="4"/>
  <c r="F737" i="4"/>
  <c r="D736" i="4"/>
  <c r="F736" i="4" s="1"/>
  <c r="F732" i="4"/>
  <c r="D731" i="4"/>
  <c r="D730" i="4" s="1"/>
  <c r="F730" i="4" s="1"/>
  <c r="F728" i="4"/>
  <c r="D727" i="4"/>
  <c r="F727" i="4" s="1"/>
  <c r="D726" i="4"/>
  <c r="F726" i="4" s="1"/>
  <c r="F725" i="4"/>
  <c r="F724" i="4"/>
  <c r="D723" i="4"/>
  <c r="F723" i="4" s="1"/>
  <c r="F722" i="4"/>
  <c r="D721" i="4"/>
  <c r="F721" i="4" s="1"/>
  <c r="F720" i="4"/>
  <c r="D719" i="4"/>
  <c r="F719" i="4" s="1"/>
  <c r="F715" i="4"/>
  <c r="D714" i="4"/>
  <c r="D713" i="4" s="1"/>
  <c r="F713" i="4" s="1"/>
  <c r="F711" i="4"/>
  <c r="D710" i="4"/>
  <c r="F710" i="4" s="1"/>
  <c r="F709" i="4"/>
  <c r="F708" i="4"/>
  <c r="D707" i="4"/>
  <c r="F707" i="4" s="1"/>
  <c r="F704" i="4"/>
  <c r="F703" i="4"/>
  <c r="D702" i="4"/>
  <c r="F702" i="4" s="1"/>
  <c r="F701" i="4"/>
  <c r="F700" i="4"/>
  <c r="F699" i="4"/>
  <c r="D698" i="4"/>
  <c r="F698" i="4" s="1"/>
  <c r="F697" i="4"/>
  <c r="F696" i="4"/>
  <c r="D695" i="4"/>
  <c r="F695" i="4" s="1"/>
  <c r="F694" i="4"/>
  <c r="D693" i="4"/>
  <c r="F693" i="4" s="1"/>
  <c r="F692" i="4"/>
  <c r="F691" i="4"/>
  <c r="F690" i="4"/>
  <c r="D689" i="4"/>
  <c r="F689" i="4" s="1"/>
  <c r="F685" i="4"/>
  <c r="F684" i="4"/>
  <c r="D683" i="4"/>
  <c r="F683" i="4" s="1"/>
  <c r="F682" i="4"/>
  <c r="D681" i="4"/>
  <c r="F681" i="4" s="1"/>
  <c r="F680" i="4"/>
  <c r="D679" i="4"/>
  <c r="F679" i="4" s="1"/>
  <c r="F678" i="4"/>
  <c r="D677" i="4"/>
  <c r="F677" i="4" s="1"/>
  <c r="F673" i="4"/>
  <c r="D672" i="4"/>
  <c r="F672" i="4" s="1"/>
  <c r="F671" i="4"/>
  <c r="D670" i="4"/>
  <c r="F670" i="4" s="1"/>
  <c r="F669" i="4"/>
  <c r="F668" i="4"/>
  <c r="D668" i="4"/>
  <c r="F666" i="4"/>
  <c r="D665" i="4"/>
  <c r="F665" i="4" s="1"/>
  <c r="F664" i="4"/>
  <c r="D663" i="4"/>
  <c r="F663" i="4" s="1"/>
  <c r="F662" i="4"/>
  <c r="D661" i="4"/>
  <c r="F661" i="4" s="1"/>
  <c r="F660" i="4"/>
  <c r="D659" i="4"/>
  <c r="F659" i="4" s="1"/>
  <c r="F655" i="4"/>
  <c r="D654" i="4"/>
  <c r="F654" i="4" s="1"/>
  <c r="F653" i="4"/>
  <c r="D652" i="4"/>
  <c r="F652" i="4" s="1"/>
  <c r="F651" i="4"/>
  <c r="F650" i="4"/>
  <c r="D649" i="4"/>
  <c r="F649" i="4" s="1"/>
  <c r="F648" i="4"/>
  <c r="D647" i="4"/>
  <c r="F647" i="4" s="1"/>
  <c r="F646" i="4"/>
  <c r="D645" i="4"/>
  <c r="F645" i="4" s="1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D624" i="4"/>
  <c r="F624" i="4" s="1"/>
  <c r="F622" i="4"/>
  <c r="D621" i="4"/>
  <c r="F621" i="4" s="1"/>
  <c r="F620" i="4"/>
  <c r="F619" i="4"/>
  <c r="F618" i="4"/>
  <c r="D617" i="4"/>
  <c r="F617" i="4" s="1"/>
  <c r="F615" i="4"/>
  <c r="F614" i="4"/>
  <c r="F613" i="4"/>
  <c r="D612" i="4"/>
  <c r="F612" i="4" s="1"/>
  <c r="F611" i="4"/>
  <c r="F610" i="4"/>
  <c r="D609" i="4"/>
  <c r="F609" i="4" s="1"/>
  <c r="F608" i="4"/>
  <c r="D607" i="4"/>
  <c r="F606" i="4"/>
  <c r="D605" i="4"/>
  <c r="F605" i="4" s="1"/>
  <c r="F601" i="4"/>
  <c r="F600" i="4"/>
  <c r="D599" i="4"/>
  <c r="F599" i="4" s="1"/>
  <c r="F598" i="4"/>
  <c r="F597" i="4"/>
  <c r="F596" i="4"/>
  <c r="F595" i="4"/>
  <c r="D594" i="4"/>
  <c r="F594" i="4" s="1"/>
  <c r="F593" i="4"/>
  <c r="F592" i="4"/>
  <c r="F591" i="4"/>
  <c r="F590" i="4"/>
  <c r="D589" i="4"/>
  <c r="F589" i="4" s="1"/>
  <c r="F588" i="4"/>
  <c r="D587" i="4"/>
  <c r="F587" i="4" s="1"/>
  <c r="F586" i="4"/>
  <c r="D585" i="4"/>
  <c r="F585" i="4" s="1"/>
  <c r="F584" i="4"/>
  <c r="F583" i="4"/>
  <c r="D582" i="4"/>
  <c r="F582" i="4" s="1"/>
  <c r="F581" i="4"/>
  <c r="D580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D562" i="4"/>
  <c r="D561" i="4" s="1"/>
  <c r="F561" i="4" s="1"/>
  <c r="F559" i="4"/>
  <c r="D558" i="4"/>
  <c r="F558" i="4" s="1"/>
  <c r="F557" i="4"/>
  <c r="D556" i="4"/>
  <c r="D553" i="4" s="1"/>
  <c r="F553" i="4" s="1"/>
  <c r="F555" i="4"/>
  <c r="D554" i="4"/>
  <c r="F554" i="4" s="1"/>
  <c r="F551" i="4"/>
  <c r="D550" i="4"/>
  <c r="F550" i="4" s="1"/>
  <c r="F549" i="4"/>
  <c r="F548" i="4"/>
  <c r="D547" i="4"/>
  <c r="F547" i="4" s="1"/>
  <c r="F546" i="4"/>
  <c r="F545" i="4"/>
  <c r="F544" i="4"/>
  <c r="F543" i="4"/>
  <c r="D542" i="4"/>
  <c r="F542" i="4" s="1"/>
  <c r="F541" i="4"/>
  <c r="F540" i="4"/>
  <c r="F539" i="4"/>
  <c r="D538" i="4"/>
  <c r="F538" i="4" s="1"/>
  <c r="F537" i="4"/>
  <c r="D536" i="4"/>
  <c r="F536" i="4" s="1"/>
  <c r="F535" i="4"/>
  <c r="F534" i="4"/>
  <c r="D533" i="4"/>
  <c r="F533" i="4" s="1"/>
  <c r="F532" i="4"/>
  <c r="D531" i="4"/>
  <c r="F531" i="4" s="1"/>
  <c r="F527" i="4"/>
  <c r="F526" i="4"/>
  <c r="F525" i="4"/>
  <c r="D524" i="4"/>
  <c r="F524" i="4" s="1"/>
  <c r="F520" i="4"/>
  <c r="D519" i="4"/>
  <c r="F519" i="4" s="1"/>
  <c r="F518" i="4"/>
  <c r="D517" i="4"/>
  <c r="F517" i="4" s="1"/>
  <c r="F516" i="4"/>
  <c r="D515" i="4"/>
  <c r="F515" i="4" s="1"/>
  <c r="F514" i="4"/>
  <c r="F513" i="4"/>
  <c r="D512" i="4"/>
  <c r="F512" i="4" s="1"/>
  <c r="F511" i="4"/>
  <c r="D510" i="4"/>
  <c r="F510" i="4" s="1"/>
  <c r="F509" i="4"/>
  <c r="D508" i="4"/>
  <c r="F508" i="4" s="1"/>
  <c r="F504" i="4"/>
  <c r="D503" i="4"/>
  <c r="F503" i="4" s="1"/>
  <c r="F502" i="4"/>
  <c r="D501" i="4"/>
  <c r="F501" i="4" s="1"/>
  <c r="F500" i="4"/>
  <c r="D499" i="4"/>
  <c r="F499" i="4" s="1"/>
  <c r="F498" i="4"/>
  <c r="D497" i="4"/>
  <c r="F497" i="4" s="1"/>
  <c r="F495" i="4"/>
  <c r="D494" i="4"/>
  <c r="F494" i="4" s="1"/>
  <c r="F493" i="4"/>
  <c r="F492" i="4"/>
  <c r="D491" i="4"/>
  <c r="F491" i="4" s="1"/>
  <c r="F490" i="4"/>
  <c r="F489" i="4"/>
  <c r="D488" i="4"/>
  <c r="F488" i="4" s="1"/>
  <c r="F487" i="4"/>
  <c r="D486" i="4"/>
  <c r="F486" i="4" s="1"/>
  <c r="F485" i="4"/>
  <c r="D484" i="4"/>
  <c r="F484" i="4" s="1"/>
  <c r="F483" i="4"/>
  <c r="D482" i="4"/>
  <c r="F482" i="4" s="1"/>
  <c r="F481" i="4"/>
  <c r="D480" i="4"/>
  <c r="F480" i="4" s="1"/>
  <c r="F479" i="4"/>
  <c r="F478" i="4"/>
  <c r="D477" i="4"/>
  <c r="F477" i="4" s="1"/>
  <c r="F476" i="4"/>
  <c r="D475" i="4"/>
  <c r="F475" i="4" s="1"/>
  <c r="F474" i="4"/>
  <c r="D473" i="4"/>
  <c r="F472" i="4"/>
  <c r="D471" i="4"/>
  <c r="F471" i="4" s="1"/>
  <c r="F467" i="4"/>
  <c r="D466" i="4"/>
  <c r="F466" i="4" s="1"/>
  <c r="F465" i="4"/>
  <c r="D464" i="4"/>
  <c r="F464" i="4" s="1"/>
  <c r="F460" i="4"/>
  <c r="D459" i="4"/>
  <c r="F459" i="4" s="1"/>
  <c r="F458" i="4"/>
  <c r="F457" i="4"/>
  <c r="D456" i="4"/>
  <c r="F456" i="4" s="1"/>
  <c r="F455" i="4"/>
  <c r="D454" i="4"/>
  <c r="F454" i="4" s="1"/>
  <c r="F453" i="4"/>
  <c r="D452" i="4"/>
  <c r="F452" i="4" s="1"/>
  <c r="F449" i="4"/>
  <c r="D448" i="4"/>
  <c r="F448" i="4" s="1"/>
  <c r="F447" i="4"/>
  <c r="D446" i="4"/>
  <c r="F446" i="4" s="1"/>
  <c r="F445" i="4"/>
  <c r="D444" i="4"/>
  <c r="F444" i="4" s="1"/>
  <c r="F443" i="4"/>
  <c r="D442" i="4"/>
  <c r="F442" i="4" s="1"/>
  <c r="F441" i="4"/>
  <c r="D440" i="4"/>
  <c r="F440" i="4" s="1"/>
  <c r="F439" i="4"/>
  <c r="F438" i="4"/>
  <c r="D437" i="4"/>
  <c r="F437" i="4" s="1"/>
  <c r="F436" i="4"/>
  <c r="D435" i="4"/>
  <c r="F435" i="4" s="1"/>
  <c r="F431" i="4"/>
  <c r="D430" i="4"/>
  <c r="F430" i="4" s="1"/>
  <c r="F429" i="4"/>
  <c r="D428" i="4"/>
  <c r="F428" i="4" s="1"/>
  <c r="F427" i="4"/>
  <c r="D426" i="4"/>
  <c r="F426" i="4" s="1"/>
  <c r="F425" i="4"/>
  <c r="D424" i="4"/>
  <c r="F424" i="4" s="1"/>
  <c r="F422" i="4"/>
  <c r="F421" i="4"/>
  <c r="D420" i="4"/>
  <c r="F420" i="4" s="1"/>
  <c r="F419" i="4"/>
  <c r="D418" i="4"/>
  <c r="F418" i="4" s="1"/>
  <c r="F417" i="4"/>
  <c r="D416" i="4"/>
  <c r="F416" i="4" s="1"/>
  <c r="F415" i="4"/>
  <c r="D414" i="4"/>
  <c r="F414" i="4" s="1"/>
  <c r="F410" i="4"/>
  <c r="F409" i="4"/>
  <c r="F408" i="4"/>
  <c r="F406" i="4"/>
  <c r="F405" i="4"/>
  <c r="F404" i="4"/>
  <c r="D403" i="4"/>
  <c r="F403" i="4" s="1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D381" i="4"/>
  <c r="F381" i="4" s="1"/>
  <c r="F379" i="4"/>
  <c r="F378" i="4"/>
  <c r="D377" i="4"/>
  <c r="D376" i="4" s="1"/>
  <c r="F376" i="4" s="1"/>
  <c r="F374" i="4"/>
  <c r="D373" i="4"/>
  <c r="F373" i="4" s="1"/>
  <c r="F372" i="4"/>
  <c r="F371" i="4"/>
  <c r="F370" i="4"/>
  <c r="F369" i="4"/>
  <c r="D368" i="4"/>
  <c r="F368" i="4" s="1"/>
  <c r="F367" i="4"/>
  <c r="D366" i="4"/>
  <c r="F366" i="4" s="1"/>
  <c r="F365" i="4"/>
  <c r="F364" i="4"/>
  <c r="D363" i="4"/>
  <c r="F363" i="4" s="1"/>
  <c r="F362" i="4"/>
  <c r="D361" i="4"/>
  <c r="F357" i="4"/>
  <c r="F356" i="4"/>
  <c r="F355" i="4"/>
  <c r="F354" i="4"/>
  <c r="F353" i="4"/>
  <c r="F351" i="4"/>
  <c r="F350" i="4"/>
  <c r="F349" i="4"/>
  <c r="F348" i="4"/>
  <c r="F347" i="4"/>
  <c r="D346" i="4"/>
  <c r="F346" i="4" s="1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D324" i="4"/>
  <c r="F324" i="4" s="1"/>
  <c r="F321" i="4"/>
  <c r="D320" i="4"/>
  <c r="D319" i="4" s="1"/>
  <c r="F319" i="4" s="1"/>
  <c r="F317" i="4"/>
  <c r="D316" i="4"/>
  <c r="F315" i="4"/>
  <c r="D314" i="4"/>
  <c r="F314" i="4" s="1"/>
  <c r="F311" i="4"/>
  <c r="D310" i="4"/>
  <c r="F310" i="4" s="1"/>
  <c r="F309" i="4"/>
  <c r="D308" i="4"/>
  <c r="F308" i="4" s="1"/>
  <c r="F307" i="4"/>
  <c r="D306" i="4"/>
  <c r="F306" i="4" s="1"/>
  <c r="F305" i="4"/>
  <c r="D304" i="4"/>
  <c r="F304" i="4" s="1"/>
  <c r="F303" i="4"/>
  <c r="F302" i="4"/>
  <c r="F301" i="4"/>
  <c r="F300" i="4"/>
  <c r="F299" i="4"/>
  <c r="D298" i="4"/>
  <c r="F298" i="4" s="1"/>
  <c r="F297" i="4"/>
  <c r="F296" i="4"/>
  <c r="D296" i="4"/>
  <c r="F295" i="4"/>
  <c r="D294" i="4"/>
  <c r="F294" i="4" s="1"/>
  <c r="F293" i="4"/>
  <c r="D292" i="4"/>
  <c r="F292" i="4" s="1"/>
  <c r="F287" i="4"/>
  <c r="F286" i="4"/>
  <c r="F285" i="4"/>
  <c r="F284" i="4"/>
  <c r="F283" i="4"/>
  <c r="F282" i="4"/>
  <c r="F281" i="4"/>
  <c r="F280" i="4"/>
  <c r="F279" i="4"/>
  <c r="F277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7" i="4"/>
  <c r="F256" i="4"/>
  <c r="F252" i="4"/>
  <c r="F251" i="4"/>
  <c r="F250" i="4"/>
  <c r="F249" i="4"/>
  <c r="D248" i="4"/>
  <c r="F248" i="4" s="1"/>
  <c r="F247" i="4"/>
  <c r="F246" i="4"/>
  <c r="D245" i="4"/>
  <c r="F245" i="4" s="1"/>
  <c r="F244" i="4"/>
  <c r="D243" i="4"/>
  <c r="F243" i="4" s="1"/>
  <c r="F240" i="4"/>
  <c r="D239" i="4"/>
  <c r="F239" i="4" s="1"/>
  <c r="F238" i="4"/>
  <c r="D237" i="4"/>
  <c r="F237" i="4" s="1"/>
  <c r="F236" i="4"/>
  <c r="F235" i="4"/>
  <c r="F234" i="4"/>
  <c r="F233" i="4"/>
  <c r="F232" i="4"/>
  <c r="F231" i="4"/>
  <c r="F230" i="4"/>
  <c r="D229" i="4"/>
  <c r="F229" i="4" s="1"/>
  <c r="F228" i="4"/>
  <c r="D227" i="4"/>
  <c r="F227" i="4" s="1"/>
  <c r="F226" i="4"/>
  <c r="F225" i="4"/>
  <c r="D225" i="4"/>
  <c r="F224" i="4"/>
  <c r="D223" i="4"/>
  <c r="F223" i="4" s="1"/>
  <c r="F222" i="4"/>
  <c r="F221" i="4"/>
  <c r="F220" i="4"/>
  <c r="D219" i="4"/>
  <c r="F219" i="4" s="1"/>
  <c r="F218" i="4"/>
  <c r="F217" i="4"/>
  <c r="D216" i="4"/>
  <c r="F216" i="4" s="1"/>
  <c r="F212" i="4"/>
  <c r="D211" i="4"/>
  <c r="F211" i="4" s="1"/>
  <c r="F210" i="4"/>
  <c r="F209" i="4"/>
  <c r="D208" i="4"/>
  <c r="F208" i="4" s="1"/>
  <c r="F207" i="4"/>
  <c r="D206" i="4"/>
  <c r="F206" i="4" s="1"/>
  <c r="F205" i="4"/>
  <c r="D204" i="4"/>
  <c r="F204" i="4" s="1"/>
  <c r="F201" i="4"/>
  <c r="D200" i="4"/>
  <c r="D199" i="4" s="1"/>
  <c r="F199" i="4" s="1"/>
  <c r="F197" i="4"/>
  <c r="F196" i="4"/>
  <c r="D195" i="4"/>
  <c r="F195" i="4" s="1"/>
  <c r="F194" i="4"/>
  <c r="F193" i="4"/>
  <c r="F192" i="4"/>
  <c r="F191" i="4"/>
  <c r="D190" i="4"/>
  <c r="F190" i="4" s="1"/>
  <c r="F189" i="4"/>
  <c r="F188" i="4"/>
  <c r="F187" i="4"/>
  <c r="D186" i="4"/>
  <c r="F186" i="4" s="1"/>
  <c r="F185" i="4"/>
  <c r="F184" i="4"/>
  <c r="D183" i="4"/>
  <c r="F183" i="4" s="1"/>
  <c r="F182" i="4"/>
  <c r="D181" i="4"/>
  <c r="F181" i="4" s="1"/>
  <c r="F180" i="4"/>
  <c r="E179" i="4"/>
  <c r="F177" i="4"/>
  <c r="D176" i="4"/>
  <c r="F175" i="4"/>
  <c r="D174" i="4"/>
  <c r="F174" i="4" s="1"/>
  <c r="F171" i="4"/>
  <c r="F170" i="4"/>
  <c r="D169" i="4"/>
  <c r="F169" i="4" s="1"/>
  <c r="F168" i="4"/>
  <c r="F167" i="4"/>
  <c r="F166" i="4"/>
  <c r="F165" i="4"/>
  <c r="D164" i="4"/>
  <c r="D163" i="4" s="1"/>
  <c r="F163" i="4" s="1"/>
  <c r="F160" i="4"/>
  <c r="F159" i="4"/>
  <c r="F158" i="4"/>
  <c r="F157" i="4"/>
  <c r="F156" i="4"/>
  <c r="F154" i="4"/>
  <c r="F153" i="4"/>
  <c r="F152" i="4"/>
  <c r="F151" i="4"/>
  <c r="F149" i="4"/>
  <c r="D148" i="4"/>
  <c r="F148" i="4" s="1"/>
  <c r="F147" i="4"/>
  <c r="D146" i="4"/>
  <c r="F146" i="4" s="1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D127" i="4"/>
  <c r="F127" i="4" s="1"/>
  <c r="F124" i="4"/>
  <c r="D123" i="4"/>
  <c r="F123" i="4" s="1"/>
  <c r="F121" i="4"/>
  <c r="D120" i="4"/>
  <c r="F120" i="4" s="1"/>
  <c r="F119" i="4"/>
  <c r="F118" i="4"/>
  <c r="D117" i="4"/>
  <c r="F117" i="4" s="1"/>
  <c r="F116" i="4"/>
  <c r="F115" i="4"/>
  <c r="F114" i="4"/>
  <c r="D113" i="4"/>
  <c r="F113" i="4" s="1"/>
  <c r="F112" i="4"/>
  <c r="D111" i="4"/>
  <c r="F111" i="4" s="1"/>
  <c r="F110" i="4"/>
  <c r="F109" i="4"/>
  <c r="F108" i="4"/>
  <c r="D107" i="4"/>
  <c r="F107" i="4" s="1"/>
  <c r="F102" i="4"/>
  <c r="F101" i="4"/>
  <c r="F100" i="4"/>
  <c r="D99" i="4"/>
  <c r="F99" i="4" s="1"/>
  <c r="F98" i="4"/>
  <c r="D97" i="4"/>
  <c r="F97" i="4" s="1"/>
  <c r="F96" i="4"/>
  <c r="F95" i="4"/>
  <c r="D94" i="4"/>
  <c r="F94" i="4" s="1"/>
  <c r="F93" i="4"/>
  <c r="F92" i="4"/>
  <c r="F91" i="4"/>
  <c r="F90" i="4"/>
  <c r="D89" i="4"/>
  <c r="F89" i="4" s="1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D75" i="4"/>
  <c r="F75" i="4" s="1"/>
  <c r="F74" i="4"/>
  <c r="D73" i="4"/>
  <c r="F73" i="4" s="1"/>
  <c r="F72" i="4"/>
  <c r="F71" i="4"/>
  <c r="F70" i="4"/>
  <c r="D69" i="4"/>
  <c r="F69" i="4" s="1"/>
  <c r="F68" i="4"/>
  <c r="F67" i="4"/>
  <c r="D66" i="4"/>
  <c r="F66" i="4" s="1"/>
  <c r="F65" i="4"/>
  <c r="D64" i="4"/>
  <c r="F64" i="4" s="1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D50" i="4"/>
  <c r="F50" i="4" s="1"/>
  <c r="F49" i="4"/>
  <c r="F48" i="4"/>
  <c r="F47" i="4"/>
  <c r="D46" i="4"/>
  <c r="F46" i="4" s="1"/>
  <c r="F45" i="4"/>
  <c r="D44" i="4"/>
  <c r="F44" i="4" s="1"/>
  <c r="F43" i="4"/>
  <c r="F42" i="4"/>
  <c r="F41" i="4"/>
  <c r="D40" i="4"/>
  <c r="F40" i="4" s="1"/>
  <c r="F39" i="4"/>
  <c r="F38" i="4"/>
  <c r="F37" i="4"/>
  <c r="F36" i="4"/>
  <c r="F35" i="4"/>
  <c r="F34" i="4"/>
  <c r="D33" i="4"/>
  <c r="F33" i="4" s="1"/>
  <c r="F32" i="4"/>
  <c r="D31" i="4"/>
  <c r="F31" i="4" s="1"/>
  <c r="F30" i="4"/>
  <c r="F29" i="4"/>
  <c r="F28" i="4"/>
  <c r="D27" i="4"/>
  <c r="F27" i="4" s="1"/>
  <c r="F26" i="4"/>
  <c r="F25" i="4"/>
  <c r="F24" i="4"/>
  <c r="F23" i="4"/>
  <c r="F22" i="4"/>
  <c r="F21" i="4"/>
  <c r="F20" i="4"/>
  <c r="F19" i="4"/>
  <c r="F18" i="4"/>
  <c r="F17" i="4"/>
  <c r="D16" i="4"/>
  <c r="F16" i="4" s="1"/>
  <c r="E766" i="3"/>
  <c r="E765" i="3"/>
  <c r="E764" i="3"/>
  <c r="E763" i="3"/>
  <c r="E762" i="3"/>
  <c r="E761" i="3"/>
  <c r="E757" i="3"/>
  <c r="C756" i="3"/>
  <c r="C755" i="3" s="1"/>
  <c r="E755" i="3" s="1"/>
  <c r="E753" i="3"/>
  <c r="C752" i="3"/>
  <c r="C751" i="3" s="1"/>
  <c r="E751" i="3" s="1"/>
  <c r="E749" i="3"/>
  <c r="C748" i="3"/>
  <c r="E748" i="3" s="1"/>
  <c r="E745" i="3"/>
  <c r="E744" i="3"/>
  <c r="E743" i="3"/>
  <c r="E742" i="3"/>
  <c r="E741" i="3"/>
  <c r="E740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10" i="3"/>
  <c r="E709" i="3"/>
  <c r="E708" i="3"/>
  <c r="E707" i="3"/>
  <c r="E706" i="3"/>
  <c r="E705" i="3"/>
  <c r="E704" i="3"/>
  <c r="E703" i="3"/>
  <c r="E699" i="3"/>
  <c r="E698" i="3"/>
  <c r="E697" i="3"/>
  <c r="E696" i="3"/>
  <c r="E695" i="3"/>
  <c r="E694" i="3"/>
  <c r="C693" i="3"/>
  <c r="C692" i="3" s="1"/>
  <c r="E689" i="3"/>
  <c r="C688" i="3"/>
  <c r="E688" i="3" s="1"/>
  <c r="E687" i="3"/>
  <c r="E686" i="3"/>
  <c r="E685" i="3"/>
  <c r="E684" i="3"/>
  <c r="E683" i="3"/>
  <c r="E682" i="3"/>
  <c r="E681" i="3"/>
  <c r="E680" i="3"/>
  <c r="C679" i="3"/>
  <c r="E679" i="3" s="1"/>
  <c r="E678" i="3"/>
  <c r="E677" i="3"/>
  <c r="C676" i="3"/>
  <c r="E676" i="3" s="1"/>
  <c r="E672" i="3"/>
  <c r="E671" i="3"/>
  <c r="C670" i="3"/>
  <c r="E670" i="3" s="1"/>
  <c r="E669" i="3"/>
  <c r="E668" i="3"/>
  <c r="E667" i="3"/>
  <c r="C666" i="3"/>
  <c r="E666" i="3" s="1"/>
  <c r="E665" i="3"/>
  <c r="E664" i="3"/>
  <c r="E663" i="3"/>
  <c r="C662" i="3"/>
  <c r="E662" i="3" s="1"/>
  <c r="E661" i="3"/>
  <c r="E660" i="3"/>
  <c r="C659" i="3"/>
  <c r="E655" i="3"/>
  <c r="E654" i="3"/>
  <c r="C654" i="3"/>
  <c r="C653" i="3" s="1"/>
  <c r="E653" i="3" s="1"/>
  <c r="E651" i="3"/>
  <c r="E650" i="3"/>
  <c r="E649" i="3"/>
  <c r="E648" i="3"/>
  <c r="C647" i="3"/>
  <c r="C646" i="3" s="1"/>
  <c r="C645" i="3" s="1"/>
  <c r="E645" i="3" s="1"/>
  <c r="E643" i="3"/>
  <c r="C642" i="3"/>
  <c r="E642" i="3" s="1"/>
  <c r="E639" i="3"/>
  <c r="E638" i="3"/>
  <c r="E637" i="3"/>
  <c r="C636" i="3"/>
  <c r="E636" i="3" s="1"/>
  <c r="E635" i="3"/>
  <c r="C634" i="3"/>
  <c r="E634" i="3" s="1"/>
  <c r="E633" i="3"/>
  <c r="E632" i="3"/>
  <c r="C631" i="3"/>
  <c r="E631" i="3" s="1"/>
  <c r="E630" i="3"/>
  <c r="C629" i="3"/>
  <c r="E629" i="3" s="1"/>
  <c r="E628" i="3"/>
  <c r="E627" i="3"/>
  <c r="C626" i="3"/>
  <c r="E626" i="3" s="1"/>
  <c r="E622" i="3"/>
  <c r="E621" i="3"/>
  <c r="C620" i="3"/>
  <c r="E620" i="3" s="1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D599" i="3"/>
  <c r="E597" i="3"/>
  <c r="E596" i="3"/>
  <c r="E595" i="3"/>
  <c r="E594" i="3"/>
  <c r="E593" i="3"/>
  <c r="C592" i="3"/>
  <c r="E592" i="3" s="1"/>
  <c r="E591" i="3"/>
  <c r="C590" i="3"/>
  <c r="E590" i="3" s="1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C576" i="3"/>
  <c r="E576" i="3" s="1"/>
  <c r="E575" i="3"/>
  <c r="C574" i="3"/>
  <c r="E574" i="3" s="1"/>
  <c r="E570" i="3"/>
  <c r="E569" i="3"/>
  <c r="E568" i="3"/>
  <c r="E567" i="3"/>
  <c r="E566" i="3"/>
  <c r="C565" i="3"/>
  <c r="E565" i="3" s="1"/>
  <c r="E564" i="3"/>
  <c r="E563" i="3"/>
  <c r="C562" i="3"/>
  <c r="C561" i="3" s="1"/>
  <c r="E558" i="3"/>
  <c r="E557" i="3"/>
  <c r="E556" i="3"/>
  <c r="E555" i="3"/>
  <c r="E554" i="3"/>
  <c r="E553" i="3"/>
  <c r="E552" i="3"/>
  <c r="E551" i="3"/>
  <c r="E550" i="3"/>
  <c r="E549" i="3"/>
  <c r="C548" i="3"/>
  <c r="E548" i="3" s="1"/>
  <c r="C547" i="3"/>
  <c r="E547" i="3" s="1"/>
  <c r="E545" i="3"/>
  <c r="E544" i="3"/>
  <c r="C543" i="3"/>
  <c r="E543" i="3" s="1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C517" i="3"/>
  <c r="E516" i="3"/>
  <c r="E515" i="3"/>
  <c r="E514" i="3"/>
  <c r="E513" i="3"/>
  <c r="E512" i="3"/>
  <c r="C511" i="3"/>
  <c r="E511" i="3" s="1"/>
  <c r="E507" i="3"/>
  <c r="E506" i="3"/>
  <c r="E505" i="3"/>
  <c r="E504" i="3"/>
  <c r="E503" i="3"/>
  <c r="C502" i="3"/>
  <c r="E501" i="3"/>
  <c r="E500" i="3"/>
  <c r="E499" i="3"/>
  <c r="E498" i="3"/>
  <c r="C497" i="3"/>
  <c r="E497" i="3" s="1"/>
  <c r="E493" i="3"/>
  <c r="E492" i="3"/>
  <c r="E491" i="3"/>
  <c r="E490" i="3"/>
  <c r="E489" i="3"/>
  <c r="E488" i="3"/>
  <c r="E487" i="3"/>
  <c r="E486" i="3"/>
  <c r="E485" i="3"/>
  <c r="E483" i="3"/>
  <c r="E482" i="3"/>
  <c r="E478" i="3"/>
  <c r="E477" i="3"/>
  <c r="E476" i="3"/>
  <c r="C475" i="3"/>
  <c r="E475" i="3" s="1"/>
  <c r="E474" i="3"/>
  <c r="C473" i="3"/>
  <c r="E473" i="3" s="1"/>
  <c r="E472" i="3"/>
  <c r="E471" i="3"/>
  <c r="E470" i="3"/>
  <c r="E469" i="3"/>
  <c r="E468" i="3"/>
  <c r="C467" i="3"/>
  <c r="E466" i="3"/>
  <c r="E465" i="3"/>
  <c r="E464" i="3"/>
  <c r="C463" i="3"/>
  <c r="E463" i="3" s="1"/>
  <c r="E459" i="3"/>
  <c r="C458" i="3"/>
  <c r="E458" i="3" s="1"/>
  <c r="E457" i="3"/>
  <c r="E456" i="3"/>
  <c r="E455" i="3"/>
  <c r="E454" i="3"/>
  <c r="C453" i="3"/>
  <c r="E453" i="3" s="1"/>
  <c r="E452" i="3"/>
  <c r="E451" i="3"/>
  <c r="E450" i="3"/>
  <c r="E449" i="3"/>
  <c r="E448" i="3"/>
  <c r="E447" i="3"/>
  <c r="C446" i="3"/>
  <c r="E445" i="3"/>
  <c r="C444" i="3"/>
  <c r="E444" i="3" s="1"/>
  <c r="E440" i="3"/>
  <c r="E439" i="3"/>
  <c r="C438" i="3"/>
  <c r="E438" i="3" s="1"/>
  <c r="E437" i="3"/>
  <c r="E436" i="3"/>
  <c r="E435" i="3"/>
  <c r="C434" i="3"/>
  <c r="E434" i="3" s="1"/>
  <c r="E433" i="3"/>
  <c r="C432" i="3"/>
  <c r="E432" i="3" s="1"/>
  <c r="E431" i="3"/>
  <c r="E430" i="3"/>
  <c r="C429" i="3"/>
  <c r="E429" i="3" s="1"/>
  <c r="E428" i="3"/>
  <c r="C427" i="3"/>
  <c r="E427" i="3" s="1"/>
  <c r="E426" i="3"/>
  <c r="E425" i="3"/>
  <c r="E424" i="3"/>
  <c r="E423" i="3"/>
  <c r="C422" i="3"/>
  <c r="E422" i="3" s="1"/>
  <c r="E421" i="3"/>
  <c r="E420" i="3"/>
  <c r="C419" i="3"/>
  <c r="E419" i="3" s="1"/>
  <c r="E415" i="3"/>
  <c r="E414" i="3"/>
  <c r="E413" i="3"/>
  <c r="E412" i="3"/>
  <c r="C411" i="3"/>
  <c r="E411" i="3" s="1"/>
  <c r="E410" i="3"/>
  <c r="E409" i="3"/>
  <c r="E408" i="3"/>
  <c r="E407" i="3"/>
  <c r="C406" i="3"/>
  <c r="E406" i="3" s="1"/>
  <c r="E405" i="3"/>
  <c r="E404" i="3"/>
  <c r="E403" i="3"/>
  <c r="E402" i="3"/>
  <c r="C401" i="3"/>
  <c r="E401" i="3" s="1"/>
  <c r="E400" i="3"/>
  <c r="E399" i="3"/>
  <c r="C398" i="3"/>
  <c r="E398" i="3" s="1"/>
  <c r="E397" i="3"/>
  <c r="E396" i="3"/>
  <c r="C395" i="3"/>
  <c r="E395" i="3" s="1"/>
  <c r="E394" i="3"/>
  <c r="E393" i="3"/>
  <c r="C392" i="3"/>
  <c r="E392" i="3" s="1"/>
  <c r="E391" i="3"/>
  <c r="E390" i="3"/>
  <c r="C389" i="3"/>
  <c r="E385" i="3"/>
  <c r="C384" i="3"/>
  <c r="E384" i="3" s="1"/>
  <c r="E382" i="3"/>
  <c r="E381" i="3"/>
  <c r="E380" i="3"/>
  <c r="E379" i="3"/>
  <c r="E378" i="3"/>
  <c r="C377" i="3"/>
  <c r="E377" i="3" s="1"/>
  <c r="E341" i="3"/>
  <c r="E340" i="3"/>
  <c r="C339" i="3"/>
  <c r="E335" i="3"/>
  <c r="E334" i="3"/>
  <c r="E333" i="3"/>
  <c r="C332" i="3"/>
  <c r="E332" i="3" s="1"/>
  <c r="E331" i="3"/>
  <c r="E330" i="3"/>
  <c r="E329" i="3"/>
  <c r="C328" i="3"/>
  <c r="E328" i="3" s="1"/>
  <c r="E327" i="3"/>
  <c r="E326" i="3"/>
  <c r="E325" i="3"/>
  <c r="C324" i="3"/>
  <c r="E324" i="3" s="1"/>
  <c r="E320" i="3"/>
  <c r="E319" i="3"/>
  <c r="E318" i="3"/>
  <c r="E317" i="3"/>
  <c r="E316" i="3"/>
  <c r="E315" i="3"/>
  <c r="E314" i="3"/>
  <c r="E313" i="3" s="1"/>
  <c r="D313" i="3"/>
  <c r="C313" i="3"/>
  <c r="E311" i="3"/>
  <c r="E310" i="3"/>
  <c r="C309" i="3"/>
  <c r="C308" i="3" s="1"/>
  <c r="E308" i="3" s="1"/>
  <c r="E306" i="3"/>
  <c r="C305" i="3"/>
  <c r="E305" i="3" s="1"/>
  <c r="E304" i="3"/>
  <c r="E303" i="3"/>
  <c r="E302" i="3"/>
  <c r="E301" i="3"/>
  <c r="E300" i="3"/>
  <c r="C299" i="3"/>
  <c r="E299" i="3" s="1"/>
  <c r="E298" i="3"/>
  <c r="E297" i="3"/>
  <c r="E296" i="3"/>
  <c r="E295" i="3"/>
  <c r="E294" i="3"/>
  <c r="E293" i="3"/>
  <c r="E292" i="3"/>
  <c r="E291" i="3"/>
  <c r="E290" i="3"/>
  <c r="E289" i="3"/>
  <c r="C288" i="3"/>
  <c r="E288" i="3" s="1"/>
  <c r="E287" i="3"/>
  <c r="E286" i="3"/>
  <c r="E285" i="3"/>
  <c r="E284" i="3"/>
  <c r="E280" i="3"/>
  <c r="C279" i="3"/>
  <c r="E278" i="3"/>
  <c r="C277" i="3"/>
  <c r="E277" i="3" s="1"/>
  <c r="E273" i="3"/>
  <c r="E272" i="3"/>
  <c r="E271" i="3"/>
  <c r="E270" i="3"/>
  <c r="E269" i="3"/>
  <c r="E268" i="3"/>
  <c r="E267" i="3"/>
  <c r="E266" i="3"/>
  <c r="C265" i="3"/>
  <c r="E265" i="3" s="1"/>
  <c r="E264" i="3"/>
  <c r="E263" i="3"/>
  <c r="E262" i="3"/>
  <c r="E261" i="3"/>
  <c r="E260" i="3"/>
  <c r="E259" i="3"/>
  <c r="E258" i="3"/>
  <c r="C257" i="3"/>
  <c r="E257" i="3" s="1"/>
  <c r="E256" i="3"/>
  <c r="C255" i="3"/>
  <c r="E255" i="3" s="1"/>
  <c r="E254" i="3"/>
  <c r="E253" i="3"/>
  <c r="C252" i="3"/>
  <c r="E252" i="3" s="1"/>
  <c r="E243" i="3"/>
  <c r="C242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2" i="3"/>
  <c r="E221" i="3"/>
  <c r="C220" i="3"/>
  <c r="E219" i="3"/>
  <c r="C218" i="3"/>
  <c r="E218" i="3" s="1"/>
  <c r="E215" i="3"/>
  <c r="E214" i="3"/>
  <c r="C213" i="3"/>
  <c r="E213" i="3" s="1"/>
  <c r="E212" i="3"/>
  <c r="C211" i="3"/>
  <c r="E211" i="3" s="1"/>
  <c r="E210" i="3"/>
  <c r="C209" i="3"/>
  <c r="E209" i="3" s="1"/>
  <c r="E208" i="3"/>
  <c r="E207" i="3"/>
  <c r="E206" i="3"/>
  <c r="C205" i="3"/>
  <c r="E205" i="3" s="1"/>
  <c r="E204" i="3"/>
  <c r="E203" i="3"/>
  <c r="E202" i="3"/>
  <c r="C201" i="3"/>
  <c r="E201" i="3" s="1"/>
  <c r="E200" i="3"/>
  <c r="E199" i="3"/>
  <c r="E198" i="3"/>
  <c r="E197" i="3"/>
  <c r="C196" i="3"/>
  <c r="E196" i="3" s="1"/>
  <c r="E195" i="3"/>
  <c r="E194" i="3"/>
  <c r="E193" i="3"/>
  <c r="C192" i="3"/>
  <c r="E192" i="3" s="1"/>
  <c r="E188" i="3"/>
  <c r="C187" i="3"/>
  <c r="C186" i="3" s="1"/>
  <c r="E186" i="3" s="1"/>
  <c r="E184" i="3"/>
  <c r="E183" i="3"/>
  <c r="C182" i="3"/>
  <c r="E182" i="3" s="1"/>
  <c r="E181" i="3"/>
  <c r="E180" i="3"/>
  <c r="C179" i="3"/>
  <c r="E179" i="3" s="1"/>
  <c r="E178" i="3"/>
  <c r="C177" i="3"/>
  <c r="E177" i="3" s="1"/>
  <c r="D175" i="3"/>
  <c r="D174" i="3" s="1"/>
  <c r="E172" i="3"/>
  <c r="C171" i="3"/>
  <c r="E171" i="3" s="1"/>
  <c r="E168" i="3"/>
  <c r="C167" i="3"/>
  <c r="E167" i="3" s="1"/>
  <c r="E166" i="3"/>
  <c r="C165" i="3"/>
  <c r="E165" i="3" s="1"/>
  <c r="E164" i="3"/>
  <c r="E163" i="3"/>
  <c r="E159" i="3"/>
  <c r="C158" i="3"/>
  <c r="E158" i="3" s="1"/>
  <c r="E156" i="3"/>
  <c r="E155" i="3"/>
  <c r="E154" i="3"/>
  <c r="E153" i="3"/>
  <c r="E151" i="3"/>
  <c r="E150" i="3"/>
  <c r="E149" i="3"/>
  <c r="E148" i="3"/>
  <c r="E147" i="3"/>
  <c r="E146" i="3"/>
  <c r="C145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C119" i="3"/>
  <c r="E119" i="3" s="1"/>
  <c r="E116" i="3"/>
  <c r="C115" i="3"/>
  <c r="E111" i="3"/>
  <c r="C110" i="3"/>
  <c r="E110" i="3" s="1"/>
  <c r="E109" i="3"/>
  <c r="E108" i="3"/>
  <c r="E107" i="3"/>
  <c r="E106" i="3"/>
  <c r="E105" i="3"/>
  <c r="E104" i="3"/>
  <c r="E103" i="3"/>
  <c r="E102" i="3"/>
  <c r="C101" i="3"/>
  <c r="E101" i="3" s="1"/>
  <c r="E100" i="3"/>
  <c r="E99" i="3"/>
  <c r="E98" i="3"/>
  <c r="E97" i="3"/>
  <c r="E96" i="3"/>
  <c r="E95" i="3"/>
  <c r="E94" i="3"/>
  <c r="E93" i="3"/>
  <c r="E92" i="3"/>
  <c r="C91" i="3"/>
  <c r="E90" i="3"/>
  <c r="E89" i="3"/>
  <c r="E88" i="3"/>
  <c r="E87" i="3"/>
  <c r="E86" i="3"/>
  <c r="C85" i="3"/>
  <c r="E85" i="3" s="1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C44" i="3"/>
  <c r="E44" i="3" s="1"/>
  <c r="E43" i="3"/>
  <c r="E42" i="3"/>
  <c r="E41" i="3"/>
  <c r="E40" i="3"/>
  <c r="E39" i="3"/>
  <c r="E38" i="3"/>
  <c r="E37" i="3"/>
  <c r="C36" i="3"/>
  <c r="E36" i="3" s="1"/>
  <c r="E35" i="3"/>
  <c r="E34" i="3"/>
  <c r="E33" i="3"/>
  <c r="E32" i="3"/>
  <c r="E31" i="3"/>
  <c r="E30" i="3"/>
  <c r="E29" i="3"/>
  <c r="C28" i="3"/>
  <c r="E28" i="3" s="1"/>
  <c r="E27" i="3"/>
  <c r="C26" i="3"/>
  <c r="E26" i="3" s="1"/>
  <c r="E25" i="3"/>
  <c r="E24" i="3"/>
  <c r="E23" i="3"/>
  <c r="E22" i="3"/>
  <c r="E21" i="3"/>
  <c r="E20" i="3"/>
  <c r="E19" i="3"/>
  <c r="E18" i="3"/>
  <c r="E17" i="3"/>
  <c r="E16" i="3"/>
  <c r="C15" i="3"/>
  <c r="E15" i="3" s="1"/>
  <c r="G3789" i="2"/>
  <c r="G3788" i="2"/>
  <c r="G3787" i="2"/>
  <c r="G3786" i="2"/>
  <c r="G3785" i="2"/>
  <c r="G3784" i="2"/>
  <c r="E3783" i="2"/>
  <c r="G3781" i="2"/>
  <c r="G3780" i="2"/>
  <c r="G3779" i="2"/>
  <c r="G3778" i="2"/>
  <c r="G3777" i="2"/>
  <c r="G3776" i="2"/>
  <c r="G3775" i="2"/>
  <c r="G3774" i="2"/>
  <c r="G3773" i="2"/>
  <c r="G3772" i="2"/>
  <c r="G3771" i="2"/>
  <c r="G3770" i="2"/>
  <c r="G3769" i="2"/>
  <c r="G3768" i="2"/>
  <c r="G3767" i="2"/>
  <c r="G3766" i="2"/>
  <c r="G3765" i="2"/>
  <c r="G3764" i="2"/>
  <c r="G3763" i="2"/>
  <c r="G3762" i="2"/>
  <c r="G3761" i="2"/>
  <c r="G3760" i="2"/>
  <c r="G3759" i="2"/>
  <c r="G3758" i="2"/>
  <c r="G3757" i="2"/>
  <c r="G3756" i="2"/>
  <c r="G3755" i="2"/>
  <c r="E3754" i="2"/>
  <c r="G3754" i="2" s="1"/>
  <c r="G3752" i="2"/>
  <c r="G3751" i="2"/>
  <c r="G3750" i="2"/>
  <c r="G3749" i="2"/>
  <c r="G3748" i="2"/>
  <c r="G3747" i="2"/>
  <c r="G3746" i="2"/>
  <c r="G3745" i="2"/>
  <c r="G3744" i="2"/>
  <c r="G3743" i="2"/>
  <c r="G3742" i="2"/>
  <c r="G3741" i="2"/>
  <c r="G3740" i="2"/>
  <c r="G3739" i="2"/>
  <c r="G3738" i="2"/>
  <c r="G3737" i="2"/>
  <c r="G3736" i="2"/>
  <c r="G3735" i="2"/>
  <c r="G3734" i="2"/>
  <c r="G3733" i="2"/>
  <c r="G3732" i="2"/>
  <c r="G3731" i="2"/>
  <c r="G3730" i="2"/>
  <c r="G3729" i="2"/>
  <c r="G3728" i="2"/>
  <c r="G3727" i="2"/>
  <c r="G3726" i="2"/>
  <c r="G3725" i="2"/>
  <c r="G3724" i="2"/>
  <c r="G3723" i="2"/>
  <c r="E3722" i="2"/>
  <c r="G3722" i="2" s="1"/>
  <c r="G3720" i="2"/>
  <c r="G3719" i="2"/>
  <c r="G3718" i="2"/>
  <c r="G3717" i="2"/>
  <c r="G3716" i="2"/>
  <c r="G3715" i="2"/>
  <c r="G3714" i="2"/>
  <c r="G3713" i="2"/>
  <c r="G3712" i="2"/>
  <c r="G3711" i="2"/>
  <c r="G3710" i="2"/>
  <c r="G3709" i="2"/>
  <c r="G3708" i="2"/>
  <c r="G3707" i="2"/>
  <c r="G3706" i="2"/>
  <c r="G3705" i="2"/>
  <c r="G3704" i="2"/>
  <c r="E3703" i="2"/>
  <c r="G3703" i="2" s="1"/>
  <c r="G3701" i="2"/>
  <c r="G3700" i="2"/>
  <c r="G3699" i="2"/>
  <c r="G3698" i="2"/>
  <c r="G3697" i="2"/>
  <c r="G3696" i="2"/>
  <c r="G3695" i="2"/>
  <c r="G3694" i="2"/>
  <c r="G3693" i="2"/>
  <c r="G3692" i="2"/>
  <c r="G3691" i="2"/>
  <c r="G3690" i="2"/>
  <c r="G3689" i="2"/>
  <c r="G3688" i="2"/>
  <c r="G3687" i="2"/>
  <c r="G3686" i="2"/>
  <c r="G3685" i="2"/>
  <c r="G3684" i="2"/>
  <c r="G3683" i="2"/>
  <c r="G3682" i="2"/>
  <c r="G3681" i="2"/>
  <c r="G3680" i="2"/>
  <c r="G3679" i="2"/>
  <c r="G3678" i="2"/>
  <c r="G3677" i="2"/>
  <c r="G3676" i="2"/>
  <c r="G3675" i="2"/>
  <c r="G3674" i="2"/>
  <c r="E3673" i="2"/>
  <c r="G3673" i="2" s="1"/>
  <c r="G3671" i="2"/>
  <c r="G3670" i="2"/>
  <c r="G3669" i="2"/>
  <c r="G3668" i="2"/>
  <c r="G3667" i="2"/>
  <c r="G3666" i="2"/>
  <c r="G3665" i="2"/>
  <c r="G3664" i="2"/>
  <c r="G3663" i="2"/>
  <c r="G3662" i="2"/>
  <c r="G3661" i="2"/>
  <c r="G3660" i="2"/>
  <c r="G3659" i="2"/>
  <c r="G3658" i="2"/>
  <c r="G3657" i="2"/>
  <c r="G3656" i="2"/>
  <c r="E3655" i="2"/>
  <c r="G3655" i="2" s="1"/>
  <c r="G3653" i="2"/>
  <c r="G3652" i="2"/>
  <c r="G3651" i="2"/>
  <c r="G3650" i="2"/>
  <c r="G3649" i="2"/>
  <c r="G3648" i="2"/>
  <c r="G3647" i="2"/>
  <c r="G3646" i="2"/>
  <c r="G3645" i="2"/>
  <c r="G3644" i="2"/>
  <c r="G3643" i="2"/>
  <c r="G3642" i="2"/>
  <c r="G3641" i="2"/>
  <c r="G3640" i="2"/>
  <c r="G3639" i="2"/>
  <c r="G3638" i="2"/>
  <c r="G3637" i="2"/>
  <c r="G3636" i="2"/>
  <c r="E3635" i="2"/>
  <c r="G3635" i="2" s="1"/>
  <c r="G3633" i="2"/>
  <c r="G3632" i="2"/>
  <c r="G3631" i="2"/>
  <c r="G3630" i="2"/>
  <c r="G3629" i="2"/>
  <c r="G3628" i="2"/>
  <c r="G3627" i="2"/>
  <c r="G3626" i="2"/>
  <c r="G3625" i="2"/>
  <c r="G3624" i="2"/>
  <c r="G3623" i="2"/>
  <c r="G3622" i="2"/>
  <c r="G3621" i="2"/>
  <c r="G3620" i="2"/>
  <c r="G3619" i="2"/>
  <c r="G3618" i="2"/>
  <c r="G3617" i="2"/>
  <c r="G3616" i="2"/>
  <c r="E3615" i="2"/>
  <c r="G3615" i="2" s="1"/>
  <c r="G3613" i="2"/>
  <c r="G3612" i="2"/>
  <c r="G3611" i="2"/>
  <c r="G3610" i="2"/>
  <c r="G3609" i="2"/>
  <c r="G3608" i="2"/>
  <c r="G3607" i="2"/>
  <c r="G3606" i="2"/>
  <c r="G3605" i="2"/>
  <c r="G3604" i="2"/>
  <c r="G3603" i="2"/>
  <c r="G3602" i="2"/>
  <c r="G3601" i="2"/>
  <c r="G3600" i="2"/>
  <c r="G3599" i="2"/>
  <c r="G3598" i="2"/>
  <c r="G3597" i="2"/>
  <c r="G3596" i="2"/>
  <c r="E3595" i="2"/>
  <c r="G3595" i="2" s="1"/>
  <c r="G3593" i="2"/>
  <c r="G3592" i="2"/>
  <c r="G3591" i="2"/>
  <c r="G3590" i="2"/>
  <c r="G3589" i="2"/>
  <c r="G3588" i="2"/>
  <c r="G3587" i="2"/>
  <c r="G3586" i="2"/>
  <c r="G3585" i="2"/>
  <c r="G3584" i="2"/>
  <c r="E3583" i="2"/>
  <c r="G3583" i="2" s="1"/>
  <c r="G3581" i="2"/>
  <c r="G3580" i="2"/>
  <c r="G3579" i="2"/>
  <c r="G3578" i="2"/>
  <c r="G3577" i="2"/>
  <c r="G3576" i="2"/>
  <c r="G3575" i="2"/>
  <c r="G3574" i="2"/>
  <c r="G3573" i="2"/>
  <c r="G3572" i="2"/>
  <c r="G3571" i="2"/>
  <c r="G3570" i="2"/>
  <c r="G3569" i="2"/>
  <c r="G3568" i="2"/>
  <c r="G3567" i="2"/>
  <c r="G3566" i="2"/>
  <c r="G3565" i="2"/>
  <c r="G3564" i="2"/>
  <c r="G3563" i="2"/>
  <c r="G3562" i="2"/>
  <c r="G3561" i="2"/>
  <c r="G3560" i="2"/>
  <c r="G3559" i="2"/>
  <c r="G3558" i="2"/>
  <c r="G3557" i="2"/>
  <c r="G3556" i="2"/>
  <c r="G3554" i="2"/>
  <c r="E3553" i="2"/>
  <c r="E3552" i="2" s="1"/>
  <c r="G3552" i="2" s="1"/>
  <c r="G3550" i="2"/>
  <c r="G3549" i="2"/>
  <c r="G3548" i="2"/>
  <c r="G3547" i="2"/>
  <c r="G3546" i="2"/>
  <c r="G3545" i="2"/>
  <c r="G3543" i="2"/>
  <c r="G3542" i="2"/>
  <c r="G3541" i="2"/>
  <c r="G3540" i="2"/>
  <c r="G3538" i="2"/>
  <c r="G3537" i="2"/>
  <c r="G3532" i="2"/>
  <c r="G3531" i="2"/>
  <c r="E3530" i="2"/>
  <c r="G3530" i="2" s="1"/>
  <c r="G3528" i="2"/>
  <c r="G3527" i="2"/>
  <c r="E3526" i="2"/>
  <c r="G3523" i="2"/>
  <c r="G3522" i="2"/>
  <c r="E3521" i="2"/>
  <c r="G3520" i="2"/>
  <c r="E3519" i="2"/>
  <c r="G3519" i="2" s="1"/>
  <c r="G3518" i="2"/>
  <c r="E3517" i="2"/>
  <c r="G3517" i="2" s="1"/>
  <c r="G3516" i="2"/>
  <c r="E3515" i="2"/>
  <c r="G3515" i="2" s="1"/>
  <c r="G3514" i="2"/>
  <c r="G3513" i="2"/>
  <c r="E3512" i="2"/>
  <c r="G3512" i="2" s="1"/>
  <c r="G3509" i="2"/>
  <c r="G3508" i="2"/>
  <c r="E3507" i="2"/>
  <c r="G3507" i="2" s="1"/>
  <c r="G3506" i="2"/>
  <c r="E3505" i="2"/>
  <c r="G3505" i="2" s="1"/>
  <c r="G3504" i="2"/>
  <c r="G3503" i="2"/>
  <c r="G3502" i="2"/>
  <c r="E3501" i="2"/>
  <c r="G3500" i="2"/>
  <c r="E3499" i="2"/>
  <c r="G3499" i="2" s="1"/>
  <c r="G3498" i="2"/>
  <c r="E3497" i="2"/>
  <c r="G3497" i="2" s="1"/>
  <c r="G3494" i="2"/>
  <c r="G3493" i="2"/>
  <c r="G3492" i="2"/>
  <c r="E3491" i="2"/>
  <c r="E3490" i="2" s="1"/>
  <c r="G3490" i="2" s="1"/>
  <c r="G3488" i="2"/>
  <c r="E3487" i="2"/>
  <c r="G3487" i="2" s="1"/>
  <c r="G3486" i="2"/>
  <c r="G3485" i="2"/>
  <c r="E3484" i="2"/>
  <c r="G3484" i="2" s="1"/>
  <c r="G3483" i="2"/>
  <c r="E3482" i="2"/>
  <c r="G3479" i="2"/>
  <c r="E3478" i="2"/>
  <c r="G3475" i="2"/>
  <c r="E3474" i="2"/>
  <c r="G3474" i="2" s="1"/>
  <c r="G3472" i="2"/>
  <c r="G3471" i="2"/>
  <c r="E3470" i="2"/>
  <c r="G3470" i="2" s="1"/>
  <c r="G3469" i="2"/>
  <c r="E3468" i="2"/>
  <c r="G3468" i="2" s="1"/>
  <c r="G3465" i="2"/>
  <c r="E3464" i="2"/>
  <c r="E3463" i="2" s="1"/>
  <c r="G3463" i="2" s="1"/>
  <c r="G3461" i="2"/>
  <c r="E3460" i="2"/>
  <c r="G3457" i="2"/>
  <c r="E3456" i="2"/>
  <c r="G3456" i="2" s="1"/>
  <c r="G3453" i="2"/>
  <c r="G3452" i="2"/>
  <c r="G3450" i="2"/>
  <c r="E3449" i="2"/>
  <c r="G3449" i="2" s="1"/>
  <c r="G3448" i="2"/>
  <c r="E3447" i="2"/>
  <c r="G3447" i="2" s="1"/>
  <c r="G3446" i="2"/>
  <c r="G3445" i="2"/>
  <c r="E3444" i="2"/>
  <c r="G3444" i="2" s="1"/>
  <c r="G3440" i="2"/>
  <c r="E3439" i="2"/>
  <c r="G3439" i="2" s="1"/>
  <c r="G3438" i="2"/>
  <c r="E3437" i="2"/>
  <c r="G3435" i="2"/>
  <c r="G3434" i="2"/>
  <c r="E3433" i="2"/>
  <c r="G3433" i="2" s="1"/>
  <c r="G3432" i="2"/>
  <c r="G3431" i="2"/>
  <c r="E3430" i="2"/>
  <c r="G3430" i="2" s="1"/>
  <c r="G3429" i="2"/>
  <c r="E3428" i="2"/>
  <c r="G3426" i="2"/>
  <c r="G3425" i="2"/>
  <c r="G3424" i="2"/>
  <c r="G3423" i="2"/>
  <c r="G3422" i="2"/>
  <c r="G3421" i="2"/>
  <c r="E3420" i="2"/>
  <c r="G3420" i="2" s="1"/>
  <c r="G3419" i="2"/>
  <c r="G3418" i="2"/>
  <c r="E3417" i="2"/>
  <c r="G3417" i="2" s="1"/>
  <c r="G3416" i="2"/>
  <c r="E3415" i="2"/>
  <c r="G3415" i="2" s="1"/>
  <c r="G3413" i="2"/>
  <c r="G3412" i="2"/>
  <c r="E3411" i="2"/>
  <c r="G3411" i="2" s="1"/>
  <c r="G3410" i="2"/>
  <c r="E3409" i="2"/>
  <c r="G3409" i="2" s="1"/>
  <c r="G3407" i="2"/>
  <c r="G3406" i="2"/>
  <c r="G3405" i="2"/>
  <c r="G3404" i="2"/>
  <c r="E3403" i="2"/>
  <c r="G3403" i="2" s="1"/>
  <c r="G3401" i="2"/>
  <c r="G3400" i="2"/>
  <c r="E3399" i="2"/>
  <c r="G3397" i="2"/>
  <c r="G3396" i="2"/>
  <c r="E3395" i="2"/>
  <c r="G3395" i="2" s="1"/>
  <c r="G3394" i="2"/>
  <c r="G3393" i="2"/>
  <c r="G3392" i="2"/>
  <c r="E3391" i="2"/>
  <c r="G3389" i="2"/>
  <c r="G3388" i="2"/>
  <c r="E3387" i="2"/>
  <c r="G3385" i="2"/>
  <c r="G3384" i="2"/>
  <c r="G3383" i="2"/>
  <c r="E3382" i="2"/>
  <c r="G3380" i="2"/>
  <c r="G3379" i="2"/>
  <c r="E3378" i="2"/>
  <c r="G3376" i="2"/>
  <c r="G3375" i="2"/>
  <c r="E3374" i="2"/>
  <c r="G3372" i="2"/>
  <c r="G3371" i="2"/>
  <c r="G3370" i="2"/>
  <c r="G3369" i="2"/>
  <c r="E3368" i="2"/>
  <c r="G3366" i="2"/>
  <c r="G3365" i="2"/>
  <c r="E3364" i="2"/>
  <c r="G3364" i="2" s="1"/>
  <c r="G3363" i="2"/>
  <c r="E3362" i="2"/>
  <c r="G3360" i="2"/>
  <c r="G3359" i="2"/>
  <c r="E3358" i="2"/>
  <c r="E3357" i="2" s="1"/>
  <c r="G3357" i="2" s="1"/>
  <c r="G3356" i="2"/>
  <c r="G3355" i="2"/>
  <c r="E3354" i="2"/>
  <c r="E3353" i="2" s="1"/>
  <c r="G3353" i="2" s="1"/>
  <c r="G3352" i="2"/>
  <c r="G3351" i="2"/>
  <c r="E3350" i="2"/>
  <c r="E3349" i="2" s="1"/>
  <c r="G3349" i="2" s="1"/>
  <c r="G3348" i="2"/>
  <c r="G3347" i="2"/>
  <c r="E3346" i="2"/>
  <c r="E3345" i="2" s="1"/>
  <c r="G3345" i="2" s="1"/>
  <c r="G3344" i="2"/>
  <c r="G3343" i="2"/>
  <c r="E3342" i="2"/>
  <c r="E3341" i="2" s="1"/>
  <c r="G3341" i="2" s="1"/>
  <c r="G3340" i="2"/>
  <c r="G3339" i="2"/>
  <c r="E3338" i="2"/>
  <c r="G3338" i="2" s="1"/>
  <c r="G3337" i="2"/>
  <c r="E3336" i="2"/>
  <c r="G3336" i="2" s="1"/>
  <c r="G3335" i="2"/>
  <c r="E3334" i="2"/>
  <c r="G3332" i="2"/>
  <c r="G3331" i="2"/>
  <c r="E3330" i="2"/>
  <c r="G3330" i="2" s="1"/>
  <c r="G3329" i="2"/>
  <c r="G3328" i="2"/>
  <c r="G3327" i="2"/>
  <c r="G3326" i="2"/>
  <c r="E3325" i="2"/>
  <c r="G3325" i="2" s="1"/>
  <c r="G3324" i="2"/>
  <c r="G3323" i="2"/>
  <c r="G3322" i="2"/>
  <c r="G3321" i="2"/>
  <c r="G3320" i="2"/>
  <c r="G3319" i="2"/>
  <c r="E3318" i="2"/>
  <c r="G3318" i="2" s="1"/>
  <c r="G3317" i="2"/>
  <c r="G3316" i="2"/>
  <c r="G3315" i="2"/>
  <c r="G3314" i="2"/>
  <c r="G3313" i="2"/>
  <c r="G3312" i="2"/>
  <c r="G3311" i="2"/>
  <c r="G3310" i="2"/>
  <c r="G3309" i="2"/>
  <c r="G3308" i="2"/>
  <c r="G3307" i="2"/>
  <c r="G3306" i="2"/>
  <c r="G3305" i="2"/>
  <c r="G3304" i="2"/>
  <c r="G3303" i="2"/>
  <c r="G3302" i="2"/>
  <c r="G3301" i="2"/>
  <c r="G3300" i="2"/>
  <c r="G3299" i="2"/>
  <c r="E3298" i="2"/>
  <c r="G3298" i="2" s="1"/>
  <c r="G3297" i="2"/>
  <c r="G3296" i="2"/>
  <c r="G3295" i="2"/>
  <c r="G3294" i="2"/>
  <c r="G3293" i="2"/>
  <c r="G3292" i="2"/>
  <c r="G3291" i="2"/>
  <c r="G3290" i="2"/>
  <c r="E3289" i="2"/>
  <c r="G3285" i="2"/>
  <c r="G3284" i="2"/>
  <c r="G3283" i="2"/>
  <c r="G3282" i="2"/>
  <c r="G3281" i="2"/>
  <c r="G3280" i="2"/>
  <c r="G3279" i="2"/>
  <c r="G3278" i="2"/>
  <c r="G3277" i="2"/>
  <c r="G3276" i="2"/>
  <c r="G3275" i="2"/>
  <c r="G3274" i="2"/>
  <c r="G3273" i="2"/>
  <c r="G3272" i="2"/>
  <c r="G3271" i="2"/>
  <c r="G3269" i="2"/>
  <c r="G3268" i="2"/>
  <c r="G3267" i="2"/>
  <c r="G3266" i="2"/>
  <c r="G3265" i="2"/>
  <c r="G3264" i="2"/>
  <c r="G3263" i="2"/>
  <c r="G3262" i="2"/>
  <c r="G3261" i="2"/>
  <c r="G3260" i="2"/>
  <c r="G3259" i="2"/>
  <c r="G3257" i="2"/>
  <c r="G3256" i="2"/>
  <c r="G3255" i="2"/>
  <c r="G3254" i="2"/>
  <c r="G3253" i="2"/>
  <c r="G3252" i="2"/>
  <c r="G3251" i="2"/>
  <c r="G3249" i="2"/>
  <c r="G3248" i="2"/>
  <c r="G3247" i="2"/>
  <c r="G3246" i="2"/>
  <c r="G3245" i="2"/>
  <c r="G3244" i="2"/>
  <c r="G3243" i="2"/>
  <c r="G3242" i="2"/>
  <c r="G3241" i="2"/>
  <c r="G3239" i="2"/>
  <c r="G3238" i="2"/>
  <c r="G3237" i="2"/>
  <c r="G3236" i="2"/>
  <c r="G3235" i="2"/>
  <c r="G3234" i="2"/>
  <c r="G3232" i="2"/>
  <c r="G3231" i="2"/>
  <c r="G3230" i="2"/>
  <c r="G3228" i="2"/>
  <c r="G3227" i="2"/>
  <c r="G3226" i="2"/>
  <c r="G3224" i="2"/>
  <c r="G3223" i="2"/>
  <c r="G3222" i="2"/>
  <c r="G3220" i="2"/>
  <c r="G3219" i="2"/>
  <c r="G3218" i="2"/>
  <c r="G3217" i="2"/>
  <c r="G3216" i="2"/>
  <c r="G3214" i="2"/>
  <c r="G3213" i="2"/>
  <c r="G3212" i="2"/>
  <c r="G3211" i="2"/>
  <c r="G3210" i="2"/>
  <c r="G3209" i="2"/>
  <c r="G3208" i="2"/>
  <c r="G3207" i="2"/>
  <c r="G3206" i="2"/>
  <c r="G3205" i="2"/>
  <c r="G3203" i="2"/>
  <c r="G3202" i="2"/>
  <c r="G3201" i="2"/>
  <c r="G3200" i="2"/>
  <c r="G3199" i="2"/>
  <c r="G3198" i="2"/>
  <c r="G3197" i="2"/>
  <c r="G3196" i="2"/>
  <c r="G3195" i="2"/>
  <c r="G3194" i="2"/>
  <c r="G3193" i="2"/>
  <c r="G3192" i="2"/>
  <c r="G3191" i="2"/>
  <c r="G3190" i="2"/>
  <c r="G3189" i="2"/>
  <c r="G3188" i="2"/>
  <c r="G3187" i="2"/>
  <c r="G3186" i="2"/>
  <c r="G3185" i="2"/>
  <c r="G3184" i="2"/>
  <c r="G3183" i="2"/>
  <c r="G3182" i="2"/>
  <c r="G3181" i="2"/>
  <c r="G3180" i="2"/>
  <c r="G3179" i="2"/>
  <c r="G3178" i="2"/>
  <c r="G3177" i="2"/>
  <c r="G3176" i="2"/>
  <c r="G3175" i="2"/>
  <c r="G3174" i="2"/>
  <c r="G3173" i="2"/>
  <c r="G3172" i="2"/>
  <c r="G3171" i="2"/>
  <c r="G3170" i="2"/>
  <c r="G3169" i="2"/>
  <c r="G3168" i="2"/>
  <c r="G3167" i="2"/>
  <c r="G3166" i="2"/>
  <c r="G3165" i="2"/>
  <c r="G3164" i="2"/>
  <c r="G3163" i="2"/>
  <c r="G3162" i="2"/>
  <c r="G3161" i="2"/>
  <c r="G3160" i="2"/>
  <c r="G3159" i="2"/>
  <c r="G3158" i="2"/>
  <c r="G3157" i="2"/>
  <c r="G3156" i="2"/>
  <c r="G3155" i="2"/>
  <c r="G3154" i="2"/>
  <c r="G3153" i="2"/>
  <c r="G3152" i="2"/>
  <c r="G3150" i="2"/>
  <c r="G3149" i="2"/>
  <c r="E3148" i="2"/>
  <c r="E3147" i="2" s="1"/>
  <c r="G3147" i="2" s="1"/>
  <c r="G3145" i="2"/>
  <c r="G3144" i="2"/>
  <c r="E3143" i="2"/>
  <c r="G3143" i="2" s="1"/>
  <c r="G3142" i="2"/>
  <c r="E3141" i="2"/>
  <c r="G3141" i="2" s="1"/>
  <c r="G3138" i="2"/>
  <c r="G3137" i="2"/>
  <c r="G3136" i="2"/>
  <c r="E3135" i="2"/>
  <c r="G3135" i="2" s="1"/>
  <c r="G3134" i="2"/>
  <c r="G3133" i="2"/>
  <c r="E3132" i="2"/>
  <c r="G3132" i="2" s="1"/>
  <c r="G3129" i="2"/>
  <c r="E3128" i="2"/>
  <c r="G3128" i="2" s="1"/>
  <c r="G3125" i="2"/>
  <c r="G3124" i="2"/>
  <c r="E3123" i="2"/>
  <c r="G3120" i="2"/>
  <c r="E3119" i="2"/>
  <c r="G3119" i="2" s="1"/>
  <c r="G3117" i="2"/>
  <c r="G3116" i="2"/>
  <c r="E3115" i="2"/>
  <c r="E3114" i="2" s="1"/>
  <c r="G3114" i="2" s="1"/>
  <c r="G3112" i="2"/>
  <c r="E3111" i="2"/>
  <c r="G3109" i="2"/>
  <c r="G3108" i="2"/>
  <c r="E3107" i="2"/>
  <c r="G3107" i="2" s="1"/>
  <c r="G3104" i="2"/>
  <c r="E3103" i="2"/>
  <c r="E3102" i="2" s="1"/>
  <c r="G3102" i="2" s="1"/>
  <c r="G3100" i="2"/>
  <c r="G3099" i="2"/>
  <c r="E3098" i="2"/>
  <c r="G3098" i="2" s="1"/>
  <c r="G3097" i="2"/>
  <c r="E3096" i="2"/>
  <c r="G3096" i="2" s="1"/>
  <c r="G3095" i="2"/>
  <c r="E3094" i="2"/>
  <c r="G3094" i="2" s="1"/>
  <c r="G3093" i="2"/>
  <c r="E3092" i="2"/>
  <c r="G3089" i="2"/>
  <c r="G3088" i="2"/>
  <c r="E3087" i="2"/>
  <c r="G3087" i="2" s="1"/>
  <c r="G3086" i="2"/>
  <c r="G3085" i="2"/>
  <c r="G3084" i="2"/>
  <c r="E3083" i="2"/>
  <c r="G3083" i="2" s="1"/>
  <c r="G3082" i="2"/>
  <c r="G3081" i="2"/>
  <c r="G3080" i="2"/>
  <c r="E3079" i="2"/>
  <c r="G3079" i="2" s="1"/>
  <c r="G3078" i="2"/>
  <c r="G3077" i="2"/>
  <c r="E3076" i="2"/>
  <c r="G3074" i="2"/>
  <c r="G3072" i="2"/>
  <c r="G3068" i="2"/>
  <c r="E3067" i="2"/>
  <c r="G3067" i="2" s="1"/>
  <c r="G3066" i="2"/>
  <c r="G3065" i="2"/>
  <c r="G3064" i="2"/>
  <c r="E3063" i="2"/>
  <c r="G3063" i="2" s="1"/>
  <c r="G3060" i="2"/>
  <c r="E3058" i="2"/>
  <c r="G3058" i="2" s="1"/>
  <c r="G3056" i="2"/>
  <c r="G3052" i="2"/>
  <c r="G3051" i="2"/>
  <c r="G3048" i="2"/>
  <c r="G3047" i="2"/>
  <c r="G3044" i="2"/>
  <c r="G3043" i="2"/>
  <c r="G3042" i="2"/>
  <c r="G3041" i="2"/>
  <c r="G3037" i="2"/>
  <c r="E3036" i="2"/>
  <c r="G3033" i="2"/>
  <c r="E3032" i="2"/>
  <c r="G3032" i="2" s="1"/>
  <c r="G3031" i="2"/>
  <c r="G3030" i="2"/>
  <c r="G3029" i="2"/>
  <c r="G3028" i="2"/>
  <c r="G3024" i="2"/>
  <c r="G3023" i="2"/>
  <c r="G3022" i="2"/>
  <c r="G3021" i="2"/>
  <c r="G3020" i="2"/>
  <c r="G3016" i="2"/>
  <c r="E3015" i="2"/>
  <c r="G3014" i="2"/>
  <c r="E3013" i="2"/>
  <c r="G3013" i="2" s="1"/>
  <c r="G3012" i="2"/>
  <c r="E3011" i="2"/>
  <c r="G3011" i="2" s="1"/>
  <c r="G3010" i="2"/>
  <c r="E3009" i="2"/>
  <c r="G3009" i="2" s="1"/>
  <c r="G3006" i="2"/>
  <c r="E3005" i="2"/>
  <c r="G3002" i="2"/>
  <c r="G3001" i="2"/>
  <c r="G3000" i="2"/>
  <c r="G2999" i="2"/>
  <c r="G2996" i="2"/>
  <c r="G2994" i="2"/>
  <c r="G2993" i="2"/>
  <c r="E2992" i="2"/>
  <c r="G2992" i="2" s="1"/>
  <c r="G2991" i="2"/>
  <c r="E2990" i="2"/>
  <c r="G2988" i="2"/>
  <c r="G2987" i="2"/>
  <c r="E2986" i="2"/>
  <c r="G2984" i="2"/>
  <c r="G2983" i="2"/>
  <c r="E2982" i="2"/>
  <c r="G2982" i="2" s="1"/>
  <c r="G2981" i="2"/>
  <c r="E2980" i="2"/>
  <c r="G2980" i="2" s="1"/>
  <c r="G2979" i="2"/>
  <c r="E2978" i="2"/>
  <c r="G2978" i="2" s="1"/>
  <c r="G2977" i="2"/>
  <c r="G2976" i="2"/>
  <c r="G2975" i="2"/>
  <c r="E2974" i="2"/>
  <c r="E2973" i="2" s="1"/>
  <c r="G2971" i="2"/>
  <c r="G2968" i="2"/>
  <c r="G2967" i="2"/>
  <c r="G2965" i="2"/>
  <c r="G2964" i="2"/>
  <c r="G2963" i="2"/>
  <c r="G2960" i="2"/>
  <c r="G2959" i="2"/>
  <c r="G2957" i="2"/>
  <c r="G2956" i="2"/>
  <c r="G2955" i="2"/>
  <c r="G2952" i="2"/>
  <c r="G2951" i="2"/>
  <c r="G2950" i="2"/>
  <c r="E2949" i="2"/>
  <c r="E2948" i="2" s="1"/>
  <c r="G2948" i="2" s="1"/>
  <c r="G2947" i="2"/>
  <c r="G2946" i="2"/>
  <c r="E2945" i="2"/>
  <c r="E2944" i="2" s="1"/>
  <c r="G2944" i="2" s="1"/>
  <c r="G2943" i="2"/>
  <c r="G2942" i="2"/>
  <c r="G2941" i="2"/>
  <c r="E2940" i="2"/>
  <c r="G2938" i="2"/>
  <c r="G2937" i="2"/>
  <c r="E2936" i="2"/>
  <c r="G2936" i="2" s="1"/>
  <c r="G2934" i="2"/>
  <c r="G2933" i="2"/>
  <c r="E2932" i="2"/>
  <c r="G2930" i="2"/>
  <c r="G2929" i="2"/>
  <c r="E2928" i="2"/>
  <c r="G2928" i="2" s="1"/>
  <c r="G2926" i="2"/>
  <c r="G2925" i="2"/>
  <c r="E2924" i="2"/>
  <c r="G2922" i="2"/>
  <c r="E2921" i="2"/>
  <c r="G2921" i="2" s="1"/>
  <c r="G2920" i="2"/>
  <c r="E2919" i="2"/>
  <c r="G2917" i="2"/>
  <c r="G2916" i="2"/>
  <c r="E2915" i="2"/>
  <c r="G2915" i="2" s="1"/>
  <c r="G2913" i="2"/>
  <c r="G2912" i="2"/>
  <c r="E2911" i="2"/>
  <c r="G2911" i="2" s="1"/>
  <c r="G2910" i="2"/>
  <c r="E2909" i="2"/>
  <c r="G2909" i="2" s="1"/>
  <c r="G2908" i="2"/>
  <c r="G2907" i="2"/>
  <c r="E2906" i="2"/>
  <c r="G2906" i="2" s="1"/>
  <c r="G2905" i="2"/>
  <c r="E2904" i="2"/>
  <c r="G2904" i="2" s="1"/>
  <c r="G2903" i="2"/>
  <c r="E2902" i="2"/>
  <c r="G2902" i="2" s="1"/>
  <c r="G2900" i="2"/>
  <c r="G2899" i="2"/>
  <c r="G2898" i="2"/>
  <c r="G2897" i="2"/>
  <c r="E2896" i="2"/>
  <c r="G2896" i="2" s="1"/>
  <c r="G2895" i="2"/>
  <c r="E2894" i="2"/>
  <c r="G2894" i="2" s="1"/>
  <c r="G2893" i="2"/>
  <c r="G2892" i="2"/>
  <c r="E2891" i="2"/>
  <c r="G2891" i="2" s="1"/>
  <c r="G2890" i="2"/>
  <c r="E2889" i="2"/>
  <c r="G2889" i="2" s="1"/>
  <c r="G2888" i="2"/>
  <c r="G2887" i="2"/>
  <c r="E2886" i="2"/>
  <c r="G2882" i="2"/>
  <c r="E2881" i="2"/>
  <c r="G2881" i="2" s="1"/>
  <c r="G2880" i="2"/>
  <c r="E2879" i="2"/>
  <c r="G2876" i="2"/>
  <c r="G2875" i="2"/>
  <c r="E2874" i="2"/>
  <c r="G2871" i="2"/>
  <c r="E2870" i="2"/>
  <c r="G2870" i="2" s="1"/>
  <c r="G2869" i="2"/>
  <c r="E2868" i="2"/>
  <c r="G2865" i="2"/>
  <c r="G2864" i="2"/>
  <c r="E2863" i="2"/>
  <c r="G2863" i="2" s="1"/>
  <c r="G2862" i="2"/>
  <c r="E2861" i="2"/>
  <c r="E2857" i="2"/>
  <c r="G2856" i="2"/>
  <c r="G2855" i="2"/>
  <c r="E2854" i="2"/>
  <c r="G2854" i="2" s="1"/>
  <c r="G2853" i="2"/>
  <c r="G2852" i="2"/>
  <c r="G2851" i="2"/>
  <c r="E2850" i="2"/>
  <c r="G2850" i="2" s="1"/>
  <c r="G2847" i="2"/>
  <c r="G2846" i="2"/>
  <c r="E2845" i="2"/>
  <c r="E2844" i="2" s="1"/>
  <c r="G2844" i="2" s="1"/>
  <c r="G2842" i="2"/>
  <c r="E2841" i="2"/>
  <c r="G2841" i="2" s="1"/>
  <c r="G2840" i="2"/>
  <c r="G2839" i="2"/>
  <c r="E2838" i="2"/>
  <c r="G2835" i="2"/>
  <c r="G2834" i="2"/>
  <c r="E2833" i="2"/>
  <c r="G2830" i="2"/>
  <c r="E2829" i="2"/>
  <c r="E2828" i="2" s="1"/>
  <c r="G2828" i="2" s="1"/>
  <c r="G2826" i="2"/>
  <c r="E2825" i="2"/>
  <c r="G2825" i="2" s="1"/>
  <c r="G2823" i="2"/>
  <c r="G2822" i="2"/>
  <c r="G2821" i="2"/>
  <c r="E2820" i="2"/>
  <c r="E2819" i="2" s="1"/>
  <c r="G2819" i="2" s="1"/>
  <c r="G2817" i="2"/>
  <c r="G2816" i="2"/>
  <c r="E2815" i="2"/>
  <c r="G2815" i="2" s="1"/>
  <c r="G2812" i="2"/>
  <c r="G2811" i="2"/>
  <c r="G2810" i="2"/>
  <c r="E2809" i="2"/>
  <c r="G2809" i="2" s="1"/>
  <c r="G2807" i="2"/>
  <c r="E2806" i="2"/>
  <c r="G2806" i="2" s="1"/>
  <c r="G2805" i="2"/>
  <c r="E2804" i="2"/>
  <c r="G2804" i="2" s="1"/>
  <c r="G2803" i="2"/>
  <c r="E2802" i="2"/>
  <c r="G2802" i="2" s="1"/>
  <c r="G2801" i="2"/>
  <c r="G2800" i="2"/>
  <c r="E2799" i="2"/>
  <c r="G2799" i="2" s="1"/>
  <c r="G2798" i="2"/>
  <c r="E2797" i="2"/>
  <c r="G2797" i="2" s="1"/>
  <c r="G2794" i="2"/>
  <c r="E2793" i="2"/>
  <c r="G2790" i="2"/>
  <c r="G2789" i="2"/>
  <c r="E2788" i="2"/>
  <c r="G2788" i="2" s="1"/>
  <c r="G2787" i="2"/>
  <c r="G2786" i="2"/>
  <c r="G2785" i="2"/>
  <c r="G2784" i="2"/>
  <c r="G2783" i="2"/>
  <c r="G2782" i="2"/>
  <c r="G2781" i="2"/>
  <c r="G2780" i="2"/>
  <c r="G2779" i="2"/>
  <c r="G2778" i="2"/>
  <c r="G2777" i="2"/>
  <c r="G2776" i="2"/>
  <c r="E2775" i="2"/>
  <c r="G2775" i="2" s="1"/>
  <c r="G2774" i="2"/>
  <c r="E2773" i="2"/>
  <c r="G2773" i="2" s="1"/>
  <c r="G2769" i="2"/>
  <c r="E2768" i="2"/>
  <c r="G2768" i="2" s="1"/>
  <c r="G2767" i="2"/>
  <c r="G2763" i="2"/>
  <c r="G2761" i="2"/>
  <c r="G2759" i="2"/>
  <c r="G2758" i="2"/>
  <c r="G2755" i="2"/>
  <c r="G2754" i="2"/>
  <c r="G2751" i="2"/>
  <c r="E2749" i="2"/>
  <c r="G2749" i="2" s="1"/>
  <c r="G2747" i="2"/>
  <c r="E2745" i="2"/>
  <c r="G2745" i="2" s="1"/>
  <c r="G2743" i="2"/>
  <c r="G2742" i="2"/>
  <c r="E2741" i="2"/>
  <c r="G2741" i="2" s="1"/>
  <c r="G2738" i="2"/>
  <c r="G2737" i="2"/>
  <c r="E2736" i="2"/>
  <c r="G2736" i="2" s="1"/>
  <c r="G2735" i="2"/>
  <c r="G2734" i="2"/>
  <c r="E2733" i="2"/>
  <c r="G2733" i="2" s="1"/>
  <c r="G2732" i="2"/>
  <c r="E2731" i="2"/>
  <c r="G2730" i="2"/>
  <c r="E2729" i="2"/>
  <c r="G2729" i="2" s="1"/>
  <c r="G2726" i="2"/>
  <c r="G2725" i="2"/>
  <c r="G2724" i="2"/>
  <c r="G2723" i="2"/>
  <c r="G2722" i="2"/>
  <c r="G2721" i="2"/>
  <c r="G2720" i="2"/>
  <c r="G2719" i="2"/>
  <c r="G2718" i="2"/>
  <c r="G2717" i="2"/>
  <c r="G2716" i="2"/>
  <c r="G2715" i="2"/>
  <c r="G2714" i="2"/>
  <c r="G2713" i="2"/>
  <c r="G2712" i="2"/>
  <c r="G2711" i="2"/>
  <c r="G2710" i="2"/>
  <c r="G2709" i="2"/>
  <c r="G2708" i="2"/>
  <c r="G2707" i="2"/>
  <c r="G2706" i="2"/>
  <c r="G2705" i="2"/>
  <c r="G2704" i="2"/>
  <c r="E2703" i="2"/>
  <c r="G2703" i="2" s="1"/>
  <c r="G2699" i="2"/>
  <c r="G2698" i="2"/>
  <c r="E2697" i="2"/>
  <c r="E2696" i="2" s="1"/>
  <c r="G2696" i="2" s="1"/>
  <c r="G2694" i="2"/>
  <c r="G2693" i="2"/>
  <c r="G2692" i="2"/>
  <c r="G2691" i="2"/>
  <c r="G2690" i="2"/>
  <c r="G2689" i="2"/>
  <c r="G2685" i="2"/>
  <c r="E2684" i="2"/>
  <c r="G2684" i="2" s="1"/>
  <c r="G2683" i="2"/>
  <c r="E2682" i="2"/>
  <c r="G2682" i="2" s="1"/>
  <c r="G2681" i="2"/>
  <c r="G2680" i="2"/>
  <c r="E2679" i="2"/>
  <c r="G2677" i="2"/>
  <c r="G2676" i="2"/>
  <c r="E2675" i="2"/>
  <c r="G2675" i="2" s="1"/>
  <c r="G2674" i="2"/>
  <c r="E2673" i="2"/>
  <c r="G2673" i="2" s="1"/>
  <c r="G2672" i="2"/>
  <c r="E2671" i="2"/>
  <c r="G2671" i="2" s="1"/>
  <c r="G2668" i="2"/>
  <c r="E2667" i="2"/>
  <c r="G2667" i="2" s="1"/>
  <c r="G2666" i="2"/>
  <c r="E2665" i="2"/>
  <c r="G2662" i="2"/>
  <c r="E2661" i="2"/>
  <c r="G2661" i="2" s="1"/>
  <c r="G2658" i="2"/>
  <c r="E2657" i="2"/>
  <c r="E2656" i="2" s="1"/>
  <c r="G2656" i="2" s="1"/>
  <c r="G2654" i="2"/>
  <c r="E2653" i="2"/>
  <c r="G2653" i="2" s="1"/>
  <c r="G2652" i="2"/>
  <c r="E2651" i="2"/>
  <c r="G2651" i="2" s="1"/>
  <c r="G2650" i="2"/>
  <c r="E2649" i="2"/>
  <c r="G2649" i="2" s="1"/>
  <c r="G2648" i="2"/>
  <c r="E2647" i="2"/>
  <c r="G2644" i="2"/>
  <c r="E2643" i="2"/>
  <c r="G2643" i="2" s="1"/>
  <c r="G2642" i="2"/>
  <c r="G2641" i="2"/>
  <c r="E2640" i="2"/>
  <c r="G2640" i="2" s="1"/>
  <c r="G2637" i="2"/>
  <c r="G2636" i="2"/>
  <c r="E2635" i="2"/>
  <c r="G2635" i="2" s="1"/>
  <c r="G2634" i="2"/>
  <c r="G2633" i="2"/>
  <c r="G2632" i="2"/>
  <c r="G2631" i="2"/>
  <c r="G2630" i="2"/>
  <c r="G2629" i="2"/>
  <c r="G2628" i="2"/>
  <c r="G2627" i="2"/>
  <c r="G2626" i="2"/>
  <c r="E2625" i="2"/>
  <c r="G2625" i="2" s="1"/>
  <c r="G2624" i="2"/>
  <c r="G2623" i="2"/>
  <c r="G2622" i="2"/>
  <c r="G2621" i="2"/>
  <c r="G2620" i="2"/>
  <c r="G2619" i="2"/>
  <c r="E2618" i="2"/>
  <c r="G2618" i="2" s="1"/>
  <c r="G2617" i="2"/>
  <c r="E2616" i="2"/>
  <c r="G2616" i="2" s="1"/>
  <c r="G2613" i="2"/>
  <c r="G2612" i="2"/>
  <c r="G2611" i="2"/>
  <c r="G2610" i="2"/>
  <c r="G2609" i="2"/>
  <c r="E2608" i="2"/>
  <c r="G2608" i="2" s="1"/>
  <c r="G2607" i="2"/>
  <c r="G2606" i="2"/>
  <c r="E2605" i="2"/>
  <c r="G2601" i="2"/>
  <c r="G2600" i="2"/>
  <c r="G2599" i="2"/>
  <c r="G2598" i="2"/>
  <c r="G2597" i="2"/>
  <c r="G2596" i="2"/>
  <c r="G2595" i="2"/>
  <c r="G2594" i="2"/>
  <c r="G2593" i="2"/>
  <c r="E2592" i="2"/>
  <c r="G2592" i="2" s="1"/>
  <c r="G2591" i="2"/>
  <c r="G2590" i="2"/>
  <c r="G2589" i="2"/>
  <c r="G2588" i="2"/>
  <c r="G2587" i="2"/>
  <c r="G2586" i="2"/>
  <c r="G2585" i="2"/>
  <c r="G2584" i="2"/>
  <c r="G2583" i="2"/>
  <c r="G2582" i="2"/>
  <c r="G2581" i="2"/>
  <c r="G2580" i="2"/>
  <c r="G2579" i="2"/>
  <c r="G2578" i="2"/>
  <c r="G2577" i="2"/>
  <c r="G2576" i="2"/>
  <c r="G2575" i="2"/>
  <c r="G2574" i="2"/>
  <c r="G2573" i="2"/>
  <c r="E2572" i="2"/>
  <c r="G2572" i="2" s="1"/>
  <c r="G2571" i="2"/>
  <c r="G2570" i="2"/>
  <c r="G2569" i="2"/>
  <c r="G2568" i="2"/>
  <c r="G2567" i="2"/>
  <c r="G2566" i="2"/>
  <c r="G2565" i="2"/>
  <c r="G2564" i="2"/>
  <c r="G2563" i="2"/>
  <c r="G2562" i="2"/>
  <c r="G2561" i="2"/>
  <c r="G2560" i="2"/>
  <c r="G2559" i="2"/>
  <c r="G2558" i="2"/>
  <c r="G2557" i="2"/>
  <c r="G2556" i="2"/>
  <c r="G2555" i="2"/>
  <c r="G2554" i="2"/>
  <c r="G2553" i="2"/>
  <c r="G2552" i="2"/>
  <c r="G2551" i="2"/>
  <c r="E2550" i="2"/>
  <c r="G2550" i="2" s="1"/>
  <c r="G2549" i="2"/>
  <c r="G2548" i="2"/>
  <c r="G2547" i="2"/>
  <c r="G2546" i="2"/>
  <c r="G2545" i="2"/>
  <c r="G2544" i="2"/>
  <c r="G2543" i="2"/>
  <c r="G2542" i="2"/>
  <c r="G2541" i="2"/>
  <c r="G2540" i="2"/>
  <c r="E2539" i="2"/>
  <c r="G2539" i="2" s="1"/>
  <c r="G2538" i="2"/>
  <c r="G2537" i="2"/>
  <c r="G2536" i="2"/>
  <c r="G2535" i="2"/>
  <c r="G2534" i="2"/>
  <c r="G2533" i="2"/>
  <c r="G2532" i="2"/>
  <c r="G2531" i="2"/>
  <c r="G2530" i="2"/>
  <c r="G2529" i="2"/>
  <c r="G2528" i="2"/>
  <c r="G2526" i="2"/>
  <c r="G2525" i="2"/>
  <c r="G2524" i="2"/>
  <c r="G2523" i="2"/>
  <c r="G2522" i="2"/>
  <c r="G2521" i="2"/>
  <c r="G2520" i="2"/>
  <c r="G2519" i="2"/>
  <c r="G2517" i="2"/>
  <c r="G2516" i="2"/>
  <c r="G2515" i="2"/>
  <c r="G2514" i="2"/>
  <c r="G2513" i="2"/>
  <c r="G2512" i="2"/>
  <c r="G2511" i="2"/>
  <c r="G2510" i="2"/>
  <c r="G2509" i="2"/>
  <c r="G2508" i="2"/>
  <c r="G2507" i="2"/>
  <c r="G2506" i="2"/>
  <c r="G2505" i="2"/>
  <c r="G2504" i="2"/>
  <c r="E2503" i="2"/>
  <c r="G2503" i="2" s="1"/>
  <c r="G2501" i="2"/>
  <c r="G2500" i="2"/>
  <c r="G2499" i="2"/>
  <c r="G2498" i="2"/>
  <c r="G2497" i="2"/>
  <c r="G2496" i="2"/>
  <c r="G2495" i="2"/>
  <c r="G2494" i="2"/>
  <c r="G2493" i="2"/>
  <c r="E2492" i="2"/>
  <c r="G2492" i="2" s="1"/>
  <c r="G2489" i="2"/>
  <c r="G2488" i="2"/>
  <c r="G2487" i="2"/>
  <c r="G2486" i="2"/>
  <c r="G2485" i="2"/>
  <c r="G2482" i="2"/>
  <c r="G2481" i="2"/>
  <c r="E2480" i="2"/>
  <c r="G2478" i="2"/>
  <c r="G2477" i="2"/>
  <c r="G2476" i="2"/>
  <c r="G2475" i="2"/>
  <c r="G2474" i="2"/>
  <c r="E2473" i="2"/>
  <c r="G2473" i="2" s="1"/>
  <c r="G2472" i="2"/>
  <c r="E2471" i="2"/>
  <c r="G2471" i="2" s="1"/>
  <c r="G2469" i="2"/>
  <c r="G2468" i="2"/>
  <c r="G2466" i="2"/>
  <c r="G2464" i="2"/>
  <c r="G2463" i="2"/>
  <c r="G2462" i="2"/>
  <c r="G2461" i="2"/>
  <c r="E2460" i="2"/>
  <c r="G2460" i="2" s="1"/>
  <c r="G2459" i="2"/>
  <c r="G2458" i="2"/>
  <c r="G2457" i="2"/>
  <c r="G2456" i="2"/>
  <c r="G2455" i="2"/>
  <c r="G2452" i="2"/>
  <c r="G2451" i="2"/>
  <c r="G2450" i="2"/>
  <c r="G2449" i="2"/>
  <c r="G2448" i="2"/>
  <c r="G2447" i="2"/>
  <c r="G2446" i="2"/>
  <c r="G2445" i="2"/>
  <c r="E2444" i="2"/>
  <c r="E2443" i="2" s="1"/>
  <c r="G2442" i="2"/>
  <c r="G2441" i="2"/>
  <c r="E2440" i="2"/>
  <c r="G2440" i="2" s="1"/>
  <c r="G2439" i="2"/>
  <c r="G2438" i="2"/>
  <c r="E2437" i="2"/>
  <c r="G2437" i="2" s="1"/>
  <c r="G2436" i="2"/>
  <c r="E2435" i="2"/>
  <c r="G2435" i="2" s="1"/>
  <c r="G2434" i="2"/>
  <c r="G2433" i="2"/>
  <c r="G2432" i="2"/>
  <c r="G2431" i="2"/>
  <c r="G2430" i="2"/>
  <c r="E2429" i="2"/>
  <c r="G2427" i="2"/>
  <c r="G2426" i="2"/>
  <c r="E2425" i="2"/>
  <c r="G2425" i="2" s="1"/>
  <c r="G2423" i="2"/>
  <c r="G2422" i="2"/>
  <c r="E2421" i="2"/>
  <c r="E2420" i="2" s="1"/>
  <c r="G2420" i="2" s="1"/>
  <c r="G2419" i="2"/>
  <c r="G2418" i="2"/>
  <c r="E2417" i="2"/>
  <c r="G2417" i="2" s="1"/>
  <c r="G2416" i="2"/>
  <c r="G2415" i="2"/>
  <c r="E2414" i="2"/>
  <c r="G2414" i="2" s="1"/>
  <c r="G2413" i="2"/>
  <c r="E2412" i="2"/>
  <c r="G2412" i="2" s="1"/>
  <c r="G2411" i="2"/>
  <c r="G2410" i="2"/>
  <c r="G2409" i="2"/>
  <c r="E2408" i="2"/>
  <c r="G2406" i="2"/>
  <c r="G2405" i="2"/>
  <c r="G2404" i="2"/>
  <c r="G2403" i="2"/>
  <c r="G2402" i="2"/>
  <c r="E2401" i="2"/>
  <c r="G2401" i="2" s="1"/>
  <c r="G2400" i="2"/>
  <c r="G2399" i="2"/>
  <c r="G2398" i="2"/>
  <c r="E2397" i="2"/>
  <c r="G2396" i="2"/>
  <c r="G2395" i="2"/>
  <c r="G2394" i="2"/>
  <c r="G2393" i="2"/>
  <c r="G2392" i="2"/>
  <c r="G2391" i="2"/>
  <c r="G2389" i="2"/>
  <c r="G2388" i="2"/>
  <c r="G2387" i="2"/>
  <c r="G2386" i="2"/>
  <c r="G2385" i="2"/>
  <c r="G2384" i="2"/>
  <c r="G2383" i="2"/>
  <c r="G2382" i="2"/>
  <c r="G2381" i="2"/>
  <c r="G2380" i="2"/>
  <c r="G2379" i="2"/>
  <c r="G2377" i="2"/>
  <c r="G2376" i="2"/>
  <c r="G2375" i="2"/>
  <c r="E2374" i="2"/>
  <c r="G2373" i="2"/>
  <c r="E2372" i="2"/>
  <c r="G2372" i="2" s="1"/>
  <c r="G2370" i="2"/>
  <c r="G2369" i="2"/>
  <c r="E2367" i="2"/>
  <c r="G2367" i="2" s="1"/>
  <c r="G2365" i="2"/>
  <c r="E2364" i="2"/>
  <c r="G2364" i="2" s="1"/>
  <c r="G2363" i="2"/>
  <c r="E2362" i="2"/>
  <c r="G2362" i="2" s="1"/>
  <c r="G2361" i="2"/>
  <c r="E2360" i="2"/>
  <c r="G2358" i="2"/>
  <c r="E2357" i="2"/>
  <c r="G2357" i="2" s="1"/>
  <c r="G2356" i="2"/>
  <c r="G2355" i="2"/>
  <c r="E2354" i="2"/>
  <c r="G2354" i="2" s="1"/>
  <c r="G2353" i="2"/>
  <c r="G2352" i="2"/>
  <c r="G2351" i="2"/>
  <c r="G2350" i="2"/>
  <c r="E2349" i="2"/>
  <c r="G2349" i="2" s="1"/>
  <c r="G2348" i="2"/>
  <c r="G2347" i="2"/>
  <c r="G2346" i="2"/>
  <c r="E2345" i="2"/>
  <c r="G2345" i="2" s="1"/>
  <c r="G2344" i="2"/>
  <c r="E2343" i="2"/>
  <c r="G2343" i="2" s="1"/>
  <c r="G2342" i="2"/>
  <c r="G2341" i="2"/>
  <c r="E2340" i="2"/>
  <c r="G2340" i="2" s="1"/>
  <c r="G2339" i="2"/>
  <c r="E2338" i="2"/>
  <c r="G2338" i="2" s="1"/>
  <c r="G2335" i="2"/>
  <c r="G2334" i="2"/>
  <c r="G2333" i="2"/>
  <c r="G2332" i="2"/>
  <c r="G2331" i="2"/>
  <c r="G2330" i="2"/>
  <c r="G2329" i="2"/>
  <c r="G2328" i="2"/>
  <c r="G2327" i="2"/>
  <c r="G2326" i="2"/>
  <c r="G2325" i="2"/>
  <c r="G2324" i="2"/>
  <c r="G2323" i="2"/>
  <c r="G2322" i="2"/>
  <c r="G2321" i="2"/>
  <c r="G2320" i="2"/>
  <c r="G2319" i="2"/>
  <c r="G2318" i="2"/>
  <c r="G2317" i="2"/>
  <c r="G2316" i="2"/>
  <c r="G2315" i="2"/>
  <c r="G2314" i="2"/>
  <c r="G2313" i="2"/>
  <c r="G2312" i="2"/>
  <c r="G2311" i="2"/>
  <c r="G2310" i="2"/>
  <c r="G2309" i="2"/>
  <c r="G2308" i="2"/>
  <c r="G2307" i="2"/>
  <c r="G2306" i="2"/>
  <c r="G2305" i="2"/>
  <c r="G2304" i="2"/>
  <c r="G2303" i="2"/>
  <c r="G2302" i="2"/>
  <c r="E2301" i="2"/>
  <c r="G2297" i="2"/>
  <c r="G2296" i="2"/>
  <c r="G2295" i="2"/>
  <c r="G2293" i="2"/>
  <c r="G2292" i="2"/>
  <c r="E2291" i="2"/>
  <c r="G2287" i="2"/>
  <c r="G2286" i="2"/>
  <c r="G2285" i="2"/>
  <c r="G2283" i="2"/>
  <c r="G2282" i="2"/>
  <c r="G2281" i="2"/>
  <c r="G2279" i="2"/>
  <c r="G2278" i="2"/>
  <c r="G2277" i="2"/>
  <c r="G2275" i="2"/>
  <c r="G2274" i="2"/>
  <c r="G2273" i="2"/>
  <c r="G2271" i="2"/>
  <c r="G2270" i="2"/>
  <c r="G2268" i="2"/>
  <c r="G2267" i="2"/>
  <c r="G2266" i="2"/>
  <c r="G2265" i="2"/>
  <c r="G2264" i="2"/>
  <c r="G2263" i="2"/>
  <c r="G2260" i="2"/>
  <c r="G2259" i="2"/>
  <c r="G2258" i="2"/>
  <c r="G2256" i="2"/>
  <c r="G2255" i="2"/>
  <c r="G2254" i="2"/>
  <c r="G2252" i="2"/>
  <c r="G2251" i="2"/>
  <c r="G2250" i="2"/>
  <c r="E2249" i="2"/>
  <c r="G2247" i="2"/>
  <c r="G2246" i="2"/>
  <c r="G2245" i="2"/>
  <c r="G2244" i="2"/>
  <c r="G2243" i="2"/>
  <c r="G2242" i="2"/>
  <c r="E2241" i="2"/>
  <c r="G2241" i="2" s="1"/>
  <c r="G2240" i="2"/>
  <c r="G2239" i="2"/>
  <c r="G2238" i="2"/>
  <c r="G2237" i="2"/>
  <c r="E2236" i="2"/>
  <c r="G2232" i="2"/>
  <c r="E2231" i="2"/>
  <c r="G2229" i="2"/>
  <c r="G2228" i="2"/>
  <c r="G2227" i="2"/>
  <c r="G2225" i="2"/>
  <c r="G2224" i="2"/>
  <c r="E2223" i="2"/>
  <c r="G2223" i="2" s="1"/>
  <c r="G2222" i="2"/>
  <c r="E2221" i="2"/>
  <c r="G2221" i="2" s="1"/>
  <c r="G2220" i="2"/>
  <c r="E2219" i="2"/>
  <c r="G2219" i="2" s="1"/>
  <c r="G2218" i="2"/>
  <c r="G2215" i="2"/>
  <c r="G2214" i="2"/>
  <c r="G2213" i="2"/>
  <c r="G2212" i="2"/>
  <c r="G2209" i="2"/>
  <c r="G2208" i="2"/>
  <c r="G2207" i="2"/>
  <c r="G2206" i="2"/>
  <c r="G2205" i="2"/>
  <c r="G2202" i="2"/>
  <c r="G2201" i="2"/>
  <c r="G2198" i="2"/>
  <c r="G2197" i="2"/>
  <c r="G2194" i="2"/>
  <c r="G2193" i="2"/>
  <c r="G2192" i="2"/>
  <c r="G2191" i="2"/>
  <c r="G2190" i="2"/>
  <c r="G2189" i="2"/>
  <c r="G2188" i="2"/>
  <c r="G2187" i="2"/>
  <c r="G2186" i="2"/>
  <c r="G2185" i="2"/>
  <c r="G2184" i="2"/>
  <c r="G2183" i="2"/>
  <c r="G2182" i="2"/>
  <c r="G2179" i="2"/>
  <c r="G2178" i="2"/>
  <c r="E2177" i="2"/>
  <c r="G2177" i="2" s="1"/>
  <c r="G2176" i="2"/>
  <c r="G2175" i="2"/>
  <c r="G2174" i="2"/>
  <c r="G2173" i="2"/>
  <c r="G2172" i="2"/>
  <c r="G2171" i="2"/>
  <c r="G2170" i="2"/>
  <c r="G2169" i="2"/>
  <c r="G2168" i="2"/>
  <c r="E2167" i="2"/>
  <c r="G2167" i="2" s="1"/>
  <c r="G2163" i="2"/>
  <c r="G2162" i="2"/>
  <c r="G2161" i="2"/>
  <c r="G2158" i="2"/>
  <c r="G2156" i="2"/>
  <c r="G2154" i="2"/>
  <c r="G2153" i="2"/>
  <c r="G2152" i="2"/>
  <c r="E2151" i="2"/>
  <c r="G2150" i="2"/>
  <c r="G2149" i="2"/>
  <c r="G2148" i="2"/>
  <c r="G2147" i="2"/>
  <c r="G2146" i="2"/>
  <c r="G2142" i="2"/>
  <c r="G2141" i="2"/>
  <c r="G2140" i="2"/>
  <c r="E2139" i="2"/>
  <c r="E2138" i="2" s="1"/>
  <c r="G2136" i="2"/>
  <c r="G2135" i="2"/>
  <c r="G2134" i="2"/>
  <c r="G2130" i="2"/>
  <c r="E2129" i="2"/>
  <c r="G2126" i="2"/>
  <c r="G2125" i="2"/>
  <c r="G2122" i="2"/>
  <c r="G2121" i="2"/>
  <c r="G2120" i="2"/>
  <c r="G2119" i="2"/>
  <c r="G2118" i="2"/>
  <c r="E2117" i="2"/>
  <c r="G2114" i="2"/>
  <c r="G2113" i="2"/>
  <c r="G2112" i="2"/>
  <c r="G2109" i="2"/>
  <c r="G2108" i="2"/>
  <c r="G2105" i="2"/>
  <c r="E2104" i="2"/>
  <c r="G2103" i="2"/>
  <c r="G2102" i="2"/>
  <c r="G2099" i="2"/>
  <c r="E2098" i="2"/>
  <c r="G2098" i="2" s="1"/>
  <c r="G2097" i="2"/>
  <c r="E2096" i="2"/>
  <c r="G2096" i="2" s="1"/>
  <c r="G2095" i="2"/>
  <c r="E2094" i="2"/>
  <c r="G2094" i="2" s="1"/>
  <c r="G2093" i="2"/>
  <c r="E2092" i="2"/>
  <c r="G2089" i="2"/>
  <c r="G2088" i="2"/>
  <c r="G2087" i="2"/>
  <c r="G2086" i="2"/>
  <c r="G2085" i="2"/>
  <c r="G2084" i="2"/>
  <c r="G2083" i="2"/>
  <c r="E2082" i="2"/>
  <c r="G2082" i="2" s="1"/>
  <c r="G2081" i="2"/>
  <c r="G2080" i="2"/>
  <c r="G2079" i="2"/>
  <c r="G2078" i="2"/>
  <c r="G2077" i="2"/>
  <c r="E2076" i="2"/>
  <c r="G2076" i="2" s="1"/>
  <c r="G2075" i="2"/>
  <c r="E2074" i="2"/>
  <c r="G2074" i="2" s="1"/>
  <c r="G2073" i="2"/>
  <c r="G2072" i="2"/>
  <c r="E2071" i="2"/>
  <c r="G2071" i="2" s="1"/>
  <c r="G2070" i="2"/>
  <c r="E2069" i="2"/>
  <c r="G2069" i="2" s="1"/>
  <c r="G2068" i="2"/>
  <c r="E2067" i="2"/>
  <c r="G2067" i="2" s="1"/>
  <c r="G2066" i="2"/>
  <c r="E2065" i="2"/>
  <c r="G2065" i="2" s="1"/>
  <c r="G2062" i="2"/>
  <c r="G2061" i="2"/>
  <c r="G2059" i="2"/>
  <c r="G2058" i="2"/>
  <c r="G2057" i="2"/>
  <c r="E2056" i="2"/>
  <c r="G2056" i="2" s="1"/>
  <c r="G2055" i="2"/>
  <c r="G2054" i="2"/>
  <c r="G2053" i="2"/>
  <c r="G2052" i="2"/>
  <c r="G2051" i="2"/>
  <c r="G2050" i="2"/>
  <c r="G2049" i="2"/>
  <c r="G2048" i="2"/>
  <c r="G2047" i="2"/>
  <c r="G2046" i="2"/>
  <c r="G2045" i="2"/>
  <c r="E2044" i="2"/>
  <c r="G2040" i="2"/>
  <c r="G2039" i="2"/>
  <c r="G2038" i="2"/>
  <c r="G2034" i="2"/>
  <c r="E2033" i="2"/>
  <c r="G2033" i="2" s="1"/>
  <c r="G2032" i="2"/>
  <c r="E2031" i="2"/>
  <c r="G2031" i="2" s="1"/>
  <c r="G2030" i="2"/>
  <c r="E2029" i="2"/>
  <c r="G2026" i="2"/>
  <c r="E2025" i="2"/>
  <c r="G2025" i="2" s="1"/>
  <c r="G2024" i="2"/>
  <c r="E2023" i="2"/>
  <c r="G2023" i="2" s="1"/>
  <c r="G2022" i="2"/>
  <c r="E2021" i="2"/>
  <c r="G2021" i="2" s="1"/>
  <c r="G2020" i="2"/>
  <c r="E2019" i="2"/>
  <c r="G2019" i="2" s="1"/>
  <c r="G2018" i="2"/>
  <c r="G2017" i="2"/>
  <c r="E2016" i="2"/>
  <c r="G2016" i="2" s="1"/>
  <c r="G2015" i="2"/>
  <c r="G2011" i="2"/>
  <c r="E2010" i="2"/>
  <c r="G2010" i="2" s="1"/>
  <c r="G2007" i="2"/>
  <c r="E2006" i="2"/>
  <c r="G2006" i="2" s="1"/>
  <c r="G2003" i="2"/>
  <c r="E2002" i="2"/>
  <c r="E2001" i="2" s="1"/>
  <c r="G2001" i="2" s="1"/>
  <c r="G1999" i="2"/>
  <c r="E1998" i="2"/>
  <c r="G1998" i="2" s="1"/>
  <c r="G1997" i="2"/>
  <c r="E1996" i="2"/>
  <c r="G1993" i="2"/>
  <c r="E1992" i="2"/>
  <c r="G1991" i="2"/>
  <c r="G1990" i="2"/>
  <c r="G1989" i="2"/>
  <c r="G1988" i="2"/>
  <c r="E1987" i="2"/>
  <c r="G1987" i="2" s="1"/>
  <c r="G1986" i="2"/>
  <c r="G1985" i="2"/>
  <c r="G1984" i="2"/>
  <c r="G1983" i="2"/>
  <c r="G1982" i="2"/>
  <c r="G1981" i="2"/>
  <c r="G1980" i="2"/>
  <c r="G1979" i="2"/>
  <c r="E1978" i="2"/>
  <c r="G1978" i="2" s="1"/>
  <c r="G1976" i="2"/>
  <c r="G1974" i="2"/>
  <c r="E1972" i="2"/>
  <c r="G1972" i="2" s="1"/>
  <c r="G1971" i="2"/>
  <c r="G1970" i="2"/>
  <c r="E1969" i="2"/>
  <c r="E1968" i="2" s="1"/>
  <c r="G1968" i="2" s="1"/>
  <c r="G1967" i="2"/>
  <c r="G1966" i="2"/>
  <c r="E1965" i="2"/>
  <c r="G1965" i="2" s="1"/>
  <c r="G1964" i="2"/>
  <c r="E1963" i="2"/>
  <c r="G1963" i="2" s="1"/>
  <c r="G1961" i="2"/>
  <c r="G1960" i="2"/>
  <c r="G1959" i="2"/>
  <c r="G1958" i="2"/>
  <c r="E1957" i="2"/>
  <c r="G1957" i="2" s="1"/>
  <c r="G1954" i="2"/>
  <c r="E1953" i="2"/>
  <c r="G1953" i="2" s="1"/>
  <c r="G1952" i="2"/>
  <c r="G1951" i="2"/>
  <c r="E1950" i="2"/>
  <c r="G1950" i="2" s="1"/>
  <c r="G1949" i="2"/>
  <c r="E1948" i="2"/>
  <c r="G1945" i="2"/>
  <c r="G1944" i="2"/>
  <c r="G1943" i="2"/>
  <c r="G1942" i="2"/>
  <c r="G1941" i="2"/>
  <c r="G1940" i="2"/>
  <c r="G1939" i="2"/>
  <c r="G1935" i="2"/>
  <c r="G1934" i="2"/>
  <c r="G1933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4" i="2"/>
  <c r="G1913" i="2"/>
  <c r="G1912" i="2"/>
  <c r="G1911" i="2"/>
  <c r="E1910" i="2"/>
  <c r="G1910" i="2" s="1"/>
  <c r="G1909" i="2"/>
  <c r="E1908" i="2"/>
  <c r="G1908" i="2" s="1"/>
  <c r="G1907" i="2"/>
  <c r="E1906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1" i="2"/>
  <c r="G1860" i="2"/>
  <c r="G1859" i="2"/>
  <c r="G1856" i="2"/>
  <c r="E1855" i="2"/>
  <c r="G1854" i="2"/>
  <c r="G1853" i="2"/>
  <c r="G1852" i="2"/>
  <c r="G1848" i="2"/>
  <c r="E1846" i="2"/>
  <c r="G1846" i="2" s="1"/>
  <c r="G1845" i="2"/>
  <c r="G1844" i="2"/>
  <c r="E1843" i="2"/>
  <c r="E1842" i="2" s="1"/>
  <c r="G1842" i="2" s="1"/>
  <c r="G1840" i="2"/>
  <c r="G1836" i="2"/>
  <c r="G1835" i="2"/>
  <c r="G1832" i="2"/>
  <c r="G1831" i="2"/>
  <c r="G1830" i="2"/>
  <c r="G1826" i="2"/>
  <c r="G1825" i="2"/>
  <c r="G1824" i="2"/>
  <c r="G1823" i="2"/>
  <c r="G1820" i="2"/>
  <c r="G1819" i="2"/>
  <c r="G1818" i="2"/>
  <c r="G1817" i="2"/>
  <c r="G1816" i="2"/>
  <c r="G1815" i="2"/>
  <c r="G1814" i="2"/>
  <c r="G1813" i="2"/>
  <c r="G1812" i="2"/>
  <c r="G1811" i="2"/>
  <c r="E1809" i="2"/>
  <c r="G1809" i="2" s="1"/>
  <c r="G1807" i="2"/>
  <c r="G1803" i="2"/>
  <c r="G1802" i="2"/>
  <c r="G1801" i="2"/>
  <c r="E1799" i="2"/>
  <c r="G1799" i="2" s="1"/>
  <c r="G1797" i="2"/>
  <c r="G1793" i="2"/>
  <c r="G1792" i="2"/>
  <c r="G1789" i="2"/>
  <c r="G1788" i="2"/>
  <c r="G1786" i="2"/>
  <c r="G1784" i="2"/>
  <c r="G1783" i="2"/>
  <c r="G1782" i="2"/>
  <c r="G1781" i="2"/>
  <c r="G1780" i="2"/>
  <c r="G1779" i="2"/>
  <c r="E1778" i="2"/>
  <c r="G1778" i="2" s="1"/>
  <c r="G1777" i="2"/>
  <c r="G1776" i="2"/>
  <c r="E1775" i="2"/>
  <c r="G1775" i="2" s="1"/>
  <c r="G1774" i="2"/>
  <c r="G1773" i="2"/>
  <c r="E1772" i="2"/>
  <c r="G1769" i="2"/>
  <c r="G1768" i="2"/>
  <c r="G1767" i="2"/>
  <c r="G1766" i="2"/>
  <c r="G1765" i="2"/>
  <c r="G1764" i="2"/>
  <c r="G1761" i="2"/>
  <c r="E1760" i="2"/>
  <c r="G1760" i="2" s="1"/>
  <c r="G1759" i="2"/>
  <c r="G1758" i="2"/>
  <c r="E1757" i="2"/>
  <c r="G1754" i="2"/>
  <c r="E1753" i="2"/>
  <c r="G1752" i="2"/>
  <c r="E1751" i="2"/>
  <c r="G1751" i="2" s="1"/>
  <c r="G1750" i="2"/>
  <c r="E1749" i="2"/>
  <c r="G1749" i="2" s="1"/>
  <c r="G1748" i="2"/>
  <c r="E1747" i="2"/>
  <c r="G1747" i="2" s="1"/>
  <c r="G1744" i="2"/>
  <c r="E1743" i="2"/>
  <c r="G1743" i="2" s="1"/>
  <c r="G1742" i="2"/>
  <c r="E1741" i="2"/>
  <c r="G1741" i="2" s="1"/>
  <c r="G1740" i="2"/>
  <c r="E1739" i="2"/>
  <c r="G1739" i="2" s="1"/>
  <c r="G1738" i="2"/>
  <c r="E1737" i="2"/>
  <c r="G1734" i="2"/>
  <c r="G1733" i="2"/>
  <c r="G1732" i="2"/>
  <c r="G1731" i="2"/>
  <c r="E1730" i="2"/>
  <c r="G1730" i="2" s="1"/>
  <c r="G1729" i="2"/>
  <c r="G1728" i="2"/>
  <c r="G1727" i="2"/>
  <c r="G1726" i="2"/>
  <c r="E1725" i="2"/>
  <c r="G1725" i="2" s="1"/>
  <c r="G1724" i="2"/>
  <c r="G1723" i="2"/>
  <c r="G1722" i="2"/>
  <c r="G1721" i="2"/>
  <c r="E1720" i="2"/>
  <c r="G1720" i="2" s="1"/>
  <c r="G1719" i="2"/>
  <c r="G1718" i="2"/>
  <c r="E1717" i="2"/>
  <c r="G1717" i="2" s="1"/>
  <c r="G1716" i="2"/>
  <c r="G1715" i="2"/>
  <c r="E1714" i="2"/>
  <c r="G1714" i="2" s="1"/>
  <c r="G1713" i="2"/>
  <c r="G1712" i="2"/>
  <c r="E1711" i="2"/>
  <c r="G1711" i="2" s="1"/>
  <c r="G1710" i="2"/>
  <c r="G1709" i="2"/>
  <c r="E1708" i="2"/>
  <c r="G1706" i="2"/>
  <c r="G1704" i="2"/>
  <c r="G1703" i="2"/>
  <c r="G1702" i="2"/>
  <c r="G1700" i="2"/>
  <c r="G1699" i="2"/>
  <c r="G1698" i="2"/>
  <c r="G1697" i="2"/>
  <c r="G1696" i="2"/>
  <c r="G1695" i="2"/>
  <c r="G1694" i="2"/>
  <c r="G1692" i="2"/>
  <c r="G1691" i="2"/>
  <c r="G1687" i="2"/>
  <c r="G1686" i="2"/>
  <c r="G1685" i="2"/>
  <c r="G1684" i="2"/>
  <c r="G1683" i="2"/>
  <c r="G1682" i="2"/>
  <c r="G1678" i="2"/>
  <c r="E1677" i="2"/>
  <c r="G1677" i="2" s="1"/>
  <c r="G1674" i="2"/>
  <c r="E1673" i="2"/>
  <c r="G1673" i="2" s="1"/>
  <c r="G1672" i="2"/>
  <c r="G1671" i="2"/>
  <c r="E1670" i="2"/>
  <c r="G1670" i="2" s="1"/>
  <c r="G1669" i="2"/>
  <c r="E1668" i="2"/>
  <c r="G1668" i="2" s="1"/>
  <c r="G1667" i="2"/>
  <c r="E1666" i="2"/>
  <c r="G1663" i="2"/>
  <c r="E1662" i="2"/>
  <c r="E1661" i="2" s="1"/>
  <c r="G1661" i="2" s="1"/>
  <c r="G1659" i="2"/>
  <c r="G1658" i="2"/>
  <c r="E1657" i="2"/>
  <c r="G1657" i="2" s="1"/>
  <c r="G1656" i="2"/>
  <c r="G1655" i="2"/>
  <c r="G1654" i="2"/>
  <c r="E1653" i="2"/>
  <c r="G1653" i="2" s="1"/>
  <c r="G1652" i="2"/>
  <c r="G1651" i="2"/>
  <c r="E1650" i="2"/>
  <c r="G1650" i="2" s="1"/>
  <c r="G1649" i="2"/>
  <c r="E1648" i="2"/>
  <c r="G1645" i="2"/>
  <c r="G1644" i="2"/>
  <c r="E1643" i="2"/>
  <c r="G1643" i="2" s="1"/>
  <c r="G1642" i="2"/>
  <c r="G1641" i="2"/>
  <c r="E1640" i="2"/>
  <c r="G1640" i="2" s="1"/>
  <c r="G1637" i="2"/>
  <c r="E1636" i="2"/>
  <c r="G1633" i="2"/>
  <c r="E1632" i="2"/>
  <c r="E1631" i="2" s="1"/>
  <c r="G1631" i="2" s="1"/>
  <c r="G1629" i="2"/>
  <c r="E1628" i="2"/>
  <c r="G1625" i="2"/>
  <c r="E1624" i="2"/>
  <c r="E1623" i="2" s="1"/>
  <c r="G1623" i="2" s="1"/>
  <c r="G1621" i="2"/>
  <c r="E1620" i="2"/>
  <c r="G1617" i="2"/>
  <c r="E1616" i="2"/>
  <c r="G1616" i="2" s="1"/>
  <c r="G1615" i="2"/>
  <c r="G1614" i="2"/>
  <c r="E1613" i="2"/>
  <c r="G1609" i="2"/>
  <c r="G1608" i="2"/>
  <c r="G1607" i="2"/>
  <c r="G1605" i="2"/>
  <c r="G1604" i="2"/>
  <c r="G1603" i="2"/>
  <c r="G1601" i="2"/>
  <c r="G1600" i="2"/>
  <c r="G1599" i="2"/>
  <c r="G1598" i="2"/>
  <c r="G1597" i="2"/>
  <c r="G1596" i="2"/>
  <c r="G1595" i="2"/>
  <c r="G1593" i="2"/>
  <c r="G1592" i="2"/>
  <c r="G1591" i="2"/>
  <c r="G1590" i="2"/>
  <c r="G1588" i="2"/>
  <c r="G1587" i="2"/>
  <c r="G1586" i="2"/>
  <c r="G1585" i="2"/>
  <c r="G1584" i="2"/>
  <c r="G1583" i="2"/>
  <c r="G1582" i="2"/>
  <c r="G1581" i="2"/>
  <c r="G1580" i="2"/>
  <c r="G1578" i="2"/>
  <c r="G1577" i="2"/>
  <c r="G1576" i="2"/>
  <c r="G1574" i="2"/>
  <c r="G1573" i="2"/>
  <c r="G1572" i="2"/>
  <c r="G1571" i="2"/>
  <c r="G1570" i="2"/>
  <c r="G1568" i="2"/>
  <c r="G1567" i="2"/>
  <c r="G1566" i="2"/>
  <c r="G1564" i="2"/>
  <c r="G1563" i="2"/>
  <c r="G1562" i="2"/>
  <c r="G1560" i="2"/>
  <c r="G1559" i="2"/>
  <c r="G1558" i="2"/>
  <c r="G1557" i="2"/>
  <c r="G1555" i="2"/>
  <c r="G1554" i="2"/>
  <c r="G1553" i="2"/>
  <c r="G1552" i="2"/>
  <c r="E1551" i="2"/>
  <c r="G1551" i="2" s="1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5" i="2"/>
  <c r="G1494" i="2"/>
  <c r="G1493" i="2"/>
  <c r="E1492" i="2"/>
  <c r="E1491" i="2" s="1"/>
  <c r="E1490" i="2" s="1"/>
  <c r="G1487" i="2"/>
  <c r="E1486" i="2"/>
  <c r="G1482" i="2"/>
  <c r="G1481" i="2"/>
  <c r="E1480" i="2"/>
  <c r="G1477" i="2"/>
  <c r="E1476" i="2"/>
  <c r="G1476" i="2" s="1"/>
  <c r="G1475" i="2"/>
  <c r="G1474" i="2"/>
  <c r="G1473" i="2"/>
  <c r="G1472" i="2"/>
  <c r="E1471" i="2"/>
  <c r="G1471" i="2" s="1"/>
  <c r="G1470" i="2"/>
  <c r="E1469" i="2"/>
  <c r="G1469" i="2" s="1"/>
  <c r="G1468" i="2"/>
  <c r="G1467" i="2"/>
  <c r="E1466" i="2"/>
  <c r="G1466" i="2" s="1"/>
  <c r="G1465" i="2"/>
  <c r="E1464" i="2"/>
  <c r="G1464" i="2" s="1"/>
  <c r="G1460" i="2"/>
  <c r="G1459" i="2"/>
  <c r="E1458" i="2"/>
  <c r="G1458" i="2" s="1"/>
  <c r="G1454" i="2"/>
  <c r="G1453" i="2"/>
  <c r="G1452" i="2"/>
  <c r="E1451" i="2"/>
  <c r="G1451" i="2" s="1"/>
  <c r="G1450" i="2"/>
  <c r="G1449" i="2"/>
  <c r="G1448" i="2"/>
  <c r="E1447" i="2"/>
  <c r="G1447" i="2" s="1"/>
  <c r="G1446" i="2"/>
  <c r="G1445" i="2"/>
  <c r="G1444" i="2"/>
  <c r="E1443" i="2"/>
  <c r="G1439" i="2"/>
  <c r="G1438" i="2"/>
  <c r="G1437" i="2"/>
  <c r="G1435" i="2"/>
  <c r="G1434" i="2"/>
  <c r="G1433" i="2"/>
  <c r="G1431" i="2"/>
  <c r="G1430" i="2"/>
  <c r="G1429" i="2"/>
  <c r="G1427" i="2"/>
  <c r="G1426" i="2"/>
  <c r="G1425" i="2"/>
  <c r="G1423" i="2"/>
  <c r="G1422" i="2"/>
  <c r="G1421" i="2"/>
  <c r="G1419" i="2"/>
  <c r="G1418" i="2"/>
  <c r="G1417" i="2"/>
  <c r="G1416" i="2"/>
  <c r="G1415" i="2"/>
  <c r="G1414" i="2"/>
  <c r="G1413" i="2"/>
  <c r="G1412" i="2"/>
  <c r="G1410" i="2"/>
  <c r="G1409" i="2"/>
  <c r="G1408" i="2"/>
  <c r="G1406" i="2"/>
  <c r="G1405" i="2"/>
  <c r="G1404" i="2"/>
  <c r="G1402" i="2"/>
  <c r="G1401" i="2"/>
  <c r="G1400" i="2"/>
  <c r="G1398" i="2"/>
  <c r="G1397" i="2"/>
  <c r="G1396" i="2"/>
  <c r="G1394" i="2"/>
  <c r="G1393" i="2"/>
  <c r="G1392" i="2"/>
  <c r="G1390" i="2"/>
  <c r="G1389" i="2"/>
  <c r="G1388" i="2"/>
  <c r="G1386" i="2"/>
  <c r="G1385" i="2"/>
  <c r="G1384" i="2"/>
  <c r="G1383" i="2"/>
  <c r="G1382" i="2"/>
  <c r="G1380" i="2"/>
  <c r="G1379" i="2"/>
  <c r="G1378" i="2"/>
  <c r="G1377" i="2"/>
  <c r="G1376" i="2"/>
  <c r="G1374" i="2"/>
  <c r="G1373" i="2"/>
  <c r="G1372" i="2"/>
  <c r="G1371" i="2"/>
  <c r="G1370" i="2"/>
  <c r="G1369" i="2"/>
  <c r="G1368" i="2"/>
  <c r="E1367" i="2"/>
  <c r="G1367" i="2" s="1"/>
  <c r="G1365" i="2"/>
  <c r="G1364" i="2"/>
  <c r="G1363" i="2"/>
  <c r="G1362" i="2"/>
  <c r="G1361" i="2"/>
  <c r="G1360" i="2"/>
  <c r="G1359" i="2"/>
  <c r="G1358" i="2"/>
  <c r="G1357" i="2"/>
  <c r="G1356" i="2"/>
  <c r="E1355" i="2"/>
  <c r="G1355" i="2" s="1"/>
  <c r="G1354" i="2"/>
  <c r="G1353" i="2"/>
  <c r="E1352" i="2"/>
  <c r="E1351" i="2" s="1"/>
  <c r="G1351" i="2" s="1"/>
  <c r="G1350" i="2"/>
  <c r="G1349" i="2"/>
  <c r="E1348" i="2"/>
  <c r="G1348" i="2" s="1"/>
  <c r="G1347" i="2"/>
  <c r="G1346" i="2"/>
  <c r="G1345" i="2"/>
  <c r="G1344" i="2"/>
  <c r="G1343" i="2"/>
  <c r="E1342" i="2"/>
  <c r="G1340" i="2"/>
  <c r="G1339" i="2"/>
  <c r="G1338" i="2"/>
  <c r="G1337" i="2"/>
  <c r="G1336" i="2"/>
  <c r="G1335" i="2"/>
  <c r="G1334" i="2"/>
  <c r="G1333" i="2"/>
  <c r="G1332" i="2"/>
  <c r="G1330" i="2"/>
  <c r="G1329" i="2"/>
  <c r="E1328" i="2"/>
  <c r="G1328" i="2" s="1"/>
  <c r="G1327" i="2"/>
  <c r="G1326" i="2"/>
  <c r="G1325" i="2"/>
  <c r="E1324" i="2"/>
  <c r="G1324" i="2" s="1"/>
  <c r="G1323" i="2"/>
  <c r="E1322" i="2"/>
  <c r="G1320" i="2"/>
  <c r="G1319" i="2"/>
  <c r="E1318" i="2"/>
  <c r="E1317" i="2" s="1"/>
  <c r="G1317" i="2" s="1"/>
  <c r="G1316" i="2"/>
  <c r="G1315" i="2"/>
  <c r="G1314" i="2"/>
  <c r="E1313" i="2"/>
  <c r="E1312" i="2" s="1"/>
  <c r="G1312" i="2" s="1"/>
  <c r="G1311" i="2"/>
  <c r="G1310" i="2"/>
  <c r="E1309" i="2"/>
  <c r="G1309" i="2" s="1"/>
  <c r="G1308" i="2"/>
  <c r="E1307" i="2"/>
  <c r="G1305" i="2"/>
  <c r="G1304" i="2"/>
  <c r="E1302" i="2"/>
  <c r="G1302" i="2" s="1"/>
  <c r="G1301" i="2"/>
  <c r="G1300" i="2"/>
  <c r="G1299" i="2"/>
  <c r="G1298" i="2"/>
  <c r="G1297" i="2"/>
  <c r="E1296" i="2"/>
  <c r="G1296" i="2" s="1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E1274" i="2"/>
  <c r="G1274" i="2" s="1"/>
  <c r="G1273" i="2"/>
  <c r="G1272" i="2"/>
  <c r="E1271" i="2"/>
  <c r="G1271" i="2" s="1"/>
  <c r="G1270" i="2"/>
  <c r="G1269" i="2"/>
  <c r="G1268" i="2"/>
  <c r="G1267" i="2"/>
  <c r="G1266" i="2"/>
  <c r="E1265" i="2"/>
  <c r="G1265" i="2" s="1"/>
  <c r="G1264" i="2"/>
  <c r="G1263" i="2"/>
  <c r="G1262" i="2"/>
  <c r="G1261" i="2"/>
  <c r="G1260" i="2"/>
  <c r="G1259" i="2"/>
  <c r="G1258" i="2"/>
  <c r="G1257" i="2"/>
  <c r="G1256" i="2"/>
  <c r="G1255" i="2"/>
  <c r="G1253" i="2"/>
  <c r="G1252" i="2"/>
  <c r="G1251" i="2"/>
  <c r="G1250" i="2"/>
  <c r="G1246" i="2"/>
  <c r="E1245" i="2"/>
  <c r="G1245" i="2" s="1"/>
  <c r="G1244" i="2"/>
  <c r="E1243" i="2"/>
  <c r="G1241" i="2"/>
  <c r="E1240" i="2"/>
  <c r="G1240" i="2" s="1"/>
  <c r="G1239" i="2"/>
  <c r="E1238" i="2"/>
  <c r="G1238" i="2" s="1"/>
  <c r="G1237" i="2"/>
  <c r="E1236" i="2"/>
  <c r="G1236" i="2" s="1"/>
  <c r="G1235" i="2"/>
  <c r="E1234" i="2"/>
  <c r="G1234" i="2" s="1"/>
  <c r="G1233" i="2"/>
  <c r="E1232" i="2"/>
  <c r="G1232" i="2" s="1"/>
  <c r="G1231" i="2"/>
  <c r="E1230" i="2"/>
  <c r="G1230" i="2" s="1"/>
  <c r="G1229" i="2"/>
  <c r="E1228" i="2"/>
  <c r="G1228" i="2" s="1"/>
  <c r="G1225" i="2"/>
  <c r="E1224" i="2"/>
  <c r="G1224" i="2" s="1"/>
  <c r="G1223" i="2"/>
  <c r="E1222" i="2"/>
  <c r="G1222" i="2" s="1"/>
  <c r="G1221" i="2"/>
  <c r="E1220" i="2"/>
  <c r="G1220" i="2" s="1"/>
  <c r="G1219" i="2"/>
  <c r="E1218" i="2"/>
  <c r="G1218" i="2" s="1"/>
  <c r="G1217" i="2"/>
  <c r="E1216" i="2"/>
  <c r="G1216" i="2" s="1"/>
  <c r="G1215" i="2"/>
  <c r="E1214" i="2"/>
  <c r="G1214" i="2" s="1"/>
  <c r="G1213" i="2"/>
  <c r="E1212" i="2"/>
  <c r="G1212" i="2" s="1"/>
  <c r="G1211" i="2"/>
  <c r="E1210" i="2"/>
  <c r="G1210" i="2" s="1"/>
  <c r="G1209" i="2"/>
  <c r="E1208" i="2"/>
  <c r="G1208" i="2" s="1"/>
  <c r="G1207" i="2"/>
  <c r="E1206" i="2"/>
  <c r="G1206" i="2" s="1"/>
  <c r="G1205" i="2"/>
  <c r="E1204" i="2"/>
  <c r="G1204" i="2" s="1"/>
  <c r="G1203" i="2"/>
  <c r="E1202" i="2"/>
  <c r="G1202" i="2" s="1"/>
  <c r="G1201" i="2"/>
  <c r="E1200" i="2"/>
  <c r="G1200" i="2" s="1"/>
  <c r="G1199" i="2"/>
  <c r="E1198" i="2"/>
  <c r="G1198" i="2" s="1"/>
  <c r="G1197" i="2"/>
  <c r="E1196" i="2"/>
  <c r="G1196" i="2" s="1"/>
  <c r="G1194" i="2"/>
  <c r="E1193" i="2"/>
  <c r="G1193" i="2" s="1"/>
  <c r="G1192" i="2"/>
  <c r="E1191" i="2"/>
  <c r="G1191" i="2" s="1"/>
  <c r="G1189" i="2"/>
  <c r="E1188" i="2"/>
  <c r="G1188" i="2" s="1"/>
  <c r="G1187" i="2"/>
  <c r="E1186" i="2"/>
  <c r="G1186" i="2" s="1"/>
  <c r="G1185" i="2"/>
  <c r="E1184" i="2"/>
  <c r="G1184" i="2" s="1"/>
  <c r="G1183" i="2"/>
  <c r="E1182" i="2"/>
  <c r="G1182" i="2" s="1"/>
  <c r="G1181" i="2"/>
  <c r="E1180" i="2"/>
  <c r="G1180" i="2" s="1"/>
  <c r="G1179" i="2"/>
  <c r="E1178" i="2"/>
  <c r="G1178" i="2" s="1"/>
  <c r="G1177" i="2"/>
  <c r="E1176" i="2"/>
  <c r="G1176" i="2" s="1"/>
  <c r="G1175" i="2"/>
  <c r="E1174" i="2"/>
  <c r="G1174" i="2" s="1"/>
  <c r="G1173" i="2"/>
  <c r="E1172" i="2"/>
  <c r="G1172" i="2" s="1"/>
  <c r="G1171" i="2"/>
  <c r="E1170" i="2"/>
  <c r="G1170" i="2" s="1"/>
  <c r="G1169" i="2"/>
  <c r="E1168" i="2"/>
  <c r="G1168" i="2" s="1"/>
  <c r="G1167" i="2"/>
  <c r="E1166" i="2"/>
  <c r="G1161" i="2"/>
  <c r="E1160" i="2"/>
  <c r="G1160" i="2" s="1"/>
  <c r="G1157" i="2"/>
  <c r="E1156" i="2"/>
  <c r="G1156" i="2" s="1"/>
  <c r="G1155" i="2"/>
  <c r="E1154" i="2"/>
  <c r="G1154" i="2" s="1"/>
  <c r="G1151" i="2"/>
  <c r="G1150" i="2"/>
  <c r="E1149" i="2"/>
  <c r="E1148" i="2" s="1"/>
  <c r="G1148" i="2" s="1"/>
  <c r="G1146" i="2"/>
  <c r="G1145" i="2"/>
  <c r="E1144" i="2"/>
  <c r="G1144" i="2" s="1"/>
  <c r="G1141" i="2"/>
  <c r="G1140" i="2"/>
  <c r="E1139" i="2"/>
  <c r="G1139" i="2" s="1"/>
  <c r="G1138" i="2"/>
  <c r="E1137" i="2"/>
  <c r="G1137" i="2" s="1"/>
  <c r="G1136" i="2"/>
  <c r="E1135" i="2"/>
  <c r="G1135" i="2" s="1"/>
  <c r="G1132" i="2"/>
  <c r="E1131" i="2"/>
  <c r="G1131" i="2" s="1"/>
  <c r="G1128" i="2"/>
  <c r="E1127" i="2"/>
  <c r="G1127" i="2" s="1"/>
  <c r="G1126" i="2"/>
  <c r="E1125" i="2"/>
  <c r="G1125" i="2" s="1"/>
  <c r="G1122" i="2"/>
  <c r="E1121" i="2"/>
  <c r="E1120" i="2" s="1"/>
  <c r="G1120" i="2" s="1"/>
  <c r="G1118" i="2"/>
  <c r="E1117" i="2"/>
  <c r="G1117" i="2" s="1"/>
  <c r="G1114" i="2"/>
  <c r="E1113" i="2"/>
  <c r="G1113" i="2" s="1"/>
  <c r="G1110" i="2"/>
  <c r="G1109" i="2"/>
  <c r="E1108" i="2"/>
  <c r="E1107" i="2" s="1"/>
  <c r="G1107" i="2" s="1"/>
  <c r="G1105" i="2"/>
  <c r="E1104" i="2"/>
  <c r="G1104" i="2" s="1"/>
  <c r="G1101" i="2"/>
  <c r="G1100" i="2"/>
  <c r="E1099" i="2"/>
  <c r="G1099" i="2" s="1"/>
  <c r="G1096" i="2"/>
  <c r="E1095" i="2"/>
  <c r="G1095" i="2" s="1"/>
  <c r="G1094" i="2"/>
  <c r="E1093" i="2"/>
  <c r="G1093" i="2" s="1"/>
  <c r="G1090" i="2"/>
  <c r="E1089" i="2"/>
  <c r="G1089" i="2" s="1"/>
  <c r="G1088" i="2"/>
  <c r="E1087" i="2"/>
  <c r="G1087" i="2" s="1"/>
  <c r="G1086" i="2"/>
  <c r="E1085" i="2"/>
  <c r="G1085" i="2" s="1"/>
  <c r="G1084" i="2"/>
  <c r="E1083" i="2"/>
  <c r="G1083" i="2" s="1"/>
  <c r="G1082" i="2"/>
  <c r="G1081" i="2"/>
  <c r="G1080" i="2"/>
  <c r="G1079" i="2"/>
  <c r="G1078" i="2"/>
  <c r="E1077" i="2"/>
  <c r="G1077" i="2" s="1"/>
  <c r="G1076" i="2"/>
  <c r="E1075" i="2"/>
  <c r="G1075" i="2" s="1"/>
  <c r="G1074" i="2"/>
  <c r="E1073" i="2"/>
  <c r="G1073" i="2" s="1"/>
  <c r="G1072" i="2"/>
  <c r="E1071" i="2"/>
  <c r="G1068" i="2"/>
  <c r="G1067" i="2"/>
  <c r="G1066" i="2"/>
  <c r="G1065" i="2"/>
  <c r="G1064" i="2"/>
  <c r="G1063" i="2"/>
  <c r="G1062" i="2"/>
  <c r="G1061" i="2"/>
  <c r="E1060" i="2"/>
  <c r="G1060" i="2" s="1"/>
  <c r="G1059" i="2"/>
  <c r="G1058" i="2"/>
  <c r="G1057" i="2"/>
  <c r="G1056" i="2"/>
  <c r="G1055" i="2"/>
  <c r="G1054" i="2"/>
  <c r="G1053" i="2"/>
  <c r="E1052" i="2"/>
  <c r="G1052" i="2" s="1"/>
  <c r="G1051" i="2"/>
  <c r="E1050" i="2"/>
  <c r="G1050" i="2" s="1"/>
  <c r="G1049" i="2"/>
  <c r="G1048" i="2"/>
  <c r="E1047" i="2"/>
  <c r="G1047" i="2" s="1"/>
  <c r="G1045" i="2"/>
  <c r="G1043" i="2"/>
  <c r="E1042" i="2"/>
  <c r="G1042" i="2" s="1"/>
  <c r="G1041" i="2"/>
  <c r="G1040" i="2"/>
  <c r="E1039" i="2"/>
  <c r="G1039" i="2" s="1"/>
  <c r="G1038" i="2"/>
  <c r="E1037" i="2"/>
  <c r="G1037" i="2" s="1"/>
  <c r="G1036" i="2"/>
  <c r="E1035" i="2"/>
  <c r="G1035" i="2" s="1"/>
  <c r="G1034" i="2"/>
  <c r="G1033" i="2"/>
  <c r="G1032" i="2"/>
  <c r="G1031" i="2"/>
  <c r="G1030" i="2"/>
  <c r="G1029" i="2"/>
  <c r="E1028" i="2"/>
  <c r="G1028" i="2" s="1"/>
  <c r="G1027" i="2"/>
  <c r="E1026" i="2"/>
  <c r="G1026" i="2" s="1"/>
  <c r="G1024" i="2"/>
  <c r="G1023" i="2"/>
  <c r="G1022" i="2"/>
  <c r="E1021" i="2"/>
  <c r="G1021" i="2" s="1"/>
  <c r="G1020" i="2"/>
  <c r="G1019" i="2"/>
  <c r="G1018" i="2"/>
  <c r="E1017" i="2"/>
  <c r="G1017" i="2" s="1"/>
  <c r="G1016" i="2"/>
  <c r="E1015" i="2"/>
  <c r="G1013" i="2"/>
  <c r="G1012" i="2"/>
  <c r="E1011" i="2"/>
  <c r="E1010" i="2" s="1"/>
  <c r="G1010" i="2" s="1"/>
  <c r="G1007" i="2"/>
  <c r="G1006" i="2"/>
  <c r="G1000" i="2"/>
  <c r="G999" i="2"/>
  <c r="G998" i="2"/>
  <c r="G997" i="2"/>
  <c r="G996" i="2"/>
  <c r="E995" i="2"/>
  <c r="E994" i="2" s="1"/>
  <c r="G993" i="2"/>
  <c r="G992" i="2"/>
  <c r="G991" i="2"/>
  <c r="G990" i="2"/>
  <c r="E989" i="2"/>
  <c r="E988" i="2" s="1"/>
  <c r="G988" i="2" s="1"/>
  <c r="G987" i="2"/>
  <c r="G986" i="2"/>
  <c r="G985" i="2"/>
  <c r="G984" i="2"/>
  <c r="E983" i="2"/>
  <c r="G983" i="2" s="1"/>
  <c r="G982" i="2"/>
  <c r="E981" i="2"/>
  <c r="G981" i="2" s="1"/>
  <c r="G979" i="2"/>
  <c r="G978" i="2"/>
  <c r="E977" i="2"/>
  <c r="G977" i="2" s="1"/>
  <c r="G975" i="2"/>
  <c r="G974" i="2"/>
  <c r="E973" i="2"/>
  <c r="E972" i="2" s="1"/>
  <c r="G972" i="2" s="1"/>
  <c r="G971" i="2"/>
  <c r="G970" i="2"/>
  <c r="E969" i="2"/>
  <c r="G969" i="2" s="1"/>
  <c r="G968" i="2"/>
  <c r="E967" i="2"/>
  <c r="G967" i="2" s="1"/>
  <c r="G966" i="2"/>
  <c r="E965" i="2"/>
  <c r="G965" i="2" s="1"/>
  <c r="G964" i="2"/>
  <c r="G963" i="2"/>
  <c r="G962" i="2"/>
  <c r="G961" i="2"/>
  <c r="G960" i="2"/>
  <c r="G959" i="2"/>
  <c r="E958" i="2"/>
  <c r="G958" i="2" s="1"/>
  <c r="G957" i="2"/>
  <c r="G956" i="2"/>
  <c r="E955" i="2"/>
  <c r="G955" i="2" s="1"/>
  <c r="G954" i="2"/>
  <c r="E953" i="2"/>
  <c r="G953" i="2" s="1"/>
  <c r="G952" i="2"/>
  <c r="G951" i="2"/>
  <c r="G950" i="2"/>
  <c r="G949" i="2"/>
  <c r="G948" i="2"/>
  <c r="G947" i="2"/>
  <c r="G946" i="2"/>
  <c r="E945" i="2"/>
  <c r="G945" i="2" s="1"/>
  <c r="G944" i="2"/>
  <c r="E943" i="2"/>
  <c r="G941" i="2"/>
  <c r="G940" i="2"/>
  <c r="E939" i="2"/>
  <c r="E938" i="2" s="1"/>
  <c r="G938" i="2" s="1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19" i="2"/>
  <c r="E918" i="2"/>
  <c r="G915" i="2"/>
  <c r="E914" i="2"/>
  <c r="G914" i="2" s="1"/>
  <c r="G913" i="2"/>
  <c r="E912" i="2"/>
  <c r="G909" i="2"/>
  <c r="E908" i="2"/>
  <c r="E907" i="2" s="1"/>
  <c r="G907" i="2" s="1"/>
  <c r="G905" i="2"/>
  <c r="E904" i="2"/>
  <c r="E903" i="2" s="1"/>
  <c r="G903" i="2" s="1"/>
  <c r="G901" i="2"/>
  <c r="G900" i="2"/>
  <c r="E899" i="2"/>
  <c r="G899" i="2" s="1"/>
  <c r="G898" i="2"/>
  <c r="E897" i="2"/>
  <c r="G897" i="2" s="1"/>
  <c r="G894" i="2"/>
  <c r="E893" i="2"/>
  <c r="G893" i="2" s="1"/>
  <c r="G892" i="2"/>
  <c r="E891" i="2"/>
  <c r="G891" i="2" s="1"/>
  <c r="G890" i="2"/>
  <c r="G889" i="2"/>
  <c r="E888" i="2"/>
  <c r="G888" i="2" s="1"/>
  <c r="G887" i="2"/>
  <c r="E886" i="2"/>
  <c r="G886" i="2" s="1"/>
  <c r="G883" i="2"/>
  <c r="E882" i="2"/>
  <c r="G882" i="2" s="1"/>
  <c r="G879" i="2"/>
  <c r="G878" i="2"/>
  <c r="G877" i="2"/>
  <c r="G876" i="2"/>
  <c r="E875" i="2"/>
  <c r="G875" i="2" s="1"/>
  <c r="G874" i="2"/>
  <c r="G873" i="2"/>
  <c r="E872" i="2"/>
  <c r="G872" i="2" s="1"/>
  <c r="G871" i="2"/>
  <c r="E870" i="2"/>
  <c r="G867" i="2"/>
  <c r="E866" i="2"/>
  <c r="G866" i="2" s="1"/>
  <c r="G865" i="2"/>
  <c r="G864" i="2"/>
  <c r="G863" i="2"/>
  <c r="G862" i="2"/>
  <c r="E861" i="2"/>
  <c r="G861" i="2" s="1"/>
  <c r="G860" i="2"/>
  <c r="G859" i="2"/>
  <c r="G858" i="2"/>
  <c r="E857" i="2"/>
  <c r="G857" i="2" s="1"/>
  <c r="G856" i="2"/>
  <c r="G855" i="2"/>
  <c r="E854" i="2"/>
  <c r="G854" i="2" s="1"/>
  <c r="G853" i="2"/>
  <c r="E852" i="2"/>
  <c r="G852" i="2" s="1"/>
  <c r="G851" i="2"/>
  <c r="E850" i="2"/>
  <c r="G850" i="2" s="1"/>
  <c r="G849" i="2"/>
  <c r="E848" i="2"/>
  <c r="G848" i="2" s="1"/>
  <c r="G845" i="2"/>
  <c r="G844" i="2"/>
  <c r="E843" i="2"/>
  <c r="G843" i="2" s="1"/>
  <c r="G842" i="2"/>
  <c r="E841" i="2"/>
  <c r="G838" i="2"/>
  <c r="G837" i="2"/>
  <c r="E836" i="2"/>
  <c r="G836" i="2" s="1"/>
  <c r="G835" i="2"/>
  <c r="E834" i="2"/>
  <c r="G834" i="2" s="1"/>
  <c r="G833" i="2"/>
  <c r="E832" i="2"/>
  <c r="G832" i="2" s="1"/>
  <c r="G831" i="2"/>
  <c r="G830" i="2"/>
  <c r="G829" i="2"/>
  <c r="E828" i="2"/>
  <c r="G828" i="2" s="1"/>
  <c r="G827" i="2"/>
  <c r="G826" i="2"/>
  <c r="G825" i="2"/>
  <c r="E824" i="2"/>
  <c r="G824" i="2" s="1"/>
  <c r="G823" i="2"/>
  <c r="G822" i="2"/>
  <c r="G821" i="2"/>
  <c r="G820" i="2"/>
  <c r="E819" i="2"/>
  <c r="G819" i="2" s="1"/>
  <c r="G818" i="2"/>
  <c r="G817" i="2"/>
  <c r="G816" i="2"/>
  <c r="E815" i="2"/>
  <c r="G811" i="2"/>
  <c r="E810" i="2"/>
  <c r="G807" i="2"/>
  <c r="G806" i="2"/>
  <c r="E804" i="2"/>
  <c r="G801" i="2"/>
  <c r="G800" i="2"/>
  <c r="G799" i="2"/>
  <c r="G797" i="2"/>
  <c r="G796" i="2"/>
  <c r="G795" i="2"/>
  <c r="G794" i="2"/>
  <c r="G793" i="2"/>
  <c r="G792" i="2"/>
  <c r="G791" i="2"/>
  <c r="G790" i="2"/>
  <c r="G789" i="2"/>
  <c r="G788" i="2"/>
  <c r="G787" i="2"/>
  <c r="E786" i="2"/>
  <c r="G786" i="2" s="1"/>
  <c r="G784" i="2"/>
  <c r="E783" i="2"/>
  <c r="G783" i="2" s="1"/>
  <c r="G782" i="2"/>
  <c r="E781" i="2"/>
  <c r="G781" i="2" s="1"/>
  <c r="G780" i="2"/>
  <c r="G779" i="2"/>
  <c r="G778" i="2"/>
  <c r="G777" i="2"/>
  <c r="E776" i="2"/>
  <c r="G776" i="2" s="1"/>
  <c r="G772" i="2"/>
  <c r="E771" i="2"/>
  <c r="E770" i="2" s="1"/>
  <c r="G770" i="2" s="1"/>
  <c r="G768" i="2"/>
  <c r="G767" i="2"/>
  <c r="E766" i="2"/>
  <c r="G766" i="2" s="1"/>
  <c r="G763" i="2"/>
  <c r="G762" i="2"/>
  <c r="E761" i="2"/>
  <c r="E760" i="2" s="1"/>
  <c r="G760" i="2" s="1"/>
  <c r="G758" i="2"/>
  <c r="E757" i="2"/>
  <c r="G757" i="2" s="1"/>
  <c r="G753" i="2"/>
  <c r="G752" i="2"/>
  <c r="E751" i="2"/>
  <c r="G751" i="2" s="1"/>
  <c r="G750" i="2"/>
  <c r="E749" i="2"/>
  <c r="G746" i="2"/>
  <c r="E745" i="2"/>
  <c r="G745" i="2" s="1"/>
  <c r="G744" i="2"/>
  <c r="E743" i="2"/>
  <c r="G740" i="2"/>
  <c r="E739" i="2"/>
  <c r="G739" i="2" s="1"/>
  <c r="G736" i="2"/>
  <c r="E735" i="2"/>
  <c r="G735" i="2" s="1"/>
  <c r="G734" i="2"/>
  <c r="E733" i="2"/>
  <c r="G733" i="2" s="1"/>
  <c r="G732" i="2"/>
  <c r="E731" i="2"/>
  <c r="G728" i="2"/>
  <c r="G727" i="2"/>
  <c r="G726" i="2"/>
  <c r="E725" i="2"/>
  <c r="G722" i="2"/>
  <c r="E721" i="2"/>
  <c r="E720" i="2" s="1"/>
  <c r="G720" i="2" s="1"/>
  <c r="G717" i="2"/>
  <c r="E716" i="2"/>
  <c r="G716" i="2" s="1"/>
  <c r="G715" i="2"/>
  <c r="G714" i="2"/>
  <c r="E713" i="2"/>
  <c r="G713" i="2" s="1"/>
  <c r="G712" i="2"/>
  <c r="E711" i="2"/>
  <c r="G711" i="2" s="1"/>
  <c r="G710" i="2"/>
  <c r="E709" i="2"/>
  <c r="G709" i="2" s="1"/>
  <c r="G706" i="2"/>
  <c r="E705" i="2"/>
  <c r="G705" i="2" s="1"/>
  <c r="G702" i="2"/>
  <c r="G701" i="2"/>
  <c r="E700" i="2"/>
  <c r="G700" i="2" s="1"/>
  <c r="G699" i="2"/>
  <c r="G698" i="2"/>
  <c r="G697" i="2"/>
  <c r="G696" i="2"/>
  <c r="E695" i="2"/>
  <c r="G695" i="2" s="1"/>
  <c r="G694" i="2"/>
  <c r="G693" i="2"/>
  <c r="G692" i="2"/>
  <c r="E691" i="2"/>
  <c r="G691" i="2" s="1"/>
  <c r="G690" i="2"/>
  <c r="G689" i="2"/>
  <c r="E688" i="2"/>
  <c r="G688" i="2" s="1"/>
  <c r="G687" i="2"/>
  <c r="E686" i="2"/>
  <c r="G682" i="2"/>
  <c r="E681" i="2"/>
  <c r="E680" i="2" s="1"/>
  <c r="G680" i="2" s="1"/>
  <c r="G678" i="2"/>
  <c r="G677" i="2"/>
  <c r="E676" i="2"/>
  <c r="G676" i="2" s="1"/>
  <c r="G675" i="2"/>
  <c r="G674" i="2"/>
  <c r="E673" i="2"/>
  <c r="G673" i="2" s="1"/>
  <c r="G672" i="2"/>
  <c r="E671" i="2"/>
  <c r="G668" i="2"/>
  <c r="G666" i="2"/>
  <c r="E665" i="2"/>
  <c r="G665" i="2" s="1"/>
  <c r="G663" i="2"/>
  <c r="E662" i="2"/>
  <c r="E661" i="2" s="1"/>
  <c r="G661" i="2" s="1"/>
  <c r="G659" i="2"/>
  <c r="E658" i="2"/>
  <c r="E657" i="2" s="1"/>
  <c r="G657" i="2" s="1"/>
  <c r="G655" i="2"/>
  <c r="E654" i="2"/>
  <c r="E653" i="2" s="1"/>
  <c r="G653" i="2" s="1"/>
  <c r="G651" i="2"/>
  <c r="G650" i="2"/>
  <c r="G649" i="2"/>
  <c r="G648" i="2"/>
  <c r="E647" i="2"/>
  <c r="E646" i="2" s="1"/>
  <c r="G646" i="2" s="1"/>
  <c r="G644" i="2"/>
  <c r="G643" i="2"/>
  <c r="G642" i="2"/>
  <c r="G641" i="2"/>
  <c r="G640" i="2"/>
  <c r="G639" i="2"/>
  <c r="G638" i="2"/>
  <c r="G637" i="2"/>
  <c r="G636" i="2"/>
  <c r="G635" i="2"/>
  <c r="G634" i="2"/>
  <c r="G632" i="2"/>
  <c r="G631" i="2"/>
  <c r="G630" i="2"/>
  <c r="G629" i="2"/>
  <c r="G628" i="2"/>
  <c r="G626" i="2"/>
  <c r="G625" i="2"/>
  <c r="G624" i="2"/>
  <c r="G622" i="2"/>
  <c r="G621" i="2"/>
  <c r="G620" i="2"/>
  <c r="G619" i="2"/>
  <c r="G618" i="2"/>
  <c r="G617" i="2"/>
  <c r="G616" i="2"/>
  <c r="G614" i="2"/>
  <c r="G613" i="2"/>
  <c r="G612" i="2"/>
  <c r="G611" i="2"/>
  <c r="G610" i="2"/>
  <c r="G608" i="2"/>
  <c r="E607" i="2"/>
  <c r="G607" i="2" s="1"/>
  <c r="G604" i="2"/>
  <c r="E603" i="2"/>
  <c r="G603" i="2" s="1"/>
  <c r="G602" i="2"/>
  <c r="E601" i="2"/>
  <c r="G598" i="2"/>
  <c r="G597" i="2"/>
  <c r="G596" i="2"/>
  <c r="G595" i="2"/>
  <c r="G594" i="2"/>
  <c r="G593" i="2"/>
  <c r="G592" i="2"/>
  <c r="G588" i="2"/>
  <c r="G586" i="2"/>
  <c r="G584" i="2"/>
  <c r="G583" i="2"/>
  <c r="G582" i="2"/>
  <c r="G581" i="2"/>
  <c r="G580" i="2"/>
  <c r="G579" i="2"/>
  <c r="G575" i="2"/>
  <c r="G574" i="2"/>
  <c r="G573" i="2"/>
  <c r="G572" i="2"/>
  <c r="G570" i="2"/>
  <c r="G569" i="2"/>
  <c r="G568" i="2"/>
  <c r="G567" i="2"/>
  <c r="G566" i="2"/>
  <c r="G565" i="2"/>
  <c r="G564" i="2"/>
  <c r="G563" i="2"/>
  <c r="G562" i="2"/>
  <c r="G561" i="2"/>
  <c r="G559" i="2"/>
  <c r="G558" i="2"/>
  <c r="G557" i="2"/>
  <c r="G555" i="2"/>
  <c r="G554" i="2"/>
  <c r="G553" i="2"/>
  <c r="G552" i="2"/>
  <c r="G551" i="2"/>
  <c r="G550" i="2"/>
  <c r="G549" i="2"/>
  <c r="G548" i="2"/>
  <c r="G546" i="2"/>
  <c r="G545" i="2"/>
  <c r="G544" i="2"/>
  <c r="G543" i="2"/>
  <c r="G542" i="2"/>
  <c r="G541" i="2"/>
  <c r="G540" i="2"/>
  <c r="G539" i="2"/>
  <c r="G537" i="2"/>
  <c r="G536" i="2"/>
  <c r="G535" i="2"/>
  <c r="G534" i="2"/>
  <c r="G533" i="2"/>
  <c r="G532" i="2"/>
  <c r="G531" i="2"/>
  <c r="G529" i="2"/>
  <c r="G528" i="2"/>
  <c r="G527" i="2"/>
  <c r="G526" i="2"/>
  <c r="G525" i="2"/>
  <c r="G524" i="2"/>
  <c r="G522" i="2"/>
  <c r="G521" i="2"/>
  <c r="G520" i="2"/>
  <c r="G519" i="2"/>
  <c r="G518" i="2"/>
  <c r="G517" i="2"/>
  <c r="G516" i="2"/>
  <c r="G515" i="2"/>
  <c r="G514" i="2"/>
  <c r="G513" i="2"/>
  <c r="G511" i="2"/>
  <c r="G510" i="2"/>
  <c r="G509" i="2"/>
  <c r="G508" i="2"/>
  <c r="G507" i="2"/>
  <c r="G506" i="2"/>
  <c r="G505" i="2"/>
  <c r="G504" i="2"/>
  <c r="G503" i="2"/>
  <c r="G502" i="2"/>
  <c r="G500" i="2"/>
  <c r="G499" i="2"/>
  <c r="G498" i="2"/>
  <c r="G497" i="2"/>
  <c r="G495" i="2"/>
  <c r="G494" i="2"/>
  <c r="G493" i="2"/>
  <c r="G492" i="2"/>
  <c r="G490" i="2"/>
  <c r="G489" i="2"/>
  <c r="G488" i="2"/>
  <c r="G487" i="2"/>
  <c r="G486" i="2"/>
  <c r="G485" i="2"/>
  <c r="G484" i="2"/>
  <c r="G483" i="2"/>
  <c r="G482" i="2"/>
  <c r="G481" i="2"/>
  <c r="G479" i="2"/>
  <c r="G478" i="2"/>
  <c r="G477" i="2"/>
  <c r="G476" i="2"/>
  <c r="G475" i="2"/>
  <c r="G474" i="2"/>
  <c r="G473" i="2"/>
  <c r="G471" i="2"/>
  <c r="G470" i="2"/>
  <c r="G469" i="2"/>
  <c r="G468" i="2"/>
  <c r="G467" i="2"/>
  <c r="G466" i="2"/>
  <c r="G464" i="2"/>
  <c r="G463" i="2"/>
  <c r="G462" i="2"/>
  <c r="G461" i="2"/>
  <c r="G460" i="2"/>
  <c r="G459" i="2"/>
  <c r="G458" i="2"/>
  <c r="G457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E398" i="2"/>
  <c r="G398" i="2" s="1"/>
  <c r="G396" i="2"/>
  <c r="E395" i="2"/>
  <c r="E394" i="2" s="1"/>
  <c r="G394" i="2" s="1"/>
  <c r="G392" i="2"/>
  <c r="G391" i="2"/>
  <c r="G389" i="2"/>
  <c r="G384" i="2"/>
  <c r="E383" i="2"/>
  <c r="G383" i="2" s="1"/>
  <c r="G382" i="2"/>
  <c r="E381" i="2"/>
  <c r="G381" i="2" s="1"/>
  <c r="G380" i="2"/>
  <c r="E379" i="2"/>
  <c r="G376" i="2"/>
  <c r="G374" i="2"/>
  <c r="G372" i="2"/>
  <c r="G371" i="2"/>
  <c r="G370" i="2"/>
  <c r="G369" i="2"/>
  <c r="G368" i="2"/>
  <c r="G367" i="2"/>
  <c r="G366" i="2"/>
  <c r="G365" i="2"/>
  <c r="G364" i="2"/>
  <c r="G363" i="2"/>
  <c r="E362" i="2"/>
  <c r="G362" i="2" s="1"/>
  <c r="G361" i="2"/>
  <c r="G360" i="2"/>
  <c r="G359" i="2"/>
  <c r="G355" i="2"/>
  <c r="E354" i="2"/>
  <c r="G354" i="2" s="1"/>
  <c r="G353" i="2"/>
  <c r="G352" i="2"/>
  <c r="G351" i="2"/>
  <c r="G350" i="2"/>
  <c r="G349" i="2"/>
  <c r="G348" i="2"/>
  <c r="G347" i="2"/>
  <c r="G346" i="2"/>
  <c r="E345" i="2"/>
  <c r="G345" i="2" s="1"/>
  <c r="G344" i="2"/>
  <c r="G343" i="2"/>
  <c r="G342" i="2"/>
  <c r="G341" i="2"/>
  <c r="G340" i="2"/>
  <c r="G339" i="2"/>
  <c r="G338" i="2"/>
  <c r="G337" i="2"/>
  <c r="G336" i="2"/>
  <c r="E335" i="2"/>
  <c r="G335" i="2" s="1"/>
  <c r="G334" i="2"/>
  <c r="G333" i="2"/>
  <c r="G332" i="2"/>
  <c r="G331" i="2"/>
  <c r="G330" i="2"/>
  <c r="E329" i="2"/>
  <c r="G324" i="2"/>
  <c r="G323" i="2"/>
  <c r="G322" i="2"/>
  <c r="E321" i="2"/>
  <c r="E320" i="2" s="1"/>
  <c r="G320" i="2" s="1"/>
  <c r="G318" i="2"/>
  <c r="G317" i="2"/>
  <c r="E316" i="2"/>
  <c r="G316" i="2" s="1"/>
  <c r="G310" i="2"/>
  <c r="E309" i="2"/>
  <c r="G309" i="2" s="1"/>
  <c r="G308" i="2"/>
  <c r="G307" i="2"/>
  <c r="E306" i="2"/>
  <c r="G306" i="2" s="1"/>
  <c r="G303" i="2"/>
  <c r="E302" i="2"/>
  <c r="E301" i="2" s="1"/>
  <c r="G301" i="2" s="1"/>
  <c r="G299" i="2"/>
  <c r="E298" i="2"/>
  <c r="E297" i="2" s="1"/>
  <c r="G297" i="2" s="1"/>
  <c r="G296" i="2"/>
  <c r="G295" i="2"/>
  <c r="G294" i="2"/>
  <c r="G293" i="2"/>
  <c r="G292" i="2"/>
  <c r="E291" i="2"/>
  <c r="G291" i="2" s="1"/>
  <c r="G289" i="2"/>
  <c r="E288" i="2"/>
  <c r="G288" i="2" s="1"/>
  <c r="G287" i="2"/>
  <c r="E286" i="2"/>
  <c r="G286" i="2" s="1"/>
  <c r="G283" i="2"/>
  <c r="G282" i="2"/>
  <c r="G281" i="2"/>
  <c r="G280" i="2"/>
  <c r="E279" i="2"/>
  <c r="G279" i="2" s="1"/>
  <c r="G278" i="2"/>
  <c r="G277" i="2"/>
  <c r="E276" i="2"/>
  <c r="G276" i="2" s="1"/>
  <c r="G275" i="2"/>
  <c r="E274" i="2"/>
  <c r="G274" i="2" s="1"/>
  <c r="G273" i="2"/>
  <c r="G272" i="2"/>
  <c r="G271" i="2"/>
  <c r="E270" i="2"/>
  <c r="G270" i="2" s="1"/>
  <c r="G268" i="2"/>
  <c r="G267" i="2"/>
  <c r="E266" i="2"/>
  <c r="G266" i="2" s="1"/>
  <c r="G265" i="2"/>
  <c r="E264" i="2"/>
  <c r="G264" i="2" s="1"/>
  <c r="G263" i="2"/>
  <c r="E262" i="2"/>
  <c r="G262" i="2" s="1"/>
  <c r="G261" i="2"/>
  <c r="G260" i="2"/>
  <c r="E259" i="2"/>
  <c r="G259" i="2" s="1"/>
  <c r="G258" i="2"/>
  <c r="E257" i="2"/>
  <c r="G257" i="2" s="1"/>
  <c r="G256" i="2"/>
  <c r="G255" i="2"/>
  <c r="G254" i="2"/>
  <c r="G253" i="2"/>
  <c r="E252" i="2"/>
  <c r="G252" i="2" s="1"/>
  <c r="G251" i="2"/>
  <c r="G250" i="2"/>
  <c r="G249" i="2"/>
  <c r="E248" i="2"/>
  <c r="G248" i="2" s="1"/>
  <c r="G247" i="2"/>
  <c r="G246" i="2"/>
  <c r="G245" i="2"/>
  <c r="G244" i="2"/>
  <c r="E243" i="2"/>
  <c r="G243" i="2" s="1"/>
  <c r="G242" i="2"/>
  <c r="E241" i="2"/>
  <c r="G241" i="2" s="1"/>
  <c r="G240" i="2"/>
  <c r="E239" i="2"/>
  <c r="G239" i="2" s="1"/>
  <c r="G238" i="2"/>
  <c r="E237" i="2"/>
  <c r="G237" i="2" s="1"/>
  <c r="G236" i="2"/>
  <c r="G235" i="2"/>
  <c r="E234" i="2"/>
  <c r="G234" i="2" s="1"/>
  <c r="G231" i="2"/>
  <c r="E230" i="2"/>
  <c r="G230" i="2" s="1"/>
  <c r="G229" i="2"/>
  <c r="G228" i="2"/>
  <c r="G227" i="2"/>
  <c r="G226" i="2"/>
  <c r="E225" i="2"/>
  <c r="G225" i="2" s="1"/>
  <c r="G224" i="2"/>
  <c r="G223" i="2"/>
  <c r="E222" i="2"/>
  <c r="G222" i="2" s="1"/>
  <c r="G221" i="2"/>
  <c r="G220" i="2"/>
  <c r="G219" i="2"/>
  <c r="G218" i="2"/>
  <c r="E217" i="2"/>
  <c r="G217" i="2" s="1"/>
  <c r="G216" i="2"/>
  <c r="G215" i="2"/>
  <c r="E214" i="2"/>
  <c r="G211" i="2"/>
  <c r="G210" i="2"/>
  <c r="E209" i="2"/>
  <c r="G209" i="2" s="1"/>
  <c r="G208" i="2"/>
  <c r="G207" i="2"/>
  <c r="E206" i="2"/>
  <c r="G206" i="2" s="1"/>
  <c r="G205" i="2"/>
  <c r="G204" i="2"/>
  <c r="G203" i="2"/>
  <c r="E202" i="2"/>
  <c r="G202" i="2" s="1"/>
  <c r="G199" i="2"/>
  <c r="G198" i="2"/>
  <c r="G197" i="2"/>
  <c r="E196" i="2"/>
  <c r="G196" i="2" s="1"/>
  <c r="G195" i="2"/>
  <c r="E194" i="2"/>
  <c r="G194" i="2" s="1"/>
  <c r="G193" i="2"/>
  <c r="G192" i="2"/>
  <c r="G191" i="2"/>
  <c r="E190" i="2"/>
  <c r="G190" i="2" s="1"/>
  <c r="G189" i="2"/>
  <c r="G188" i="2"/>
  <c r="G187" i="2"/>
  <c r="E186" i="2"/>
  <c r="G186" i="2" s="1"/>
  <c r="G184" i="2"/>
  <c r="G183" i="2"/>
  <c r="E182" i="2"/>
  <c r="G182" i="2" s="1"/>
  <c r="G181" i="2"/>
  <c r="E180" i="2"/>
  <c r="G180" i="2" s="1"/>
  <c r="G179" i="2"/>
  <c r="E178" i="2"/>
  <c r="G178" i="2" s="1"/>
  <c r="G177" i="2"/>
  <c r="E176" i="2"/>
  <c r="G175" i="2"/>
  <c r="G174" i="2"/>
  <c r="G173" i="2"/>
  <c r="G171" i="2"/>
  <c r="G170" i="2"/>
  <c r="G169" i="2"/>
  <c r="G168" i="2"/>
  <c r="G167" i="2"/>
  <c r="G166" i="2"/>
  <c r="E165" i="2"/>
  <c r="G165" i="2" s="1"/>
  <c r="G164" i="2"/>
  <c r="G163" i="2"/>
  <c r="E162" i="2"/>
  <c r="G162" i="2" s="1"/>
  <c r="G161" i="2"/>
  <c r="G160" i="2"/>
  <c r="G159" i="2"/>
  <c r="G158" i="2"/>
  <c r="E157" i="2"/>
  <c r="G157" i="2" s="1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E143" i="2"/>
  <c r="G143" i="2" s="1"/>
  <c r="G142" i="2"/>
  <c r="E141" i="2"/>
  <c r="G141" i="2" s="1"/>
  <c r="G140" i="2"/>
  <c r="G139" i="2"/>
  <c r="G138" i="2"/>
  <c r="E137" i="2"/>
  <c r="G137" i="2" s="1"/>
  <c r="G136" i="2"/>
  <c r="G135" i="2"/>
  <c r="E134" i="2"/>
  <c r="G134" i="2" s="1"/>
  <c r="G133" i="2"/>
  <c r="E132" i="2"/>
  <c r="G132" i="2" s="1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E118" i="2"/>
  <c r="G118" i="2" s="1"/>
  <c r="G117" i="2"/>
  <c r="G116" i="2"/>
  <c r="G115" i="2"/>
  <c r="E114" i="2"/>
  <c r="G114" i="2" s="1"/>
  <c r="G113" i="2"/>
  <c r="E112" i="2"/>
  <c r="G112" i="2" s="1"/>
  <c r="G111" i="2"/>
  <c r="G110" i="2"/>
  <c r="G109" i="2"/>
  <c r="E108" i="2"/>
  <c r="G108" i="2" s="1"/>
  <c r="G107" i="2"/>
  <c r="G106" i="2"/>
  <c r="G105" i="2"/>
  <c r="G104" i="2"/>
  <c r="G103" i="2"/>
  <c r="G102" i="2"/>
  <c r="E101" i="2"/>
  <c r="G101" i="2" s="1"/>
  <c r="G100" i="2"/>
  <c r="E99" i="2"/>
  <c r="G99" i="2" s="1"/>
  <c r="G98" i="2"/>
  <c r="G97" i="2"/>
  <c r="G96" i="2"/>
  <c r="E95" i="2"/>
  <c r="G95" i="2" s="1"/>
  <c r="G94" i="2"/>
  <c r="G93" i="2"/>
  <c r="G92" i="2"/>
  <c r="G91" i="2"/>
  <c r="G90" i="2"/>
  <c r="G89" i="2"/>
  <c r="G88" i="2"/>
  <c r="G87" i="2"/>
  <c r="G86" i="2"/>
  <c r="G85" i="2"/>
  <c r="E84" i="2"/>
  <c r="G82" i="2"/>
  <c r="G81" i="2"/>
  <c r="G80" i="2"/>
  <c r="G79" i="2"/>
  <c r="G78" i="2"/>
  <c r="G77" i="2"/>
  <c r="G76" i="2"/>
  <c r="G75" i="2"/>
  <c r="G74" i="2"/>
  <c r="G73" i="2"/>
  <c r="E72" i="2"/>
  <c r="G72" i="2" s="1"/>
  <c r="G71" i="2"/>
  <c r="E70" i="2"/>
  <c r="G70" i="2" s="1"/>
  <c r="G69" i="2"/>
  <c r="G68" i="2"/>
  <c r="G67" i="2"/>
  <c r="E66" i="2"/>
  <c r="G66" i="2" s="1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E52" i="2"/>
  <c r="G52" i="2" s="1"/>
  <c r="G51" i="2"/>
  <c r="G50" i="2"/>
  <c r="G49" i="2"/>
  <c r="G48" i="2"/>
  <c r="G47" i="2"/>
  <c r="G46" i="2"/>
  <c r="E45" i="2"/>
  <c r="G45" i="2" s="1"/>
  <c r="G44" i="2"/>
  <c r="G43" i="2"/>
  <c r="G42" i="2"/>
  <c r="G41" i="2"/>
  <c r="G40" i="2"/>
  <c r="G39" i="2"/>
  <c r="G38" i="2"/>
  <c r="E37" i="2"/>
  <c r="G37" i="2" s="1"/>
  <c r="G36" i="2"/>
  <c r="G35" i="2"/>
  <c r="G34" i="2"/>
  <c r="G33" i="2"/>
  <c r="G32" i="2"/>
  <c r="G31" i="2"/>
  <c r="G30" i="2"/>
  <c r="E29" i="2"/>
  <c r="G29" i="2" s="1"/>
  <c r="G28" i="2"/>
  <c r="E27" i="2"/>
  <c r="G27" i="2" s="1"/>
  <c r="G26" i="2"/>
  <c r="G25" i="2"/>
  <c r="G24" i="2"/>
  <c r="G23" i="2"/>
  <c r="G22" i="2"/>
  <c r="G21" i="2"/>
  <c r="G20" i="2"/>
  <c r="G19" i="2"/>
  <c r="G18" i="2"/>
  <c r="G17" i="2"/>
  <c r="E16" i="2"/>
  <c r="G58" i="1"/>
  <c r="G57" i="1"/>
  <c r="G56" i="1"/>
  <c r="G55" i="1"/>
  <c r="G54" i="1"/>
  <c r="G53" i="1"/>
  <c r="G52" i="1"/>
  <c r="D51" i="1"/>
  <c r="E49" i="1"/>
  <c r="G49" i="1" s="1"/>
  <c r="E48" i="1"/>
  <c r="G48" i="1" s="1"/>
  <c r="G46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E15" i="1"/>
  <c r="G15" i="1" s="1"/>
  <c r="D323" i="4" l="1"/>
  <c r="F323" i="4" s="1"/>
  <c r="E3288" i="2"/>
  <c r="F320" i="4"/>
  <c r="F377" i="4"/>
  <c r="D152" i="5"/>
  <c r="F152" i="5" s="1"/>
  <c r="G3005" i="2"/>
  <c r="E3004" i="2"/>
  <c r="C170" i="3"/>
  <c r="E170" i="3" s="1"/>
  <c r="E693" i="3"/>
  <c r="E51" i="1"/>
  <c r="G51" i="1" s="1"/>
  <c r="G2104" i="2"/>
  <c r="E2101" i="2"/>
  <c r="G2291" i="2"/>
  <c r="E2290" i="2"/>
  <c r="E2289" i="2" s="1"/>
  <c r="G2289" i="2" s="1"/>
  <c r="E1771" i="2"/>
  <c r="E2230" i="2"/>
  <c r="G2230" i="2" s="1"/>
  <c r="E2005" i="2"/>
  <c r="G2005" i="2" s="1"/>
  <c r="G2151" i="2"/>
  <c r="E2144" i="2"/>
  <c r="G1855" i="2"/>
  <c r="E1850" i="2"/>
  <c r="G1850" i="2" s="1"/>
  <c r="E2407" i="2"/>
  <c r="G2407" i="2" s="1"/>
  <c r="G2397" i="2"/>
  <c r="E2390" i="2"/>
  <c r="G2390" i="2" s="1"/>
  <c r="G686" i="2"/>
  <c r="E685" i="2"/>
  <c r="G685" i="2" s="1"/>
  <c r="E942" i="2"/>
  <c r="E600" i="2"/>
  <c r="G600" i="2" s="1"/>
  <c r="G1313" i="2"/>
  <c r="E2664" i="2"/>
  <c r="G2664" i="2" s="1"/>
  <c r="E47" i="1"/>
  <c r="G2829" i="2"/>
  <c r="E1497" i="2"/>
  <c r="G1497" i="2" s="1"/>
  <c r="G2111" i="2"/>
  <c r="G2443" i="2"/>
  <c r="G2746" i="2"/>
  <c r="E1331" i="2"/>
  <c r="G1331" i="2" s="1"/>
  <c r="G176" i="2"/>
  <c r="E172" i="2"/>
  <c r="G172" i="2" s="1"/>
  <c r="E3118" i="2"/>
  <c r="G3118" i="2" s="1"/>
  <c r="E269" i="2"/>
  <c r="G269" i="2" s="1"/>
  <c r="E2660" i="2"/>
  <c r="G2660" i="2" s="1"/>
  <c r="G379" i="2"/>
  <c r="E378" i="2"/>
  <c r="G378" i="2" s="1"/>
  <c r="E2753" i="2"/>
  <c r="G2753" i="2" s="1"/>
  <c r="E748" i="2"/>
  <c r="G748" i="2" s="1"/>
  <c r="E50" i="1"/>
  <c r="G50" i="1" s="1"/>
  <c r="E185" i="2"/>
  <c r="G185" i="2" s="1"/>
  <c r="G2101" i="2"/>
  <c r="G1624" i="2"/>
  <c r="E1828" i="2"/>
  <c r="G1828" i="2" s="1"/>
  <c r="E2116" i="2"/>
  <c r="G2116" i="2" s="1"/>
  <c r="E1112" i="2"/>
  <c r="G1112" i="2" s="1"/>
  <c r="E1676" i="2"/>
  <c r="G1676" i="2" s="1"/>
  <c r="E3361" i="2"/>
  <c r="G3361" i="2" s="1"/>
  <c r="E1242" i="2"/>
  <c r="G1242" i="2" s="1"/>
  <c r="E1306" i="2"/>
  <c r="G1306" i="2" s="1"/>
  <c r="G721" i="2"/>
  <c r="G1243" i="2"/>
  <c r="E2009" i="2"/>
  <c r="G2009" i="2" s="1"/>
  <c r="G3004" i="2"/>
  <c r="E1046" i="2"/>
  <c r="G1046" i="2" s="1"/>
  <c r="G2107" i="2"/>
  <c r="G2226" i="2"/>
  <c r="E1858" i="2"/>
  <c r="G1858" i="2" s="1"/>
  <c r="G3354" i="2"/>
  <c r="E606" i="2"/>
  <c r="G606" i="2" s="1"/>
  <c r="E765" i="2"/>
  <c r="G765" i="2" s="1"/>
  <c r="E2337" i="2"/>
  <c r="G2337" i="2" s="1"/>
  <c r="E2424" i="2"/>
  <c r="G2424" i="2" s="1"/>
  <c r="E2639" i="2"/>
  <c r="G2639" i="2" s="1"/>
  <c r="G3148" i="2"/>
  <c r="D82" i="3"/>
  <c r="D579" i="4"/>
  <c r="E2124" i="2"/>
  <c r="G2124" i="2" s="1"/>
  <c r="E3455" i="2"/>
  <c r="G3455" i="2" s="1"/>
  <c r="E3473" i="2"/>
  <c r="G3473" i="2" s="1"/>
  <c r="D470" i="4"/>
  <c r="F470" i="4" s="1"/>
  <c r="E756" i="3"/>
  <c r="E1707" i="2"/>
  <c r="G1707" i="2" s="1"/>
  <c r="G2144" i="2"/>
  <c r="G2762" i="2"/>
  <c r="F731" i="4"/>
  <c r="E869" i="2"/>
  <c r="G869" i="2" s="1"/>
  <c r="E1947" i="2"/>
  <c r="G1947" i="2" s="1"/>
  <c r="E3062" i="2"/>
  <c r="G3062" i="2" s="1"/>
  <c r="C759" i="3"/>
  <c r="E759" i="3" s="1"/>
  <c r="E1103" i="2"/>
  <c r="G1103" i="2" s="1"/>
  <c r="E2765" i="2"/>
  <c r="G2765" i="2" s="1"/>
  <c r="D735" i="4"/>
  <c r="D734" i="4" s="1"/>
  <c r="F734" i="4" s="1"/>
  <c r="E285" i="2"/>
  <c r="G285" i="2" s="1"/>
  <c r="E738" i="2"/>
  <c r="G738" i="2" s="1"/>
  <c r="E756" i="2"/>
  <c r="G756" i="2" s="1"/>
  <c r="G2368" i="2"/>
  <c r="G2483" i="2"/>
  <c r="G3346" i="2"/>
  <c r="C376" i="3"/>
  <c r="E376" i="3" s="1"/>
  <c r="D106" i="4"/>
  <c r="F106" i="4" s="1"/>
  <c r="E3390" i="2"/>
  <c r="G3390" i="2" s="1"/>
  <c r="E980" i="2"/>
  <c r="G980" i="2" s="1"/>
  <c r="E1165" i="2"/>
  <c r="E1457" i="2"/>
  <c r="E1456" i="2" s="1"/>
  <c r="G1456" i="2" s="1"/>
  <c r="E2678" i="2"/>
  <c r="G2678" i="2" s="1"/>
  <c r="E2814" i="2"/>
  <c r="G2814" i="2" s="1"/>
  <c r="E3050" i="2"/>
  <c r="G3050" i="2" s="1"/>
  <c r="G3362" i="2"/>
  <c r="F200" i="4"/>
  <c r="D706" i="4"/>
  <c r="F706" i="4" s="1"/>
  <c r="G1771" i="2"/>
  <c r="G681" i="2"/>
  <c r="G994" i="2"/>
  <c r="D242" i="4"/>
  <c r="F242" i="4" s="1"/>
  <c r="D126" i="4"/>
  <c r="F164" i="4"/>
  <c r="D434" i="4"/>
  <c r="D451" i="4"/>
  <c r="F451" i="4" s="1"/>
  <c r="D523" i="4"/>
  <c r="D522" i="4" s="1"/>
  <c r="F522" i="4" s="1"/>
  <c r="D616" i="4"/>
  <c r="F616" i="4" s="1"/>
  <c r="D658" i="4"/>
  <c r="F658" i="4" s="1"/>
  <c r="F714" i="4"/>
  <c r="D798" i="4"/>
  <c r="F798" i="4" s="1"/>
  <c r="D15" i="4"/>
  <c r="D423" i="4"/>
  <c r="F423" i="4" s="1"/>
  <c r="D604" i="4"/>
  <c r="F604" i="4" s="1"/>
  <c r="D786" i="4"/>
  <c r="F786" i="4" s="1"/>
  <c r="D313" i="4"/>
  <c r="F313" i="4" s="1"/>
  <c r="D360" i="4"/>
  <c r="D359" i="4" s="1"/>
  <c r="F359" i="4" s="1"/>
  <c r="D413" i="4"/>
  <c r="D644" i="4"/>
  <c r="D676" i="4"/>
  <c r="D675" i="4" s="1"/>
  <c r="F675" i="4" s="1"/>
  <c r="D688" i="4"/>
  <c r="F688" i="4" s="1"/>
  <c r="D718" i="4"/>
  <c r="D717" i="4" s="1"/>
  <c r="F717" i="4" s="1"/>
  <c r="C510" i="3"/>
  <c r="E510" i="3" s="1"/>
  <c r="C573" i="3"/>
  <c r="E573" i="3" s="1"/>
  <c r="C443" i="3"/>
  <c r="C442" i="3" s="1"/>
  <c r="E442" i="3" s="1"/>
  <c r="E562" i="3"/>
  <c r="C691" i="3"/>
  <c r="E691" i="3" s="1"/>
  <c r="E692" i="3"/>
  <c r="C560" i="3"/>
  <c r="E560" i="3" s="1"/>
  <c r="E561" i="3"/>
  <c r="E187" i="3"/>
  <c r="C283" i="3"/>
  <c r="C418" i="3"/>
  <c r="C417" i="3" s="1"/>
  <c r="E417" i="3" s="1"/>
  <c r="E480" i="3"/>
  <c r="E752" i="3"/>
  <c r="C157" i="3"/>
  <c r="E157" i="3" s="1"/>
  <c r="C176" i="3"/>
  <c r="C175" i="3" s="1"/>
  <c r="C191" i="3"/>
  <c r="E191" i="3" s="1"/>
  <c r="C217" i="3"/>
  <c r="E217" i="3" s="1"/>
  <c r="C251" i="3"/>
  <c r="E251" i="3" s="1"/>
  <c r="E309" i="3"/>
  <c r="C599" i="3"/>
  <c r="E599" i="3" s="1"/>
  <c r="C641" i="3"/>
  <c r="E641" i="3" s="1"/>
  <c r="E647" i="3"/>
  <c r="C675" i="3"/>
  <c r="E675" i="3" s="1"/>
  <c r="C747" i="3"/>
  <c r="G995" i="2"/>
  <c r="G1149" i="2"/>
  <c r="E1341" i="2"/>
  <c r="G1341" i="2" s="1"/>
  <c r="G1791" i="2"/>
  <c r="G1948" i="2"/>
  <c r="E1962" i="2"/>
  <c r="G1962" i="2" s="1"/>
  <c r="E2166" i="2"/>
  <c r="G2166" i="2" s="1"/>
  <c r="G2657" i="2"/>
  <c r="E2740" i="2"/>
  <c r="G2740" i="2" s="1"/>
  <c r="E3131" i="2"/>
  <c r="G3131" i="2" s="1"/>
  <c r="G3464" i="2"/>
  <c r="E315" i="2"/>
  <c r="E314" i="2" s="1"/>
  <c r="G314" i="2" s="1"/>
  <c r="G601" i="2"/>
  <c r="E1116" i="2"/>
  <c r="G1116" i="2" s="1"/>
  <c r="E1639" i="2"/>
  <c r="G1639" i="2" s="1"/>
  <c r="E1756" i="2"/>
  <c r="G1756" i="2" s="1"/>
  <c r="G2945" i="2"/>
  <c r="G2958" i="2"/>
  <c r="G2966" i="2"/>
  <c r="E3039" i="2"/>
  <c r="G3039" i="2" s="1"/>
  <c r="E3106" i="2"/>
  <c r="G3106" i="2" s="1"/>
  <c r="E1070" i="2"/>
  <c r="G1070" i="2" s="1"/>
  <c r="G1307" i="2"/>
  <c r="G2421" i="2"/>
  <c r="E3140" i="2"/>
  <c r="G3140" i="2" s="1"/>
  <c r="G908" i="2"/>
  <c r="G973" i="2"/>
  <c r="G1352" i="2"/>
  <c r="G1829" i="2"/>
  <c r="G1834" i="2"/>
  <c r="E2935" i="2"/>
  <c r="G2935" i="2" s="1"/>
  <c r="E3408" i="2"/>
  <c r="G3408" i="2" s="1"/>
  <c r="E2043" i="2"/>
  <c r="G2043" i="2" s="1"/>
  <c r="E2491" i="2"/>
  <c r="G2527" i="2"/>
  <c r="E3525" i="2"/>
  <c r="G3525" i="2" s="1"/>
  <c r="G3526" i="2"/>
  <c r="E83" i="2"/>
  <c r="G83" i="2" s="1"/>
  <c r="E201" i="2"/>
  <c r="G201" i="2" s="1"/>
  <c r="G298" i="2"/>
  <c r="G302" i="2"/>
  <c r="E357" i="2"/>
  <c r="G357" i="2" s="1"/>
  <c r="G375" i="2"/>
  <c r="G662" i="2"/>
  <c r="G805" i="2"/>
  <c r="G870" i="2"/>
  <c r="E896" i="2"/>
  <c r="G896" i="2" s="1"/>
  <c r="G904" i="2"/>
  <c r="G939" i="2"/>
  <c r="G1011" i="2"/>
  <c r="G1071" i="2"/>
  <c r="G1108" i="2"/>
  <c r="G1121" i="2"/>
  <c r="G1166" i="2"/>
  <c r="E1463" i="2"/>
  <c r="G1463" i="2" s="1"/>
  <c r="E1612" i="2"/>
  <c r="G1612" i="2" s="1"/>
  <c r="G1636" i="2"/>
  <c r="E1635" i="2"/>
  <c r="G1635" i="2" s="1"/>
  <c r="G1662" i="2"/>
  <c r="G1763" i="2"/>
  <c r="G1847" i="2"/>
  <c r="G1969" i="2"/>
  <c r="G2203" i="2"/>
  <c r="G2204" i="2"/>
  <c r="G2408" i="2"/>
  <c r="E2837" i="2"/>
  <c r="G2837" i="2" s="1"/>
  <c r="G2838" i="2"/>
  <c r="E3386" i="2"/>
  <c r="G3386" i="2" s="1"/>
  <c r="G3387" i="2"/>
  <c r="E3481" i="2"/>
  <c r="G3481" i="2" s="1"/>
  <c r="G3482" i="2"/>
  <c r="G3521" i="2"/>
  <c r="E3511" i="2"/>
  <c r="G3511" i="2" s="1"/>
  <c r="E670" i="2"/>
  <c r="G670" i="2" s="1"/>
  <c r="E730" i="2"/>
  <c r="G730" i="2" s="1"/>
  <c r="E742" i="2"/>
  <c r="G742" i="2" s="1"/>
  <c r="G771" i="2"/>
  <c r="E814" i="2"/>
  <c r="G814" i="2" s="1"/>
  <c r="E847" i="2"/>
  <c r="G847" i="2" s="1"/>
  <c r="E976" i="2"/>
  <c r="G976" i="2" s="1"/>
  <c r="G989" i="2"/>
  <c r="E1143" i="2"/>
  <c r="G1143" i="2" s="1"/>
  <c r="E1190" i="2"/>
  <c r="G1190" i="2" s="1"/>
  <c r="G1318" i="2"/>
  <c r="G1342" i="2"/>
  <c r="G1620" i="2"/>
  <c r="E1619" i="2"/>
  <c r="G1619" i="2" s="1"/>
  <c r="E1822" i="2"/>
  <c r="G1822" i="2" s="1"/>
  <c r="E2064" i="2"/>
  <c r="G2064" i="2" s="1"/>
  <c r="E2479" i="2"/>
  <c r="G2479" i="2" s="1"/>
  <c r="G2480" i="2"/>
  <c r="E2604" i="2"/>
  <c r="G2604" i="2" s="1"/>
  <c r="G2605" i="2"/>
  <c r="E2849" i="2"/>
  <c r="G2849" i="2" s="1"/>
  <c r="G2861" i="2"/>
  <c r="E2985" i="2"/>
  <c r="G2985" i="2" s="1"/>
  <c r="G2986" i="2"/>
  <c r="G3092" i="2"/>
  <c r="E3091" i="2"/>
  <c r="G3091" i="2" s="1"/>
  <c r="G3378" i="2"/>
  <c r="E3377" i="2"/>
  <c r="G3377" i="2" s="1"/>
  <c r="E2878" i="2"/>
  <c r="G2878" i="2" s="1"/>
  <c r="G2879" i="2"/>
  <c r="E15" i="2"/>
  <c r="G15" i="2" s="1"/>
  <c r="E213" i="2"/>
  <c r="G213" i="2" s="1"/>
  <c r="E233" i="2"/>
  <c r="G233" i="2" s="1"/>
  <c r="E305" i="2"/>
  <c r="G305" i="2" s="1"/>
  <c r="E328" i="2"/>
  <c r="G328" i="2" s="1"/>
  <c r="G731" i="2"/>
  <c r="G743" i="2"/>
  <c r="E881" i="2"/>
  <c r="G881" i="2" s="1"/>
  <c r="E1005" i="2"/>
  <c r="E1025" i="2"/>
  <c r="G1025" i="2" s="1"/>
  <c r="E1159" i="2"/>
  <c r="G1159" i="2" s="1"/>
  <c r="E1956" i="2"/>
  <c r="G1956" i="2" s="1"/>
  <c r="G2195" i="2"/>
  <c r="G2196" i="2"/>
  <c r="E2300" i="2"/>
  <c r="G2300" i="2" s="1"/>
  <c r="G2301" i="2"/>
  <c r="E2687" i="2"/>
  <c r="G2687" i="2" s="1"/>
  <c r="G2688" i="2"/>
  <c r="E2997" i="2"/>
  <c r="G2997" i="2" s="1"/>
  <c r="G2998" i="2"/>
  <c r="G3076" i="2"/>
  <c r="E3075" i="2"/>
  <c r="G3075" i="2" s="1"/>
  <c r="E3443" i="2"/>
  <c r="G3451" i="2"/>
  <c r="G2160" i="2"/>
  <c r="E2453" i="2"/>
  <c r="G2453" i="2" s="1"/>
  <c r="E2470" i="2"/>
  <c r="G2470" i="2" s="1"/>
  <c r="E2757" i="2"/>
  <c r="G2757" i="2" s="1"/>
  <c r="E2772" i="2"/>
  <c r="G2772" i="2" s="1"/>
  <c r="E2824" i="2"/>
  <c r="G2824" i="2" s="1"/>
  <c r="E2914" i="2"/>
  <c r="G2914" i="2" s="1"/>
  <c r="E2927" i="2"/>
  <c r="G2927" i="2" s="1"/>
  <c r="E3046" i="2"/>
  <c r="G3046" i="2" s="1"/>
  <c r="E3127" i="2"/>
  <c r="G3127" i="2" s="1"/>
  <c r="E2428" i="2"/>
  <c r="G2428" i="2" s="1"/>
  <c r="E2646" i="2"/>
  <c r="G2646" i="2" s="1"/>
  <c r="E3402" i="2"/>
  <c r="G3402" i="2" s="1"/>
  <c r="E3414" i="2"/>
  <c r="G3414" i="2" s="1"/>
  <c r="E3436" i="2"/>
  <c r="G3436" i="2" s="1"/>
  <c r="E3467" i="2"/>
  <c r="G3467" i="2" s="1"/>
  <c r="G3491" i="2"/>
  <c r="E1321" i="2"/>
  <c r="G1321" i="2" s="1"/>
  <c r="E1647" i="2"/>
  <c r="G1647" i="2" s="1"/>
  <c r="E1905" i="2"/>
  <c r="G1905" i="2" s="1"/>
  <c r="E2378" i="2"/>
  <c r="G2378" i="2" s="1"/>
  <c r="G2429" i="2"/>
  <c r="G2444" i="2"/>
  <c r="E2615" i="2"/>
  <c r="G2615" i="2" s="1"/>
  <c r="G2647" i="2"/>
  <c r="G2665" i="2"/>
  <c r="E2670" i="2"/>
  <c r="G2670" i="2" s="1"/>
  <c r="G2679" i="2"/>
  <c r="G2697" i="2"/>
  <c r="E2728" i="2"/>
  <c r="G2728" i="2" s="1"/>
  <c r="G3553" i="2"/>
  <c r="E2702" i="2"/>
  <c r="G3783" i="2"/>
  <c r="D12" i="5"/>
  <c r="F12" i="5" s="1"/>
  <c r="F153" i="5"/>
  <c r="E313" i="2"/>
  <c r="G387" i="2"/>
  <c r="E386" i="2"/>
  <c r="G386" i="2" s="1"/>
  <c r="G84" i="2"/>
  <c r="G329" i="2"/>
  <c r="G395" i="2"/>
  <c r="G647" i="2"/>
  <c r="G654" i="2"/>
  <c r="G810" i="2"/>
  <c r="E809" i="2"/>
  <c r="G809" i="2" s="1"/>
  <c r="G912" i="2"/>
  <c r="E911" i="2"/>
  <c r="G911" i="2" s="1"/>
  <c r="G214" i="2"/>
  <c r="G321" i="2"/>
  <c r="G358" i="2"/>
  <c r="G388" i="2"/>
  <c r="G587" i="2"/>
  <c r="G658" i="2"/>
  <c r="G671" i="2"/>
  <c r="E704" i="2"/>
  <c r="E708" i="2"/>
  <c r="G708" i="2" s="1"/>
  <c r="G749" i="2"/>
  <c r="G761" i="2"/>
  <c r="E775" i="2"/>
  <c r="G815" i="2"/>
  <c r="G943" i="2"/>
  <c r="G16" i="2"/>
  <c r="G725" i="2"/>
  <c r="E724" i="2"/>
  <c r="G804" i="2"/>
  <c r="G841" i="2"/>
  <c r="E840" i="2"/>
  <c r="G840" i="2" s="1"/>
  <c r="E885" i="2"/>
  <c r="G885" i="2" s="1"/>
  <c r="G918" i="2"/>
  <c r="E917" i="2"/>
  <c r="G917" i="2" s="1"/>
  <c r="G923" i="2"/>
  <c r="G1015" i="2"/>
  <c r="E1014" i="2"/>
  <c r="G1014" i="2" s="1"/>
  <c r="E1092" i="2"/>
  <c r="G1092" i="2" s="1"/>
  <c r="E1098" i="2"/>
  <c r="G1098" i="2" s="1"/>
  <c r="E1124" i="2"/>
  <c r="G1124" i="2" s="1"/>
  <c r="E1130" i="2"/>
  <c r="G1130" i="2" s="1"/>
  <c r="E1249" i="2"/>
  <c r="G1254" i="2"/>
  <c r="G1303" i="2"/>
  <c r="G1322" i="2"/>
  <c r="G1491" i="2"/>
  <c r="E1627" i="2"/>
  <c r="G1627" i="2" s="1"/>
  <c r="G1628" i="2"/>
  <c r="E1680" i="2"/>
  <c r="G1680" i="2" s="1"/>
  <c r="G1681" i="2"/>
  <c r="G1689" i="2"/>
  <c r="G1690" i="2"/>
  <c r="E1736" i="2"/>
  <c r="G1736" i="2" s="1"/>
  <c r="G1795" i="2"/>
  <c r="G1796" i="2"/>
  <c r="E1888" i="2"/>
  <c r="G1888" i="2" s="1"/>
  <c r="G1931" i="2"/>
  <c r="G1932" i="2"/>
  <c r="G1992" i="2"/>
  <c r="E1977" i="2"/>
  <c r="G1977" i="2" s="1"/>
  <c r="E2128" i="2"/>
  <c r="G2128" i="2" s="1"/>
  <c r="G2129" i="2"/>
  <c r="G2138" i="2"/>
  <c r="E2359" i="2"/>
  <c r="G2359" i="2" s="1"/>
  <c r="G2360" i="2"/>
  <c r="E1134" i="2"/>
  <c r="G1134" i="2" s="1"/>
  <c r="E1153" i="2"/>
  <c r="G1153" i="2" s="1"/>
  <c r="E1442" i="2"/>
  <c r="G1443" i="2"/>
  <c r="E1479" i="2"/>
  <c r="G1479" i="2" s="1"/>
  <c r="G1480" i="2"/>
  <c r="E1485" i="2"/>
  <c r="G1486" i="2"/>
  <c r="E1489" i="2"/>
  <c r="G1489" i="2" s="1"/>
  <c r="G1490" i="2"/>
  <c r="E1838" i="2"/>
  <c r="G1838" i="2" s="1"/>
  <c r="G1839" i="2"/>
  <c r="E1864" i="2"/>
  <c r="G1916" i="2"/>
  <c r="G1917" i="2"/>
  <c r="G1937" i="2"/>
  <c r="G1938" i="2"/>
  <c r="G2199" i="2"/>
  <c r="G2200" i="2"/>
  <c r="G2210" i="2"/>
  <c r="G2211" i="2"/>
  <c r="E1665" i="2"/>
  <c r="G1665" i="2" s="1"/>
  <c r="G1666" i="2"/>
  <c r="G1753" i="2"/>
  <c r="E1746" i="2"/>
  <c r="G1746" i="2" s="1"/>
  <c r="E2013" i="2"/>
  <c r="G2013" i="2" s="1"/>
  <c r="G2014" i="2"/>
  <c r="G2036" i="2"/>
  <c r="G2037" i="2"/>
  <c r="E2216" i="2"/>
  <c r="G2216" i="2" s="1"/>
  <c r="G2217" i="2"/>
  <c r="E2235" i="2"/>
  <c r="G2236" i="2"/>
  <c r="E1195" i="2"/>
  <c r="G1195" i="2" s="1"/>
  <c r="E1227" i="2"/>
  <c r="E1805" i="2"/>
  <c r="G1805" i="2" s="1"/>
  <c r="G1806" i="2"/>
  <c r="G1851" i="2"/>
  <c r="E1995" i="2"/>
  <c r="G1995" i="2" s="1"/>
  <c r="E2028" i="2"/>
  <c r="G2028" i="2" s="1"/>
  <c r="E2091" i="2"/>
  <c r="G2091" i="2" s="1"/>
  <c r="G2092" i="2"/>
  <c r="G2132" i="2"/>
  <c r="E2180" i="2"/>
  <c r="G2180" i="2" s="1"/>
  <c r="G2181" i="2"/>
  <c r="E2248" i="2"/>
  <c r="G2248" i="2" s="1"/>
  <c r="G2249" i="2"/>
  <c r="E2371" i="2"/>
  <c r="G2371" i="2" s="1"/>
  <c r="G2374" i="2"/>
  <c r="E2939" i="2"/>
  <c r="G2939" i="2" s="1"/>
  <c r="G2940" i="2"/>
  <c r="E3054" i="2"/>
  <c r="G3054" i="2" s="1"/>
  <c r="G3055" i="2"/>
  <c r="E3122" i="2"/>
  <c r="G3122" i="2" s="1"/>
  <c r="G3123" i="2"/>
  <c r="E3427" i="2"/>
  <c r="G3427" i="2" s="1"/>
  <c r="G3428" i="2"/>
  <c r="G3539" i="2"/>
  <c r="E3536" i="2"/>
  <c r="E418" i="3"/>
  <c r="C572" i="3"/>
  <c r="E572" i="3" s="1"/>
  <c r="G2454" i="2"/>
  <c r="G2467" i="2"/>
  <c r="G2484" i="2"/>
  <c r="G2731" i="2"/>
  <c r="G2750" i="2"/>
  <c r="G2766" i="2"/>
  <c r="E2792" i="2"/>
  <c r="G2792" i="2" s="1"/>
  <c r="G2793" i="2"/>
  <c r="G2820" i="2"/>
  <c r="E2832" i="2"/>
  <c r="G2832" i="2" s="1"/>
  <c r="G2833" i="2"/>
  <c r="G2845" i="2"/>
  <c r="E2873" i="2"/>
  <c r="G2873" i="2" s="1"/>
  <c r="G2874" i="2"/>
  <c r="E2885" i="2"/>
  <c r="G2886" i="2"/>
  <c r="E2918" i="2"/>
  <c r="G2918" i="2" s="1"/>
  <c r="G2919" i="2"/>
  <c r="E2931" i="2"/>
  <c r="G2931" i="2" s="1"/>
  <c r="G2932" i="2"/>
  <c r="G2973" i="2"/>
  <c r="E3026" i="2"/>
  <c r="G3026" i="2" s="1"/>
  <c r="G3027" i="2"/>
  <c r="E3035" i="2"/>
  <c r="G3035" i="2" s="1"/>
  <c r="G3036" i="2"/>
  <c r="E3070" i="2"/>
  <c r="G3070" i="2" s="1"/>
  <c r="G3071" i="2"/>
  <c r="G3289" i="2"/>
  <c r="E3333" i="2"/>
  <c r="G3333" i="2" s="1"/>
  <c r="E3477" i="2"/>
  <c r="G3477" i="2" s="1"/>
  <c r="G3478" i="2"/>
  <c r="E502" i="3"/>
  <c r="C496" i="3"/>
  <c r="G1492" i="2"/>
  <c r="G1613" i="2"/>
  <c r="G1632" i="2"/>
  <c r="G1648" i="2"/>
  <c r="G1708" i="2"/>
  <c r="G1737" i="2"/>
  <c r="G1757" i="2"/>
  <c r="G1772" i="2"/>
  <c r="G1787" i="2"/>
  <c r="G1800" i="2"/>
  <c r="G1810" i="2"/>
  <c r="G1843" i="2"/>
  <c r="G1889" i="2"/>
  <c r="G1906" i="2"/>
  <c r="G1973" i="2"/>
  <c r="G1996" i="2"/>
  <c r="G2002" i="2"/>
  <c r="G2029" i="2"/>
  <c r="G2044" i="2"/>
  <c r="G2117" i="2"/>
  <c r="G2133" i="2"/>
  <c r="G2139" i="2"/>
  <c r="G2145" i="2"/>
  <c r="G2157" i="2"/>
  <c r="G2231" i="2"/>
  <c r="E2923" i="2"/>
  <c r="G2923" i="2" s="1"/>
  <c r="G2924" i="2"/>
  <c r="G2953" i="2"/>
  <c r="G2954" i="2"/>
  <c r="G2961" i="2"/>
  <c r="G2962" i="2"/>
  <c r="G2969" i="2"/>
  <c r="G2970" i="2"/>
  <c r="E2989" i="2"/>
  <c r="G2989" i="2" s="1"/>
  <c r="G2990" i="2"/>
  <c r="E3018" i="2"/>
  <c r="G3018" i="2" s="1"/>
  <c r="E3110" i="2"/>
  <c r="G3110" i="2" s="1"/>
  <c r="G3111" i="2"/>
  <c r="E3367" i="2"/>
  <c r="G3367" i="2" s="1"/>
  <c r="G3368" i="2"/>
  <c r="E3381" i="2"/>
  <c r="G3381" i="2" s="1"/>
  <c r="G3382" i="2"/>
  <c r="E2796" i="2"/>
  <c r="G2796" i="2" s="1"/>
  <c r="E2867" i="2"/>
  <c r="G2867" i="2" s="1"/>
  <c r="G2868" i="2"/>
  <c r="E2901" i="2"/>
  <c r="G2901" i="2" s="1"/>
  <c r="G3015" i="2"/>
  <c r="E3008" i="2"/>
  <c r="G3008" i="2" s="1"/>
  <c r="E3373" i="2"/>
  <c r="G3373" i="2" s="1"/>
  <c r="G3374" i="2"/>
  <c r="E3398" i="2"/>
  <c r="G3398" i="2" s="1"/>
  <c r="G3399" i="2"/>
  <c r="E3459" i="2"/>
  <c r="G3459" i="2" s="1"/>
  <c r="G3460" i="2"/>
  <c r="G3501" i="2"/>
  <c r="E3496" i="2"/>
  <c r="G3496" i="2" s="1"/>
  <c r="E739" i="3"/>
  <c r="C282" i="3"/>
  <c r="E282" i="3" s="1"/>
  <c r="E283" i="3"/>
  <c r="E389" i="3"/>
  <c r="C388" i="3"/>
  <c r="G2949" i="2"/>
  <c r="G2974" i="2"/>
  <c r="G3019" i="2"/>
  <c r="G3040" i="2"/>
  <c r="G3059" i="2"/>
  <c r="G3103" i="2"/>
  <c r="G3115" i="2"/>
  <c r="G3334" i="2"/>
  <c r="G3342" i="2"/>
  <c r="G3350" i="2"/>
  <c r="G3358" i="2"/>
  <c r="G3391" i="2"/>
  <c r="G3437" i="2"/>
  <c r="G3443" i="2"/>
  <c r="E242" i="3"/>
  <c r="C241" i="3"/>
  <c r="C224" i="3" s="1"/>
  <c r="E279" i="3"/>
  <c r="C276" i="3"/>
  <c r="E443" i="3"/>
  <c r="E467" i="3"/>
  <c r="C462" i="3"/>
  <c r="C509" i="3"/>
  <c r="E509" i="3" s="1"/>
  <c r="C14" i="3"/>
  <c r="E91" i="3"/>
  <c r="C84" i="3"/>
  <c r="E115" i="3"/>
  <c r="C114" i="3"/>
  <c r="E145" i="3"/>
  <c r="C144" i="3"/>
  <c r="E144" i="3" s="1"/>
  <c r="E225" i="3"/>
  <c r="E339" i="3"/>
  <c r="C338" i="3"/>
  <c r="C625" i="3"/>
  <c r="E646" i="3"/>
  <c r="E659" i="3"/>
  <c r="C658" i="3"/>
  <c r="D578" i="4"/>
  <c r="F578" i="4" s="1"/>
  <c r="F579" i="4"/>
  <c r="D163" i="5"/>
  <c r="C162" i="3"/>
  <c r="E220" i="3"/>
  <c r="C323" i="3"/>
  <c r="E446" i="3"/>
  <c r="E484" i="3"/>
  <c r="E517" i="3"/>
  <c r="E760" i="3"/>
  <c r="D173" i="4"/>
  <c r="F173" i="4" s="1"/>
  <c r="F176" i="4"/>
  <c r="D203" i="4"/>
  <c r="D122" i="4"/>
  <c r="F122" i="4" s="1"/>
  <c r="F255" i="4"/>
  <c r="F254" i="4"/>
  <c r="F360" i="4"/>
  <c r="F413" i="4"/>
  <c r="F644" i="4"/>
  <c r="D643" i="4"/>
  <c r="F643" i="4" s="1"/>
  <c r="D687" i="4"/>
  <c r="F687" i="4" s="1"/>
  <c r="F258" i="4"/>
  <c r="D291" i="4"/>
  <c r="F316" i="4"/>
  <c r="F361" i="4"/>
  <c r="D463" i="4"/>
  <c r="F473" i="4"/>
  <c r="D496" i="4"/>
  <c r="F496" i="4" s="1"/>
  <c r="D507" i="4"/>
  <c r="F523" i="4"/>
  <c r="D530" i="4"/>
  <c r="F556" i="4"/>
  <c r="F562" i="4"/>
  <c r="F580" i="4"/>
  <c r="F607" i="4"/>
  <c r="D667" i="4"/>
  <c r="F667" i="4" s="1"/>
  <c r="F801" i="4"/>
  <c r="D215" i="4"/>
  <c r="F278" i="4"/>
  <c r="F676" i="4"/>
  <c r="F718" i="4"/>
  <c r="D755" i="4"/>
  <c r="F787" i="4"/>
  <c r="F13" i="5"/>
  <c r="E747" i="3" l="1"/>
  <c r="C701" i="3"/>
  <c r="G47" i="1"/>
  <c r="E45" i="1"/>
  <c r="G45" i="1" s="1"/>
  <c r="E176" i="3"/>
  <c r="E481" i="3"/>
  <c r="E3287" i="2"/>
  <c r="G2290" i="2"/>
  <c r="G2491" i="2"/>
  <c r="G1442" i="2"/>
  <c r="E1441" i="2"/>
  <c r="G1441" i="2" s="1"/>
  <c r="E755" i="2"/>
  <c r="G755" i="2" s="1"/>
  <c r="G1165" i="2"/>
  <c r="E1164" i="2"/>
  <c r="E803" i="2"/>
  <c r="G803" i="2" s="1"/>
  <c r="E669" i="2"/>
  <c r="G669" i="2" s="1"/>
  <c r="C190" i="3"/>
  <c r="E190" i="3" s="1"/>
  <c r="E241" i="3"/>
  <c r="F735" i="4"/>
  <c r="G1457" i="2"/>
  <c r="G942" i="2"/>
  <c r="C674" i="3"/>
  <c r="E674" i="3" s="1"/>
  <c r="D603" i="4"/>
  <c r="F603" i="4" s="1"/>
  <c r="G315" i="2"/>
  <c r="E2701" i="2"/>
  <c r="G2701" i="2" s="1"/>
  <c r="D433" i="4"/>
  <c r="F433" i="4" s="1"/>
  <c r="D412" i="4"/>
  <c r="F412" i="4" s="1"/>
  <c r="D469" i="4"/>
  <c r="F469" i="4" s="1"/>
  <c r="D657" i="4"/>
  <c r="F657" i="4" s="1"/>
  <c r="F434" i="4"/>
  <c r="D14" i="4"/>
  <c r="F14" i="4" s="1"/>
  <c r="F15" i="4"/>
  <c r="G1005" i="2"/>
  <c r="E921" i="2"/>
  <c r="E1462" i="2"/>
  <c r="G1462" i="2" s="1"/>
  <c r="E2603" i="2"/>
  <c r="G2603" i="2" s="1"/>
  <c r="E2042" i="2"/>
  <c r="G2042" i="2" s="1"/>
  <c r="E3535" i="2"/>
  <c r="E2165" i="2"/>
  <c r="G2165" i="2" s="1"/>
  <c r="E2299" i="2"/>
  <c r="G2299" i="2" s="1"/>
  <c r="G2702" i="2"/>
  <c r="F215" i="4"/>
  <c r="D214" i="4"/>
  <c r="F214" i="4" s="1"/>
  <c r="C161" i="3"/>
  <c r="E161" i="3" s="1"/>
  <c r="E162" i="3"/>
  <c r="D105" i="4"/>
  <c r="D162" i="4"/>
  <c r="F162" i="4" s="1"/>
  <c r="E338" i="3"/>
  <c r="C337" i="3"/>
  <c r="E337" i="3" s="1"/>
  <c r="E323" i="3"/>
  <c r="E165" i="5"/>
  <c r="F163" i="5"/>
  <c r="C624" i="3"/>
  <c r="E624" i="3" s="1"/>
  <c r="E625" i="3"/>
  <c r="E388" i="3"/>
  <c r="C387" i="3"/>
  <c r="E387" i="3" s="1"/>
  <c r="E1863" i="2"/>
  <c r="G1863" i="2" s="1"/>
  <c r="G1864" i="2"/>
  <c r="E1611" i="2"/>
  <c r="G1611" i="2" s="1"/>
  <c r="G922" i="2"/>
  <c r="E312" i="2"/>
  <c r="G313" i="2"/>
  <c r="D506" i="4"/>
  <c r="F506" i="4" s="1"/>
  <c r="F507" i="4"/>
  <c r="E84" i="3"/>
  <c r="F755" i="4"/>
  <c r="D747" i="4"/>
  <c r="D529" i="4"/>
  <c r="F529" i="4" s="1"/>
  <c r="F530" i="4"/>
  <c r="E658" i="3"/>
  <c r="C657" i="3"/>
  <c r="E657" i="3" s="1"/>
  <c r="E224" i="3"/>
  <c r="E114" i="3"/>
  <c r="C113" i="3"/>
  <c r="E113" i="3" s="1"/>
  <c r="C13" i="3"/>
  <c r="E13" i="3" s="1"/>
  <c r="E14" i="3"/>
  <c r="C461" i="3"/>
  <c r="E461" i="3" s="1"/>
  <c r="E462" i="3"/>
  <c r="C275" i="3"/>
  <c r="E276" i="3"/>
  <c r="C118" i="3"/>
  <c r="E118" i="3" s="1"/>
  <c r="G3288" i="2"/>
  <c r="E3442" i="2"/>
  <c r="G3442" i="2" s="1"/>
  <c r="G1227" i="2"/>
  <c r="E1226" i="2"/>
  <c r="G1226" i="2" s="1"/>
  <c r="G2235" i="2"/>
  <c r="G775" i="2"/>
  <c r="E774" i="2"/>
  <c r="G774" i="2" s="1"/>
  <c r="G704" i="2"/>
  <c r="E684" i="2"/>
  <c r="G684" i="2" s="1"/>
  <c r="E327" i="2"/>
  <c r="D290" i="4"/>
  <c r="F290" i="4" s="1"/>
  <c r="F291" i="4"/>
  <c r="E701" i="3"/>
  <c r="E702" i="3"/>
  <c r="E175" i="3"/>
  <c r="E174" i="3" s="1"/>
  <c r="C174" i="3"/>
  <c r="E2884" i="2"/>
  <c r="G2884" i="2" s="1"/>
  <c r="G2885" i="2"/>
  <c r="G1485" i="2"/>
  <c r="E1484" i="2"/>
  <c r="G1484" i="2" s="1"/>
  <c r="G1249" i="2"/>
  <c r="E1248" i="2"/>
  <c r="G1248" i="2" s="1"/>
  <c r="G724" i="2"/>
  <c r="E719" i="2"/>
  <c r="G719" i="2" s="1"/>
  <c r="G578" i="2"/>
  <c r="D462" i="4"/>
  <c r="F462" i="4" s="1"/>
  <c r="F463" i="4"/>
  <c r="F203" i="4"/>
  <c r="D179" i="4"/>
  <c r="F179" i="4" s="1"/>
  <c r="E496" i="3"/>
  <c r="C495" i="3"/>
  <c r="E495" i="3" s="1"/>
  <c r="G3536" i="2"/>
  <c r="E2771" i="2"/>
  <c r="G2771" i="2" s="1"/>
  <c r="E813" i="2"/>
  <c r="G813" i="2" s="1"/>
  <c r="G3287" i="2" l="1"/>
  <c r="E1163" i="2"/>
  <c r="G1163" i="2" s="1"/>
  <c r="C83" i="3"/>
  <c r="E83" i="3" s="1"/>
  <c r="C322" i="3"/>
  <c r="E322" i="3" s="1"/>
  <c r="G1164" i="2"/>
  <c r="G327" i="2"/>
  <c r="E3534" i="2"/>
  <c r="G3535" i="2"/>
  <c r="G312" i="2"/>
  <c r="E14" i="2"/>
  <c r="E275" i="3"/>
  <c r="C250" i="3"/>
  <c r="E250" i="3" s="1"/>
  <c r="F747" i="4"/>
  <c r="G921" i="2"/>
  <c r="F105" i="4"/>
  <c r="D104" i="4"/>
  <c r="C82" i="3" l="1"/>
  <c r="C768" i="3" s="1"/>
  <c r="D817" i="4"/>
  <c r="G14" i="2"/>
  <c r="E14" i="1"/>
  <c r="G3534" i="2"/>
  <c r="E59" i="1" l="1"/>
  <c r="G14" i="1"/>
  <c r="F817" i="4"/>
  <c r="F126" i="4"/>
  <c r="F104" i="4"/>
  <c r="E82" i="3"/>
  <c r="E768" i="3"/>
  <c r="E590" i="2"/>
  <c r="E577" i="2" s="1"/>
  <c r="G577" i="2" s="1"/>
  <c r="G591" i="2"/>
  <c r="G59" i="1" l="1"/>
  <c r="G590" i="2"/>
  <c r="E2262" i="2"/>
  <c r="E2234" i="2" s="1"/>
  <c r="G2269" i="2"/>
  <c r="G2234" i="2" l="1"/>
  <c r="E326" i="2"/>
  <c r="G2262" i="2"/>
  <c r="E3791" i="2" l="1"/>
  <c r="F3791" i="2" s="1"/>
  <c r="G3791" i="2" s="1"/>
  <c r="G326" i="2"/>
  <c r="G3270" i="2"/>
</calcChain>
</file>

<file path=xl/comments1.xml><?xml version="1.0" encoding="utf-8"?>
<comments xmlns="http://schemas.openxmlformats.org/spreadsheetml/2006/main">
  <authors>
    <author>ALAMANDA</author>
  </authors>
  <commentList>
    <comment ref="E590" authorId="0" shapeId="0">
      <text>
        <r>
          <rPr>
            <b/>
            <sz val="9"/>
            <color indexed="81"/>
            <rFont val="Tahoma"/>
            <family val="2"/>
          </rPr>
          <t>ALAMANDA:</t>
        </r>
        <r>
          <rPr>
            <sz val="9"/>
            <color indexed="81"/>
            <rFont val="Tahoma"/>
            <family val="2"/>
          </rPr>
          <t xml:space="preserve">
118.704.300</t>
        </r>
      </text>
    </comment>
    <comment ref="E614" authorId="0" shapeId="0">
      <text>
        <r>
          <rPr>
            <b/>
            <sz val="9"/>
            <color indexed="81"/>
            <rFont val="Tahoma"/>
            <family val="2"/>
          </rPr>
          <t>ALAMANDA:</t>
        </r>
        <r>
          <rPr>
            <sz val="9"/>
            <color indexed="81"/>
            <rFont val="Tahoma"/>
            <family val="2"/>
          </rPr>
          <t xml:space="preserve">
586.650.901</t>
        </r>
      </text>
    </comment>
  </commentList>
</comments>
</file>

<file path=xl/sharedStrings.xml><?xml version="1.0" encoding="utf-8"?>
<sst xmlns="http://schemas.openxmlformats.org/spreadsheetml/2006/main" count="10615" uniqueCount="4237">
  <si>
    <t xml:space="preserve">ALOKASI PEMBAGIAN DAN PENYALURAN DANA OTONOMI KHUSUS </t>
  </si>
  <si>
    <t xml:space="preserve">ANTARA PROVINSI DAN KABUPATEN/KOTA ATAU NAMA LAIN </t>
  </si>
  <si>
    <t>TAHUN ANGGARAN 2020</t>
  </si>
  <si>
    <t xml:space="preserve">PROVINSI        : PAPUA </t>
  </si>
  <si>
    <t>PENERIMAAN  : Rp5.861.910.600.000,00</t>
  </si>
  <si>
    <t xml:space="preserve">Tabel A.2  </t>
  </si>
  <si>
    <t>NO.</t>
  </si>
  <si>
    <t>U R A I A N</t>
  </si>
  <si>
    <t>PERMINTAAN PENYALURAN TAHAP I</t>
  </si>
  <si>
    <t>PERMINTAAN PENYALURAN TAHAP II</t>
  </si>
  <si>
    <t>PERMINTAAN PENYALURAN TAHAP III</t>
  </si>
  <si>
    <t>KET</t>
  </si>
  <si>
    <t>ALOKASI ANGGARAN                (Rp. )</t>
  </si>
  <si>
    <t>PROSENTASE ALOKASI  ANGGARAN                        ( % )</t>
  </si>
  <si>
    <t>ALOKASI ANGGARAN (Rp.)</t>
  </si>
  <si>
    <t>REALISASI  PENYALURAN       (Rp.)</t>
  </si>
  <si>
    <t>PROSENTASE REALISASI PENYALURAN (%)</t>
  </si>
  <si>
    <t>ALOKASI ANGGARAN   (Rp.)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</si>
  <si>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</si>
  <si>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</si>
  <si>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</si>
  <si>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</si>
  <si>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</si>
  <si>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</si>
  <si>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</si>
  <si>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</si>
  <si>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</si>
  <si>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</si>
  <si>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</si>
  <si>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I.</t>
  </si>
  <si>
    <t>PROVINSI PAPUA</t>
  </si>
  <si>
    <t>II.</t>
  </si>
  <si>
    <t>KABUPATEN/KOTA</t>
  </si>
  <si>
    <t xml:space="preserve">1.  KABUPATEN MERAUKE </t>
  </si>
  <si>
    <t>2. KABUPATEN  JAYAWIJAYA</t>
  </si>
  <si>
    <t>3. KABUPATEN  JAYAPURA</t>
  </si>
  <si>
    <t xml:space="preserve">4. KABUPATEN  NABIRE </t>
  </si>
  <si>
    <t xml:space="preserve">5. KABUPATEN  KEP. YAPEN </t>
  </si>
  <si>
    <t>6. KABUPATEN  BIAK  NUMFOR</t>
  </si>
  <si>
    <t>7. KABUPATEN  PANIAI</t>
  </si>
  <si>
    <t>8. KABUPATEN  PUNCAK  JAYA</t>
  </si>
  <si>
    <t>9. KABUPATEN MIMIKA</t>
  </si>
  <si>
    <t xml:space="preserve">10. KABUPATEN  BOVEN  DIGOEL </t>
  </si>
  <si>
    <t xml:space="preserve">11. KABUPATEN MAPPI </t>
  </si>
  <si>
    <t>12. KABUPATEN ASMAT</t>
  </si>
  <si>
    <t xml:space="preserve">13. KABUPATEN YAHUKIMO </t>
  </si>
  <si>
    <t xml:space="preserve">14. KABUPATEN  PEG. BINTANG </t>
  </si>
  <si>
    <t xml:space="preserve">15. KABUPATEN  TOLIKARA </t>
  </si>
  <si>
    <t xml:space="preserve">16. KABUPATEN  SARMI   </t>
  </si>
  <si>
    <t xml:space="preserve">17. KABUPATEN  KEEROM  </t>
  </si>
  <si>
    <t xml:space="preserve">18. KABUPATEN  WAROPEN </t>
  </si>
  <si>
    <t>19. KABUPATEN   SUPIORI</t>
  </si>
  <si>
    <t>20. KABUPATEN   MAMBERAMO RAYA</t>
  </si>
  <si>
    <t>21. KABUPATEN   NDUGA</t>
  </si>
  <si>
    <t xml:space="preserve">22. KABUPATEN  LANNY  JAYA  </t>
  </si>
  <si>
    <t>23. KABUPATEN   MAMBERAMO TENGAH</t>
  </si>
  <si>
    <t xml:space="preserve">24. KABUPATEN   YALIMO </t>
  </si>
  <si>
    <t xml:space="preserve">25. KABUPATEN   PUNCAK </t>
  </si>
  <si>
    <t xml:space="preserve">26. KABUPATEN  DOGIYAI  </t>
  </si>
  <si>
    <t xml:space="preserve">27. KABUPATEN  INTAN  JAYA   </t>
  </si>
  <si>
    <t>28. KABUPATEN    DEIYAI</t>
  </si>
  <si>
    <t>29. KOTA  JAYAPURA</t>
  </si>
  <si>
    <t>III</t>
  </si>
  <si>
    <t>URUSAN BERSAMA</t>
  </si>
  <si>
    <t>DINAS PENDIDIKAN</t>
  </si>
  <si>
    <t>DINAS KESEHATAN</t>
  </si>
  <si>
    <t>RUMAS SAKIT UMUM DAERAH JAYAPURA</t>
  </si>
  <si>
    <t>RUMAH SAKIT UMUM DAERAH ABEPURA</t>
  </si>
  <si>
    <t>RUMA SAKIT JIWA ABEPURA</t>
  </si>
  <si>
    <t>Dinas Kebudayaan dan Pariwisata</t>
  </si>
  <si>
    <t>Dinas Kelautan dan Perikanan</t>
  </si>
  <si>
    <t>Dinas Pertanian dan Pangan</t>
  </si>
  <si>
    <t>Dinas Kehutanan dan Lingkungan Hidup</t>
  </si>
  <si>
    <t>Dinas Perindustrian, Perdagangan, Koperasi, Usaha Kecil Menengah dan Tenaga Kerja</t>
  </si>
  <si>
    <t xml:space="preserve">SEKRETARIAT MRP </t>
  </si>
  <si>
    <t>SATUAN KERJA PENGELOLA KEUANGANCDAERAH ( BPKAD (BTL)</t>
  </si>
  <si>
    <t>JUMLAH</t>
  </si>
  <si>
    <t>REKAPITULASI ALOKASI DAN REALISASI PENGGUNAAN DANA OTONOMI KHUSUS</t>
  </si>
  <si>
    <t xml:space="preserve"> DIURAIKAN BERDASARKAN, ORGANISASI, PROGRAM/KEGIATAN PROVINSI DAN KABUPATEN/KOTA ATAU NAMA LAIN</t>
  </si>
  <si>
    <t xml:space="preserve"> TAHUN ANGGARAN 2020</t>
  </si>
  <si>
    <t xml:space="preserve">PROVINSI         : PAPUA </t>
  </si>
  <si>
    <t xml:space="preserve">Tabel A.4  </t>
  </si>
  <si>
    <t>PROSENTASE (%)</t>
  </si>
  <si>
    <t>ALOKASI ANGGARAN  (Rp.)</t>
  </si>
  <si>
    <t>REALISASI ANGGARAN             (Rp.)</t>
  </si>
  <si>
    <t>PROSENTASE REALISASI ANGGARAN               (%)</t>
  </si>
  <si>
    <t>CAPAIAN OUTPUT                    ( %)</t>
  </si>
  <si>
    <t>REALISASI ANGGARAN (Rp.)</t>
  </si>
  <si>
    <t>PROSENTASE REALISASI ANGGARAN (%)</t>
  </si>
  <si>
    <t>CAPAIAN OUTPUT                       ( %)</t>
  </si>
  <si>
    <t>(12)</t>
  </si>
  <si>
    <t>(13)</t>
  </si>
  <si>
    <t>A</t>
  </si>
  <si>
    <t>PROVINSI</t>
  </si>
  <si>
    <t>Dinas Pendidikan, Perpustakaan dan Arsip Daerah</t>
  </si>
  <si>
    <t>Program Pendidikan Menengah Atas</t>
  </si>
  <si>
    <t>Pembangunan Sekolah Unggulan Berasrama</t>
  </si>
  <si>
    <t>Penerapan dan Pelatihan MBS SMA</t>
  </si>
  <si>
    <t>Lomba Debat Bahasa Inggris, Bahasa Indonesia dan Bahasa Jerman</t>
  </si>
  <si>
    <t>Pelatihan Kepala Tata Usaha Sekolah SMA</t>
  </si>
  <si>
    <t>pelatihan penyusunan rencana kerja anggaran sekolah (RKAS) SMA</t>
  </si>
  <si>
    <t>pelaksanaan evaluasi diri sekolah (EDS) SMA</t>
  </si>
  <si>
    <t>Lomba Kompetensi Siswa SMA</t>
  </si>
  <si>
    <t>Lomba Adiwiyata SMA</t>
  </si>
  <si>
    <t>Lomba Karya Ilmiah siswa SMA</t>
  </si>
  <si>
    <t>Penyediaan Bantuan Biaya Musyarawarah Kerja Kepala Sekolah (MKKS) SMA di lima wilayah adat</t>
  </si>
  <si>
    <t>Program Pendidikan Non Formal</t>
  </si>
  <si>
    <t>Penguatan KKN Tematik untuk  Pemberantasan Buta Aksara</t>
  </si>
  <si>
    <t>Program Peningkatan Mutu Pendidik dan Tenaga Kependidikan</t>
  </si>
  <si>
    <t>Pelaksanaan sertifikasi pendidik</t>
  </si>
  <si>
    <t>Pelaksanaan uji kompetensi pendidik dan tenaga kependidikan</t>
  </si>
  <si>
    <t>Penyediaan Bantuan Biaya MGMP (Musyawarah Guru Mata Pelajaran)</t>
  </si>
  <si>
    <t xml:space="preserve">SERTIFIKASI GURU DAN PROGRAM KEAHLIAN SMK </t>
  </si>
  <si>
    <t>Magang Guru Produktif SMK</t>
  </si>
  <si>
    <t>Workshop Musyawarah Kompetensi Kepala Sekolah SMA/SMK</t>
  </si>
  <si>
    <t>Pemetaan Guru dan Tenaga Kependidikan SMA/SMK/PKLK</t>
  </si>
  <si>
    <t>Program Manajemen Pelayanan Pendidikan</t>
  </si>
  <si>
    <t>Pelaksanaan evaluasi hasil kinerja bidang pendidikan</t>
  </si>
  <si>
    <t>Pelaksanaan kerjasama secara kelembagaan di bidang pendidikan</t>
  </si>
  <si>
    <t>Penerapan sistem dan informasi manajemen pendidikan</t>
  </si>
  <si>
    <t xml:space="preserve">Pelaksanaan Ujian Nasional dan Ujian Sekolah  </t>
  </si>
  <si>
    <t xml:space="preserve">Pengelolaan PAK (pengelolaan angka kredit) guru, pengawas sekolah, dan pamong belajar </t>
  </si>
  <si>
    <t>Supervisi dan Monitoring PBM di Sekolah</t>
  </si>
  <si>
    <t>Pelaksanaan RAKOR dan Sosialisasi USBN dan UNBK</t>
  </si>
  <si>
    <t>Program Pendidikan Khusus dan Layanan Khusus</t>
  </si>
  <si>
    <t>Pembinaan dan Pengembangan PK/PLK</t>
  </si>
  <si>
    <t>Makan dan Minum Siswa SMA N 3 dan SMANKOR</t>
  </si>
  <si>
    <t>Biaya Operasional KPG,SMA N 3 Buper dan SMA N Keberbakatan Olahraga</t>
  </si>
  <si>
    <t>Pembinaan Siswa SMANKOR Jayapura Mengikuti Kejuaraan</t>
  </si>
  <si>
    <t>Fasilitasi lomba O2SN SD tk Provinsi</t>
  </si>
  <si>
    <t>pengadaan peralatan latihan dan bertanding 8 CABOR untuk siswa SMANKOR</t>
  </si>
  <si>
    <t>Program Pendidikan Menengah Kejuruan</t>
  </si>
  <si>
    <t>Lomba Ketrampilan Siswa (LKS-SMK)</t>
  </si>
  <si>
    <t>Lomba Debat Bahasa Inggris dan Bahasa Indonesia</t>
  </si>
  <si>
    <t>Penerapan dan Pelatihan MBS SMK</t>
  </si>
  <si>
    <t>Pembinaan Musyawarah Kelompok Kerja Kepala Sekolah SMK</t>
  </si>
  <si>
    <t>Revitalisasi Kajian Kurikulum SMK di lima Wilayah Adat</t>
  </si>
  <si>
    <t>Lomba O2SN SMK</t>
  </si>
  <si>
    <t>Lomba FLS2N SMK</t>
  </si>
  <si>
    <t>Magang siswa produktif SMK</t>
  </si>
  <si>
    <t>Pengembangan unit Produksi untuk SMK</t>
  </si>
  <si>
    <t>pelatihan penyusunan rencana pelaksanaan pembelajaran (RPP) SMK</t>
  </si>
  <si>
    <t>pelatihan penyusunan rencana kerja anggaran sekolah (RKAS) SMK</t>
  </si>
  <si>
    <t>Pengembangan Unit Produksi (Kantin Sekolah Berbasis Makanan Lokal dan toko Souvenir dan Portal Informasi Berbasis Online) SMK di 6 Kota</t>
  </si>
  <si>
    <t>Penyusunan Kurikulum Praktek Kerja Siswa SMA/SMK</t>
  </si>
  <si>
    <t>Program penyelamatan dan pelestarian dokumen/arsip daerah</t>
  </si>
  <si>
    <t>Pengadaan sarana pengolahan dan penyimpanan arsip</t>
  </si>
  <si>
    <t>Peningkatan Pengelolaan dan Penataan Arsip</t>
  </si>
  <si>
    <t>Pelestarian Arsip-arsip yang Bernilai Guna Statis</t>
  </si>
  <si>
    <t>Program Peningkatan Kualitas Pelayanan Informasi</t>
  </si>
  <si>
    <t>Peningkatan Pembinaan Kearsipan</t>
  </si>
  <si>
    <t>Program Pengembangan Budaya Baca dan Pembinaan Perpustakaan</t>
  </si>
  <si>
    <t>Pengembangan Minat dan Budaya Baca</t>
  </si>
  <si>
    <t>Penyediaan Bantuan Pengembangan Perpustakaan dan Minat Baca di Daerah</t>
  </si>
  <si>
    <t>Penyediaan Bahan Pustaka Peprustakaan Umum dan Daerah</t>
  </si>
  <si>
    <t>Penyelenggaraan Peprustakaan Keliling</t>
  </si>
  <si>
    <t>Pendidikan dan Pelatihan Teknis/Manajemen Pengelola Perpustakaan</t>
  </si>
  <si>
    <t>Otomasi Perpustakaan</t>
  </si>
  <si>
    <t>Reprografi bahan Pustaka</t>
  </si>
  <si>
    <t>Identifikasi dan inventarisasi naskah kuno</t>
  </si>
  <si>
    <t>Monitoring, evaluasi dan pelaporan Perkembangan perpustakaan didaerah</t>
  </si>
  <si>
    <t>Dinas Kesehatan</t>
  </si>
  <si>
    <t>Program Obat dan Perbekalan Kesehatan</t>
  </si>
  <si>
    <t>Peningkatan mutu pelayanan farmasi komunitas dan rumah sakit</t>
  </si>
  <si>
    <t>Pengiriman dan Relokasi Obat buffer stok dan program provinsi ke Kab dan 14 titik terisolir</t>
  </si>
  <si>
    <t>Monitoring pemanfaatan buffer stock di GFK/RS/PKM dan pos obat kampung serta evaluasi hasil magang tenaga GF kab/kota</t>
  </si>
  <si>
    <t>Pengadaan obat buffer stock provinsi</t>
  </si>
  <si>
    <t>Pengadaan obat-obatan untuk program HIV/AIDS</t>
  </si>
  <si>
    <t>Pengadaan Obat-obatan Program P2M</t>
  </si>
  <si>
    <t>Pengadaan logistik Non Oat Provinsi Papua</t>
  </si>
  <si>
    <t>Pengadaan reagen IMS Provinsi Papua</t>
  </si>
  <si>
    <t>Peningkatan Kapasitas SDM Kefarmasian di Apotek</t>
  </si>
  <si>
    <t>Penyediaan Dana Distribusi Obat,Vaksin dan Reagen dari Instalasi Farmasi Provinsi Ke IFK dan RS</t>
  </si>
  <si>
    <t>Program Upaya Kesehatan Masyarakat</t>
  </si>
  <si>
    <t>Pembinaan Akreditasi Puskesmas</t>
  </si>
  <si>
    <t>Pertemuan Koordinasi Akreditasi FKTP</t>
  </si>
  <si>
    <t>Pembinaan Teknis Program Pelayanan Primer</t>
  </si>
  <si>
    <t>Program Pengawasan Obat dan Makanan</t>
  </si>
  <si>
    <t>Peningkatan pengawasan keamanan pangan dan bahan berbahaya</t>
  </si>
  <si>
    <t>Program Pengembangan Obat Asli Indonesia</t>
  </si>
  <si>
    <t>Pengembangan standarisasi tanaman obat bahan alam indonesia</t>
  </si>
  <si>
    <t>Pengembangan Obat Asli Daerah</t>
  </si>
  <si>
    <t>Workshop Obat Tradisional Berbasis Wilayah Adat</t>
  </si>
  <si>
    <t xml:space="preserve"> Penilaian Pemanfaatan TOGA</t>
  </si>
  <si>
    <t>Pertemuan data jaringan informasi dan dokumentasi SP3T</t>
  </si>
  <si>
    <t>PELATIHAN AKUPRESSUR BAGI TENAGA MEDIS PUSKESMAS</t>
  </si>
  <si>
    <t>Program Promosi Kesehatan dan Pemberdayaan masyarakat</t>
  </si>
  <si>
    <t>Pengembangan media promosi dan informasi sadar hidup sehat</t>
  </si>
  <si>
    <t>Pengembangan Saka Bhakti Husada ( SBH )</t>
  </si>
  <si>
    <t>Pendataan Pengembangan Upaya Kesehatan Berbasis Masyarakat ( UKBM )</t>
  </si>
  <si>
    <t>Program Perbaikan Gizi Masyarakat</t>
  </si>
  <si>
    <t>Pertemuan pencatatan dan pelaporan program gizi</t>
  </si>
  <si>
    <t>Program Pengembangan Lingkungan Sehat</t>
  </si>
  <si>
    <t>Peningkatan kemampuan petugas kesehatan dalam pelaksanaan sanitasi total berbasis masyarakat ( STBM )</t>
  </si>
  <si>
    <t>Pengawasan Kualitas Air</t>
  </si>
  <si>
    <t>Pembinaan Kebugaran Jasmani</t>
  </si>
  <si>
    <t>Program Pencegahan dan Penanggulangan Penyakit Menular</t>
  </si>
  <si>
    <t>Pencegahan dan Pemberantasan Penyakit IMS-HIV/AIDS</t>
  </si>
  <si>
    <t>Pemberantasan penyakit DBD</t>
  </si>
  <si>
    <t>Pemberantasan penyakit Malaria</t>
  </si>
  <si>
    <t>Pemberantasan penyakit Filaria</t>
  </si>
  <si>
    <t>Pemberantasan Penyakit Kusta</t>
  </si>
  <si>
    <t>Eradikasi Polio, reduksi Campak dan eliminasi Tetanus</t>
  </si>
  <si>
    <t>Penanggulangan penyakit Taeniasis</t>
  </si>
  <si>
    <t>Peningkatan pelayanan Imunisasi di Provinsi dan Kabupaten.</t>
  </si>
  <si>
    <t>Penanggulangan penyakit TBC</t>
  </si>
  <si>
    <t xml:space="preserve">Penanggulangan Penyakit Tidak Menular </t>
  </si>
  <si>
    <t>Peningkatan Pengendalian dan Pencegahan ISPA di Wilayah Regional</t>
  </si>
  <si>
    <t>Monev Terpadu (AIDS,TB,Malaria)</t>
  </si>
  <si>
    <t xml:space="preserve">Penanggulangan Penyakit Hepatitis </t>
  </si>
  <si>
    <t>Program Kemitraan peningkatan pelayanan kesehatan</t>
  </si>
  <si>
    <t>Pengelolaan mitra pembangunan kesehatan</t>
  </si>
  <si>
    <t>Program peningkatan keselamatan ibu melahirkan dan anak</t>
  </si>
  <si>
    <t>Monitoring evaluasi bimbingan tehnis dan validasi data dari  pengelola program Provinsi ke Kabupaten/Kota</t>
  </si>
  <si>
    <t>Peningkatan Kapasitas Tenaga dalam pencatatan dan pelaporan bagi pengelola data KIA</t>
  </si>
  <si>
    <t>Program kebijakan dan manajemen pembangunan kesehatan</t>
  </si>
  <si>
    <t>Lokakarya Penyusunan Program</t>
  </si>
  <si>
    <t>Monitoring dan Supervisi perencanaan serta singkronisasi Program</t>
  </si>
  <si>
    <t>Pendampingan perencanaan pada daerah Bermasalah Kesehatan</t>
  </si>
  <si>
    <t>Program upaya kesehatan perorangan</t>
  </si>
  <si>
    <t xml:space="preserve">Workshop Standar Akreditasi RS KARS edisi I </t>
  </si>
  <si>
    <t>Program Sumber Daya Kesehatan</t>
  </si>
  <si>
    <t>Pembinaan dan Pengawasan Mutu Tenaga Kesehatan</t>
  </si>
  <si>
    <t>Pembinaan Organisasi Profesi Bidang Kesehatan</t>
  </si>
  <si>
    <t>Monitoring dan Evaluasi tenaga Kesehatan</t>
  </si>
  <si>
    <t>Pelatihan analis kebutuhan diklat di regional papua</t>
  </si>
  <si>
    <t>Training Need Asessment ( TNA )</t>
  </si>
  <si>
    <t>Pelaksanaan Akreditasi Balai pelatihan tenaga kesehatan sebagai pusat pelatihan lokal terbaik di Papua</t>
  </si>
  <si>
    <t>Pembinaan perencanaan kebutuhan SDM Kesehatan</t>
  </si>
  <si>
    <t>Satuan tugas pelayanan kesehatan kaki telanjang/jalan kaki, pelayanan terapung dan terbang ( Satgas kijang )</t>
  </si>
  <si>
    <t>Pembangunan gedung dan peralatan serta pemeliharaan bapelkes</t>
  </si>
  <si>
    <t>Pembinaan Sekolah Menengah Kejuruan Analis Kesehatan</t>
  </si>
  <si>
    <t>Sosialisasi  Sasaran Kinerja Pegawai (SKP)</t>
  </si>
  <si>
    <t>Pengawasan Alkes di sarana fasilitas pelayanan kesehatan (Fasyankes).</t>
  </si>
  <si>
    <t>Pemantauan peredaran Alkes di Apotik dan Toko Alkes.</t>
  </si>
  <si>
    <t>Program Peningkatan Pelayanan Laboratorium</t>
  </si>
  <si>
    <t>Pengadaan Peralatan Laboratorium</t>
  </si>
  <si>
    <t>Pengadaan bahan pemeriksaan Laboratorium</t>
  </si>
  <si>
    <t>Bimbingan Tehnik ke Kabupaten/Kota</t>
  </si>
  <si>
    <t xml:space="preserve">Penjaminan mutu laboratorium </t>
  </si>
  <si>
    <t>Program Pengembangan Data/Informasi</t>
  </si>
  <si>
    <t>Pengelolaan data/informasi kesehatan</t>
  </si>
  <si>
    <t>Penyusunan Profil Kesehatan Provinsi</t>
  </si>
  <si>
    <t>Program Peningkatan Kesehatan Jiwa Masyarakat</t>
  </si>
  <si>
    <t>Pelayanan Kesehatan Jiwa di Kabupaten/Kota</t>
  </si>
  <si>
    <t>Upaya Kesehatan Perorangan</t>
  </si>
  <si>
    <t>Bimbingan Teknis Akreditasi Rumah Sakit</t>
  </si>
  <si>
    <t>Pembinaan Persiapan Akreditasi Rumah Sakit</t>
  </si>
  <si>
    <t>Monitoring dan Evaluasi Pelaksanaan ASPAK dan SIRS Online di Kab/Kota</t>
  </si>
  <si>
    <t>Dinas Pemberdayaan Masyarakat Kampung dan Orang Asli Papua</t>
  </si>
  <si>
    <t>Program Pengembangan data/informasi</t>
  </si>
  <si>
    <t>Pengolahan, Penginputan dan Publikasi Data DPMK</t>
  </si>
  <si>
    <t>Sosialisasi Metode dan Teknik Pemetaan Hak Ulayat di 5 Wilayah Adat Provinsi Papua</t>
  </si>
  <si>
    <t>Program Pemberdayaan Masyarakat Kampung</t>
  </si>
  <si>
    <t>Fasilitasi Pengembangan Teknologi Tepat Guna</t>
  </si>
  <si>
    <t>Program Penguatan Kapasitas Kelembagaan Distrik dan Kampung</t>
  </si>
  <si>
    <t>Pembinaan dan Fasilitasi Lembaga Masyarakat</t>
  </si>
  <si>
    <t>Program Peningkatan Kualitas Hidup dan Perlindungan Perempuan</t>
  </si>
  <si>
    <t>Penyelenggaraan Bulan Bakti Gotong Royong Masyarakat (BBGRM) tingkat Provinsi dan Nasional</t>
  </si>
  <si>
    <t>Program Peningkatan Peran Serta dan Kesetaraan Gender dalam Pembangunan</t>
  </si>
  <si>
    <t>Kunjungan Ketua Tim Penggerak PKK Provinsi Papua</t>
  </si>
  <si>
    <t>Dinas Penanaman Modal dan Pelayanan Terpadu Satu Pintu</t>
  </si>
  <si>
    <t>Program Peningkatan Promosi dan Kerjasama Investasi</t>
  </si>
  <si>
    <t>Pengembangan potensi unggulan daerah</t>
  </si>
  <si>
    <t>Peningkatan kualitas SDM guna pengingkatan pelayanan investasi</t>
  </si>
  <si>
    <t>Penyelenggaraanpameran investasi</t>
  </si>
  <si>
    <t>Program Peningkatan Pelayanan Perizinan Penanaman Modal</t>
  </si>
  <si>
    <t>Peningkatan Penyelenggaraan Pelayanan Perizinan dan Non Perizinan Bidang Penanaman Modal Melalui PTSP</t>
  </si>
  <si>
    <t xml:space="preserve">Fasilitasi Penyelesaian Permasalahan Perijinan dan Non Peijinan diBidang Penanaman Modal </t>
  </si>
  <si>
    <t>Penyediaan Informasi Perijinan</t>
  </si>
  <si>
    <t>Program Peningkatan Daya Saing Investasi</t>
  </si>
  <si>
    <t>Penyusunan Regulasi dan Insentif Investasi</t>
  </si>
  <si>
    <t>Program Peningkatan, Pengawasan, Pengendalian Penanaman Modal</t>
  </si>
  <si>
    <t>Pemantauan Perkembangan Realisasi Perusahaan Penanaman Modal</t>
  </si>
  <si>
    <t>Bimbingan Pelaksanaan Kegiatan Penanaman Modal Kepada Masyarakat Dunia Usaha</t>
  </si>
  <si>
    <t>Temu Usaha dan Dialog Investasi</t>
  </si>
  <si>
    <t>Program Pengelolaan Kekayaan Budaya</t>
  </si>
  <si>
    <t>Fasilitasi partisipasi masyarakat dalam pengelolaan kekayaan budaya</t>
  </si>
  <si>
    <t>Monitoring dan Pemeliharaan Cagar Budaya, Pemilihan Direktori Lembaga Budaya di 5 Wilayah Adat</t>
  </si>
  <si>
    <t>Survey Potensi Cagar Budaya di 29 Kabupaten/Kota</t>
  </si>
  <si>
    <t>Program Pengelolaan Keragaman Budaya</t>
  </si>
  <si>
    <t>Festival Seni Kreasi Papua</t>
  </si>
  <si>
    <t>Pesta Budaya Papua</t>
  </si>
  <si>
    <t>Program pengembangan kerjasama pengelolaan kekayaan budaya</t>
  </si>
  <si>
    <t>Gita Bahana Nusantara di 5 Wilayah Adat</t>
  </si>
  <si>
    <t>Penyusunan Peraturan Gubernur tentang Perlindungan Hak Kekayaan Intelektual Bidang Budaya OAP Bendawi dan Non Bendawi</t>
  </si>
  <si>
    <t>Program pengembangan budidaya perikanan</t>
  </si>
  <si>
    <t>Bantuan sarana produksi kolam/karamba masyarakat</t>
  </si>
  <si>
    <t>Rapat Evaluasi Pengembangan Budidaya Rumput Laut</t>
  </si>
  <si>
    <t>Program Pengembangan dan Peningkatan Produksi Perikanan Tangkap</t>
  </si>
  <si>
    <t>Pendampingan pada kelompok nelayan perikanan tangkap</t>
  </si>
  <si>
    <t>Pelatihan Penangkapan Ikan</t>
  </si>
  <si>
    <t>Motorisasi perahu nelayan /armada kapal kecil</t>
  </si>
  <si>
    <t>Fasilitasi Pelayanan Perizinan dan Pengendalian Usaha Perikanan Tangkap</t>
  </si>
  <si>
    <t>Program Peningkatan Mutu Produksi Nelayan, Pengelolaan dan Pemasaran</t>
  </si>
  <si>
    <t>Lomba Masak Serba Ikan Tk. Provinsi dan Nasional</t>
  </si>
  <si>
    <t>Sarana dan Prasrana Pengolahan dan Pemasaran bagi Nelayan</t>
  </si>
  <si>
    <t>Program Optimalisasi Fungsi dan Pelayanan Unit Pelaksanaan Teknis Dinas (UPTD)</t>
  </si>
  <si>
    <t>Optimalisasi Fungsi Balai Benih Ikan Partai (BBIP) Bosnik Biak</t>
  </si>
  <si>
    <t>Optimalisasi Fungsi dan Pelayanan BPPMHP Merauke</t>
  </si>
  <si>
    <t>Optimalisasi Fungsi dan Pelayanan BPPMHP Biak</t>
  </si>
  <si>
    <t>Optimalisasi Fungsi dan Pelayanan BPPMHP Jayapura</t>
  </si>
  <si>
    <t>Program Pemberdayaan Masyarakat Pesisir dan Pulau-pulau Kecil</t>
  </si>
  <si>
    <t>Percepatan Penyusunan Rencana Zonasi Wilayah Pesisir dan Pulau-pulau kecil</t>
  </si>
  <si>
    <t>Program Peningkatan Ketahanan Pangan (pertanian/perkebunan)</t>
  </si>
  <si>
    <t>Pengembangan cadangan pangan daerah</t>
  </si>
  <si>
    <t>Pengembangan Diversifikasi Pangan</t>
  </si>
  <si>
    <t>Pengembangan pertanian pada lahan kering</t>
  </si>
  <si>
    <t>Program peningkatan pemasaran hasil produksi pertanian/perkebunan</t>
  </si>
  <si>
    <t>Pembangunan Sarana Pengolahan Hasil Perkebunan</t>
  </si>
  <si>
    <t>Program peningkatan penerapan teknologi pertanian/perkebunan</t>
  </si>
  <si>
    <t>Pelatihan dan bimbingan pengoperasian teknologi pertanian/perkebunan tepat guna</t>
  </si>
  <si>
    <t>Program peningkatan produksi pertanian/perkebunan</t>
  </si>
  <si>
    <t>Perluasan Areal Komoditas Perkebunan</t>
  </si>
  <si>
    <t>Pemeliharaan Kebun Benih Tanaman Perkebunan</t>
  </si>
  <si>
    <t>Pengendalian Hama dan Penyakit Tanaman Perkebunan</t>
  </si>
  <si>
    <t>Peningkatan Pengawasan dan Sertifikasi Benih Perkebunan</t>
  </si>
  <si>
    <t>Program pencegahan dan penanggulangan penyakit ternak</t>
  </si>
  <si>
    <t>Pemeliharaan kesehatan dan pencegahan penyakit menular ternak</t>
  </si>
  <si>
    <t>Penelitiadan Identifikasi penyakit Hewann</t>
  </si>
  <si>
    <t>Pencegahan, pengendalian, Pemberantasan penyakit hewan menular dan gangguan penyakit reproduksi ternak</t>
  </si>
  <si>
    <t>Program peningkatan produksi hasil peternakan</t>
  </si>
  <si>
    <t>Pembibitan dan perawatan ternak</t>
  </si>
  <si>
    <t>Pengembangan agribisnis pertenakan</t>
  </si>
  <si>
    <t>Pengembangan sarana dan prasarana produksi ternak</t>
  </si>
  <si>
    <t>Pengembangan ternak kecil</t>
  </si>
  <si>
    <t>Program peningkatan pemasaran hasil produksi peternakan</t>
  </si>
  <si>
    <t>Promosi atas hasil produksi peternakan unggulan daerah. _</t>
  </si>
  <si>
    <t>Program Perencanaan Pembangunan</t>
  </si>
  <si>
    <t>Penyusunan Data Statistik Peternakan dan Kesehatan Hewan</t>
  </si>
  <si>
    <t>Penyusunan Data Statistik Komoditas Perkebunan</t>
  </si>
  <si>
    <t>Program Peningkatan kemananan pangan dan ketahanan pangan asal hewan</t>
  </si>
  <si>
    <t>Peningkatan mutu kemanan pangan asal hewan</t>
  </si>
  <si>
    <t>Program Peningkatan Kelembagaan Penyuluh</t>
  </si>
  <si>
    <t>Peningkatan Kapasitas Kelembagaan dan Tenaga Penyuluh</t>
  </si>
  <si>
    <t>Program Peningkatan Kelembagaan Petani</t>
  </si>
  <si>
    <t>Pendataan Kelembagaan Petani Ternak</t>
  </si>
  <si>
    <t>Program pemanfaatan potensi sumber daya hutan</t>
  </si>
  <si>
    <t>Pemetaan Partisipatif Masyarakat Adat Pemilik Hak Ulayat</t>
  </si>
  <si>
    <t>Pengembangan Usaha Pemanfaatan Kayu Masyarakat Hukum Adat</t>
  </si>
  <si>
    <t>Pengembangan Industri Kayu Masyarakat Hukum Adat</t>
  </si>
  <si>
    <t>Program rehabilitasi hutan dan lahan</t>
  </si>
  <si>
    <t>Pembinaan dan Pengembangan Penyuluhan dan Kelompok Tani Hutan</t>
  </si>
  <si>
    <t>Perlindungan dan konservasi sumber daya hutan</t>
  </si>
  <si>
    <t>Penyuluhan kesadaran masyarakat mengenai dampak perusakan hutan</t>
  </si>
  <si>
    <t>Pembinaan Masyarakat Adat di dalam Kawasan Konservasi</t>
  </si>
  <si>
    <t>Program perencanaan dan pengembangan hutan</t>
  </si>
  <si>
    <t>Pengembangan Data dan Informasi Kehutanan</t>
  </si>
  <si>
    <t>Inventarisasi dan Identifikasi Potensi Hasil Hutan Bukan Kayu</t>
  </si>
  <si>
    <t>Inventarisasi dan Identifikasi Potensi Jasa Lingkungan</t>
  </si>
  <si>
    <t>Pengembangan Regulasi Kehutanan Daerah</t>
  </si>
  <si>
    <t>Dinas Energi dan Sumberdaya Mineral</t>
  </si>
  <si>
    <t>Program Pelayanan Air Bersih</t>
  </si>
  <si>
    <t>Pemboran air bawah tanah untuk masyarakat kampung sulit air bersih</t>
  </si>
  <si>
    <t>Pengembangan &amp; Pemanfaatan Energi Baru Terbarukan</t>
  </si>
  <si>
    <t>Kegiatan Survey dan Perencanaan Teknis Potensi Tenaga Air</t>
  </si>
  <si>
    <t>Program Pengembangan Sistem Pendukung Usaha Bagi Usaha Mikro Kecil Menengah</t>
  </si>
  <si>
    <t>Gebyar gelar produk unggulan daerah</t>
  </si>
  <si>
    <t>Pengembangan industri kecil dan menengah</t>
  </si>
  <si>
    <t xml:space="preserve">Pengembangan fungsi laboratorium dan pengawasan penerapan standarisasi </t>
  </si>
  <si>
    <t>Badan Pengembangan Sumber Daya Manusia</t>
  </si>
  <si>
    <t>Program Pembinaan dan Pengembangan Aparatur</t>
  </si>
  <si>
    <t>Pengembangan Kapasitas SDM Aparatur</t>
  </si>
  <si>
    <t>Inspektorat</t>
  </si>
  <si>
    <t>Program Peningkatan  Pengawasan dan Akuntabilitas Aparatur</t>
  </si>
  <si>
    <t>Pemeriksaan Dana Otonomi Khusus (OTSUS)</t>
  </si>
  <si>
    <t>Badan Perencanaan Pembangunan Daerah</t>
  </si>
  <si>
    <t>Program  Perencanaan Pembangunan Daerah</t>
  </si>
  <si>
    <t>Pelaksanaan Monitoring Kolaborasi Kegiatan Pembangunan OTSUS dan APBD Provinsi Papua</t>
  </si>
  <si>
    <t>Musrenbang Otsus di 5 Wilayah Adat Provinsi Papua</t>
  </si>
  <si>
    <t>Program Pengembangan Mutu Penelitian dan Pengembangan</t>
  </si>
  <si>
    <t>Kajian Rekonstruksi OTSUS dan Daerah Otonomi Baru Berbasis Wilayah Adat</t>
  </si>
  <si>
    <t>Badan Pengelolaan Keuangan dan Asset Daerah</t>
  </si>
  <si>
    <t>Satuan Kerja Pengelola Keuangan Daerah</t>
  </si>
  <si>
    <t>BELANJA TIDAK LANGSUNG</t>
  </si>
  <si>
    <t>Non Program</t>
  </si>
  <si>
    <t>Non Kegiatan</t>
  </si>
  <si>
    <t>Belanja Hibah</t>
  </si>
  <si>
    <t>Belanja Bantuan Sosial</t>
  </si>
  <si>
    <t>Badan Kepegawaian Daerah</t>
  </si>
  <si>
    <t>Pengembangan Kualitas SDM</t>
  </si>
  <si>
    <t>Penyelenggaraan Seleksi Pendidikan dan Latihan Aparatur</t>
  </si>
  <si>
    <t>Penyelenggaraan Ujian Dinas</t>
  </si>
  <si>
    <t>B</t>
  </si>
  <si>
    <t>KABUPETAN/KOTA</t>
  </si>
  <si>
    <t>1</t>
  </si>
  <si>
    <t>KABUPATEN MERAUKE</t>
  </si>
  <si>
    <t>Dinas Pendidikan dan Kebudayaan</t>
  </si>
  <si>
    <t>Program Pendidikan Anak Usia Dini</t>
  </si>
  <si>
    <t>Pengadaan mebeluer sekolah (OTSUS)</t>
  </si>
  <si>
    <t>Pelatihan kompetensi tenaga pendidik (OTSUS)</t>
  </si>
  <si>
    <t>Penyediaan Insentif Guru atau Guru Pendamping ( OTSUS )</t>
  </si>
  <si>
    <t>Pengadaan Buku Penunjang Kompetensi Tumbuh Kembang dan Pengayaan bagi Siswa ( OTSUS )</t>
  </si>
  <si>
    <t>Pengadaan Alat Permainan Edukatif Indoor dan Outdoor (OTSUS)</t>
  </si>
  <si>
    <t>Program Wajib Belajar Pendidikan Dasar Sembilan Tahun</t>
  </si>
  <si>
    <t>Pengadan Bahan Habis Pakai untuk penyediaan Pendukung Pembelajaran dan Praktik Siswa (OTSUS)</t>
  </si>
  <si>
    <t>Pengadaan Pendidik (Guru Kontrak SD) (OTSUS)</t>
  </si>
  <si>
    <t>Pengadaan Makanan dan Minuman Siswa/Siswi SMP berasrama berbasis komoditas lokal (OTSUS)</t>
  </si>
  <si>
    <t>Pembangunan Tempat Ibadah, Perpustakaan, UKS, Kamar Mandi, Jamban &amp; Jaringan Air Bersih  dengan Pipa atau Bak Penampungan Air Hujan disesuaikan dengan kondisi Lingkungan (OTSUS)</t>
  </si>
  <si>
    <t>Pengadaan Meubelair dan Perlengkapan Pendukung untuk ruang kelas, Ruang Guru, UKS, perpustakaan, Asrama (OTSUS)</t>
  </si>
  <si>
    <t>Pengadaan Beasiswa melanjutkan (Transisi) untuk siswa asli Papua (OTSUS)</t>
  </si>
  <si>
    <t>Pengadaan Pendidik (Guru Kontrak) SMP (OTSUS)</t>
  </si>
  <si>
    <t>Pengadaan Buku Penunjang Pembelajaran dan Pengayaan Siswa (OTSUS)</t>
  </si>
  <si>
    <t>Pengadaan Bahan Habis Pakai untuk pendukung Pembelajaran dan Praktik Siswa (OTSUS)</t>
  </si>
  <si>
    <t>Program Pendidikan Menengah</t>
  </si>
  <si>
    <t>Pengadaan Makan dan Minum Siswa/i SMA Berasrama (OTSUS)</t>
  </si>
  <si>
    <t>Pengadaan Makan dan Minum Siswa/i SMK Berasrama (OTSUS)</t>
  </si>
  <si>
    <t>Pembangunan Ruang Serba Guna - Lapangan Olahraga (OTSUS)</t>
  </si>
  <si>
    <t>Pembangunan Rumah Dinas Guru dan Kepala Sekolah serta perlengkapannya (OTSUS)</t>
  </si>
  <si>
    <t>Pembangunan Tempat Ibadah, Perpustakaan, UKS, Kamar Mandi, Jamban dan Jaringan Air Bersih dengan Pipa atau Bak Penampung Air Hujan  (OTSUS)</t>
  </si>
  <si>
    <t>Pengadaan Komputer dan ICT untuk pembelajaran interaktif dan Pangkalan Data Pendidikan (OTSUS)</t>
  </si>
  <si>
    <t>Pelatihan Kompetensi Khusus Bagi Siswa, Tenaga Pendidik dan Tenaga Kependidikan termasuk life Skill Pencegahan HIV dan AIDS (OTSUS)</t>
  </si>
  <si>
    <t>Pengadaan ICT untuk pembelajaran Interaktif dan Pangkalan data Pendidikan (SMK) (OTSUS )</t>
  </si>
  <si>
    <t>Penyediaan Biaya Operasional bagi lembaga penyelenggara KF ( OTSUS )</t>
  </si>
  <si>
    <t>Peningkatan pelayanan dan penanggulangan masalah kesehatan</t>
  </si>
  <si>
    <t>Penyediaan biaya operasional dan pemeliharaan</t>
  </si>
  <si>
    <t>Pelayanan Kesehatan Penduduk di Puskesmas (OTSUS)</t>
  </si>
  <si>
    <t>Pemberian tambahan makanan dan vitamin (OTSUS)</t>
  </si>
  <si>
    <t>Pelayanan pencegahan dan penanggulangan penyakit menular HIV/AIDS (ODHA)</t>
  </si>
  <si>
    <t>Pencegahan penularan penyakit Endemik/Epidemik (Kusta) (OTSUS)</t>
  </si>
  <si>
    <t>Pencegahan Penularan Penyakit TBC (OTSUS)</t>
  </si>
  <si>
    <t>Program pengadaan, peningkatan dan perbaikan sarana dan prasarana puskesmas/ puskemas pembantu dan jaringannya</t>
  </si>
  <si>
    <t>Pengadaan puskesmas perairan</t>
  </si>
  <si>
    <t>Pembangunan Puskesmas Pembantu (OTSUS)</t>
  </si>
  <si>
    <t>Pelayanan Ibu Hamil (ANC)</t>
  </si>
  <si>
    <t>Rumah Sakit Umum Daerah</t>
  </si>
  <si>
    <t>Program pelayanan kesehatan penduduk miskin</t>
  </si>
  <si>
    <t>Pelayanan kesehatan masyarakat Asli Papua</t>
  </si>
  <si>
    <t>Dinas Pemberdayaan Perempuan, Perlindungan Anak, Pengendalian Penduduk dan Keluarga Berencana</t>
  </si>
  <si>
    <t>Program Penguatan Kelembagaan Pengarusutamaan Gender dan Anak</t>
  </si>
  <si>
    <t>Workshop Peningkatan peran perempuan OAP dalam Pengambilan Keputusan</t>
  </si>
  <si>
    <t>Pelatihan Jahit Menjahit</t>
  </si>
  <si>
    <t>Program Peningkatan Peran Serta Dan Dan Kesetaraan Gender Dalam Pembangunan</t>
  </si>
  <si>
    <t>Bimbingan Managemen Usaha Bagi Perempuan OAP dalam Mengelola Usaha (OTSUS)</t>
  </si>
  <si>
    <t>Sekretariat Daerah</t>
  </si>
  <si>
    <t>Bagian Kesejahteraan Rakyat</t>
  </si>
  <si>
    <t>Program Peningkatan Pendidikan Mahasiswa</t>
  </si>
  <si>
    <t>Bantuan Studi Kemahasiswaan (OTSUS)</t>
  </si>
  <si>
    <t>Badan Perencanaan Pembangunan Daerah, Penelitian dan Pengembangan</t>
  </si>
  <si>
    <t>Program perencanaan pembangunan daerah</t>
  </si>
  <si>
    <t>Badan Pengelola Keuangan dan Aset Daerah (SKPKD)</t>
  </si>
  <si>
    <t>2</t>
  </si>
  <si>
    <t>KABUPATEN  JAYAWIJAYA</t>
  </si>
  <si>
    <t>OKE</t>
  </si>
  <si>
    <t>Dinas Pendidikan</t>
  </si>
  <si>
    <t>Pembangunan gedung sekolah</t>
  </si>
  <si>
    <t>Pelatihan Kompetensi Tenaga Pendidik</t>
  </si>
  <si>
    <t>Penyelenggaraan pendidikan anak usia dini</t>
  </si>
  <si>
    <t>Pelatihan bagi pendidik dalam penerapan pendidikan ramah anak</t>
  </si>
  <si>
    <t>Pengadaan alat permainan edukatif indoor dan outdoor</t>
  </si>
  <si>
    <t>Pelatihan kompetensi bagi tenaga pendidik SD</t>
  </si>
  <si>
    <t>Pelatihan kompetensi siswa berprestasi</t>
  </si>
  <si>
    <t>Pembinaan SMP terbuka</t>
  </si>
  <si>
    <t>Penyelenggaraan akreditasi sekolah dasar</t>
  </si>
  <si>
    <t>Penyelenggaraan Pendidikan Bagi Siswa SD</t>
  </si>
  <si>
    <t>Penyelenggaraan Pendidikan Bagi Siswa SMP</t>
  </si>
  <si>
    <t>Pengadaan Peralatan Sekolah SMP</t>
  </si>
  <si>
    <t>Pelatihan kompetensi siswa berprestasi SMP</t>
  </si>
  <si>
    <t>Pembinaan kelembagaan pelaksanaan MBS dan pelatihan penyusunan RKA/RKAS SMP</t>
  </si>
  <si>
    <t>Penyelenggaraan akreditasi SMP</t>
  </si>
  <si>
    <t>Pemberdayaan tenaga pendidik non formal</t>
  </si>
  <si>
    <t>Pemberian bantuan operasional pendidikan non formal</t>
  </si>
  <si>
    <t>Pengembangan pendidikan keaksaraan</t>
  </si>
  <si>
    <t>Fasilitasi Tenaga Guru Kontrak Lokal</t>
  </si>
  <si>
    <t>Dinas Pertanian</t>
  </si>
  <si>
    <t>Program peningkatan kesejahteraan petani</t>
  </si>
  <si>
    <t>Pelatihan dan Bimbingan Pengoprerasian Teknologi Peternakan Tepat Guna</t>
  </si>
  <si>
    <t>Promosi atas hasil produksi pertanian/perkebunan unggul daerah</t>
  </si>
  <si>
    <t>Pembangunan pusat-pusat penampungan produksi hasil pertanian/perkabunan masyarakat yang akan dipasarakan</t>
  </si>
  <si>
    <t>Pengembangan bibit unggul pertanian/perkebunan</t>
  </si>
  <si>
    <t>Rehabilitasi Kebun Kopi</t>
  </si>
  <si>
    <t>Program Peningkatan Produksi Hasil Peternakan</t>
  </si>
  <si>
    <t>Pendistribusian bibit ternak kepada masyarakat</t>
  </si>
  <si>
    <t>Pembelian dan pendistribusian vaksin dan pakan ternak</t>
  </si>
  <si>
    <t>KESEHATAN</t>
  </si>
  <si>
    <t>Program Peningkatan Kapasitas Sumber Daya Aparatur</t>
  </si>
  <si>
    <t>Bimbingan Teknis Implementasi Peraturan Perundang-undangan</t>
  </si>
  <si>
    <t>Peningkatan pemerataan obat dan perbekalan kesehatan</t>
  </si>
  <si>
    <t>Pengadaan obat-obatan rumah sakit</t>
  </si>
  <si>
    <t>Pelayanan kesehatan penduduk miskin di puskesmas dan jaringannya</t>
  </si>
  <si>
    <t>Pelatihan Kader Malaria</t>
  </si>
  <si>
    <t>Pelatihan PMBA (Pemberian makan bayi dan anak)</t>
  </si>
  <si>
    <t>Pemberian tambahan makanan dan vitamin</t>
  </si>
  <si>
    <t>Program Peningkatan Keselamatan Ibu Melahirkan dan Anak</t>
  </si>
  <si>
    <t>Pertolongan Persalinan Bagi Ibu Hamil dari keluarga Kurang Mampu</t>
  </si>
  <si>
    <t>Program Pengadaan, Peningkatan Sarana dan Prasarana Rumah Sakit/Rumah Sakit Jiwa/Rumah Sakit Paru-paru/Rumah Sakit Mata</t>
  </si>
  <si>
    <t>Pengadaan bahan-bahan logistik rumah sakit</t>
  </si>
  <si>
    <t>Pengadaan bahan/reagen laboratorium</t>
  </si>
  <si>
    <t>PEKERJAAN UMUM</t>
  </si>
  <si>
    <t>Dinas Pekerjaan Umum dan Penataan Ruang</t>
  </si>
  <si>
    <t>Program pengendalian banjir</t>
  </si>
  <si>
    <t>Rehabilitasi/pemeliharaan bantaran dan tanggul sungai</t>
  </si>
  <si>
    <t>Program pembangunan infrastruktur perdesaaan</t>
  </si>
  <si>
    <t>Penggantian Jembatan Asotipo (Sungai Eyagae)</t>
  </si>
  <si>
    <t>Rehabilitasi/Pemeliharaan Jembatan Gantung Sungai Wara dan Jembatan Gantung Holasili</t>
  </si>
  <si>
    <t>Pemeliharaan Jalan Sosial</t>
  </si>
  <si>
    <t>PERUMAHAN</t>
  </si>
  <si>
    <t>Dinas Perumahan dan Kawasan Permukiman</t>
  </si>
  <si>
    <t>Program Pengembangan Perumahan</t>
  </si>
  <si>
    <t>Pembangunan sarana dan prasarana rumah sederhana sehat</t>
  </si>
  <si>
    <t>Program Lingkungan Sehat Perumahan</t>
  </si>
  <si>
    <t>Penyuluhan dan pengawasan kualitas lingkungan sehat perumahan</t>
  </si>
  <si>
    <t>KELAUTAN DAN PERIKANAN</t>
  </si>
  <si>
    <t>Dinas Perikanan</t>
  </si>
  <si>
    <t>Pendampingan pada kelompok tani pembudidaya ikan</t>
  </si>
  <si>
    <t>Pembinaan dan pengembangan perikanan</t>
  </si>
  <si>
    <t>Program pengembangan perikanan tangkap</t>
  </si>
  <si>
    <t>Pengadaan Saranan Tangkap pada Petani Nelayanan Tangkap Ikan</t>
  </si>
  <si>
    <t>PERENCANAAN PEMBANGUNAN</t>
  </si>
  <si>
    <t>Program Perencanaan Pembangunan Daerah</t>
  </si>
  <si>
    <t>Penyusunan URD/RD Dana OTSUS</t>
  </si>
  <si>
    <t>Evaluasi Hasil Pelaksanaan Program/Kegiatan Otsus 80% Bagian Kabupaten/Kota</t>
  </si>
  <si>
    <t>Evaluasi Bidang Ekonomi</t>
  </si>
  <si>
    <t>Program Perencanaan Sosial Budaya</t>
  </si>
  <si>
    <t>Monitoring, evaluasi dan pelaporan bidang sosial, budaya dan pemerintahan</t>
  </si>
  <si>
    <t>Program Perencanaan Prasarana Wilayah dan Sumber Daya Alam</t>
  </si>
  <si>
    <t>Monitoring, evaluasi dan pelaporan bidang infrastruktur dan pengembangan kawasan</t>
  </si>
  <si>
    <t>PERHUBUNGAN</t>
  </si>
  <si>
    <t>Dinas Perhubungan</t>
  </si>
  <si>
    <t>Program Pembangunan Prasarana dan Fasilitas Perhubungan</t>
  </si>
  <si>
    <t>Peningkatan pengelolaan Lapangan Terbang</t>
  </si>
  <si>
    <t>PEMBERDAYAAN PEREMPUAN DAN PERLINDUNGAN ANAK</t>
  </si>
  <si>
    <t>Dinas Pemberdayaan Perempuan, Perlindungan Anak dan Keluarga Berencana</t>
  </si>
  <si>
    <t>Sosialisasi sistem pencatatan dan pelaporan KDRT</t>
  </si>
  <si>
    <t>SOSIAL</t>
  </si>
  <si>
    <t>Dinas Sosial</t>
  </si>
  <si>
    <t>Program Pemberdayaan Fakir Miskin, Komunitas Adat Terpencil (KAT) dan Penyandang Masalah Kesejahteraan Sosial (PMKS) Lai</t>
  </si>
  <si>
    <t>Pelatihan keterampilan berusaha bagi keluarga miskin</t>
  </si>
  <si>
    <t>Program pembinaan anak terlantar</t>
  </si>
  <si>
    <t>Pengembangan bakat dan keterampilan anak terlantar</t>
  </si>
  <si>
    <t>Program pembinaan panti asuhan/ panti jompo</t>
  </si>
  <si>
    <t>Pendidikan dan pelatihan bagi penghuni panti asuhan/ jompo</t>
  </si>
  <si>
    <t>Program pembinaan eks penyandang penyakit sosial (eks narapidana, PSK, narkoba dan penyakit sosial lainnya)</t>
  </si>
  <si>
    <t>Pendidikan dan pelatihan keterampilan berusaha bagi eks penyandang penyakit sosial</t>
  </si>
  <si>
    <t>KETENAGAKERJAAN</t>
  </si>
  <si>
    <t>Dinas Tenaga Kerja, Perindustrian dan Perdagangan</t>
  </si>
  <si>
    <t>Program Peningkatan Kualitas dan Produktivitas Tenaga Kerja</t>
  </si>
  <si>
    <t>Penyusunan data base tenaga kerja daerah</t>
  </si>
  <si>
    <t>Program Pengembangan Indiustri Kecil dan Menengah</t>
  </si>
  <si>
    <t>Fasilitasi bagi industri kecil dan menengah terhadap pemanfaatan sumber daya</t>
  </si>
  <si>
    <t>Program Peningkatan Kemampuan Teknologi Industri</t>
  </si>
  <si>
    <t>Pembinaan kemampuan teknologi industri</t>
  </si>
  <si>
    <t>Program Pembinaan Pedagang Kaki Lima dan Asongan</t>
  </si>
  <si>
    <t>Pembinaan organisasi pedagang kaki lima dan asongan</t>
  </si>
  <si>
    <t>PENANAMAN MODAL</t>
  </si>
  <si>
    <t>Dinas Penanaman Modal, Koperasi dan Pelayanan Terpadu Satu Pintu</t>
  </si>
  <si>
    <t>Program Pengembangan Kewirausahaan dan Keunggulan Kompetitif Usaha Kecil Menengah</t>
  </si>
  <si>
    <t>Penyelenggaraan pelatihan kewirausahaan</t>
  </si>
  <si>
    <t>Program Peningkatan Kualitas Kelembagaan Koperasi</t>
  </si>
  <si>
    <t>Permbinaan, pengawasan dan penghargaan koperasi berprestasi</t>
  </si>
  <si>
    <t>KEBUDAYAAN</t>
  </si>
  <si>
    <t>Pengembangan nilai dan geografi sejarah</t>
  </si>
  <si>
    <t>Fasilitasi perkembangan keragaman budaya daerah</t>
  </si>
  <si>
    <t>Fasilitasi penyelenggaraan festival budaya daerah</t>
  </si>
  <si>
    <t>KEPEMUDAAN DAN OLAHRAGA</t>
  </si>
  <si>
    <t>Dinas Olahraga dan Pemuda</t>
  </si>
  <si>
    <t>Program Pembinaan dan Pemasyarakatan Olahraga</t>
  </si>
  <si>
    <t>Penyelenggaraan Kompetisi Olahraga</t>
  </si>
  <si>
    <t>Program Peningkatan Sarana dan Prasarana Olahraga</t>
  </si>
  <si>
    <t>Pengadaan Alat-Alat Olahraga</t>
  </si>
  <si>
    <t>Program Upaya Pencegahan Penyalahgunaan Narkoba</t>
  </si>
  <si>
    <t>Pemberian penyuluhan tentang bahaya narkoba bagi pemuda</t>
  </si>
  <si>
    <t>OTONOMI DAERAH, PEMERINTAHAN UMUM, ADMINISTRASI KEUANGAN DAERAH, PERANGKAT DAERAH, KEPEGAWAIAN DAN PERSANDIAN</t>
  </si>
  <si>
    <t>Badan Pengelolaan Keuangan dan Aset Daerah</t>
  </si>
  <si>
    <t>Belanja Tidak Langsung</t>
  </si>
  <si>
    <t>Belanja Hibah TMMD</t>
  </si>
  <si>
    <t>Belanja Hibah kepada Organisasi Keagamaan (Sumber Dana Otsus)</t>
  </si>
  <si>
    <t>Belanja Hibah kepada KPAD Jayawijaya</t>
  </si>
  <si>
    <t>Belanja Hibah kepada Lembaga Masyarakat Adat (LMA)</t>
  </si>
  <si>
    <t>Belanja Bantuan Sosial Kepada Mahasiswa</t>
  </si>
  <si>
    <t>Program Pembinaan dan Pengawasan Penyelenggaraan Pemerintahan Daerah</t>
  </si>
  <si>
    <t>Pemeriksaan Dana OTSUS</t>
  </si>
  <si>
    <t>PEMBERDAYAAN MASYARAKAT DAN DESA</t>
  </si>
  <si>
    <t>Dinas Pemberdayaan Masyarakat dan Kampung</t>
  </si>
  <si>
    <t>Program Peningkatan Keberdayaan Masyarakat Pedesaan</t>
  </si>
  <si>
    <t>Pelatihan Penguatan Kader Pangan Dan Gizi</t>
  </si>
  <si>
    <t>Program pengembangan lembaga ekonomi pedesaan</t>
  </si>
  <si>
    <t>Pagelaran TTG (Teknologi Tepat Guna)</t>
  </si>
  <si>
    <t>Program peningkatan partisipasi masyarakat dalam membangun desa</t>
  </si>
  <si>
    <t>Pemberdayaan PKK</t>
  </si>
  <si>
    <t>Program peningkatan peran perempuan di perdesaan</t>
  </si>
  <si>
    <t>Pelatihan perempuan di perdesaan dalam bidang usaha ekonomi produktif</t>
  </si>
  <si>
    <t>PERPUSTAKAAN</t>
  </si>
  <si>
    <t>Dinas Perpustakaan dan Arsip Daerah</t>
  </si>
  <si>
    <t>Program pengembangan budaya baca dan pembinaan perpustakaan</t>
  </si>
  <si>
    <t>Pemasyarakatan minat dan kebiasaan membaca untuk mendorong terwujudnya masyarakat pembelajar</t>
  </si>
  <si>
    <t>3</t>
  </si>
  <si>
    <t>KABUPATEN  JAYAPURA</t>
  </si>
  <si>
    <t>PROGRAM PENDIDIKAN ANAK USIA DINI</t>
  </si>
  <si>
    <t>Penyediaan Insentif Guru atau Pendamping Berprestasi</t>
  </si>
  <si>
    <t>PROGRAM PENINGKATAN MUTU PENDIDIK DAN TENAGA KEPENDIDIKAN</t>
  </si>
  <si>
    <t>Honor dan Insentif Guru Khusus SD, SMP, SMA dan SMK</t>
  </si>
  <si>
    <t>PROGRAM MANAJEMEN PELAYANAN PENDIDIKAN</t>
  </si>
  <si>
    <t>Bantuan Pendidikan Bagi Mahasiswa</t>
  </si>
  <si>
    <t>BADAN KEPEGAWAIAN DAN PENGEMBANGAN SUMBER DAYA MANUSIA (BKPSDM)</t>
  </si>
  <si>
    <t>PROGRAM PENDIDIKAN TINGGI</t>
  </si>
  <si>
    <t>Afirmasi Pendidikan Tinggi</t>
  </si>
  <si>
    <t>PROGRAM UPAYA KESEHATAN MASYARAKAT</t>
  </si>
  <si>
    <t>Penyelenggaraan Pencegahan dan Pemberantasan Penyakit Menular dan Wabah</t>
  </si>
  <si>
    <t>Peningkatan Kesehatan Masyarakat</t>
  </si>
  <si>
    <t>Penyediaan Biaya Operasional dan Pemeliharaan</t>
  </si>
  <si>
    <t>Rekruitmen Tenaga Kesehatan</t>
  </si>
  <si>
    <t>PROGRAM PENCEGAHAN DAN PENANGGULANGAN PENYAKIT MENULAR</t>
  </si>
  <si>
    <t>Pelayanan Pencegahan dan Penanggulangan Penyakit Menular</t>
  </si>
  <si>
    <t>Penanggulangan Penyakit TB</t>
  </si>
  <si>
    <t>UPT. RUMAH SAKIT UMUM DAERAH YOWARI</t>
  </si>
  <si>
    <t>PROGRAM OBAT DAN PERBEKALAN KESEHATAN</t>
  </si>
  <si>
    <t>Pengadaan Obat dan Perbekalan Kesehatan</t>
  </si>
  <si>
    <t>PROGRAM PENGADAAN, PENINGKATAN SARANA DAN PRASARANA RUMAH SAKIT, RUMAH SAKIT JIWA / RUMAH SAKIT PARU-PARU / RUMAH SAKIT MATA</t>
  </si>
  <si>
    <t>Pengadaan obat-obatan Rumah Sakit</t>
  </si>
  <si>
    <t>DINAS PEKERJAAN UMUM DAN PENATAAN RUANG</t>
  </si>
  <si>
    <t>PROGRAM PEMBANGUNAN INFRASTRUKTUR PEDESAAN</t>
  </si>
  <si>
    <t>Pembangunan Sarana dan Prasarana Air Bersih Kampung OAP</t>
  </si>
  <si>
    <t>DINAS KOPERASI, USAHA MIKRO, KECIL DAN MENENGAH</t>
  </si>
  <si>
    <t>Pengembangan UMKM Pengelola SDA Lokal</t>
  </si>
  <si>
    <t>PROGRAM PEMBINAAN DAN PENDAMPINGAN PELAKU USAHA EKONOMI KERAKYATAN</t>
  </si>
  <si>
    <t>Pemberian Bantuan Fasilitas dan Permodalan</t>
  </si>
  <si>
    <t>DINAS KELAUTAN DAN PERIKANAN</t>
  </si>
  <si>
    <t>PROGRAM PEMBERDAYAAN EKONOMI MASYARAKAT PESISIR</t>
  </si>
  <si>
    <t>Pembinaan Kelompok Ekomomi Masyarakat Pesisir</t>
  </si>
  <si>
    <t>PROGRAM PENGEMBANGAN BUBIDAYA PERIKANAN</t>
  </si>
  <si>
    <t>Pendampingan pada Kelompok Tani Pembudidaya Ikan</t>
  </si>
  <si>
    <t>PROGRAM PENGEMBANGAN PERIKANAN TANGKAP</t>
  </si>
  <si>
    <t>Penyediaan Peralatan Tangkap Bagi Nelayan OAP</t>
  </si>
  <si>
    <t>DINAS KEBUDAYAAN DAN PARIWISATA</t>
  </si>
  <si>
    <t>PROGRAM PENGEMBANGAN DESTINASI PARIWISATA</t>
  </si>
  <si>
    <t>Pengembangan Daerah Tujuan Wisata</t>
  </si>
  <si>
    <t>DINAS TANAMAN PANGAN DAN HORTIKULTURA</t>
  </si>
  <si>
    <t>PROGRAM PENINGKATAN KETAHANAN PANGAN (PERTANIAN/PERKEBUNAN)</t>
  </si>
  <si>
    <t>Pengembangan Intensifikasi Tanaman Padi, Palawija</t>
  </si>
  <si>
    <t>Pengembangan Pertanian pada Lahan Kering</t>
  </si>
  <si>
    <t>Pengembangan Perbenihan/Pembibitabn</t>
  </si>
  <si>
    <t>DINAS PERKEBUNAN DAN PETERNAKAN</t>
  </si>
  <si>
    <t>PROGRAM PENINGKATAN PENERAPAN TEKNOLOIGI PERTANIAN/PERKEBUNAN</t>
  </si>
  <si>
    <t>Pelatihan dan Bimbhingan Pengoperasian Teknologi Pertanian/Perkebunan Tepat Guna</t>
  </si>
  <si>
    <t>PROGRAM PENINGKATAN PRODUKSI PERTANIAN/PERKEBUNAN</t>
  </si>
  <si>
    <t>Penyediaan Sarana Produksi Pertanian/Perkebunan</t>
  </si>
  <si>
    <t>Pengembangan Komoditas Unggulan Perkebunan Spesifik Papua</t>
  </si>
  <si>
    <t>PROGRAM PENCEGAHAN DAN PENANGGULANGAN PENYAKIT TERNAK</t>
  </si>
  <si>
    <t>Pemeliharaan Kesehatan dan Pencegahan Penyakit Menular Ternak</t>
  </si>
  <si>
    <t>PROGRAM PENINGKATAN PRODUKSI HASIL PETERNAKAN</t>
  </si>
  <si>
    <t>Pengembangan Agribisnis Peternakan</t>
  </si>
  <si>
    <t>DINAS SOSIAL</t>
  </si>
  <si>
    <t>PROGRAM PEMBERDAYAAN FAKIR MISKIN, KOMUNITAS ADAT TERPENCIL (KAT) DAN PENYANDANG MASALAH KESEJAHTERAAN SOSIAL (PMKS) LAINNYA</t>
  </si>
  <si>
    <t>Pelatihan Keterampilan Berusaha Bagi Keluarga Miskin</t>
  </si>
  <si>
    <t>Pengadaan Sarana dan Prasarana Pendukung Usaha Bagi Keluarga Miskin</t>
  </si>
  <si>
    <t>PROGRAM PEMBINAAN ANAK TERLANTAR</t>
  </si>
  <si>
    <t>Pelatihan Keterampilan dan Praktek Belajar Kerja Bagi Anak Terlantar</t>
  </si>
  <si>
    <t>INSPEKTORAT</t>
  </si>
  <si>
    <t>PROGRAM PENINGKATAN SISTEM PENGAWASAN INTERNAL DAN PENGENDALIAN PELAKSANAAN KEBIJAKAN KDH</t>
  </si>
  <si>
    <t>Pelaksanaan Pengawasan Dana Otonomi Khusus</t>
  </si>
  <si>
    <t>BADAN PERENCANAAN PEMBANGUNAN DAERAH</t>
  </si>
  <si>
    <t>PROGRAM PERENCANAAN PEMBANGUNAN DAERAH</t>
  </si>
  <si>
    <t>Monitoring, Evaluasi dan Pelaporan Pelaksanaan Rencana Pembangunan Daerah</t>
  </si>
  <si>
    <t>DINAS PEMBERDAYAAN PEREMPUAN DAN PERLINDUNGAN ANAK</t>
  </si>
  <si>
    <t>PROGRAM PENINGKATAN PERAN SERTA &amp; KESETARAAN JENDER DALAM PEMBANGUNAN</t>
  </si>
  <si>
    <t>Bimbingan Manajemen Usaha Bagi Perempuan Dalam Mengelola Usaha</t>
  </si>
  <si>
    <t>BADAN PENGELOLA KEUANGAN DAN ASET DAERAH (SKPKD)</t>
  </si>
  <si>
    <t>Belanja Hibah Kepada Badan/Lembaga/Organisasi</t>
  </si>
  <si>
    <t>4</t>
  </si>
  <si>
    <t xml:space="preserve">KABUPATEN  NABIRE </t>
  </si>
  <si>
    <t>BIDANG PENDIDIKAN</t>
  </si>
  <si>
    <t>Penyediaan Insentif guru atau guru pendamping</t>
  </si>
  <si>
    <t>PROGRAM WAJIB BELAJAR PENDIDIKAN DASAR 9 TAHUN (JENJANG SD)</t>
  </si>
  <si>
    <t>Pengadaan Guru Kontrak</t>
  </si>
  <si>
    <t>Penambahan Ruang kelas SD Reguler atau SD-SMP Satu Atap</t>
  </si>
  <si>
    <t>PROGRAM WAJIB BELAJAR PENDIDIKAN DASAR 9 TAHUN (SMP)</t>
  </si>
  <si>
    <t>Pengadaan Pendidik (Guru Kontrak)</t>
  </si>
  <si>
    <t>Penyediaan Biaya Operasional Pendukung Kegiatan Ekstrakulikuler</t>
  </si>
  <si>
    <t>Badan Pengelola Keuangan dan Aset Daerah</t>
  </si>
  <si>
    <t>Dukungan Beasiswa S-1 untuk Siswa-siswi SMA OAP Berprestasi Secara Terbatas Untuk Jurusan Yang sangat dibutuhkan Dalam Pembangunan Daerah</t>
  </si>
  <si>
    <t>BIDANG KESEHATAN</t>
  </si>
  <si>
    <t>PROGRAM PENINGKATAN KESELAMATAN IBU MELAHIRKAN DAN ANAK</t>
  </si>
  <si>
    <t>Peningkatan Dan Pemeliharaan Kesehatan Ibu Dan Bayi Baru Lahir Orang Asli Papua</t>
  </si>
  <si>
    <t>PROGRAM PENCEGAHAN DAN PENAGGULANGAN PENYAKIT MENULAR</t>
  </si>
  <si>
    <t>Pencegahan dan Penanggulangan penyakit malaria</t>
  </si>
  <si>
    <t>Pencegahan dan Penanggulangan penyakit polio</t>
  </si>
  <si>
    <t>Pengadaan obat dan perbekalan kesehatan puskesmas dan jaringannya</t>
  </si>
  <si>
    <t>Peningkatan mutu penggunaan obat dan perbekalan kesehatan</t>
  </si>
  <si>
    <t>Peningkatan pelayanan dan penaggulangan masalah kesehatan</t>
  </si>
  <si>
    <t>Penyelenggaraan penyehatan lingkungan, dan monitoring, evaluasi dan pelaporan</t>
  </si>
  <si>
    <t>Pelayanan kesehatan bagi Orang Asli Papua di puskesmas dan jaringannya</t>
  </si>
  <si>
    <t>Peningkatan kesehatan masyarakat</t>
  </si>
  <si>
    <t>PROGRAM PERBAIKAN GIZI MASYARAKAT</t>
  </si>
  <si>
    <t>Pemberian makanan tambahan kepada bayi, balita dan ibu hamil</t>
  </si>
  <si>
    <t>Perbaikan Gizi masayarakat</t>
  </si>
  <si>
    <t>PROGRAM PENGADAAN, PENINGKATAN SARANA DAN PRASARANA RUMAH SAKIT/RUMAH SAKIT JIWA/RUMAH SAKIT PARU-PARU/RUMAH SAKIT MATA</t>
  </si>
  <si>
    <t>Penyediaan Makanan bagi Pasien</t>
  </si>
  <si>
    <t>Dinas Pemberdayaan Perempuan dan Perlindungan Anak</t>
  </si>
  <si>
    <t>PROGRAM KELUARGA BERENCANA</t>
  </si>
  <si>
    <t>Pembinaan Keluarga OAP</t>
  </si>
  <si>
    <t>Peningkatan pelayanan dan penanggulangan masalah kesehatan orang asli Papua</t>
  </si>
  <si>
    <t>PROGRAM PROMOSI MAKANAN SEHAT DAN BERGIZI BAGI MASYARAKAT</t>
  </si>
  <si>
    <t>Promosi keanekaragaman konsumsi makanan yang cukup dan bergizi</t>
  </si>
  <si>
    <t>Penyedian PMT anak sekolah</t>
  </si>
  <si>
    <t>PROGRAM SUMBER DAYA KESEHATAN</t>
  </si>
  <si>
    <t>Pelatihan Pos Kesehatan</t>
  </si>
  <si>
    <t>BIDANG EKONOMI RAKYAT</t>
  </si>
  <si>
    <t xml:space="preserve">Dinas Perdagangan </t>
  </si>
  <si>
    <t>PROGRAM PEMBINAAN KAKILIMA DAN ASONGAN</t>
  </si>
  <si>
    <t>Penataan tempat berusaha bagi pedagang kakilima dan asongan</t>
  </si>
  <si>
    <t>Dinas Perindustrian</t>
  </si>
  <si>
    <t>PROGRAM PENGEMBANGAN INDUTRI KECIL DAN MENENGAH</t>
  </si>
  <si>
    <t>Fasilitasi bagi industri kecil menengah terhadap pemanfaatan sumber daya</t>
  </si>
  <si>
    <t>Pembinaan industri kecil dan menengah terhadap pemanfaatan sumber daya</t>
  </si>
  <si>
    <t>Pembinaan industri kecil dan menengah dalam memperkuat jaringan kloter industri</t>
  </si>
  <si>
    <t xml:space="preserve">Dinas Perikanan </t>
  </si>
  <si>
    <t>Penyediaan peralatan tangkap bagi nelayan OAP</t>
  </si>
  <si>
    <t>Pembinaan kelompok ekonomi masyarakat pesisir</t>
  </si>
  <si>
    <t>PROGRAM PENGEMBANGAN BUDIDAYA PERIKANAN</t>
  </si>
  <si>
    <t>Pendampingan kelompok pembudidaya</t>
  </si>
  <si>
    <t>Dinas Kebudayaan Parawisata Pemuda dan Olahraga</t>
  </si>
  <si>
    <t>Pengembangan daerah tujuan wisata</t>
  </si>
  <si>
    <t>PROGRAM PENINGKATAN KETAHANAN PANGAN (PERTANIAN DAN PERKEBUNAN)</t>
  </si>
  <si>
    <t>Penanganan pasca panen dan pengelolaan hasil pertanian</t>
  </si>
  <si>
    <t>PROGRAM PENINGKATAN PENERAPAN TEKNOLOGI PERTANIAN/PERKEBUNAN</t>
  </si>
  <si>
    <t>Pengadaan teknologi pertanian/perkebunan tepat guna</t>
  </si>
  <si>
    <t>Dinas Peternakan</t>
  </si>
  <si>
    <t>PROGRAM PENINGKATAN PRODUKSI PERKEBUNAN</t>
  </si>
  <si>
    <t>Pengembangan komoditas unggulan yang dikembangkan</t>
  </si>
  <si>
    <t>Pembangunan sarana dan prasarana pembibitan ternak</t>
  </si>
  <si>
    <t>BIDANG INFRASTRUKTUR DASAR</t>
  </si>
  <si>
    <t xml:space="preserve">PROGRAM PEMBANGUNAN INFRASTRUKTUR PERDESAAN </t>
  </si>
  <si>
    <t>Pembangunan Jembatan Gantung</t>
  </si>
  <si>
    <t>Dinas Komunikasi dan Informatika</t>
  </si>
  <si>
    <t>PROGRAM PENGEMBANGAN TEKNOLOGI INFORMASI</t>
  </si>
  <si>
    <t>Penyediaan Sarana dan Prasarana Telekomunikasi Kampung</t>
  </si>
  <si>
    <t>Pelatihan Teknis OP Telekomunikasi Kampung</t>
  </si>
  <si>
    <t>PROGRAM PEMBANGUNAN SARANA DAN PRASARANA PERHUBUNGAN</t>
  </si>
  <si>
    <t>Pembangunan tambatan perahu rakyat</t>
  </si>
  <si>
    <t>Pelayanan angkutan umu</t>
  </si>
  <si>
    <t>Dinas Perumahan Rakyat dan Kawasan Permukiman</t>
  </si>
  <si>
    <t xml:space="preserve">PROGRAM PENGEMBANGAN PERUMAHAN </t>
  </si>
  <si>
    <t>Fasilitasi dan stimulasi pembangunan perumahan masyarakat kurang mampu</t>
  </si>
  <si>
    <t>BIDANG AFIRMASI</t>
  </si>
  <si>
    <t>PROGRAM PENINGKATAN KUALITAS HIDUP DAN PERLINDUNGAN PEREMPUAN</t>
  </si>
  <si>
    <t>Upaya perlindungan perempuan di kampung-kampung dan daerah pedalaman</t>
  </si>
  <si>
    <t>Pelatihan bagi pelatih (TOT) SDM Pelayanan dan pendampingan korban KDRT</t>
  </si>
  <si>
    <t>Pelaksanaan kebijakan perlindungan perempuan OAP di Distrik dan Kampung-kampung</t>
  </si>
  <si>
    <t>Fasilitasi upaya perlindungan perempuan terhadap tindak kekerasan</t>
  </si>
  <si>
    <t>PROGRAM PENINGKATAN PERAN SERTA DAN KESETARAAN JENDER DALAM PEMBANGUNAN</t>
  </si>
  <si>
    <t>Pembinaan Organisasi Perempuan</t>
  </si>
  <si>
    <t>PROGRAM PENGUATAN KLEMBAGAAN PENGARUSUTAMAAN GENDER DAN ANAK</t>
  </si>
  <si>
    <t>Workshop peningkatan peran perempuan OAP dalam pengambil keputusan</t>
  </si>
  <si>
    <t>BIDANG PERENCANAAN, PENGENDALIAN DAN PENGAWASAN</t>
  </si>
  <si>
    <t>Badan Perencanaan Pembangunan, Penelitian dan Pengembangan Daerah</t>
  </si>
  <si>
    <t>PROGRAM PERENCANAAN PENGGUNAAN DANA OTONOMI KHUSUS</t>
  </si>
  <si>
    <t>Penyiapan Data/Informasi Perencanaan Program/Kegiatan Prioritas Otonomi Khusus Yang Terpilah Pada Orang Asli Papua</t>
  </si>
  <si>
    <t>Koordinasi Penyusunan  dan Pembahasan URD Penggunaan Dana Otonomi Khusus Kabupaten/Kota</t>
  </si>
  <si>
    <t>PROGRAM MONITORING DAN EVALUASI PENGGUNAAN DANA OTONOMI KHUSUS</t>
  </si>
  <si>
    <t>Monitoring Reguler dan Monitoring Terpadu/Kolaborasi Pelaksanaan Program/Kegiatan Otonomi Khusus Dua Puluh Persen Delapan Puluh Persen (80%) Bagian Kabupaten/Kota</t>
  </si>
  <si>
    <t>Penyusunan dan Penyampaian Laporan Pelaksanaan Penggunaan Dana Otonomi Khusus Delapan Puluh Persen (80%) Bagian Kabupaten/Kota Kepada Gubernur</t>
  </si>
  <si>
    <t>Evaluasi Hasil Pelaksanaan Program/Kegiatan Otonomi Khusus Delapan Puluh Persen (80%) Bagian Kabupaten/Kota</t>
  </si>
  <si>
    <t>PROGRAM PERTANGGUNG JAWABAN KINERJA</t>
  </si>
  <si>
    <t>Penyusunan Laporan Pertanggungjawaban Anggaran Penggunaan Dana Otonomi Khusus Kabupaten/Kota</t>
  </si>
  <si>
    <t>Penelitian/Kajian Kinerja Program/Kegiatan Yang Didanai Dari Dana Otonomi Khusus</t>
  </si>
  <si>
    <t>Pengawasan Dan Pemeriksaan Internal Atas Pelaksanaan Program Dan Kegiatan Yang Dibiayai Dengan Dana Otonomi Khusus, Yang Dilaksanakan Oleh Inspektorat Kabupaten/kota (otsus)</t>
  </si>
  <si>
    <t>BIDANG LAINNYA</t>
  </si>
  <si>
    <t>Dinas Kependudukan dan Catatan Sipil</t>
  </si>
  <si>
    <t>PROGRAM PENATAAN ADMINISTRASI KEPENDUDUKAN</t>
  </si>
  <si>
    <t>Penyusunan kebijakan kependudukan OAP</t>
  </si>
  <si>
    <t>Implementasi Sistem administrasi kependudukan OAP (membangun, updating dan pemeliharaan)</t>
  </si>
  <si>
    <t>Dinas Lingkungan Hidup</t>
  </si>
  <si>
    <t>PROGRAM PERLINDUNGAN DAN KONSERVASI SUMBER DAYA ALAM</t>
  </si>
  <si>
    <t>Peningkatan konservasi daerah tangkapan air dan sumber-sumber air</t>
  </si>
  <si>
    <t>5</t>
  </si>
  <si>
    <t xml:space="preserve">KABUPATEN  KEP. YAPEN </t>
  </si>
  <si>
    <t>DINAS PENDIDIKAN DAN KEBUDAYAAN</t>
  </si>
  <si>
    <t xml:space="preserve">PENYELENGGARAAN PAUD NON-FORMAL DAN FORMAL </t>
  </si>
  <si>
    <t>INSENTIF GURU / TUTOR TK DAN PAUD</t>
  </si>
  <si>
    <t>PEMBANGUNAN PAGAR TK NEGERI PEMBINA SERUI</t>
  </si>
  <si>
    <t>PROGRAM WAJIB BELAJAR PENDIDIKAN DASAR 9 TAHUN (SD)</t>
  </si>
  <si>
    <t>BANTUAN OPERASONAL SEKOLAH SD</t>
  </si>
  <si>
    <t xml:space="preserve">PENGADAAN MEBELEUR SD NEGERI AUSEM </t>
  </si>
  <si>
    <t>PEMBANGUNAN RKB SD NEG KUMPEKI, AUSEM, KARAWI</t>
  </si>
  <si>
    <t>REHABILITASI GEDUNG SEKOLAH SD INPRES 2 MENAWI</t>
  </si>
  <si>
    <t>PENGADAAN BEASISWA MELANJUTKAN (TRANSISI) UNTUK SISWA ASLI PAPUA</t>
  </si>
  <si>
    <t>PENYEDIAAN BIAYA OPERASIONAL PENDUKUNG KEGIATAN EKSTRAKURIKULER</t>
  </si>
  <si>
    <t>BANTUAN OPERASIONAL SEKOLAH SMP</t>
  </si>
  <si>
    <t>PROGRAM PENDIDIKAN MENENGAH ATAS (SMA)</t>
  </si>
  <si>
    <t>PENYEDIAAN BIAYA HIDUP DAN TEMPAT TINGGAL BAGI SISWA DILUAR DOMISILI YANG BERSEKOLAH DI SMA TIDAK BERASRAMA (DALAM KABUPATEN)</t>
  </si>
  <si>
    <t>PENGADAAN MAKAN MINUM SISWA SISWI BERASRAMA</t>
  </si>
  <si>
    <t>BIAYA OPERASIONAL PENDUKUNG KEGIATAN EKSTRAKURIKULER</t>
  </si>
  <si>
    <t>PROGRAM PENDIDIKAN MENENGAH KEJURUAN (SMK)</t>
  </si>
  <si>
    <t>PENYEDIAAN BIAYA OPERASIONAL PRAKERIN</t>
  </si>
  <si>
    <t>PROGRAM PENDIDIKAN NON-FORMAL DAN IN FORMAL</t>
  </si>
  <si>
    <t>PENYELENGGARAAN PENDIDIKAN NON FORMAL KEAKSARAAN DASAR (KF DAN PELATIHAN KETERAMPILAN KERJA)</t>
  </si>
  <si>
    <t>PROGRAM PENDIDIKAN TIINGGI</t>
  </si>
  <si>
    <t>PENYEDIAAN DUKUNGAN BIDANG PENDIDIKAN BAGI PENGEMBANGAN POTENSI WILAYAH SESUAI PETA KOMODITAS UNGGULAN DAERAH</t>
  </si>
  <si>
    <t>KEGIATAN PENDIDIKAN LAIN YANG MEMENUHI KRITERIA MENDESAK DAN RELEVAN UNTUK KEPENTINGAN DAERAH</t>
  </si>
  <si>
    <t>BADAN KEUANDAN DAN PERNDAPATAN DAERAH</t>
  </si>
  <si>
    <t>BELANJA HIBAH KEPADA PERGURUAN TINGGI</t>
  </si>
  <si>
    <t>DUKUNGAN BEASISWA S-1 UNTUK SISWA SISWI SMA OAP BERPRESTASI SECARA TERBATAS UNTUK JURUSAN YANG SANGAT DIBUTUHKAN DALAM PEMBANGUNAN DAERAH</t>
  </si>
  <si>
    <t>BOSDA SEKOLAH SWASTA</t>
  </si>
  <si>
    <t>BOSDA SD SWASTA (OTSUS)</t>
  </si>
  <si>
    <t>BOSDA SMA SWASTA (OTSUS)</t>
  </si>
  <si>
    <t>PERTOLONGAN PERSALINAN BAGI IBU DAN KELUARGA KURANG MAMPU ORANG ASLI PAPUA</t>
  </si>
  <si>
    <t>PROGRAM PENINGKATAN PELAYANAN KESEHATAN ANAK BALITA</t>
  </si>
  <si>
    <t>IMUNISASI BAGI ANAK BALITA ORANG ASLI PAPUA</t>
  </si>
  <si>
    <t>PELAYANAN KIE BAGI KELUARGA OAP</t>
  </si>
  <si>
    <t>PENCEGAHAN DAN PENANGGULANGAN PENYAKIT MALARIA</t>
  </si>
  <si>
    <t>PENCEGAHAN DAN PENANGGULANGAN PENYAKIT IMS, HIV, DAN AIDS</t>
  </si>
  <si>
    <t>PENGADAAN OBAT DAN PERBEKALAN KESEHATAN PUSKESMAS DAN JARINGANNYA</t>
  </si>
  <si>
    <t>PENINGKATAN PEMERATAAN OBAT DAN PERBEKALAN KESEHATAN</t>
  </si>
  <si>
    <t>PELAYANAN KEFARMASIAN DAN ALAT KESEHATAN</t>
  </si>
  <si>
    <t>PENINGKATAN PELAYANAN DAN PENANGGULANGAN MASALAH KESEHATAN</t>
  </si>
  <si>
    <t>PENYELENGGARAAN PENYEHATAN LINGKUNGAN DAN MONITORING EVALUASI PELAPORAN</t>
  </si>
  <si>
    <t>PENINGKATAN KESEHATAN MASYARAKAT</t>
  </si>
  <si>
    <t>PENINGKATAN PELAYANAN DAN PENANGGULANGAN MASALAH KESEHATAN ORANG ASLI PAPUA</t>
  </si>
  <si>
    <t>PENDIDIKAN DAN PELATIHAN TENAGA KESEHATAN</t>
  </si>
  <si>
    <t>RUMAH SAKIT UMUM DAERAH SERUI</t>
  </si>
  <si>
    <t>PROGRAM PELAYANAN KESEHATAN RUJUKAN</t>
  </si>
  <si>
    <t>PELAYANAN KESEHATAN RUJUKAN BAGI PASIEN ORANG ASLI  PAPUA DI RUMAH SAKIT</t>
  </si>
  <si>
    <t>PENCEGAHAN DAN PENANGGULANGAN PENYAKIT IMS, HIV DAN AIDS</t>
  </si>
  <si>
    <t>PELAYANAN KESEHATAN RUJUKAN BAGI PASIEN ORANG ASLI PAPUA</t>
  </si>
  <si>
    <t>PROGRAM PENGADAAN, PENINGKATAN SARANA DAN PRASARANA RUMAH SAKIT/ RUMAH SAKIT JIWA/ RUMAH SAKIT PARU-PARU/ RUMAH SAKIT MATA</t>
  </si>
  <si>
    <t>PENYEDIAAN ALAT KESEHATAN</t>
  </si>
  <si>
    <t>PENYEDIAAN OBAT-OBATAN</t>
  </si>
  <si>
    <t>PENYEDIAAN BAHAN LOGISTIK</t>
  </si>
  <si>
    <t>PENYEDIAAN MAKANAN BAGI PASIEN RUMAH SAKIT</t>
  </si>
  <si>
    <t>BADAN KEUANGAN DAN PENDAPATAN DAERAH</t>
  </si>
  <si>
    <t>PEMBERIAN BANTUAN FASILITAS PERMODALAN DAN PEMASARAN HASIL PRODUKSI</t>
  </si>
  <si>
    <t>DINAS PERTANIAN DAN KETAHANAN PANGAN</t>
  </si>
  <si>
    <t>PENGEMBANGAN PERTANIAN PADA LAHAN KERING</t>
  </si>
  <si>
    <t>PENGEMBANGAN KOMODITAS UNGGULAN PERKEBUNAN SPESIFIK PAPUA</t>
  </si>
  <si>
    <t>INTENSIFIKASI TANAMAN PERKEBUNAN</t>
  </si>
  <si>
    <t>PEMELIHARAAN KESEHATAN DAN PENCEGAHAN PENYAKIT MENULAR TERNAK</t>
  </si>
  <si>
    <t>PENDISTRIBUSIAN BIBIT TERNAK KEPADA MASYARAKAT</t>
  </si>
  <si>
    <t xml:space="preserve">DINAS PERIKANAN </t>
  </si>
  <si>
    <t>PENYEDIAAN PERALATAN TANGKAP BAGI NELAYAN OAP</t>
  </si>
  <si>
    <t>PEMBINAAN KELOMPOK EKONOMI MASYARAKAT PESISIR</t>
  </si>
  <si>
    <t>PENDAMPINGAN PADA KELOMPOK TANI PEMBUDIDAYA IKAN</t>
  </si>
  <si>
    <t>DINAS PEKERJAAN UMUM DAN PERUMAHAN RAKYAT</t>
  </si>
  <si>
    <t>PROGRAM PENGEMBANGAN KINERJA PENGELOLAAN AIR MINUM DAN AIR LIMBAH</t>
  </si>
  <si>
    <t>PENGEMBANGAN SISTEM DISTRIBUSI AIR MINUM</t>
  </si>
  <si>
    <t>DINAS PEMBERDAYAAN MASYARAKAT KAMPUNG</t>
  </si>
  <si>
    <t>PROGRAM PENGEMBANGAN PERUMAHAN</t>
  </si>
  <si>
    <t>PEMBANGUNAN RUMAH LAYAK HUNI BAGI MASYARAKAT ASLI PAPUA</t>
  </si>
  <si>
    <t>BADAN PERENCANAAN DAN PEMBANGUNAN DAERAH</t>
  </si>
  <si>
    <t>KOORDINASI PENYUSUNAN DAN PEMBAHASAN URD PENGGUNAAN DANA OTONOMI KHUSUS KABUPATEN/ KOTA</t>
  </si>
  <si>
    <t>MONITORING REGULER DAN MONITORING TERPADU/ KOLABORASI PELAKSANAAN PROGRAM / KEGIATAN OTSUS 80 % BAGI KABUPATEN/ KOTA</t>
  </si>
  <si>
    <t xml:space="preserve">BADAN KEUANGAN DAN PENDAPATAN DAERAH </t>
  </si>
  <si>
    <t>PROGRAM PEMBERDAYAAN LEMBAGA KEAGAMAAN (BIDANG AFIRMASI)</t>
  </si>
  <si>
    <t>PEMBERDAYAAN LEMBAGA LEMBAGA KEAGAMAAN UNTUK MENDUKUNG KELANCARAN TUGAS TUGAS PEMBINAAN DAN PELAYANAN KEAGAMAAN</t>
  </si>
  <si>
    <t>6</t>
  </si>
  <si>
    <t>KABUPATEN  BIAK  NUMFOR</t>
  </si>
  <si>
    <t>Penyelenggaraan PAUD Non-Formal dan Formal ( OTSUS )</t>
  </si>
  <si>
    <t>Pengadaan Guru Kontrak Jenjang SD ( OTSUS )</t>
  </si>
  <si>
    <t>Penyelenggaraan Pendidikan Kejar Paket A Jenjang SD ( OTSUS )</t>
  </si>
  <si>
    <t>Penunjang Ujian Nasional SD ( OTSUS )</t>
  </si>
  <si>
    <t>Pengadaan Pendidik Guru Kontrak Jenjang SMP ( OTSUS )</t>
  </si>
  <si>
    <t>Penyelenggaraan Pendidikan Kejar Paket B Jenjang SMP  ( OTSUS )</t>
  </si>
  <si>
    <t>Pengadaan Komputer dan ICT Untuk Pembelajaran Interaktif dan Pangkalan ( OTSUS )</t>
  </si>
  <si>
    <t>Penunjang Ujian Nasional SMP ( OTSUS )</t>
  </si>
  <si>
    <t>Penyediaan Biaya Operasional bagi Lembaga Penyelenggara KF ( OTSUS )</t>
  </si>
  <si>
    <t>Program pendidikan tinggi</t>
  </si>
  <si>
    <t>Kegiatan Pendidikan Lainnya yanng memenuhi Kriteria mendesak dan Relevan Untuk Kepentingan Daerah ( OTSUS )</t>
  </si>
  <si>
    <t>Sanggar Kegiatan Belajar</t>
  </si>
  <si>
    <t>Penyediaan Insentif guru atau guru pendamping ( OTSUS )</t>
  </si>
  <si>
    <t>Pengadaaan obat dan perbekalan kesehatan</t>
  </si>
  <si>
    <t>Pemeliharaan dan pemulihan kesehatan ( OTSUS )</t>
  </si>
  <si>
    <t>Penyelenggaraan pencegahan dan pemberantasan penyakit menular dan wabah</t>
  </si>
  <si>
    <t>Imunisasi Bagi Anak Balita Orang Asli Papua ( OTSUS )</t>
  </si>
  <si>
    <t>Pelayanan Vaksinasi Bagi Balita dan Anak Sekolah Orang Asli Papua ( OTSUS )</t>
  </si>
  <si>
    <t>Pelayanan Kesehatan Bagi Orang Asli Papua di Puskesmas Jaringan ( OTSUS )</t>
  </si>
  <si>
    <t>Pelayanan kesehatan rujukan bagi pasien orang asli papua (OTSUS)</t>
  </si>
  <si>
    <t xml:space="preserve">Pemberian makanan tambahan kepada bayi, balita, dan ibu hamil </t>
  </si>
  <si>
    <t>KIE Pemamdfaatan Mennu Seimbang dan Makanan Lokal Setempat ( OTSUS )</t>
  </si>
  <si>
    <t xml:space="preserve">Pencegahan dan penanggulangan Penyakit IMS dan HIV/AIDS </t>
  </si>
  <si>
    <t>Pencegahan dan Penanggulangan Pennyakit Malaria ( OTSUS )</t>
  </si>
  <si>
    <t>Pencegahan dan Penanggulangan Penyakit TB Paru (OTSUS )</t>
  </si>
  <si>
    <t>Pencegahan dan Penanggulangan Penyakit Kusta (OTSUS )</t>
  </si>
  <si>
    <t>Pencegahan dan Penanggulangan Penyakit Demam Berdarah dan Dengue (DBD)  (OTSUS )</t>
  </si>
  <si>
    <t>Pencegahan dan Penanggulangan Penyakit ISPA (OTSUS )</t>
  </si>
  <si>
    <t>Program pengadaan, peningkatan dan perbaikan sarana dan prasarana puskesmas/puskesmas pembantu dan jaringannya</t>
  </si>
  <si>
    <t>Pengadaaan sarana dan prasarana puskesmas pembantu</t>
  </si>
  <si>
    <t xml:space="preserve">Peningkatan dan pemeliharaan kesehatan ibu dan bayi baru lahir OAP </t>
  </si>
  <si>
    <t>Program Jaminan Kesehatan Masyarakat Asli Papua</t>
  </si>
  <si>
    <t>Pelayanan Kesehatan Bagi Orang Asli Papua (OTSUS)</t>
  </si>
  <si>
    <t>Program pengembangan kinerja pengelolaan air minum dan air limbah</t>
  </si>
  <si>
    <t xml:space="preserve">Pembangunan PAH (Penampungan Air Hujan) Rumah Masyarakat </t>
  </si>
  <si>
    <t>Badan Perencanaan dan Pembangunan Daerah</t>
  </si>
  <si>
    <t>Program Perencanaan Pembangunan Dana Otsus</t>
  </si>
  <si>
    <t>Koordinasi penyusunan dan pembahasan URD Penggunaan Dana OtonomiKhusus Kabupaten/Kota (Otsus)</t>
  </si>
  <si>
    <t>Program Monitoring dan Evaluasi Penggunaan Dana Otonomi Khusus</t>
  </si>
  <si>
    <t>Monitoring reguler dan monitoring terpadu /kolaborasi pelaksanaan program/ kegiatan  Otonomi Khusus delapan puluh persen (80%) bagian Kab.Kota</t>
  </si>
  <si>
    <t>Publikasi hasil-hasil pelaksanaan prog/kegiatan otonomi khusus delapan puluh persen (80%) bag. Kab Kota kepada masrakat</t>
  </si>
  <si>
    <t>Program Pelayanan Administrasi Perkantoran</t>
  </si>
  <si>
    <t>Program peningkatan sarana dan prasarana aparatur</t>
  </si>
  <si>
    <t>Pengadaan mebeleur</t>
  </si>
  <si>
    <t>Program Pemberdayaan Fakir Miskin, Komunitas Adat Terpencil (KAT) dan Penyandang Masalah Kesejahteraan Sosial (PMKS) Lainnya</t>
  </si>
  <si>
    <t>Pemberian Jaminan Hidup bagi OAP Penyandang Masalah Kesejahteraan Sosial ( OTSUS )</t>
  </si>
  <si>
    <t>Pengadaan sarana dan prasarana pendukung usaha bagi keluarga miskin OAP ( OTSUS )</t>
  </si>
  <si>
    <t>Dinas Koperasi Usaha Mikro Kecil dan menengah</t>
  </si>
  <si>
    <t>Penciptaan wirausaha baru khususnya wirausaha asli papua (Otsus)</t>
  </si>
  <si>
    <t xml:space="preserve">Peningkatan kualitas manajemen UKM </t>
  </si>
  <si>
    <t>Pembinaan Koperasi Pranserta Masyarakat Adat Asli Papua (KOPERMAS) ( OTSUS )</t>
  </si>
  <si>
    <t>Belanja Hibah kepada Badan/Lembaga/Organisasi</t>
  </si>
  <si>
    <t>Inspektorat Daerah</t>
  </si>
  <si>
    <t>Program Pertanggungjawaban Kinerja</t>
  </si>
  <si>
    <t>Pengawasan dan Pemeriksaan Internal atas pelaksanan program dan kegiatan yang dibiayai dengan dana Otonomi Khusus, yang dilaksanakan oleh Inspektorat Kabupaten/Kota (OTSUS)</t>
  </si>
  <si>
    <t>Dinas Pariwisata</t>
  </si>
  <si>
    <t>Program Pengembangan Pemasaran Pariwisata</t>
  </si>
  <si>
    <t>Pelatihan pemandu wisata terpadu</t>
  </si>
  <si>
    <t>Program Pengembangan Destinasi Pariwisata</t>
  </si>
  <si>
    <t xml:space="preserve">Pelatihan Pengelola Objek Wisata (Pelatihan kuliner khas Papua) </t>
  </si>
  <si>
    <t xml:space="preserve">Pelatihan Pembuatan Souvenir menggunakan bahan lokal </t>
  </si>
  <si>
    <t xml:space="preserve">Peningkatan Pembangunan sarana prasarana (OTSUS) </t>
  </si>
  <si>
    <t>Program Pengembangan Kemitraan</t>
  </si>
  <si>
    <t>Peningkatan kapasitas SDM pelaku usaha pariwisata OAP</t>
  </si>
  <si>
    <t>Pemilihan insos-kabor</t>
  </si>
  <si>
    <t>Dinas Pertanian dan Ketahanan Pangan</t>
  </si>
  <si>
    <t>Program Peningkatan Kesejahteraan Petani</t>
  </si>
  <si>
    <t>Pelatihan petani dan pelaku agribisnis ( OTSUS )</t>
  </si>
  <si>
    <t>Program Peningkatan Ketahanan Pangan pertanian/perkebunan</t>
  </si>
  <si>
    <t>Penanganan pasca panen dan pengolahan hasil pertanian (OTSUS)</t>
  </si>
  <si>
    <t>Pengembangan diverisifikasi tanaman</t>
  </si>
  <si>
    <t>Pengembangan perbinihan/perbibitan</t>
  </si>
  <si>
    <t>Pengembangan Pertanian pada Lahan Kering ( OTSUS )</t>
  </si>
  <si>
    <t>Peningkatan Mutu dan Keamanan Pangan ( OTSUS )</t>
  </si>
  <si>
    <t>Peningkatan Produksi, Produktifitas dan Mutu Produk Peerkebunan, Produk Pertanian (OTSUS )</t>
  </si>
  <si>
    <t>Pengadaan Teknologi Peertanian/Perkebunan tepat Guna (OTSUS )</t>
  </si>
  <si>
    <t>Pembelian dan pendistribusian vaksin dan pakan temak ( OTSUS )</t>
  </si>
  <si>
    <t>Program peningkatan Produksi Perkebunan</t>
  </si>
  <si>
    <t xml:space="preserve">Pengembangan komoditas unggulan perkebunan spesifik Papua </t>
  </si>
  <si>
    <t>7</t>
  </si>
  <si>
    <t>KABUPATEN  PANIAI</t>
  </si>
  <si>
    <t>Penyelenggaraan PAUD Non Formal dan Formal (Otsus)</t>
  </si>
  <si>
    <t>Pengadaan Buku Penunjang, Alat Tulis Siswa dan Pengayaan Siswa Serta Alat Peraga (Otsus)</t>
  </si>
  <si>
    <t>Penyelenggaraan Pendidikan Non Formal Keaksaraan Dasar (KF dan Keterampilan Kerja) (Otsus)</t>
  </si>
  <si>
    <t>Program Wajib Belajar Pendidikan Dasar Sembilan Tahun (SMP)</t>
  </si>
  <si>
    <t>Penyediaan Buku Penunjang Pembelajaran dan Pengayaan Siswa (Otsus)</t>
  </si>
  <si>
    <t>Penyelenggaraan Pendidikan Kejar Paket B (Otsus)</t>
  </si>
  <si>
    <t>Pelatihan Kompetensi Khusus Bagi Tenaga Pendidik dan Tenaga Kepandidikan, Life Skill Pencegahan HIV dan AIDS (Otsus)</t>
  </si>
  <si>
    <t>Penyediaan Beasiswa Melanjutkan (Transisi) Untuk Siswa asli Papua (Otsus)</t>
  </si>
  <si>
    <t>Pengadaan Komputer dan ICT Untuk Pembelajaran Interaktif dan Pangkalan Data Pendidikan (Otsus)</t>
  </si>
  <si>
    <t>Pengadaan Meubelair dan Perlengkapan Pendukung Ruang Kelas, Ruang Guru, UKS Perpustakaan, Asrama (Otsus)</t>
  </si>
  <si>
    <t>Penyediaan Pakaian Seragam Sekolah (Otsus)</t>
  </si>
  <si>
    <t>Program Wajib Belajar Pendidikan Dasar Sembilan Tahun (SD)</t>
  </si>
  <si>
    <t>Penyediaan Guru Kontrak (Otsus)</t>
  </si>
  <si>
    <t>Pelatihan Kopetensi Bagi Tenaga Pendidik dan Tenaga Kependidikan, Termasuk Life Skill Pencegahan HIV/AIDS (Otsus)</t>
  </si>
  <si>
    <t>Penyediaan Beasiswa Melanjutkan (transisi) Untuk Siswa Asli Papua Ke Jenjang SMP (Otsus)</t>
  </si>
  <si>
    <t>Rehabilitasi Gedung SD Reguler (Otsus)</t>
  </si>
  <si>
    <t>Penunjang Ujian Nasional SD (Otsus)</t>
  </si>
  <si>
    <t>Pendistribusian Obat (Handling Cost) (OTSUS)</t>
  </si>
  <si>
    <t>Program Promosi Kesehatan dan Pemberdayaan Masyarakat</t>
  </si>
  <si>
    <t>Penyuluhan dan Bimbingan Makanan Sehat Dan Bergizi Kepada Masyarakat (OTSUS)</t>
  </si>
  <si>
    <t>Pemberian Makanan Tamabahan Kepada Bayi, Balita dan Ibu Hamil (OTSUS)</t>
  </si>
  <si>
    <t>Peningkatan imuniasasi (OTSUS)</t>
  </si>
  <si>
    <t>Pelayanan pencegahan dan penanggulangan penyakit Malaria (Otsus)</t>
  </si>
  <si>
    <t>Pencegahan dan Penanggulangan IMS dan HIV/AIDS (OTSUS)</t>
  </si>
  <si>
    <t>Pencegahan dan Penanggulangan Penyakit TB Paru (OTSUS)</t>
  </si>
  <si>
    <t>Penyakit TB Paru, Pengendalian Penyakit ISPA, Pengendalian Penyakit HIV/AIDS dan PMS (OTSUS)</t>
  </si>
  <si>
    <t>Program peningkatan pelayanan kesehatan anak balita</t>
  </si>
  <si>
    <t>Penyediaan Tenaga Kesehatan Bayi dan Balita Orang Asli Papua (Otsus)</t>
  </si>
  <si>
    <t>Program Peningkatan Sumberdaya Kesehatan Masyarakat</t>
  </si>
  <si>
    <t>Pendidikan dan Pelatiahan Tenaga Kesehatan (Otsus)</t>
  </si>
  <si>
    <t>Penunjang Klinik Bersalin (Otsus)</t>
  </si>
  <si>
    <t>Peningkatan Kualitas SDM Kesehatan Melalui Penyediaan Beasiswa D-III, S-I, S-II Kesehatan (OTSUS)</t>
  </si>
  <si>
    <t>Rumah Sakit Umum Daerah (RSUD)</t>
  </si>
  <si>
    <t>Pengadaaan Obat dan Perbekalan Kesehatan Rumah Sakit (Otsus)</t>
  </si>
  <si>
    <t>Pelayanan Jaminan Kesehatan Kepada OAP (Otsus)</t>
  </si>
  <si>
    <t>Pembangunan Sarana dan Prasarana Air Bersih Pedesan</t>
  </si>
  <si>
    <t>Pembangunan Sarana dan Prasarana Air Bersih Perdesaan di Distrik Bayabiru (OTSUS)</t>
  </si>
  <si>
    <t>Pembangunan Sarana dan Prasarana Air Bersih Perdesaan di Distrik Dumadama (OTSUS)</t>
  </si>
  <si>
    <t>Dinas Perumahan dan Kawasan Pemukiman</t>
  </si>
  <si>
    <t>Pembangunan Rumah Layak Huni Bagi Masyarakat Asli Papua</t>
  </si>
  <si>
    <t>Dinas Ketahanan Pangan</t>
  </si>
  <si>
    <t>Pelatihan Petani dan Pelaku Agrobisnis (OTSUS)</t>
  </si>
  <si>
    <t>Peningkatan Sistem Insentif dan Disinsentif/Kelompok Tani (OTSUS)</t>
  </si>
  <si>
    <t>Program Perlindungan dan Konservasi Sumber Daya Alam</t>
  </si>
  <si>
    <t>Perlindungan dan Konservasi Daerah Tangkapan Air dan Sumber-Sumber Air (OTSUS)</t>
  </si>
  <si>
    <t>Dinas Pengendalian Penduduk dan Keluarga Berencana</t>
  </si>
  <si>
    <t>Program Keluarga Berencana</t>
  </si>
  <si>
    <t>Pembinaan Keluarga Berencana OAP Bagi PPKBD dan SUB PPKBD (OTSUS)</t>
  </si>
  <si>
    <t>Program Pengembangan Bidang Telekomunikasi</t>
  </si>
  <si>
    <t>Pelatihan Teknis OP Telekomunikasi Kampung (OTSUS)</t>
  </si>
  <si>
    <t>Dinas Koperasi dan Usaha Kecil Menengah</t>
  </si>
  <si>
    <t>Penciptaan Wirausaha Baru Khususnya Wirausaha Asli Papua (OTSUS)</t>
  </si>
  <si>
    <t>Pembinaan Koperasi Peran Serta Masyarakat Adat Asli Papua (OTSUS)</t>
  </si>
  <si>
    <t>Program Pengembangan Perikanan Tangkap</t>
  </si>
  <si>
    <t>Pendampingan pada kelompok nelayan perikanan tangkap OAP (OTSUS)</t>
  </si>
  <si>
    <t>Dinas Peternakan dan Perkebunan</t>
  </si>
  <si>
    <t>Pelatihan dan bimbingan pengoperasian teknologi pertanian/perkebunan tepat guna (Peternakan) (OTSUS)</t>
  </si>
  <si>
    <t>Pengembangan bibit unggul komoditas perkebunan spesifik Papua (OTSUS)</t>
  </si>
  <si>
    <t>Pembibitan dan perawatan ternak (OTSUS)</t>
  </si>
  <si>
    <t>Pembelian dan Pendistribusian vaksin dan pakan ternak (OTSUS)</t>
  </si>
  <si>
    <t>Dinas Perindustrian dan Perdagangan</t>
  </si>
  <si>
    <t>Penataan Tempat Usaha Bagi Pedagang Kaki Lima (OTSUS)</t>
  </si>
  <si>
    <t>Pembangunan Gedung Penyimpanan Barang Kakilima dan Asongan (OTSUS)</t>
  </si>
  <si>
    <t>Program Peningkatan Sistem Pengawasan Internal dan Pengendalian Pelaksanaan Kebijakan KDH</t>
  </si>
  <si>
    <t>Pelaksanaan Pengawasan pada Kegiatan Sumber Dana OTSUS</t>
  </si>
  <si>
    <t>Pelaksanaan Reviu Laporan OTSUS</t>
  </si>
  <si>
    <t>Program Perencanaan Penggunaan Dana Otonomi Khusus</t>
  </si>
  <si>
    <t>Koordinasi Penyusunan dan Pembahasan URD Penggunaan Dana Otonomi Khusus Kabupaten/Kota</t>
  </si>
  <si>
    <t>Monitoring Reguler dan Monitoring Terpadu/Kolaborasi Pelaksanaan Program/Kegiatan Otonomi Khusus Dua Puluh Persen Delapan puluh Persen</t>
  </si>
  <si>
    <t>Badan Keuangan dan Aset Daerah</t>
  </si>
  <si>
    <t>Program Peningkatan dan Pengembangan Pengelolaan Keuangan Daerah</t>
  </si>
  <si>
    <t>Penyusunan dan Pelaporan Realisasi yang Bersumber dari Dana Otonomi Khusus (OTSUS)</t>
  </si>
  <si>
    <t>Badan Keuangan dan Aset Daerah (SKPKD)</t>
  </si>
  <si>
    <t>Belanja Hibah kepada PKK</t>
  </si>
  <si>
    <t>- Hibah Kepada PKK (OTSUS)</t>
  </si>
  <si>
    <t>Belanja Hibah kepada Dharma Wanita</t>
  </si>
  <si>
    <t>- Hibah Kepada Dharma Wanita (OTSUS)</t>
  </si>
  <si>
    <t>Belanja Hibah kepada Lembaga Masyarakat Adat</t>
  </si>
  <si>
    <t>- LMA</t>
  </si>
  <si>
    <t>Belanja Hibah Kepada FKUB (Forum Komunikasi antar Umat Beragama)</t>
  </si>
  <si>
    <t>- Hibah Kepada FKUB (OTSUS)</t>
  </si>
  <si>
    <t>Belanja Hibah kepada Dewan Adat</t>
  </si>
  <si>
    <t>- Hibah Kepada DAP (OTSUS)</t>
  </si>
  <si>
    <t>Belanja Hibah kepada MRP</t>
  </si>
  <si>
    <t>- Hibah Kepada MRP (OTSUS)</t>
  </si>
  <si>
    <t>Belanja Hibah Kepada Lembaga Yamewa</t>
  </si>
  <si>
    <t>- Hibah Kepada Lembaga Yamewa (OTSUS)</t>
  </si>
  <si>
    <t>Belanja Hibah Kepada UD. Paniai Sejahtera</t>
  </si>
  <si>
    <t>- Belanja Hibah Kepada UD.Paniai Sejahtera</t>
  </si>
  <si>
    <t>Belanja Hibah kepada Lembaga Pendidikan Yayasan Cahaya dan Terang untuk Papua (CTUP)</t>
  </si>
  <si>
    <t>- Hibah Kepada Yayasan Cahaya dan Terang Untuk Papua (OTSUS)</t>
  </si>
  <si>
    <t>Belanja Hibah Kepada Lembaga Pendidikan YPA</t>
  </si>
  <si>
    <t>- Hibah Kepada Lembaga Pendidikan YPA (OTSUS)</t>
  </si>
  <si>
    <t>Belanja Hibah Kepada Lembaga Pendidikan  Peradaban Koteka Moge Paniai</t>
  </si>
  <si>
    <t>- HIbah Kepada Lembaga Pendidikan Peradaban Koteka Moge Paniai (OTSUS)</t>
  </si>
  <si>
    <t>Belanja Hibah Kepada Yayasan Sejahtera Financial Mandiri (SERAFIM)</t>
  </si>
  <si>
    <t>- Hibah Kepada Yayasan Sejahtera Financial Mandiri (SERAFIM)</t>
  </si>
  <si>
    <t>Belanja Hibah kepada Kelompok/Anggota Masyarakat</t>
  </si>
  <si>
    <t>Hibah kepada Pesparawi</t>
  </si>
  <si>
    <t>- Hibah kepada Pesparawi (OTSUS)</t>
  </si>
  <si>
    <t>Belanja Hibah Kepada Sekber Bangga Papua</t>
  </si>
  <si>
    <t>- Belanja Hibah Kepada Sekber Bangga Papua (OTSUS)</t>
  </si>
  <si>
    <t>Belanja Hibah kepada Organisasi Keagamaan</t>
  </si>
  <si>
    <t>Belanja Hibah kepada Panitia Pembangunan Gedung Gereja Katolik di Komopa</t>
  </si>
  <si>
    <t>- Hibah Kepada Gereja Katholik di Komopa (OTSUS)</t>
  </si>
  <si>
    <t>Belanja Hibah kepada Panitia Pembangunan Gereja Katolik Salib Suci di Madi</t>
  </si>
  <si>
    <t>- Hibah Kepada Gereja Katholik Salib Suci Madi (OTSUS)</t>
  </si>
  <si>
    <t>Belanja Hibah Kepada Klasis Obano</t>
  </si>
  <si>
    <t>- Hibah Kepada Klasis Obano (OTSUS)</t>
  </si>
  <si>
    <t>Belanja Hibah kepada Pastori Gereja Berkat Makidimi</t>
  </si>
  <si>
    <t>- Hibah kepada Pastori Gereja Berkat Makimi (OTSUS)</t>
  </si>
  <si>
    <t>Belanja Hibah kepada Gereja Khatolik Biamoma</t>
  </si>
  <si>
    <t>- Hibah kepada Gereja Khatolik Biamoma (OTSUS)</t>
  </si>
  <si>
    <t>Belanja Hibah kepada Sinode Kingmi</t>
  </si>
  <si>
    <t>- Hibah kepada Sinode Kingmi (OTSUS)</t>
  </si>
  <si>
    <t>Belanja Hibah kepada Klasis Komopa</t>
  </si>
  <si>
    <t>- Hibah kepada Klasis Komopa (OTSUS)</t>
  </si>
  <si>
    <t>Belanja Hibah Kepada Gereja Katolik Deta</t>
  </si>
  <si>
    <t>- HIbah Kepada Gereja Katolik Deta (OTSUS)</t>
  </si>
  <si>
    <t>Belanja  Hibah Kepada Klasis Kebo</t>
  </si>
  <si>
    <t>- Hibah Kepada Klasis Kebo (OTSUS)</t>
  </si>
  <si>
    <t>Belanja  Hibah Kepada Klasis Ekadide</t>
  </si>
  <si>
    <t>- Hibah Kepada Klasis Ekadide (OTSUS)</t>
  </si>
  <si>
    <t>Belanja  Hibah Kepada Klasis Bogobaida</t>
  </si>
  <si>
    <t>- Hibah Kepada Klasis Bogobaida (OTSUS)</t>
  </si>
  <si>
    <t>Belanja  Hibah Kepada Klasis Siriwo</t>
  </si>
  <si>
    <t>- Hibah Kepada Klasis Siriwo (OTSUS)</t>
  </si>
  <si>
    <t>Belanja  Hibah Kepada Gereja Elsadai Madi</t>
  </si>
  <si>
    <t>- HIbah Kepada Gereja Elsadai Madi</t>
  </si>
  <si>
    <t>Belanja  Hibah Kepada Gereja Kingmi Dumadama</t>
  </si>
  <si>
    <t>- Hibah Kepada Gereja Kingmi Dumadama (OTSUS)</t>
  </si>
  <si>
    <t>Belanja Hibah Kepada Pengurus GKII</t>
  </si>
  <si>
    <t>- Belanja Hibah Kepada Pengurus GKII (OTSUS)</t>
  </si>
  <si>
    <t>Belanja Bantuan Sosial Kepada Individu, Keluarga dan atau Masyarakat Untuk Pemberdayaan Sosial</t>
  </si>
  <si>
    <t>Belanja Bantuan Usaha melalui Kegiatan Usaha di Gereja-Gereja</t>
  </si>
  <si>
    <t>- Bantuan Usaha Melalui Kegiatan Usaha di Gereja - Gereja (OTSUS)</t>
  </si>
  <si>
    <t>Bantuan Modal Usaha Batik Papua, Paniai</t>
  </si>
  <si>
    <t>- Bantuan Modal Usaha Batik Papua - Paniai</t>
  </si>
  <si>
    <t>Belanja Bantuan Modal Usaha Tukang Ojek dan Motoris Danau</t>
  </si>
  <si>
    <t>- Bantuan Modal Usaha Tukang Ojek dan Motoris Danau (OTSUS)</t>
  </si>
  <si>
    <t>Belanja Bantuan Modal Usaha Petani Kopi</t>
  </si>
  <si>
    <t>- Bantuan Modal Usaha Bagi Petani Kopi (OTSUS)</t>
  </si>
  <si>
    <t>Belanja Bantuan Modal Usaha Pencucian Mobil/Motor</t>
  </si>
  <si>
    <t>- Bantuan Modal Usaha Pencucian Mobil (OTSUS)</t>
  </si>
  <si>
    <t>Belanja Bantuan Modal Usaha Ekonomi Lainnya</t>
  </si>
  <si>
    <t>- Bantuan Modal Usaha Ekonomi Lainnya (OTSUS)</t>
  </si>
  <si>
    <t>Belanja Bantuan Sosial Tenaga Kependidikan</t>
  </si>
  <si>
    <t>- Bantuan Biaya Tenaga Kependidikan (Tenaga Guru Kontrak)</t>
  </si>
  <si>
    <t>Belanja Bantuan Sosial Studi</t>
  </si>
  <si>
    <t>Belanja Bantuan Sosial untuk Bantuan Pemondokan</t>
  </si>
  <si>
    <t>- Belanja Bantuan Pemondokan (OTSUS)</t>
  </si>
  <si>
    <t>Belanja Bantuan Sosial Beasiswa S1 (Pendidikan Umum)</t>
  </si>
  <si>
    <t>- Belanja Bantuan Beasiswa S1 (OTSUS)</t>
  </si>
  <si>
    <t>8</t>
  </si>
  <si>
    <t>KABUPATEN  PUNCAK  JAYA</t>
  </si>
  <si>
    <t>PENGADAAN MAKANAN TAMBAHAN SISWA BERBAHAN LOKAL SESUAI DENGAN USIA TUMBUH KEMBANG ANAK (OTSUS 2019)</t>
  </si>
  <si>
    <t>PENYELENGGARAAN PAUD NON-FORMAL DAN FORMAL (OTSUS 2019)</t>
  </si>
  <si>
    <t>PENYEDIAAN INSENTIF GURU ATAU GURU PENDAMPING (OTSUS 2020)</t>
  </si>
  <si>
    <t>PROGRAM WAJIB BELAJAR PENDIDIKAN DASAR SEMBILAN TAHUN</t>
  </si>
  <si>
    <t>PENYELENGGARAAN PENDIDIKAN KEJAR PAKET A (SD) (OTSUS 2019)</t>
  </si>
  <si>
    <t>PENYELENGGARAAN PENDIDIKAN KEJAR PAKET B (SMP) (OTSUS 2019)</t>
  </si>
  <si>
    <t>PENYEDIAAN BIAYA OPERASIONAL KEGIATAN EKSTRAKURIKULER SD) (OTSUS 2019)</t>
  </si>
  <si>
    <t>PENYEDIAAN TUNJANGAN KHUSUS GURU DI DAERAH TERPENCIL DAN TERISOLIR (SD) (OTSUS 2020)</t>
  </si>
  <si>
    <t>BANTUAN OPERASIONAL SEKOLAH SD (OTSUS 2020)</t>
  </si>
  <si>
    <t>PENUNJANG UJIAN NASIONAL SD (OTSUS 2020)</t>
  </si>
  <si>
    <t>PENYEDIAAN TUNJANGAN KHUSUS GURU DI DAERAH TERPENCIL DAN TERISOLIR (SMP) (OTSUS 2020)</t>
  </si>
  <si>
    <t>BANTUAN OPERASIONAL SEKOLAH SMP (OTSUS 2020)</t>
  </si>
  <si>
    <t>PENUNJANG UJIAN NASIONAL SMP (OTSUS 2020)</t>
  </si>
  <si>
    <t>PELATIHAN KOMPETENSI KHUSUS BAGI TENAGA PENDIDIK DAN TENAGA KEPENDIDIKAN, TERMASUK LIFE SKILL PENCEGAHAN HIV DAN AIDS (OTSUS 2020)</t>
  </si>
  <si>
    <t>PROGRAM PENDIDIKAN MENENGAH</t>
  </si>
  <si>
    <t>PENGADAAN PENDIDIK (GURU KONTRAK) (OTSUS 2020)</t>
  </si>
  <si>
    <t>PENGADAAN TENAGA KEPENDIDIKAN (TU, PETUGAS PERPUSTAKAAN, PETUGAS LABORATORIUM, PENJAGA SEKOLAH, TENAGA KEBERSIHAN,  PENGELOLA ASRAMA) (SMA) (OTSUS 2020)</t>
  </si>
  <si>
    <t>PENUNJANG UJIAN NASIONAL SMA/SMK (OTSUS 2020)</t>
  </si>
  <si>
    <t>PENGADAAN TENAGA KEPENDIDIKAN (TU, PETUGAS PERPUSTAKAAN, PETUGAS LABORATORIUM/BENGKEL, PENJAGA SEKOLAH, TENAGA KEBERSIHAN,  PENGELOLA ASRAMA) (SMK) OTSUS 2020)</t>
  </si>
  <si>
    <t>PENGADAAN PENDIDIK (GURU KONTRAK) DAN TUTOR AHLI (SMK) (OTSUS 2020)</t>
  </si>
  <si>
    <t>PROGRAM PENDIDIKAN NON FORMAL</t>
  </si>
  <si>
    <t>PENYEDIAAN BIAYA OPERASIONAL BAGI LEMBAGA PENYELENGGARA PENDIDIKAN BAGI KELOMPOK ADAT TERPENCIL (OTSUS 2019)</t>
  </si>
  <si>
    <t>PENGADAAN OBAT DAN PERBEKALAN KESEHATAN (OTSUS)</t>
  </si>
  <si>
    <t>PENYELENGGARAAN PENCEGAHAN DAN PEMBERANTASAN PENYAKIT MENULAR DAN WABAH (OTSUS 2020)</t>
  </si>
  <si>
    <t>PENINGKATAN KESEHATAN MASYARAKAT (OTSUS 2020)</t>
  </si>
  <si>
    <t>PEMELIHARAAN DAN PEMULIHAN KESEHATAN (OTSUS 2019)</t>
  </si>
  <si>
    <t>PEMBERIAN MAKANAN TAMBAHAN KEPADA BAYI, BALITA DAN IBU HAMIL (OTSUS 2019)</t>
  </si>
  <si>
    <t>PERBAIKAN GIZI MASYARAKAT (OTSUS 2019)</t>
  </si>
  <si>
    <t>PENCEGAHAN DAN PENANGGULANGAN PENYAKIT MALARIA (OTSUS 2020)</t>
  </si>
  <si>
    <t>PENCEGAHAN DAN PENANGGULANGAN PENYAKIT IMS, HIV DAN AIDS (OTSUS 2020)</t>
  </si>
  <si>
    <t>PENCEGAHAN DAN PENANGGULANGAN PENYAKIT TB PARU (OTSUS 2020)</t>
  </si>
  <si>
    <t>PENCEGAHAN DAN PENANGGULANGAN PENYAKIT FILARIASIS (OTSUS 2020)</t>
  </si>
  <si>
    <t>PENGADAAN OBAT-OBATAN RUMAH SAKIT (OTSUS RSUD 2019)</t>
  </si>
  <si>
    <t>PENYEDIAAN ALAT KESEHATAN (OTSUS RSUD 2019)</t>
  </si>
  <si>
    <t>PROGRAM JAMINAN KESEHATAN MASYARAKAT ASLI PAPUA</t>
  </si>
  <si>
    <t>PELAYANAN KESEHATAN BAGI ORANG ASLI PAPUA (OTSUS 2019)</t>
  </si>
  <si>
    <t>PENANGGULANGAN MASALAH KESEHATAN MASYARAKAT ASLI PAPUA (OTSUS 2019)</t>
  </si>
  <si>
    <t>PROGRAM PEMBANGUNAN INFRASTRUKTUR PERDESAAAN</t>
  </si>
  <si>
    <t>PEMBANGUNAN/PENINGKATAN JALAN LINGKUNGAN KAMPUNG TINGGINAMBUT - TINGGINERI</t>
  </si>
  <si>
    <t>PEMBANGUNAN_RUMAH LAYAK HUNI BAGI MASYARAKAT ASLI PAPUA</t>
  </si>
  <si>
    <t>PROGRAM  PERENCANAAN PEMBANGUNAN DAERAH</t>
  </si>
  <si>
    <t>MONITORING REGULER DAM MONITORING TERPADU/KOLABORASI PELAKSANAAN PROGRAM/KEGIATAN OTONOMI KHUSUS DELAPAN PULUH PERSEN (80%) BAGIAN (OTSUS 2020)</t>
  </si>
  <si>
    <t>DINAS LINGKUNGAN HIDUP PERKEBUNAN DAN PETERNAKAN</t>
  </si>
  <si>
    <t>PROGRAM PENINGKATAN PEMASARAN HASIL PRODUKSI PERTANIAN/PERKEBUNAN</t>
  </si>
  <si>
    <t>PROMOSI ATAS HASIL PRODUKSI PERTANIAN/PERKEBUNAN UNGGUL DAERAH (OTSUS 2019)</t>
  </si>
  <si>
    <t>PEMELIHARAAN KESEHATAN DAN PENCEGAHAN PENYAKIT MENULAR TERNAK (OTSUS 2019)</t>
  </si>
  <si>
    <t>DINAS KEPENDUDUKAN DAN PENCATATAN SIPIL</t>
  </si>
  <si>
    <t>PENGEMBANGAN DATA BASE KEPENDUDUKAN OAP (OTSUS 2019)</t>
  </si>
  <si>
    <t>IMPLEMENTASI SISTEM ADMINISTRASI KEPENDUDUKAN OAP (MEMBANGUN, UPDATING DAN PEMELIHARAAN) (OTSUS 2020)</t>
  </si>
  <si>
    <t>DINAS PEMBERDAYAAN PEREMPUAN DAN KELUARGA BERENCANA</t>
  </si>
  <si>
    <t>PENDIDIKAN DAN PELATIHAN PENINGKATAN PERAN SERTA DAN KESETARAAN GENDER (OTSUS 2019)</t>
  </si>
  <si>
    <t>PROGRAM PEMBERDAYAAN LEMBAGA KEAGAMAAN</t>
  </si>
  <si>
    <t>PEMBERDAYAAN LEMBAGA-LEMBAGA KEAGAMAAN UNTUK MENDUKUNG KELANCARAN TUGAS TUGAS PEMBINAAN DAN PELAYANAN KEAGAMAAN (OTSUS 2019)</t>
  </si>
  <si>
    <t>DUKUNGAN BEASISWA S-1 UNTUK SISWA-SISWI SMA SMA OAP BERPRESTASI SECARA TERBATAS UNTUK JURUSAN YANG SANGAT DIBUTUHKAN DALAM PEMBANGUNGAN DAERAH (OTSUS 2019)</t>
  </si>
  <si>
    <t>PENYEDIAAN DUKUNGAN BIDANG PENDIDIKAN BAGI PENGEMBANGAN POTENSI WILAYAH SESUAI PETA KOMODITAS UNGGULAN DAERAH (OTSUS 2019)</t>
  </si>
  <si>
    <t>DINAS KETAHANAN PANGAN</t>
  </si>
  <si>
    <t>PROGRAM PENINGKATAN KESEJAHTERAAN PETANI</t>
  </si>
  <si>
    <t>DINAS TENAGA KERJA</t>
  </si>
  <si>
    <t>PROGRAM PENGEMBANGAN SISTEM PENDUKUNG USAHA BAGI USAHA MIKRO KECIL MENENGAH</t>
  </si>
  <si>
    <t>PEMBERDAYAAN KEWIRAUSAHAAN KELOMPOK PENGUSAHA OAP PRODUK LOCAL (OTSUS 2020)</t>
  </si>
  <si>
    <t>PROGRAM PEMBINAAN DAN PENGEMBANGAN BIDANG KETENAGALISTRIKAN</t>
  </si>
  <si>
    <t>PERLUASAN JARINGAN LISTRIK KAMPUNG (OTSUS 2020)</t>
  </si>
  <si>
    <t>SATUAN POLISI PAMONG PRAJA</t>
  </si>
  <si>
    <t>PENGEMBANGAN MODEL PENDIDIKAN KEAKSARAAN YANG SESUAI DENGAN KONDISI SOSIAL BUDAYA SETEMPAT (OTSUS 2020)</t>
  </si>
  <si>
    <t>DINAS PERTANIAN DAN PERIKANAN</t>
  </si>
  <si>
    <t>PROGRAM PENINGKATAN KETAHANAN PANGAN PERTANIAN/PERKEBUNAN</t>
  </si>
  <si>
    <t>PENGEMBANGAN PERBINIHAN/PERBIBITAN (OTSUS 2020)</t>
  </si>
  <si>
    <t>PENGEMBANGAN PERTANIAN PADA LAHAN KERING (OTSUS 2020)</t>
  </si>
  <si>
    <t>PENGEMBANGAN LAHAN PERTANIAN TANAMAN PANGAN (UBI JALAR) (OTSUS 2020)</t>
  </si>
  <si>
    <t>PENGEMBANGAN BIBIT IKAN UNGGUL (OTSUS 2020)</t>
  </si>
  <si>
    <t>PROGRAM PENGEMBANGAN KAWASAN BUDIDAYA LAUT, AIR PAYAU DAN AIR TAWAR</t>
  </si>
  <si>
    <t>REHABILITASI SARANA BUDIAYA AIR TAWAR/PAYAU (OTSUS 2020)</t>
  </si>
  <si>
    <t>PROGRAM PENINGKATAN KEBERDAYAAN MASYARAKAT PEDESAAN</t>
  </si>
  <si>
    <t>PENGUATAN FUNGSI DAN PERAN LEMBAGA MASYARAKAT ADAT ASLI PAPUA DALAM MELINDUNGI DAN MENGATUR HAK ULAYAT MAUPUN HAK PERORANGAN MASYARAKAT ADAT (OTSUS 2019)</t>
  </si>
  <si>
    <t xml:space="preserve"> DINAS PARIWISATA PEMUDA DAN OLAHRAGA</t>
  </si>
  <si>
    <t>PROGRAM PEMBINAAN DAN PEMASYARAKATAN OLAHRAGA</t>
  </si>
  <si>
    <t>PEMBINAAN ATLET YANG BERPRESTASI (OTSUS 2020)</t>
  </si>
  <si>
    <t>DINAS PERINDUSTRIAN DAN PERDAGANGAN</t>
  </si>
  <si>
    <t>PEMBINAAN MANAJAMEN USAHA DAN KETRAMPILAN USAHA MINI MIKRO, MIKRO DAN KECIL (OTSUS 2019)</t>
  </si>
  <si>
    <t>PROGRAM PEMBINAAN PEDAGANG KAKI LIMA DAN ASONGAN</t>
  </si>
  <si>
    <t>PENATAAN TEMPAT BERUSAHA BAGI PEDAGANG KAKILIMA DAN ASONGAN (OTSUS 2019)</t>
  </si>
  <si>
    <t>9</t>
  </si>
  <si>
    <t>KABUPATEN MIMIKA</t>
  </si>
  <si>
    <t>Pogram Wajib Belajar Pendidikan Dasar 9 Tahun (jenjang) SD</t>
  </si>
  <si>
    <t>Pengadaan Tenaga Pendidik (honor/kontrak)</t>
  </si>
  <si>
    <t>Pengadaan Makan Minum Siswa/siswi dan guru SD kecil berbasis bahan makanan lokal</t>
  </si>
  <si>
    <t>Pogram Wajib Belajar Pendidikan Dasar 9 Tahun (jenjang) SMP</t>
  </si>
  <si>
    <t>Pengadaan Pendidik (Guru Kontrak )</t>
  </si>
  <si>
    <t>Pengadaan makanan tambahan untuk SMP reguler berbasis komoditas lokal</t>
  </si>
  <si>
    <t>Program Pelayanan Kesehatan Rujukan</t>
  </si>
  <si>
    <t>Penanggulangan masalah kesehatan Masyarakat Asli papua</t>
  </si>
  <si>
    <t>Program Pencegahan dan Penanggulangan Penyakit menular</t>
  </si>
  <si>
    <t>Pencegahan dan penanggulangan TB baru</t>
  </si>
  <si>
    <t>Pengadaan Peralatan dan perbekalan kesehatan termasuk obat generik ensensial</t>
  </si>
  <si>
    <t>Dinas Perumahan, Kawasan Pemukiman dan Pertanahan</t>
  </si>
  <si>
    <t>Kegiatan Pembangunan Sarana Prasarana Rumah Sederhana Sehat</t>
  </si>
  <si>
    <t>Program Peningkatan Pelayanan Angkutan</t>
  </si>
  <si>
    <t>Peningkatan Pelayanan Angkutan Umum</t>
  </si>
  <si>
    <t>Program Monitoring dan Evaluasi Penggunaan Dana OTSUS</t>
  </si>
  <si>
    <t>Monitoring reguler dan monitoring terpadu/kolaborasi pelaksanaan program kegiatan yang dibiayai dengan dana otsus</t>
  </si>
  <si>
    <t>INSPEKTORAT DAERAH</t>
  </si>
  <si>
    <t>Program Peningkatan sistem pengawasan internal dan Pengendalian pelaksanaan kebijakan  KDH</t>
  </si>
  <si>
    <t>Kegiatan Pegawasan Internal atas Pelaksanaan Program dan Kegiatan Yang Dibiayai dengan Otonomi Khusus</t>
  </si>
  <si>
    <t>Pengembangan Desa Mandiri Pangan</t>
  </si>
  <si>
    <t>DINAS PERIKANAN</t>
  </si>
  <si>
    <t>DINAS TANAMAN PANGAN, HORTIKULAR DAN PERKEBUNAN</t>
  </si>
  <si>
    <t>Program Peningkatan Ketahanan Pangan</t>
  </si>
  <si>
    <t>Pengembangan Pertanian Pada Lahan Kering</t>
  </si>
  <si>
    <t>Peningkatan Produksi, Produktivitas dan mutu produk perkebunan, produk pertanian</t>
  </si>
  <si>
    <t>Penyuluhan dan Pendampingan Petani dan Pelaku Agribisnis</t>
  </si>
  <si>
    <t>Program Peningkatan Produksi Perkebunan</t>
  </si>
  <si>
    <t>DINAS PETERNAKAN DAN KESEHATAN HEWAN</t>
  </si>
  <si>
    <t>Program Peningkatan Produksi Hasil Perternakan</t>
  </si>
  <si>
    <t>Kegiatan Pendistribusian bibit ternak kepada masyarakat</t>
  </si>
  <si>
    <t>DINAS PEREKONOMIAN DAN UKM</t>
  </si>
  <si>
    <t>Program Pengembangan kewirausahaan dan keunggulan kompetitif UKM</t>
  </si>
  <si>
    <t>Penciptaan wirausaha baru khususnya wirausaha asli Papua</t>
  </si>
  <si>
    <t xml:space="preserve"> Program Pemberdayaan Lembaga Keagamaan</t>
  </si>
  <si>
    <t>Pemberdayaan lembaga-lembaga keagamaan untuk mempelancar tugas dan pelayanan keagamaan</t>
  </si>
  <si>
    <t>DINAS PEMBERDAYAAN MASYARKAT DAN KAMPUNG</t>
  </si>
  <si>
    <t>Program Pemberdayaan Lembaga Adat</t>
  </si>
  <si>
    <t>Penguatan fungsi dan peran lembaga masyarakat asli papua dalam melindungi dan mengatur hak ulayat maupun hak perorangan masyarakat adat asli papua</t>
  </si>
  <si>
    <t>Dinas Catatan Sipil</t>
  </si>
  <si>
    <t>Program Penataan Administrasi Kependudukan</t>
  </si>
  <si>
    <t>Pengembangan data base kependudukan</t>
  </si>
  <si>
    <t>10</t>
  </si>
  <si>
    <t xml:space="preserve">KABUPATEN  BOVEN  DIGOEL </t>
  </si>
  <si>
    <t>Penyelenggaraan PAUD Non-Formal dan Formal (OTSUS)</t>
  </si>
  <si>
    <t>Pengadaan makanan tambahan siswa berbahan lokal sesuai dengan usia tumbuh kembang anak (OTSUS)</t>
  </si>
  <si>
    <t>Pengadaan Alat Permainan Edukatif Indoor dan Outdoor  (OTSUS)</t>
  </si>
  <si>
    <t>Program Wajib Belajar Pendidikan Dasar 9 Tahun (Jenjang SD)</t>
  </si>
  <si>
    <t>Pembangunan rumah guru dan kepala sekolah serta perlengkapannya (OTSUS)</t>
  </si>
  <si>
    <t>Penambahan Ruang Kelas SD Reguler atau SD-SMP satu atap (OTSUS)</t>
  </si>
  <si>
    <t>Pengadaan Pakaian Seragam Sekolah (OTSUS)</t>
  </si>
  <si>
    <t>Program Wajib Belajar Pendidikan Dasar 9 Tahun (Jenjang SMP)</t>
  </si>
  <si>
    <t>Pengadaan makan dan minum siswa/siswi SMP berasrama berbasis komoditas lokal (OTSUS)</t>
  </si>
  <si>
    <t>Pembangunan Rumah Dinas Guru dan Kepala Sekolah serta Perlengkapannya (OTSUS)</t>
  </si>
  <si>
    <t>SKPKD</t>
  </si>
  <si>
    <t>Pengadaan beasiswa melanjutkan (transisi) untuk siswa asli Papua ke jenjang SMP (OTSUS)</t>
  </si>
  <si>
    <t>Dukungan beasiswa S1 untuk siswa/siswi SMA SMA OAP berprestasi secara terbatas untuk jurusan yang sangat dibutuhkan dalam pembangunan daerah</t>
  </si>
  <si>
    <t>Pengadaaan Obat dan Perbekalan Kesehatan (OTSUS)</t>
  </si>
  <si>
    <t>Peningkatan pelayanan dan penanggulangan masalah kesehatan (OTSUS)</t>
  </si>
  <si>
    <t>Pengadaan Peralatan dan Perbekalan Kesehatan termasuk obat generik esensial, penyediaan biaya operasional, dan pemeliharaan (OTSUS)</t>
  </si>
  <si>
    <t>Pemberian makanan tambahan kepada bayi, Balita  dan Ibu Hamil ( OTSUS )</t>
  </si>
  <si>
    <t>Pengendalian Penyakit IMS,HIV, dan AIDS (OTSUS)</t>
  </si>
  <si>
    <t>Pengendalian Penyakit TB Paru (OTSUS)</t>
  </si>
  <si>
    <t>Pengendalian Penyakit Kusta (OTSUS)</t>
  </si>
  <si>
    <t>Pengendalian Penyakit Demam Berdarah Dengue (DBD) (OTSUS)</t>
  </si>
  <si>
    <t>Peningkatan dan Pemeliharaan Kesehatan Ibu dan Bayi baru Lahir Orang Asli Papua (OAP) (OTSUS)</t>
  </si>
  <si>
    <t>RUMAH SAKIT UMUM DAERAH</t>
  </si>
  <si>
    <t>Program Pengadaan, Peningkatan Sarana dan Prasarana Rumah Sakit</t>
  </si>
  <si>
    <t>Penyediaan Obat-Obatan (OTSUS)</t>
  </si>
  <si>
    <t>Penyediaan Makanan Bagi Pasien (OTSUS)</t>
  </si>
  <si>
    <t>DINAS PERUMAHAN, KAWASAN PERMUKIMAN, LINGKUNGAN HIDUP DAN PERTANAHAN</t>
  </si>
  <si>
    <t>Pembangunan Rumah Layak Huni bagi Masyarakat Asli Papua (OTSUS)</t>
  </si>
  <si>
    <t>BIDANG BANTUAN AFIRMASI</t>
  </si>
  <si>
    <t>Penguatan Fungsi dan Peran lembaga Masyarakat Adat Asli Papua dalam melindungi dan mengatur hak ulayat maupun hak perorangan masyarakat adat (OTSUS)</t>
  </si>
  <si>
    <t>Program Pemberdayaan Lembaga-lembaga Keagamaan untuk mendukung kelancaran tugas tugas pembinaan dan pelayanan keagamaan (OTSUS)</t>
  </si>
  <si>
    <t>Pembinaan umat meliputi : Pendidikan, ekonomi, dan kesehatan umat (OTSUS)</t>
  </si>
  <si>
    <t>11</t>
  </si>
  <si>
    <t xml:space="preserve">KABUPATEN MAPPI </t>
  </si>
  <si>
    <t>DINAS PENDIDIKAN DAN PENGAJARAN</t>
  </si>
  <si>
    <t xml:space="preserve">PROGRAM PENDIDIKAN ANAK USIA DINI                                                                   </t>
  </si>
  <si>
    <t>PENYELENGARAAN PAUD NON-FORMAL DAN FORMAL</t>
  </si>
  <si>
    <t>PENGADAAN PENDIDIK PAUD NON-FORMAL DAN FORMAL</t>
  </si>
  <si>
    <t>PEMBANGUNAN GEDUNG SEKOLAH PAUD NON-FORMAL DAN FORMAL/TERPADU</t>
  </si>
  <si>
    <t>PENGADAAN ALAT PERMAINAN EDUKATIF INDOOR DAN OUTDOOR</t>
  </si>
  <si>
    <t>REHABILITASI GEDUNG SEKOLAH PAUD NON-FORMAL DAN FORMAL/TERPADU</t>
  </si>
  <si>
    <t xml:space="preserve">PROGRAM WAJIB BELAJAR PENDIDIKAN DASAR SEMBILAN TAHUN (JENJANG SD)                                              </t>
  </si>
  <si>
    <t xml:space="preserve">PENGADAAN TENAGA PENDIDIK (HONOR/KONTRAK)                                                                          </t>
  </si>
  <si>
    <t xml:space="preserve">PEMBANGUNAN RUMAH DINAS GURUDAN  KEPALA SEKOLAH,GURU,PENJAGA SEKOLAH SERTA PERLENGKAPANNYA                                        </t>
  </si>
  <si>
    <t xml:space="preserve">PEMBANGUNAN GEDUNG SD REGULER                                                                              </t>
  </si>
  <si>
    <t>PENGADAAN MEUBELAIR DAN PERLENGKAPAN PENDUKUNG UNTUK RUANG KELAS, RUANG GURU, UKS, PERPUSTAKAAN, ASRAMA</t>
  </si>
  <si>
    <t>PENAMBAHAN RUANG KELAS SD REWGULER ATAU SD-SMP SATU ATAP</t>
  </si>
  <si>
    <t>PENGADAAN ALAT PRAKTIK DAN PERAGA SISWA</t>
  </si>
  <si>
    <t>REHABILITASI RUMAH DINAS KEPALA SEKOLAH, GURU, PENJAGA SEKOLAH</t>
  </si>
  <si>
    <t>REHABILITASI RUANG KELAS</t>
  </si>
  <si>
    <t xml:space="preserve">PROGRAM WAJIB BELAJAR PENDIDIKAN DASAR SEMBILAN TAHUN (JENJANG SMP)                                                                         </t>
  </si>
  <si>
    <t>PENGADAAN PENDIDIK (GURU KONTRAK)</t>
  </si>
  <si>
    <t>PEMBANGUNAN SMP REGULER/BER-ASRAMA</t>
  </si>
  <si>
    <t>PENGADAAN KOMPUTER DAN PERLENGKAPAN INFORMATION COMMUNICATION TECHNOLOGI</t>
  </si>
  <si>
    <t xml:space="preserve">PENGADAAN PENDIDIK (GURU KONTRAK)                                                                        </t>
  </si>
  <si>
    <t>PENGADAAN KOMPUTER DAN ICT UNTUK PEMBELAJARAN INTERAKTIF DAN PANGKALAN DATA PENDIDIKAN</t>
  </si>
  <si>
    <t>PENYEDIAAN BIAYA OPERASIONAL PRAKTIK KERJA INDUSTRI (PRAKERIN)</t>
  </si>
  <si>
    <t>- PENGADAAN KOMPUTER DAN PERLENGAPAN INFORMATION COMMUNICATION TECHNOLOGI</t>
  </si>
  <si>
    <t>DUKUNGAN BEASISWA S-1 UNTUK SISWA - SISWI SMA OAP BERPRESTASI SECARA TERBATAS UNTUK JURUSAN YANG SANGAT DIBUTUHKAN DALAM PEMBANGUNAN DAERAH</t>
  </si>
  <si>
    <t>PENANGGULANGAN MASALAH KESEHATAN MASYARAKAT ASLI PAPUA</t>
  </si>
  <si>
    <t xml:space="preserve">PROGRAM PENCEGAHAN DAN PENANGGULANGAN PENYAKIT MENULAR                                              </t>
  </si>
  <si>
    <t xml:space="preserve"> PENCEGAHAN DAN PENANGGULANGAN PENYAKIT TB PARU</t>
  </si>
  <si>
    <t xml:space="preserve">PENGADAAN OBAT DAN PERBEKALAN KESEHATAN RUMAH SAKIT                                   </t>
  </si>
  <si>
    <t xml:space="preserve"> PENINGKATAN PELAYANAN DAN PENANGGULANGAN MASALAH KESEHATAN                                                           </t>
  </si>
  <si>
    <t>PPENYELENGGARAAN PENCEGAHAN DAN PEMBERANTASAN PENYAKIT MENULAR DAN WABAH</t>
  </si>
  <si>
    <t xml:space="preserve">PENANGGULANGAN KURANG ENERGI PROTEIN (KEP), ANEMIA GIZI BESI, GANGGUAN AKIBAT KURANG YODIUM(GAKY), KURANG VITAMIN A, DAN KEKURANGAN ZAT GIZI MIKRO LAINNYA                                                </t>
  </si>
  <si>
    <t>PROGRAM PENINGKATAN KESEHATAN PERORANGAN</t>
  </si>
  <si>
    <t>PELAYANAN KESEHATAN RUJUKAN BAGI PASIEN OAP</t>
  </si>
  <si>
    <t>PROGRAM PENGADAAN, PENINGKATAN DAN PERBAIKAN SARAN DAN PRASARANA PUSKESMAS/PUSKESMAS PEMBANTU DAN JARINGANNYA</t>
  </si>
  <si>
    <t>PENGADAAN SARANA DAN PRASARANA PUSKESMAS</t>
  </si>
  <si>
    <t>PROGRAM PENGADAAN FASILITAS KESEHATAN</t>
  </si>
  <si>
    <t>PENYEDIAAN BAHAN LOISTIK PUSKESMAS</t>
  </si>
  <si>
    <t>DINAS PEMBERDAYAAN PEREMPUAN PERLINDUNGAN ANAK DAN KELUARGA BERENCANA</t>
  </si>
  <si>
    <t xml:space="preserve">FASILITASI UPAYA PERLINDUNGAN PEREMPUAN TERHADAP TINDAK KEKERASAN                                       </t>
  </si>
  <si>
    <t>PROGRAM PENINGKATAN PERAN SERTA DAN KESETARAAN GENDER DALAM PEMBANGUNAN</t>
  </si>
  <si>
    <t>BIMBINGAN MENEJEMEN USAHA BAGI PEREMPUAN OAP DALAM MENGELOLA USAHA</t>
  </si>
  <si>
    <t xml:space="preserve">PROGRAM PEMBERDAYAAN LEMBAGA KEAGAMAAN </t>
  </si>
  <si>
    <t>PEMBERDAYAAN LEMBAGA - LEMBAGA KEAGAMAAN UNTUK MENDUKUNG KELANCARAN TUGAS - TUGAS PEMBINAAN DAN PELAYANAN KEAGAMAAN</t>
  </si>
  <si>
    <t>- PEMBINAAN UMAT MELIPUTI : PENDIDIKAN, EKONOMI DAN KESEHATAN UMAT</t>
  </si>
  <si>
    <t>PROGRAM PEMBERDAYAAN LEMBAGA ADAT</t>
  </si>
  <si>
    <t>PENGUATAN FUNGSI DAN PERAN SERTA LEMBAGA MASYARAKAT ADAT ASLI PAPUADALAM MELINDUNGI DAN MANGATUR HAK ULAYAT MAUPUN HAK PERORANGAN MASYARAKAT ADAT ASLI PAPUA</t>
  </si>
  <si>
    <t>DINAS KEPEMUDAAN, OLAHRAGA, KEBUDAYAAN DAN PARIWISATA</t>
  </si>
  <si>
    <t xml:space="preserve">PROGRAM PENGEMBANGAN KEBUDAYAAN ASLI PAPUA                                                                   </t>
  </si>
  <si>
    <t xml:space="preserve">PENGEMBANGAN SANGGAR-SANGGAR KEBUDAYAAN                                           </t>
  </si>
  <si>
    <t xml:space="preserve">DINAS PERINDUSTRIAN DAN TENAGA KERJA </t>
  </si>
  <si>
    <t>PROGRAM PENGEMBANGAN INDUSTRI KECIL DAN MENENGAH</t>
  </si>
  <si>
    <t>PEMBINAAN INDUSTRI KECIL DAN MENENGAH TERHADAP PEMANFAATAN SUMBER DAYA</t>
  </si>
  <si>
    <t>PROGRAM PENINGKATAN KUALITAS DAN PRODUKTIFITAS TENAGA KERJA</t>
  </si>
  <si>
    <t>PENDIDIKAN DAN PELATIHAN KETRAMPILAN BAGI PENCARI KERJA OAP</t>
  </si>
  <si>
    <t>DINAS PERDAGANGAN, KOPERASI, USAHA KECIL DAN MENENGAH</t>
  </si>
  <si>
    <t xml:space="preserve">PROGRAM PEMBINAAN KAKILIMA DAN ASONGAN </t>
  </si>
  <si>
    <t xml:space="preserve">PENATAAN TEMPAT USAHA BAGI PEDAGANG KAKILIMA DAN ASONGAN </t>
  </si>
  <si>
    <t xml:space="preserve"> PENDAMPINGAN PADA KELOMPOK NELAYAN PERIKANAN TANGKAP OAP</t>
  </si>
  <si>
    <t xml:space="preserve">PENDAMPINGAN PADA KELOMPOK TANI PEMBUDIDAYA IKAN </t>
  </si>
  <si>
    <t>PEMDAMPINGAN KELOMPOK PEMBUDIDAYA</t>
  </si>
  <si>
    <t>PENANGANAN PASCA PANEN DAN PENGOLAHAN HASIL PERTANIAN</t>
  </si>
  <si>
    <t>DINAS PERTANIAN</t>
  </si>
  <si>
    <t>PROGRAM PENINGKATAN KESEJAHTERAAN PETANI (TANAMAN PANGAN DAN HORTIKULTURA)</t>
  </si>
  <si>
    <t>PELATIHAN PETANI DAN PELAKU AGROBISNIS</t>
  </si>
  <si>
    <t>PENGEMBANGAN INTENSIFIKASI TANAMAN PADI, PALAWIJA</t>
  </si>
  <si>
    <t xml:space="preserve">PROGRAM PENINGKATAN PRODUKSI PERKEBUNAN </t>
  </si>
  <si>
    <t>PERLUASAN AREAL KOMODITAS PERKEBUNAN</t>
  </si>
  <si>
    <t>PROGRAM PERTANGGUNGJAWABAN KINERJA</t>
  </si>
  <si>
    <t>PENGAWASAN DAN PEMERIKSAAN INTERNAL ATAS PELAKSANAAN PROGRAM DAN KEGIATAN YANG DI BIAYAI DENGAN DANA OTONOMI KHUSUS YANG DILAKSANAKAN OLEH INSPEKTORAT KABUPATEN/KOTA</t>
  </si>
  <si>
    <t>KOORDINASI PENYUSUNAN DAN PEMBAHASAN URD PENGGUNAAN DANA OTONOMI KHUSUS KABUPATEN/KOTA</t>
  </si>
  <si>
    <t>12</t>
  </si>
  <si>
    <t>KABUPATEN ASMAT</t>
  </si>
  <si>
    <t xml:space="preserve">PENGADAAN TENAGA PENDIDIK (HONOR/KONTRAK)  </t>
  </si>
  <si>
    <t xml:space="preserve">PENYEDIAAN BIAYA OPERASIONAL PENDUKUNG KEGIATAN EKSTRAKULIKULER (SMP)                                                                                                                                                                                </t>
  </si>
  <si>
    <t xml:space="preserve">PENINGKATAN PELAYANAN DAN PENANGGULANGAN MASALAH KESEHATAN                                                                                                                                                                                           </t>
  </si>
  <si>
    <t>RUMAH SAKIT UMUM DAERAH KELAS D</t>
  </si>
  <si>
    <t>PENGADAAN OBAT DAN PERBEKALAN KESEHATAN</t>
  </si>
  <si>
    <t>PROGRAM PEMBANGUNAN INFRASTRUKTUR PERDESAAN</t>
  </si>
  <si>
    <t>PEMBANGUNAN/PENINGKATAN JEMBATAN PADA RUAS JALAN LINGKUNGAN KAMPUNG</t>
  </si>
  <si>
    <t>DINAS PERUMAHAN RAKYAT, KAWASAN PERMUKIMAN DAN PERTANAHAN</t>
  </si>
  <si>
    <t>PROGRAM PENGEMBANGAN PERUMAHAN RAKYAT DAN PENYEDIAAN AIR BERSIH</t>
  </si>
  <si>
    <t xml:space="preserve">PEMBANGUNAN RUMAH LAYAK HUNI BAGI MASYARAKAT ASLI PAPUA </t>
  </si>
  <si>
    <t>PROGRAM PEMBERDAYAAN KELEMBAGAAN KESEJAHTERAAN SOSIAL</t>
  </si>
  <si>
    <t>PEMBANGUNAN SARANA DAN PRASARANA PERIBADATAN</t>
  </si>
  <si>
    <t>PROGRAM PENINGKATAN KUALITAS ANAK DAN PEREMPUAN</t>
  </si>
  <si>
    <t>SOSIALISASI DAN ADVOKASI KEBIJAKAN PENGHAPUSAN BUTA AKSARA PEREMPUAN (PPAP) OAP DI DISTRIK DAN KAMPUNG</t>
  </si>
  <si>
    <t>UPAYA PERLINDUNGAN PEREMPUAN DI KAMPUNG-KAMPUNG DAN PEDALAMAN</t>
  </si>
  <si>
    <t>PROGRAM PENINGKATAN PERAN DAN KESETARAAN GENDER DALAM PEMBANGUNAN</t>
  </si>
  <si>
    <t>KEGIATAN PEMBINAAN ORGANISASI PEREMPUAN</t>
  </si>
  <si>
    <t>KEGIATAN PENDIDIKAN DAN PELATIHAN PENINGKATAN PERAN SERTA DAN KESETARAAN GENDER</t>
  </si>
  <si>
    <t>DINAS TANAMAN PANGAN DAN PERTANIAN</t>
  </si>
  <si>
    <t xml:space="preserve">PENINGKATAN PEMASARAN HASIL PRODUKSI PERTANIAN   </t>
  </si>
  <si>
    <t xml:space="preserve">PENGEMBANGAN AGROINDUSTRI TERPADU HORTIKULTURA                                                                                                                                                                                                       </t>
  </si>
  <si>
    <t>PROGRAM PENINGKATAN KETAHANAN PANGAN PERTANIAN</t>
  </si>
  <si>
    <t xml:space="preserve">PEMBIBITAN DAN PERAWATAN TERNAK                                                                                                                                                                                                                      </t>
  </si>
  <si>
    <t xml:space="preserve">PENDISTRIBUSIAN BIBIT TERNAK KEPADA MASYARAKAT                                                                                                                                                                                                       </t>
  </si>
  <si>
    <t xml:space="preserve">PROGRAM PENINGKATAN PRODUKSI  PERKEBUNAN                                                                                                                                                                                                             </t>
  </si>
  <si>
    <t xml:space="preserve">PENGEMBANGAN KOMODITAS UNGGULAN PERKEBUNAN SPESIFIK PAPUA                                                                                                                                                                                            </t>
  </si>
  <si>
    <t xml:space="preserve">PENYEDIA SARANA PRODUKSI PERKEBUNAN                                                                                                                                                                                                                  </t>
  </si>
  <si>
    <t xml:space="preserve">INTENSIFIKASI TANAMAN PERKEBUNAN                                                                                                                                                                                                                     </t>
  </si>
  <si>
    <t>PENINGKATAN HASIL PRODUKSI DAN TEKNOLOGI PETERNAKAN</t>
  </si>
  <si>
    <t xml:space="preserve">PELATIHAN PETANI DAN PELAKU AGROBISNIS                                                                                                                                                                                                               </t>
  </si>
  <si>
    <t xml:space="preserve">PENINGKATAN KEMAMPUAN LEMBAGA PETANI                                                                                                                                                                                                                 </t>
  </si>
  <si>
    <t>DINAS PERHUBUNGAN</t>
  </si>
  <si>
    <t>PROGRAM PEMBANGUNAN PRASARANA DAN FASILITAS PERHUBUNGAN</t>
  </si>
  <si>
    <t>PENGADAAN SARANA DAN PRASARANA ANGKUTAN</t>
  </si>
  <si>
    <t xml:space="preserve">PROGRAM PEMBERDAYAAN EKONOMI MASYARAKAT PESISIR                                                                                                                                                                                                      </t>
  </si>
  <si>
    <t xml:space="preserve">PENDAMPINGAN MASYARAKAT PESISIR                                                                                                                                                                                                                      </t>
  </si>
  <si>
    <t xml:space="preserve">PROGRAM PENGEMBANGAN BUDIDAYA PERIKANAN                                                                                                                                                                                                              </t>
  </si>
  <si>
    <t xml:space="preserve">PELATIHAN TEHNIK PERKOLAMAN                                                                                                                                                                                                                          </t>
  </si>
  <si>
    <t xml:space="preserve">PROGRAM PENINGKATAN PRASARANA DAN SARANA PROUKSI SDKP                                                                                                                                                                                                </t>
  </si>
  <si>
    <t xml:space="preserve">PENINGKATAN SARANA PRODUKSI PERIKANAN BUDIDAYA                                                                                                                                                                                                       </t>
  </si>
  <si>
    <t xml:space="preserve">PENINGKATAN SARANA PRODUKSI PERIKANAN PENGOLAHAN                                                                                                                                                                                                     </t>
  </si>
  <si>
    <t xml:space="preserve">PROGRAM PENINGKATAN KAPASITAS SDM APARATUR DAN NELAYAN                                                                                                                                                                                               </t>
  </si>
  <si>
    <t xml:space="preserve">PELATIHAN TEKNIK PENANGKAPAN IKAN                                                                                                                                                                                                                    </t>
  </si>
  <si>
    <t>DINAS PARIWISATA DAN KEBUDAYAAN</t>
  </si>
  <si>
    <t xml:space="preserve">PROGRAM PENGEMBANGAN KEBUDAYAAN ASLI PAPUA                                                                                                                                                                                                           </t>
  </si>
  <si>
    <t xml:space="preserve">PENGEMBANGAN SANGGAR-SANGGAR SENI                                                                                                                                                                                                                    </t>
  </si>
  <si>
    <t>DINAS PERINDUSTRIAN, PERDAGANGAN, KOPERASI, USAHA KECIL MENENGAH DAN TENAGA KERJA</t>
  </si>
  <si>
    <t xml:space="preserve">PROGRAM PENINGKATAN KUALITAS DAN PRODUKTIFITAS TENAGA KERJA                                                                                                                                                                                          </t>
  </si>
  <si>
    <t xml:space="preserve">PENDAMPINGAN BAGI PELAKU USAHA EKONOMI MASYARAKAT ORANG ASLI PAPUA SESUAI DENGAN KARAKTERISTIK SOSIAL BUDAYA SETEMPAT                                                                                                                                </t>
  </si>
  <si>
    <t xml:space="preserve">PEMBERDAYAAN KEWIRAUSAHAAN KELOMPOK PENGUSAHA OAP PRODUK LOKAL                                                                                                                                                                                       </t>
  </si>
  <si>
    <t xml:space="preserve">PROGRAM PENINGKATAN KUALITAS KELEMBAGAAN KOPERASI                                                                                                                                                                                                    </t>
  </si>
  <si>
    <t xml:space="preserve">PENINGKATAN KUALITAS PELAYANAN DAN PEMENUHAN STANDAR/KETENTUAN PENGELOHAN KOPERASI                                                                                                                                                                   </t>
  </si>
  <si>
    <t xml:space="preserve">PROGRAM PENGEMBANGAN KEWIRAUSAHAAN DAN KEUNGGULAN KOMPETITIF UKM                                                                                                                                                                                     </t>
  </si>
  <si>
    <t xml:space="preserve">PENCIPTAAN KEWIRAUSAHAAN BARU KHUSUSNYA WIRAUSAHAAN ASLI PAPUA                                                                                                                                                                                       </t>
  </si>
  <si>
    <t>BADAN PERENCANAAN PEMBANGUNAN DAN PENELITIAN PENGEMBANGAN DAERAH</t>
  </si>
  <si>
    <t xml:space="preserve">MONITORING DAN EVALUASI PELAKSANAAN DANA OTSUS KABUPATEN ASMAT                                                                                                                                                                                       </t>
  </si>
  <si>
    <t xml:space="preserve">KONSULTASI DAN PEMBAHASAN URD OTSUS                                                                                                                                                                                                                  </t>
  </si>
  <si>
    <t>PPKD</t>
  </si>
  <si>
    <t>NON PROGRAM</t>
  </si>
  <si>
    <t>NON KEGIATAN</t>
  </si>
  <si>
    <t>Belanja Operasi</t>
  </si>
  <si>
    <t>Belanja bantuan sosial</t>
  </si>
  <si>
    <t>Belanja Bantuan Sosial Organisasi Sosial kepada Individu, Keluarga, Kelompok dan/atau Masyarakat</t>
  </si>
  <si>
    <t>Masyarakat</t>
  </si>
  <si>
    <t>PENGAWASAN PELAKSANAAN PROGRAM DAN KEGIATAN YANG DIBIAYAI DENGAN DANA OTONOMI KHUSUS</t>
  </si>
  <si>
    <t>13</t>
  </si>
  <si>
    <t xml:space="preserve">KABUPATEN YAHUKIMO </t>
  </si>
  <si>
    <t>Program pendidikan anak usia dini</t>
  </si>
  <si>
    <t>Penyediaan Insentif Guru Atau Guru Pendamping</t>
  </si>
  <si>
    <t>Penyelenggaraan PAUD Non-Formal dan Formal</t>
  </si>
  <si>
    <t>Program Pendidikan Non Formal dan In- Formal</t>
  </si>
  <si>
    <t>Pembangunan Sarana Dan Prasarana Pendidikan Non-formal</t>
  </si>
  <si>
    <t>Penyediaan Biaya Operasional Bagi Lembaga Penyelenggara KF</t>
  </si>
  <si>
    <t>Pendidikan Menengah Kejuruan (SMK)</t>
  </si>
  <si>
    <t>Penyediaan Biaya Operasional Pendukung Kegiatan ekstrakulikuler (SMK)</t>
  </si>
  <si>
    <t>Pengadaan Pendidik (Guru Kontrak) dan Tutor Ahli SMK</t>
  </si>
  <si>
    <t>Program Pendidikan tinggi</t>
  </si>
  <si>
    <t>Dukungan beasiswa S-1 untuk siswa siswi SMA SMA OAP Berprestasi secara terbatas untuk jurusan yang sangat dibutuhkan dalam pembangunan Daerah</t>
  </si>
  <si>
    <t>Kegiatan Pendidikan Lain Yang Memenuhi Kriteria Mendesak Dan Relevan Untuk Kepentingan Daerah</t>
  </si>
  <si>
    <t>Pelatihan Kompetensi Khusus Tenaga Pendidikan Dan Kependidikan, Termasuk Life Skill Dan Pencegahan HIV/AIDS (SD)</t>
  </si>
  <si>
    <t>Pengadaan tenaga pendidik (Honor/Kontrak)</t>
  </si>
  <si>
    <t>Bantuan Operasional Sekolah SD</t>
  </si>
  <si>
    <t>Penunjang Ujian Nasional Tingkat SD</t>
  </si>
  <si>
    <t>Penyediaan Insentif Guru dengan Prioritas guru non-PNS atau PNS Yang Belum Bersertifikasi</t>
  </si>
  <si>
    <t>Penunjang Ujian Nasional SMP</t>
  </si>
  <si>
    <t>Bantuan Operasional Sekolah SMP</t>
  </si>
  <si>
    <t>Pendidikan Menengah atas (SMA)</t>
  </si>
  <si>
    <t>Penunjang Ujian Nasional SMA/SMK</t>
  </si>
  <si>
    <t>Penyelenggaraan Pendidikan Kejar Paket C</t>
  </si>
  <si>
    <t>Pengadaan Pendidik (guru Kontrak) SMA</t>
  </si>
  <si>
    <t>Biaya Operasional Pendukung Kegiatan Ekstrakurikuler</t>
  </si>
  <si>
    <t>Pelacakan dan Penanganan Kasus Gizi Buruk</t>
  </si>
  <si>
    <t>Peningkatan Imunisasi</t>
  </si>
  <si>
    <t>Pelayanan Kesehatan Bagi Orang Asli Papua</t>
  </si>
  <si>
    <t>Peningkatan kualitas SDM kesehatan melalui pelaksanaan D3,D4,S1,S2 kesehatan</t>
  </si>
  <si>
    <t>KANTOR RUMAH SAKIT UMUM DAERAH</t>
  </si>
  <si>
    <t>Pengadaan Obat dan Perbekalan Kesehatan Rumah Sakit</t>
  </si>
  <si>
    <t>Biaya Rujukan Penderita Emergency</t>
  </si>
  <si>
    <t>Program pengadaan, peningkatan sarana dan prasarana rumah sakit/rumah sakit jiwa/rumah sakit paru-paru/rumah sakit mata</t>
  </si>
  <si>
    <t>Penyediaan Makanan Bagi Pasien</t>
  </si>
  <si>
    <t>Program Pengadaan Fasilitas Kesehatan</t>
  </si>
  <si>
    <t>Pengadaan alat-alat kesehatan rumah sakit</t>
  </si>
  <si>
    <t>Pengembangan desa mandiri pangan</t>
  </si>
  <si>
    <t>Pengembangan diversifikasi tanaman</t>
  </si>
  <si>
    <t>Program Peningkatan Kesejahteraan Petani (Tanaman Pangan &amp; Hortikultura)</t>
  </si>
  <si>
    <t>Penyuluhan dan pendampingan petani dan pelaku agribisnis</t>
  </si>
  <si>
    <t>DINAS PERINDUSTRIAN, PERDAGANGAN, KOPERASI DAN UKM</t>
  </si>
  <si>
    <t>Program Pengembangan Industri Kecil dan Menengah</t>
  </si>
  <si>
    <t>Fasilitasi Bagi Industri Kecil Menengah Terhadap Pemanfaatan Sumber Daya</t>
  </si>
  <si>
    <t>Program pembinaan pedagang kaki lima dan asongan</t>
  </si>
  <si>
    <t>Penataan Tempat Berusaha bagi Pedagang Kakilima dan Asongan</t>
  </si>
  <si>
    <t>Pengembangan perbenihan/perbibitan</t>
  </si>
  <si>
    <t>Program Pengembangan Budidaya Perikanan</t>
  </si>
  <si>
    <t>Pengembangan Bibit Ikan Unggul</t>
  </si>
  <si>
    <t>Program Pengembangan Kawasan Budidaya Laut, Air Payau dan Air Tawar</t>
  </si>
  <si>
    <t>Pengembangan Sarana Budidaya Air Tawar/Payau</t>
  </si>
  <si>
    <t>Sertifikasi Bibit Unggul Perkebunan</t>
  </si>
  <si>
    <t>Program Pembinaan dan Pendampingan Pelaku Usaha Ekonomi Kerakyatan</t>
  </si>
  <si>
    <t>Pendampingan Bagi Pelaku Ekonomi Masyarakat Orang Asli Papua Sesuai Dengan Karakteristik Sosial Budaya Setempat</t>
  </si>
  <si>
    <t>Pemberdayaan Kewirausahaan Kelompok Pengusaha Orang Asli Papua (OAP) Produk Lokal</t>
  </si>
  <si>
    <t>Program pembangunan infrastruktur pedesaan</t>
  </si>
  <si>
    <t>DINAS PERUMAHAN DAN KAWASAN PERMUKIMAN</t>
  </si>
  <si>
    <t>Program Pembangunan Sarana dan Prasarana Perhubungan</t>
  </si>
  <si>
    <t>Pemeliharaan/rehabilitasi Lapangan Terbang Kampung</t>
  </si>
  <si>
    <t xml:space="preserve"> Pengadaan Angkutan Umum Kampung</t>
  </si>
  <si>
    <t>Pelayanan Angkutan Umum</t>
  </si>
  <si>
    <t>DINAS KOMUNIKASI, INFORMATIKA, STATISTIK DAN PERSANDIAN</t>
  </si>
  <si>
    <t>Program Pengembangan Teknologi Informasi</t>
  </si>
  <si>
    <t>Penyediaan Sarana Dan Prasarana Telekomunikasi Kampung</t>
  </si>
  <si>
    <t>PEJABAT PENGELOLA KEUANGAN DAERAH (PPKD)</t>
  </si>
  <si>
    <t>Hibah Kepada Rumah Ibadah</t>
  </si>
  <si>
    <t>- GEREJA GIDI</t>
  </si>
  <si>
    <t>- GEREJA GKI</t>
  </si>
  <si>
    <t>- GEREJA GKII</t>
  </si>
  <si>
    <t>- GEREJA ADVENT</t>
  </si>
  <si>
    <t>- GEREJA KINGMI</t>
  </si>
  <si>
    <t>- GEREJA GBI</t>
  </si>
  <si>
    <t>- GEREJA KATOLIK</t>
  </si>
  <si>
    <t>- GEREJA GPDI</t>
  </si>
  <si>
    <t>- GEREJA GJRP</t>
  </si>
  <si>
    <t>- GEREJA BAPTIS</t>
  </si>
  <si>
    <t>Workshop Peningkatan Peran Perempuan OAP Dalam Pengambilan Keputusan</t>
  </si>
  <si>
    <t>Program Peningkatan Peran Serta dan Kesetaraan Jender dalam Pembangunan</t>
  </si>
  <si>
    <t>Pameran hasil karya perempuan di bidang pembangunan</t>
  </si>
  <si>
    <t>Program perencanaan penggunaa dana otonomi khusus</t>
  </si>
  <si>
    <t>Koordinasi Penyusunan Dan Pembahasan URD Penggunaan Dana Otonomi Khusus Kabupaten/kota</t>
  </si>
  <si>
    <t>Program monitoring dan evaluasi penggunaan dana otonomi khusus</t>
  </si>
  <si>
    <t>Monitoring Reguler Dan Monitoring Terpadu/kolaborasi Pelaksanaan Program/kegiatan Otonomi Khusus Delapan Puluh Persen (80%) Bagian Kabupaten Kota</t>
  </si>
  <si>
    <t>Pengawasan Dan Pemeriksaan Internal Atas Pelaksanan Program Dan Kegiatan Yang Dibiayai Dengan Dana Otonomi Khusus, Yang Dilaksanakan Oleh</t>
  </si>
  <si>
    <t>BADAN PENGELOLAAN KEUANGAN DAN ASET DAERAH</t>
  </si>
  <si>
    <t>Program Pertanggung Jawaban Kinerja</t>
  </si>
  <si>
    <t>Penyusuan Laporan Pertanggungjawaban Anggaran Penggunaan Dana Otonomi Khusus Kabupaten/kota</t>
  </si>
  <si>
    <t>Implementasi Sistem Administrasi Kependudukan (membangun,updating dan pemeliharaan)</t>
  </si>
  <si>
    <t>Program Pengembangan Kebudayaan Asli Papua</t>
  </si>
  <si>
    <t>Pengembangan Pasar Seni</t>
  </si>
  <si>
    <t>Pelatihan Ketrampilan berusaha bagi Keluarga Miskin OAP</t>
  </si>
  <si>
    <t>Pembinaan Dan Pemberdayaan Komunitas Adat Terpencil (KAT)</t>
  </si>
  <si>
    <t>Pengadaan sarana dan prasarana pendukung usaha bagi keluarga miskin OAP</t>
  </si>
  <si>
    <t>Program Pembinaan Anak Terlantar</t>
  </si>
  <si>
    <t>Pelatihan keterampilan dan praktek belajar kerja bagi anak terlantar</t>
  </si>
  <si>
    <t>Penyiapan Tenaga Kerja Siap Pakai OAP</t>
  </si>
  <si>
    <t>Pendidikan dan Pelatihan Ketrampilan Bagi Pencari Kerja OAP</t>
  </si>
  <si>
    <t>14</t>
  </si>
  <si>
    <t>KABUPATEN PEGUNUNGAN BINTANG</t>
  </si>
  <si>
    <t>Penambahan ruang kelas sekolah</t>
  </si>
  <si>
    <t>Penyelenggaraan Pendidikan Anak Usia Dini Non Formal dan Formal</t>
  </si>
  <si>
    <t>Pengadaan mebeluer sekolah</t>
  </si>
  <si>
    <t>Subsidi Pembebasan Uang SPP</t>
  </si>
  <si>
    <t>Pembangunan RKB (kontruksi Beton) SMPN Oksibil</t>
  </si>
  <si>
    <t>Pembangunan Kantor Sekolah</t>
  </si>
  <si>
    <t>Pengadaan Perangkat UNBK (Otsus)</t>
  </si>
  <si>
    <t>Program Pendidikan Non- Formaldan In-formal</t>
  </si>
  <si>
    <t>Penyelenggaraan Pendidikan Non Formal Keaksaraan Dasar</t>
  </si>
  <si>
    <t>Penyediaan Guru Kontrak</t>
  </si>
  <si>
    <t>Penyelenggaraan Ujian Sekolah dan Ujian Nasional Tingkat SD</t>
  </si>
  <si>
    <t>Penyelenggaraan UJian Sekolah dan Ujian Nasional Tingkat SMP</t>
  </si>
  <si>
    <t>Penyelenggaraan Ujian Nasional UNBK Tingkat SMA dan SMK</t>
  </si>
  <si>
    <t>Fasilitasi Festival Seni Tradisional Aplim Apom</t>
  </si>
  <si>
    <t>Kegiatan Pembangunan Pagar Museum Serambakon</t>
  </si>
  <si>
    <t>Pendistribusian Obat dan Perbekalan Kesehatan (Handling Cost)</t>
  </si>
  <si>
    <t>Pelayanan Kesehatan kepada OAP di Rumah Sakit</t>
  </si>
  <si>
    <t>Pelayanan Kesehatan Rujukan Bagi Orang Asli Papua</t>
  </si>
  <si>
    <t>Pemberian Makanan Tambahan Kepada Bayi, Balita dan Ibu Hamil</t>
  </si>
  <si>
    <t>Peningkatan imunisasi</t>
  </si>
  <si>
    <t>Peningkatan dan pemeliharaan kesehatan ibu dan bayi baru lahir orang asli Papua</t>
  </si>
  <si>
    <t>Program Peningkatan Kesehatan Perorangan</t>
  </si>
  <si>
    <t>Pengendalian Penyakit Polio, Pengendalian Penyakit TB Paru, Pengendalianpenyakit ISPA, Pengendalian Penyakit HIV/AIDS Dan PMS, Pengendalian Penyakit Penyakit Demam Berdarah Dengue, Pengendalian Penyakit Malaria, Pengendalian Penyakit Kusta, Dan Pengendali</t>
  </si>
  <si>
    <t>Program Obat dan Perbekalan Kesehatan Rumah Sakit</t>
  </si>
  <si>
    <t>Pengadaaan Obat dan Perbekalan Kesehatan</t>
  </si>
  <si>
    <t>Penunjang Pelayanan Bagi Pasien TBC</t>
  </si>
  <si>
    <t>Penunjang Pelayanan Bagi Pasien HIV/AIDS</t>
  </si>
  <si>
    <t>Program Pelayanan Kesehatan Penduduk Miskin</t>
  </si>
  <si>
    <t>Rujukan Pasien Bagi Masyarakat Miskin</t>
  </si>
  <si>
    <t>Peningkatan kemampuan lembaga petani</t>
  </si>
  <si>
    <t>Peningkatan Produksi Benih Tanaman Pangan (OTSUS)</t>
  </si>
  <si>
    <t>Pengadaan sarana dan prasarana teknologi pertanian/perkebunan tepat guna</t>
  </si>
  <si>
    <t>Program Peningkatan Produksi Pertanian/Perkebunan</t>
  </si>
  <si>
    <t>Pengembangan komoditas unggul spesifik Papua</t>
  </si>
  <si>
    <t>Pengembangan bibit ikan unggul</t>
  </si>
  <si>
    <t>Pembangunan Sarana dan Prasarana Pembibitan Ternak (OTSUS)</t>
  </si>
  <si>
    <t>Pengadaan Bibit Ternak</t>
  </si>
  <si>
    <t>DINAS SOSIAL DAN TENAGA KERJA</t>
  </si>
  <si>
    <t>Pelatihan ketrampilan berusaha bagi keluarga miskin</t>
  </si>
  <si>
    <t>Program Pelayanan dan Rehabilitasi Kesejahteraan Sosial</t>
  </si>
  <si>
    <t>Pelatihan keterampilan dan praktek belajar kerja bagi anak terlantar termasuk anak jalanan, anak cacat, dan anak nakal</t>
  </si>
  <si>
    <t>Fasiltasi Dukungan Permodalan dan Penjaminan Usaha</t>
  </si>
  <si>
    <t>Pembinaan Koperasi peran serta masyarakat Aday Asli Papua (KOPERMAS)</t>
  </si>
  <si>
    <t>Pemberdayaan Kewirausahaan kelompok pengusaha OAP produk</t>
  </si>
  <si>
    <t>DINAS PEKERJAAN UMUM</t>
  </si>
  <si>
    <t>Program Pengembangan Kinerja Pengelolaan Air Minum dan Air Limbah</t>
  </si>
  <si>
    <t>Pembangunan  Intake Dan Jaringan Air Minum Okmimka</t>
  </si>
  <si>
    <t>Pembangunan  Rumah Kepala Suku Type 72 M2</t>
  </si>
  <si>
    <t>Pembangunan Rumah Masyarakat Type 45 M2</t>
  </si>
  <si>
    <t>Program pembangunan infrastruktur perdesaan</t>
  </si>
  <si>
    <t xml:space="preserve">Pembangunan Jalan Padat Karya </t>
  </si>
  <si>
    <t>Dinas Pemberdayaan Perempuan dan Keluarga Berencana</t>
  </si>
  <si>
    <t>Program Peningkatan Peran Serta dan Kesetaraan Jender Dalam Pembangunan</t>
  </si>
  <si>
    <t>Pelatihan Ketrampilan Menjahit</t>
  </si>
  <si>
    <t>Pengadaan Bahan dan Pelatihan Menganyam Noken dengan Bahan Lokal</t>
  </si>
  <si>
    <t>Bimbingan Manajemen Bagi Perempuan OAP dalam Mengelola Usaha</t>
  </si>
  <si>
    <t>Program Perencanaan penggunaan Dana OTSUS</t>
  </si>
  <si>
    <t>Koordinasi penyusunan dan pembahasan URD Penggunaan Dana Otonomi Khusus Kabupaten/Kota</t>
  </si>
  <si>
    <t>Monitoring Reguler dan Monitoring Terpadu</t>
  </si>
  <si>
    <t xml:space="preserve">Pengawasandan Pemeriksaan Internalatas pelaksanan program dan kegiatan yang dibiayai dengan dana Otonomi Khusus, yang dilaksanakan oleh Inspektorat Kabupaten/Kota </t>
  </si>
  <si>
    <t>Dinas Pemberdayaan Masyarakat dan Pemerintah Kampung</t>
  </si>
  <si>
    <t>Pelatihan Perempuan di Pedesaan Dalam Bidang Usaha Ekonomi Produktif (OTSUS)</t>
  </si>
  <si>
    <t>15</t>
  </si>
  <si>
    <t xml:space="preserve">KABUPATEN  TOLIKARA </t>
  </si>
  <si>
    <t>Pengadaan pendidik PAUD Non - Formal dan Formal (OTSUS)</t>
  </si>
  <si>
    <t>Penunjang Ujian Nasional SD (OTSUS)</t>
  </si>
  <si>
    <t>Penunjang Ujian Nasional SMP (OTSUS)</t>
  </si>
  <si>
    <t>Penyediaan Biaya Operasional kegiatan extrakulikuler (OTSUS)</t>
  </si>
  <si>
    <t>Penyediaan Tunjangan Khusus Guru di Daerah Terpencil dan Terisolir SMP (OTSUS)</t>
  </si>
  <si>
    <t>Pengadaan guru kontrak  SD (OTSUS)</t>
  </si>
  <si>
    <t>Pengadaan pendidik (guru kontrak) SMP (OTSUS)</t>
  </si>
  <si>
    <t>Biaya Operasional Pendukung Kegiatan Ekstrakulikuler (OTSUS)</t>
  </si>
  <si>
    <t>Pengadaan Pendidik (Guru Kontrak) dan Tutor Ahli (SMK)  (OTSUS)</t>
  </si>
  <si>
    <t>Pengadaan Pendidik (Guru Kontrak) (SMA) (OTSUS)</t>
  </si>
  <si>
    <t>Penunjang Ujian Nasional SMA/SMK (OTSUS)</t>
  </si>
  <si>
    <t>Program Pendidikan Non Formal dan Informal</t>
  </si>
  <si>
    <t>Penyediaan Biaya Operasional Bagi Lembaga Penyelenggara Pendidikan Bagi Kelompok Adat Terpencil (OTSUS)</t>
  </si>
  <si>
    <t>Pengadaan peralatan dan perbekalan kesehatan termasuk obat generik esensial, penyediaan biaya operasional dan pemeliharaan (OTSUS)</t>
  </si>
  <si>
    <t>Peningkatan dan Pemeliharaan Kesehatan Ibu dan Bayi Baru Lahir orang asli papua/ OAP (OTSUS)</t>
  </si>
  <si>
    <t>Dinas Pekerjaan Umum dan Penata Ruang</t>
  </si>
  <si>
    <t>Program Pembangunan Jalan dan Jembatan</t>
  </si>
  <si>
    <t>Pembangunan/Peningkatan Jalan Lingkungan Kampung (OTSUS)</t>
  </si>
  <si>
    <t>Dnas Perumahan dan Kawasan Pemukiman</t>
  </si>
  <si>
    <t>Pembangunan rumah layak huni bagi masyarakat asli papua (OTSUS)</t>
  </si>
  <si>
    <t>Badan Kesatuan Bangsa dan Politik</t>
  </si>
  <si>
    <t>Program Pengembangan Partisipasi dan Budaya Politik</t>
  </si>
  <si>
    <t>Penguatan Fungsi dan Peran Lembaga Masyarakat Adat Asli Papua dalam melindungi dan mengatur hak ulayat maupun hak perorangan Masyarakat Adat Asli Papua (OTSUS)</t>
  </si>
  <si>
    <t>Dinas Pertanian dan Perikanan</t>
  </si>
  <si>
    <t>Pengembangan bibit ikan unggul (OTSUS)</t>
  </si>
  <si>
    <t>Pelatihan petani dan pelaku agribisnis (OTSUS)</t>
  </si>
  <si>
    <t>Penyuluhan dan pendampingan petani (OTSUS)</t>
  </si>
  <si>
    <t>Pengadaan teknologi pertanian/perkebunan tepat guna (OTSUS)</t>
  </si>
  <si>
    <t>Perluasan Areal Komoditas Perkebunan (OTSUS)</t>
  </si>
  <si>
    <t>Pemeliharaan kesehatan dan pencegahan penyakit menular ternak (OTSUS)</t>
  </si>
  <si>
    <t>Pendistribusian bibit ternak kepada masyarakat (OTSUS)</t>
  </si>
  <si>
    <t>Dinas Perindustrian, Perdagangan, Tenaga Kerja dan Koperasi Usaha Kecil Menengah</t>
  </si>
  <si>
    <t>Pendampingan Bagi Pelaku Usaha Ekonomi Masyarakat OAP sesuai dengan karakteristik Sosial Budaya Setempat (OTSUS)</t>
  </si>
  <si>
    <t>Program Pembinaan pedagang kaki lima dan asongan</t>
  </si>
  <si>
    <t>Kegiatan fasilitasi modal usaha bagi pedagang kakilima dan asongan (OTSUS)</t>
  </si>
  <si>
    <t>Pembinaan Industri Kecil dan Menengah Dalam Memperkuat Jaringan Kloter Industri (OTSUS)</t>
  </si>
  <si>
    <t>Badan Perencanaan Daerah</t>
  </si>
  <si>
    <t>Monitoring Reguler dan Monitoring Terpadu/Kolaborasi Pelaksanaan Program/Kegiatan Otonomi Khusus Dua Puluh Persen Delapan Puluh Persen(80%) Bagian Kabupaten/Kota (OTSUS)</t>
  </si>
  <si>
    <t>Evaluasi Hasil Pelaksanaan Program/Kegiatan Otonomi Khusus Delapan Puluh Persen (80%) Bagian Kabupaten/Kota (OTSUS)</t>
  </si>
  <si>
    <t>Koordinasi Penyusunan dan pembahasan URD Penggunaan Dana Otonomi Khusus (OTSUS)</t>
  </si>
  <si>
    <t>16</t>
  </si>
  <si>
    <t>KABUPATEN SARMI</t>
  </si>
  <si>
    <t xml:space="preserve"> DINAS PENDIDIKAN DAN PENGAJARAN</t>
  </si>
  <si>
    <t xml:space="preserve"> Program Pendidikan Anak Usia Dini</t>
  </si>
  <si>
    <t>Penyediaan Guru Kontrak / Honor Daerah PAUD / TK</t>
  </si>
  <si>
    <t>Pemberian Insentif Guru PNS PAUD</t>
  </si>
  <si>
    <t>Penyediaan Guru Kontrak PAUD</t>
  </si>
  <si>
    <t xml:space="preserve">   Program Wajib Belajar Pendidikan Dasar Sembilan Tahun</t>
  </si>
  <si>
    <t>Penyediaan Guru Kontrask SD dan SMP</t>
  </si>
  <si>
    <t>Pemberian Insentif Guru PNS/CPNS dan Pengawas Sekolah Jenjang SD</t>
  </si>
  <si>
    <t>Pengadaan komputer dan ICT untuk pembelajaran interaktif dan pangkalan data pendidikan</t>
  </si>
  <si>
    <t>Penyediaan insentif guru dengan prioritas guru Non PNS atau PNS yang belum bersertifikasi (SMP)</t>
  </si>
  <si>
    <t>Penyediaan Guru Kontrak SMA/SMK</t>
  </si>
  <si>
    <t>Kerjasama PTN Affirmasi Pendidikan ADIK dan ADEM</t>
  </si>
  <si>
    <t>Penyediaan dukungan bidang pendidikan bagi pengembangan potensi wilayah sesuai peta komoditas unggulan daerah</t>
  </si>
  <si>
    <t>BADAN PENGELOLAAN KEUANGAN DAN ASSET DAERAH (PPKD)</t>
  </si>
  <si>
    <t>Belanja Bantuan Sosial kepada Organisasi Sosial Kemasyarakatan</t>
  </si>
  <si>
    <t xml:space="preserve">   Program Obat dan Perbekalan Kesehatan</t>
  </si>
  <si>
    <t xml:space="preserve">   Program Upaya Kesehatan Masyarakat</t>
  </si>
  <si>
    <t xml:space="preserve">   Program Pengawasan Obat dan Makanan</t>
  </si>
  <si>
    <t>Peningkatan pengawasan keaman pangan dan bahan berbahaya</t>
  </si>
  <si>
    <t>Pemberian makanan  tambahan kepada bayi balita dan ibu hamil (OTSUS)</t>
  </si>
  <si>
    <t>Pelacakan dan Penanganan kasus gizi buruk</t>
  </si>
  <si>
    <t xml:space="preserve">  Program Pengembangan Lingkungan Sehat</t>
  </si>
  <si>
    <t>Penyehatan Lingkungan</t>
  </si>
  <si>
    <t xml:space="preserve">  Program Pencegahan dan Penanggulangan Penyakit Menular</t>
  </si>
  <si>
    <t>Penanggulangan TBC Malaria Filaria Frambusia Kusta Taeniasis Diare DBD HIV IMS ISPA Cacingan Imunisasi dan Penyakit  yang tidak menular yang tertangani (OTSUS)</t>
  </si>
  <si>
    <t xml:space="preserve">   Program pelayanan kesehatan penduduk miskin</t>
  </si>
  <si>
    <t xml:space="preserve">Biaya rujukan bagi masyarakat miskin </t>
  </si>
  <si>
    <t xml:space="preserve">   Program peningkatan pelayanan kesehatan anak balita</t>
  </si>
  <si>
    <t>Peningkatan cakupan imunisasi pada balita orang asli papua</t>
  </si>
  <si>
    <t xml:space="preserve">  Program peningkatan keselamatan ibu melahirkan dan anak</t>
  </si>
  <si>
    <t>Peningkatan dan pemeliharaan kesehatan ibu dan bayi baru lahir orang asli papua</t>
  </si>
  <si>
    <t>Pemberian makanan tambahan bagi ibu hamil, ibu nifas, ibu menyusui dan ASI ekslusif</t>
  </si>
  <si>
    <t xml:space="preserve">   Program jaminan kesehatan masyarakat asli papua</t>
  </si>
  <si>
    <t>Pelayanan kesehatan bagi Orang Asli Papua (OAP)</t>
  </si>
  <si>
    <t xml:space="preserve">Penanggulangan masalah kesehatan masyarakat asli papua </t>
  </si>
  <si>
    <t xml:space="preserve">   Program sumber daya kesehatan</t>
  </si>
  <si>
    <t>Pelatihan pos kesehatan kampung</t>
  </si>
  <si>
    <t>Pengadaan Obat dan Perbekalan Kesehatan (OTSUS)</t>
  </si>
  <si>
    <t xml:space="preserve">   Peningkatan kesehatan masyarakat</t>
  </si>
  <si>
    <t>Pertolongan persalinan bagi ibu dari keluarga kurang mampu</t>
  </si>
  <si>
    <t>Program pelayanan kesehatan rujukan</t>
  </si>
  <si>
    <t>Pelayanan kesehatan bagi Orang Asli Papua (OAP) di Rumah Sakit</t>
  </si>
  <si>
    <t xml:space="preserve">DINAS SOSIAL </t>
  </si>
  <si>
    <t xml:space="preserve">   Program pemberdayaan lembaga keagamaan</t>
  </si>
  <si>
    <t>Pemberdayaan lembaga-lembaga keagamaan untuk mendukung kelancaran tugas pembinaan dan pelayanan keagamaan</t>
  </si>
  <si>
    <t>Program Pemberdayaan lembaga adat</t>
  </si>
  <si>
    <t>Penguatan fungsi dan peran lembaga masyarakat adat asli papua dalam melindungi dan mengatur hak ulayat maupun hak perorangan masyarakat asli papua</t>
  </si>
  <si>
    <t>Program Peningkatan kualitas  dan produktifitas tenaga kerja</t>
  </si>
  <si>
    <t>Pendidikan dan Pelatihan Ketrampilan Bagi Pencari Kerja OAP (OTSUS)</t>
  </si>
  <si>
    <t>Program peningkatan peran serta dan kesetaraan jender dalam pembangunan</t>
  </si>
  <si>
    <t>Pendidikan dan pelatihan peningkatan peran serta dan kesetaraan jender (OTSUS)</t>
  </si>
  <si>
    <t>Bimbingan manajemen usaha bagi perempuan OAP dalam mengelola usaha (OTSUS)</t>
  </si>
  <si>
    <t xml:space="preserve">   DINAS KETAHANAN PANGAN</t>
  </si>
  <si>
    <t xml:space="preserve">   Program peningkatan ketahanan pangan</t>
  </si>
  <si>
    <t>Pengembangan perbenihan / perbibitan</t>
  </si>
  <si>
    <t>Pengembangan lumbung pangan desa</t>
  </si>
  <si>
    <t>Program Peningkatan Kesejahteraan Petani (Tanaman Pangan dan Holtikultura</t>
  </si>
  <si>
    <t>Penyuluhan dan pendampingan petani dan pelaku agri bisnis</t>
  </si>
  <si>
    <t>DINAS KEPENDUDUKAN DAN CATATAN SIPIL</t>
  </si>
  <si>
    <t>Program Penataan administrasi Kependudukan</t>
  </si>
  <si>
    <t>Peningkatan kapasitas aparat kependudukan dan catatan sipil</t>
  </si>
  <si>
    <t>DINAS PENGEDALIAN PENDUDUK DAN KELUARGA BERENCANA</t>
  </si>
  <si>
    <t>Program Keluarga berencana</t>
  </si>
  <si>
    <t>Penyuluhan Bagi Ibu Rumah Tangga dalam Membangun Keluarga Sejahtera</t>
  </si>
  <si>
    <t>DINAS PERINDUSTRIAN PERDANGANGAN DAN UKM</t>
  </si>
  <si>
    <t>Program peningkatan efisiensi perdagangan dalam negeri</t>
  </si>
  <si>
    <t>Pengembangan pasar dan distribusi barang/produk</t>
  </si>
  <si>
    <t>Program pengembangan industri kecil dan menengah</t>
  </si>
  <si>
    <t>Fasilitasi bagi industri kecil dan menengah terhadap pemanfaatan sumber daya (OTSUS)</t>
  </si>
  <si>
    <t>Program pemberdayaan  ekonomi masyarakat pesisir</t>
  </si>
  <si>
    <t>Pencetakan Pembuatan Kolam Ikan Percontohan</t>
  </si>
  <si>
    <t xml:space="preserve">Program Peningkatan  kesejahteraan petani </t>
  </si>
  <si>
    <t>Program Peningkatan produksi pertanian /Perkebunan</t>
  </si>
  <si>
    <t>Pengadaan sarana produksi pertanian/perkebunan</t>
  </si>
  <si>
    <t>Pemeliharaan Blok Penghasil Tinggi (BPT) Tanaman Kelapa</t>
  </si>
  <si>
    <t xml:space="preserve">Program Peningkatan  produksi hasil peternakan </t>
  </si>
  <si>
    <t>Pendistribusian bibit ternak  kepada masyarakat</t>
  </si>
  <si>
    <t>Pengembangan agroidustri terpadu hortikultura</t>
  </si>
  <si>
    <t>Pengawasan dan Pemeriksaan Internal atas pelaksanan program dan kegiatan yang dibiayai dengan dana Otonomi Khusus, yang dilaksanakan oleh Inspektorat Kabupaten/Kota</t>
  </si>
  <si>
    <t>Program monitoring dan evaluasi penggunaan dana otonomi khusus ( otsus)</t>
  </si>
  <si>
    <t xml:space="preserve">Penyusunan dan Pembahasan RD OTSUS </t>
  </si>
  <si>
    <t>Monitoring Evaluasi  Pengendalian Terpadu dan Pelaksanaan Rencana Hasil Pembangunan (OTSUS)</t>
  </si>
  <si>
    <t xml:space="preserve">17 </t>
  </si>
  <si>
    <t xml:space="preserve">KABUPATEN  KEEROM  </t>
  </si>
  <si>
    <t xml:space="preserve">PENDIDIKAN ANAK USIA DINI </t>
  </si>
  <si>
    <t>Pengadaan Pendidik PAUD non Formal dan Informal</t>
  </si>
  <si>
    <t>WAJIB BELANJA PENDIDIKAN DASAR SEMBILAN TAHUN</t>
  </si>
  <si>
    <t>Pengadaan Pendidik (guru kontrak) SD</t>
  </si>
  <si>
    <t>Pengadaan Pendidik (Guru Kontrak) SMP</t>
  </si>
  <si>
    <t>Pengadaan Tenaga Kependidikan (TU, Petugas Perpustakaan, Petugas Laboraturium, Penjaga Sekolah, Tenaga Kebersihan, Pengelola Asrama)</t>
  </si>
  <si>
    <t>Pengadaan makan dan Minum Siswa/Siswi SD-SMP Satu Atap Berasrama Berbasis Bahan Makanan Lokal</t>
  </si>
  <si>
    <t>Pengadaan Makan dan Minum Siswa/Siswi SMP Bersama Berbasis Komoditas Lokal</t>
  </si>
  <si>
    <t>Penyediaan Biaya Operasional Kegiatan Ekstrakurikuler SD</t>
  </si>
  <si>
    <t>Penyediaan Biaya Operasional Kegiatan Ekstrakurikuler SMP</t>
  </si>
  <si>
    <t>AFIRMASI PENDIDIKAN TINGGI (ADIK)</t>
  </si>
  <si>
    <t>Dukungan Beasiswa untuk Siswa/Siswi S1 OAP berprestasi secara terbatas untuk jurusan yang sangat dibutuhkan dalam pembangunan daerah</t>
  </si>
  <si>
    <t>OBAT DAN PERBEKALAN KESEHATAN</t>
  </si>
  <si>
    <t>Pengadaan Obat dan BHP</t>
  </si>
  <si>
    <t>UPAYA KESEHATAN MASYARAKAT</t>
  </si>
  <si>
    <t>Peningkatan Pelayanan dan Penanggulangan Masalah Kesehatan</t>
  </si>
  <si>
    <t>PENCEGAHAN DAN PENANGGULANGAN PENYAKIT MENULAR</t>
  </si>
  <si>
    <t>Penyemprotan/Fogging Sarang Nyamuk</t>
  </si>
  <si>
    <t>Kegiatan Mass Blood Survey (MBS) Insectisida Residual Spraying (IPS) dan Larvasida</t>
  </si>
  <si>
    <t>JAMINAN KESEHATAN MASYARKAT ASLI PAPUA</t>
  </si>
  <si>
    <t>Pemberian Jaminan Kesehatan Kepada Orang Asli Papua</t>
  </si>
  <si>
    <t>PENINGKATAN KESEHATAN PERORANGAN</t>
  </si>
  <si>
    <t>Peningkatan Pelayanan di Rumah Sakit</t>
  </si>
  <si>
    <t>SUMBER DAYA KESEHATAN (SDK)</t>
  </si>
  <si>
    <t>Penyediaan Tenaga Kesehatan Tidak Tetap</t>
  </si>
  <si>
    <t>DINAS PERUMAHAN, KAWASAN PERMUKIMAN DAN PERTANAHAN</t>
  </si>
  <si>
    <t>PENGEMBANGAN PERUMAHAN</t>
  </si>
  <si>
    <t>Fasilitasi dan Stimulasi Pembangunan Perumahan Masyarakat Kurang Mampu</t>
  </si>
  <si>
    <t>PEMBERDAYAAN FAKIR MISKIN, KOMUNITAS ADAT TERPENCIL (KAT) DAN PENYANDANG MASALAH KESEJAHTERAAN SOSIAL (PMKS) LAINNYA</t>
  </si>
  <si>
    <t>Pemetaan Wilayah Adat</t>
  </si>
  <si>
    <t>PENGUATAN KELEMBAGAAN PENGARUSUTAMAAN GENDER DAN ANAK</t>
  </si>
  <si>
    <t>Pembinaan Kelompok Perempuan</t>
  </si>
  <si>
    <t>Bimbingan Manajemen Usaha Bagi Perempuan OAP Dalam Mengelola Usaha</t>
  </si>
  <si>
    <t>PENINGKATAN KUALITAS HIDUP DAN PERLINDUNGAN PEREMPUAN</t>
  </si>
  <si>
    <t>Pelatihan Paralegal</t>
  </si>
  <si>
    <t>PENINGKATAN KETAHANAN PANGAN (PERTANIAN/PERKEBUNAN)</t>
  </si>
  <si>
    <t>Penangan Daerah Rawan Pangan</t>
  </si>
  <si>
    <t>Pemanfaatan Pekarangan untuk Pengembangan Pangan</t>
  </si>
  <si>
    <t>Pengembangan Model Distribusi Pangan yang Efisien</t>
  </si>
  <si>
    <t>PENGEMBANGAN BUDIDAYA PERIKANAN</t>
  </si>
  <si>
    <t>PENINGKATAN KESEJAHTERAAN PETANI DAN PETERNAK</t>
  </si>
  <si>
    <t>Pengembangan Bibit Unggul Tanaman Pangan dan Holtikultura</t>
  </si>
  <si>
    <t>PENINGKATAN PRODUKSI PERTANIAN / PERKEBUNAN</t>
  </si>
  <si>
    <t>Pengembangan Komoditas Unggulan Perkebunan Spesifik Papua (Pinang)</t>
  </si>
  <si>
    <t>PENINGKATAN PRODUKSI HASIL PETERNAKAN</t>
  </si>
  <si>
    <t>Pendistribusian Bibit Ternak kepada Masyarakat</t>
  </si>
  <si>
    <t>PERENCANAAN PEMBANGUNAN DAERAH</t>
  </si>
  <si>
    <t>Koordinasi Penyusunan URD OTSUS</t>
  </si>
  <si>
    <t>BADAN PENGELOLA KEUANGAN DAN ASET DAERAH (PPKD)</t>
  </si>
  <si>
    <t>BELANJA HIBAH</t>
  </si>
  <si>
    <t>18</t>
  </si>
  <si>
    <t>KABUPATEN WAROPEN</t>
  </si>
  <si>
    <t xml:space="preserve"> Pengadaan Perlengkapan Sekolah</t>
  </si>
  <si>
    <t>Pembinaaan minat, bakat, dan kreativitas siswa</t>
  </si>
  <si>
    <t>Pengembangan mutu dan kualitas program pendidikan dan pelatihan bagi pendidik dan tenaga kependidikan</t>
  </si>
  <si>
    <t>Program Wajib Belajar Pendidikan Dasar 9 Tahun</t>
  </si>
  <si>
    <t>Pengadaan Komputer dan ICT untuk pembelajaran interaktif dan pengkalan data pendidikan</t>
  </si>
  <si>
    <t>Bantuan Biaya Akhir Studi Bagi OAP</t>
  </si>
  <si>
    <t>Peningkatan Cakupan Imunisasi pada Balita Orang Asli Papua</t>
  </si>
  <si>
    <t>Pelayanan Kesehatan Kepada OAP di Rumah Sakit</t>
  </si>
  <si>
    <t>GPMKESMAWAR Bidang Perekonomian</t>
  </si>
  <si>
    <t xml:space="preserve">DINAS PERUMAHAN </t>
  </si>
  <si>
    <t>Pembangunan 4 unit Rumah sehat</t>
  </si>
  <si>
    <t>DINAS PEMBERDAYAAN PEREMPUAN, PERLINDUNGAN ANAK DAN KELUARGA BERENCANA</t>
  </si>
  <si>
    <t xml:space="preserve">Operasional Pendampingan Korban KDRT &amp; Anak </t>
  </si>
  <si>
    <t>Program peningkatan peran serta dan kesetaraan Gender dalam pembangunan</t>
  </si>
  <si>
    <t xml:space="preserve">Pameran Hasil Karya Perempuan dibidang Pembangunan </t>
  </si>
  <si>
    <t>Pendidikan dan Pelatihan Peningkatan Peran serta dan Kesetaraan Jender</t>
  </si>
  <si>
    <t>Program penguatan kelembagaan pengarusutamaan gender dan anak</t>
  </si>
  <si>
    <t>Workshop peningkatan peran perempuan dalam pengambilan keputusan</t>
  </si>
  <si>
    <t>Pemberdayaan lembaga yang berbasis gender</t>
  </si>
  <si>
    <t>Pelayanan KTP Kirihi</t>
  </si>
  <si>
    <t>DINAS PETERNAKAN</t>
  </si>
  <si>
    <t xml:space="preserve">Program pengembangan budidaya perikanan </t>
  </si>
  <si>
    <t>Peningkatan kualitas pelayanan, sarana, dan prasarana rehabilitasi kesejahteraan sosial bagi PMKS</t>
  </si>
  <si>
    <t>Program Pemberdayaan Kelembagaan Kesejahteraan Sosial</t>
  </si>
  <si>
    <t xml:space="preserve">Pembinaan Lembaga Masyarakat Adat Asli Waropen </t>
  </si>
  <si>
    <t>BAPPEDA</t>
  </si>
  <si>
    <t>Monitoring, evaluasi dan pelaporan</t>
  </si>
  <si>
    <t>19</t>
  </si>
  <si>
    <t>KABUPATEN   SUPIORI</t>
  </si>
  <si>
    <t>Pelatihan kompetensi tenaga pendidik dan kependidikan (OTSUS)</t>
  </si>
  <si>
    <t>Pengadaan bahan habis pakai untuk penyediaan pendukung pembelajaran (OTSUS)</t>
  </si>
  <si>
    <t>Lomba Kreatifitas Tingkat PAUD (OTSUS)</t>
  </si>
  <si>
    <t>Pemeliharaan Rutin Bangunan dan Perlengkapan Sekolah (OTSUS)</t>
  </si>
  <si>
    <t>Penyediaan tunjangan khusus guru di daerah terpencil dan terisolir (OTSUS)</t>
  </si>
  <si>
    <t>Pengadaan buku penunjang pembelajaran dan pengayaan siswa (OTSUS)</t>
  </si>
  <si>
    <t>Pelatihan kompetensi khusus bagi tenaga pendidik dan kependidikan, termasuk life skill pencegahan HIV/AIDS (OTSUS)</t>
  </si>
  <si>
    <t>Penyelenggaraan Pendidikan Kejar Paket A (OTSUS)</t>
  </si>
  <si>
    <t>Penyediaan Biaya operasional kegiatan ekstrakurikuler (OTSUS)</t>
  </si>
  <si>
    <t>Bantuan Operasional Sekolah SD (OTSUS)</t>
  </si>
  <si>
    <t>Pengadaan meubelair dan perlengkapan pendukung untuk ruang kelas, ruang guru, UKS, perpustakaan, asrama (OTSUS)</t>
  </si>
  <si>
    <t>Pengadaan perlengkapan sekolah (OTSUS)</t>
  </si>
  <si>
    <t>Pengadaan komputer dan perlengkapan Information Communication Technology (OTSUS)</t>
  </si>
  <si>
    <t>Penyebarluasan dan sosialiasasi berbagai informasi pendidikan dasar (OTSUS)</t>
  </si>
  <si>
    <t>Pemeliharaan kamar mandi dan jaringan air bersih (OTSUS)</t>
  </si>
  <si>
    <t>Rehabilitasi rumah dinas kepala sekolah, guru, penjaga sekolah (OTSUS)</t>
  </si>
  <si>
    <t>Penyelenggaraan Pendidikan Kejar Paket B (OTSUS)</t>
  </si>
  <si>
    <t>Pelatihan kompetensi khusus bagi tenaga pendidik dan tenaga kependidikan, termasuk life skill pencegahan HIV dan AIDS (OTSUS)</t>
  </si>
  <si>
    <t>Pengadaan makan dan minum siswa/siswa SMP berasrama berbasis komoditas lokal (OTSUS)</t>
  </si>
  <si>
    <t>Pengadaan beasiswa melanjutkan (transisi) untuk siswa asli Papua (OTSUS)</t>
  </si>
  <si>
    <t>Pembangunan tempat ibadah,perpustakaan, UKS, kamar mandi, jamban dan jaringan air bersih dengan pipa atau bak penampungan air hujan disesuaikan dengan kondisi lingkungan (OTSUS)</t>
  </si>
  <si>
    <t>Penyediaan insentif guru dengan prioritas guru non-PNS atau PNS yang belum bersertifikasi (OTSUS)</t>
  </si>
  <si>
    <t>Penyediaan Biaya operasional pendukung kegiatan ekstrakurikuler (OTSUS)</t>
  </si>
  <si>
    <t>Bantuan Operasional Sekolah SMP (OTSUS)</t>
  </si>
  <si>
    <t>Pengadaan buku dan alat tulis siswa (OTSUS)</t>
  </si>
  <si>
    <t>Penyebarluasan dan sosialiasasi berbagai informasi pendidikan menengah (OTSUS)</t>
  </si>
  <si>
    <t>Penyediaan biaya operasional bagi lembaga penyelenggara KF (OTSUS)</t>
  </si>
  <si>
    <t>Penyelenggaraan Pendidikan ?parenting? bagi orangtua untuk mewujudkan generasi yang cerdas komprehensif dan berdaya saing (OTSUS)</t>
  </si>
  <si>
    <t>Pengadaan obat dan perbekalan kesehatan puskesmas dan jaringannya (OTSUS)</t>
  </si>
  <si>
    <t>Penyelenggaraan penyehatan lingkungan, dan monitoring, evaluasi dan pelaporan (OTSUS)</t>
  </si>
  <si>
    <t>Penyediaan PMT anak sekolah (OTSUS)</t>
  </si>
  <si>
    <t>Pemberian tambahan makanan kepada Bayi, Balita, Ibu Hamil dan Ibu Bersalin (OTSUS)</t>
  </si>
  <si>
    <t>Penanggulangan kurang energi protein (kep), anemia gizi besi, gangguan akibat kurang yodium (gaky), kurang vitamin a, dan kekurangan zat gizi mikro lainnya  (OTSUS)</t>
  </si>
  <si>
    <t>Pelacakan dan penanganan kasus gizi buruk (OTSUS)</t>
  </si>
  <si>
    <t>Pencegahan dan penanggulangan penyakit malaria (OTSUS)</t>
  </si>
  <si>
    <t>Pencegahan dan penanggulangan penyakit IMS, HIV dan AIDS (OTSUS)</t>
  </si>
  <si>
    <t>Pencegahan dan penanggulangan penyakit TB Paru (OTSUS)</t>
  </si>
  <si>
    <t>Pencegahan dan penanggulangan penyakit kusta (OTSUS)</t>
  </si>
  <si>
    <t>Immunisasi bagi anak balita orang asli papua (OTSUS)</t>
  </si>
  <si>
    <t>Penyediaan tenaga kesehatan bayi dan balita orang asli papua (OTSUS)</t>
  </si>
  <si>
    <t>Peningkatan dan pemeliharaan kesehatan ibu dan bayi baru lahir orang asli Papua (OTSUS)</t>
  </si>
  <si>
    <t>Pengadaan obat dan perbekalan kesehatan rumah sakit (OTSUS)</t>
  </si>
  <si>
    <t>Program pengadaan, peningkatan sarana dan prasarana rumah sakit/ rumah sakit jiwa/  rumah sakit paru-paru/  rumah sakit mata</t>
  </si>
  <si>
    <t>Penyediaan bahan logistik (OTSUS)</t>
  </si>
  <si>
    <t>Pengembangan sistem distribusi air minum (OTSUS)</t>
  </si>
  <si>
    <t>Dinas Perumahan Rakyat dan Kawasan Pemukiman</t>
  </si>
  <si>
    <t>Rehabilitasi jalan lingkungan kampung (OTSUS)</t>
  </si>
  <si>
    <t>Program Pembangunan Infrastruktur Perdesaaan</t>
  </si>
  <si>
    <t>Pembangunan/peningkatan jalan lingkungan Kampung (OTSUS)</t>
  </si>
  <si>
    <t>Pembangunan sarana dan prasarana sanitasi kampung OAP (OTSUS)</t>
  </si>
  <si>
    <t>Pemberian Jaminan Hidup bagi OAP Penyandang Masalah Kesejahteraan Sosial (OTSUS)</t>
  </si>
  <si>
    <t>Pelatihan ketrampilan berusaha bagi keluarga miskin OAP (OTSUS)</t>
  </si>
  <si>
    <t>Pembinaan dan Pemberdayaan Komunitas Adat Terpencil (KAT) (OTSUS)</t>
  </si>
  <si>
    <t>Pengadaan sarana dan prasarana pendukung usaha bagi keluarga miskin OAP (OTSUS)</t>
  </si>
  <si>
    <t>Pengembangan bakat dan ketrampilan anak terlantar OAP (OTSUS)</t>
  </si>
  <si>
    <t>penguatan fungsi dan peran Lembaga Masyarakat Adat Asli Papua dalam melindungi dan mengatur hak ulayat maupun hak perorangan Masyarakat Adat Asli Papua  (OTSUS)</t>
  </si>
  <si>
    <t>Pemberdayaan Lembaga-lembaga Keagamaan untuk mendukung kelancaran tugas tugas pembinaan dan pelayanan keagamaan  (OTSUS)</t>
  </si>
  <si>
    <t>Dinas Tenaga Kerja, Koperasi, Usaha Mikro Kecil Dan Menengah</t>
  </si>
  <si>
    <t>Pendidikan dan pelatihan ketrampilan bagi pencari kerja OAP (OTSUS)</t>
  </si>
  <si>
    <t>Penyusunan data base tenaga kerja daerah OAP (OTSUS)</t>
  </si>
  <si>
    <t>Program Peningkatan Kualitas kelembagaan Koperasi</t>
  </si>
  <si>
    <t>Pembinaan koperasi Peranserta Masyarakat Adat Asli Papua (KOPERMAS)  (OTSUS)</t>
  </si>
  <si>
    <t>Peningkatan kualitas pelayanan dan pemenuhan standar/ketentuan pengelolaan koperasi (OTSUS)</t>
  </si>
  <si>
    <t>Program Pengembangan Kewirausahaan dan Keunggulan Kompetitif UKM</t>
  </si>
  <si>
    <t>Penciptaan wirausaha baru khususnya wirausaha asli Papua (OTSUS)</t>
  </si>
  <si>
    <t>Peningkatan kualitas manajemen UKM (OTSUS)</t>
  </si>
  <si>
    <t>Pengembangan UMKM pengelola SDA Lokal (OTSUS)</t>
  </si>
  <si>
    <t>Pembinaan manajamen usaha dan ketrampilan usaha mini mikro, mikro dan kecil (OTSUS)</t>
  </si>
  <si>
    <t>Pendampingan bagi pelaku usaha ekonomi masyarakat Orang Asli Papua sesuai dengan karakteristik sosial budaya setempat (OTSUS)</t>
  </si>
  <si>
    <t>Pemberdayaan kewirausahaan kelompok pengusaha OAP produk lokal (OTSUS)</t>
  </si>
  <si>
    <t>Pemberian bantuan fasilitas permodalan dan pemasaran hasil produksi (OTSUS)</t>
  </si>
  <si>
    <t>Penyediaan Pelayanan KB dan Alat Kontrasepsi bagi Keluarga Miskin (OTSUS)</t>
  </si>
  <si>
    <t>Pelayanan KIE Keluarga Sejahtera (OTSUS)</t>
  </si>
  <si>
    <t>Pembinaan Keluarga Berencana (OTSUS)</t>
  </si>
  <si>
    <t>Fasilitasi upaya perlindungan perempuan terhadap tindak kekerasan (OTSUS)</t>
  </si>
  <si>
    <t>Bimbingan manajemen  usaha  bagi perempuan OAP dalam mengelola usaha (OTSUS)</t>
  </si>
  <si>
    <t>Workshop peningkatan peran perempuan OAP dalam pengambilan keputusan (OTSUS)</t>
  </si>
  <si>
    <t>Dinas Kependudukan dan Pencatatan Sipil</t>
  </si>
  <si>
    <t>Penyusunan kebijakan kependudukan OAP (OTSUS)</t>
  </si>
  <si>
    <t>Pembangunan tambatan perahu rakyat (OTSUS)</t>
  </si>
  <si>
    <t>Program pemberdayaan ekonomi masyarakat pesisir</t>
  </si>
  <si>
    <t>Pembinaan kelompok ekonomi masyarakat pesisir (OTSUS)</t>
  </si>
  <si>
    <t>Pembinaan budidaya perikanan (OTSUS)</t>
  </si>
  <si>
    <t>Pendampingan pada kelompok tani pembudidaya ikan (OTSUS)</t>
  </si>
  <si>
    <t>Dukungan beasiswa S-1 untuk siswa-siswi SMA SMA OAP berprestasi secara terbatas untuk jurusan yang sangat dibutuhkan dalam pembangungan daerah (OTSUS)</t>
  </si>
  <si>
    <t>Penyediaan dukungan bidang pendidikan bagi pengembangan potensi wilayah sesuai peta komoditas unggulan daerah (OTSUS)</t>
  </si>
  <si>
    <t>Pendampingan kelompok pembudidaya (OTSUS)</t>
  </si>
  <si>
    <t>Penyediaan peralatan tangkap bagi nelayan OAP (OTSUS)</t>
  </si>
  <si>
    <t>Program pengembangan kawasan budidaya laut, air payau dan air tawar</t>
  </si>
  <si>
    <t>Pembudiayaan ikan air tawar/ air payau (OTSUS)</t>
  </si>
  <si>
    <t>Program pengembangan pemasaran pariwisata</t>
  </si>
  <si>
    <t>Perlindungan bahasa dan sastra (OTSUS)</t>
  </si>
  <si>
    <t>Program pengembangan destinasi pariwisata</t>
  </si>
  <si>
    <t>Pengembangan obyek pariwisata unggulan (OTSUS)</t>
  </si>
  <si>
    <t>Pengembangan jenis dan paket wisata unggulan (OTSUS)</t>
  </si>
  <si>
    <t>Peningkatan pembangunan sarana dan prasarana (OTSUS)</t>
  </si>
  <si>
    <t>Pengembangan daerah tujuan wisata (OTSUS)</t>
  </si>
  <si>
    <t>Pengembangan, sosialisasi dan penerapan serta pengawasan standarisasi (OTSUS)</t>
  </si>
  <si>
    <t>Program Peningkatan Ketahan Pangan (pertanian/perkebunan)</t>
  </si>
  <si>
    <t>Pengembangan pertanian pada lahan kering (OTSUS)</t>
  </si>
  <si>
    <t>Peningkatan produksi, produktifitas dan mutu produk perkebunan, produk pertanian (OTSUS)</t>
  </si>
  <si>
    <t>Peningkatan kemampuan kelembagaan petani (OTSUS)</t>
  </si>
  <si>
    <t>Pelatihan petani dan pelaku agrobisnis (OTSUS)</t>
  </si>
  <si>
    <t>Kegiatan Peningkatan kemampuan lembaga petani (OTSUS)</t>
  </si>
  <si>
    <t>Pengembangan sarana dan prasarana produksi ternak (OTSUS)</t>
  </si>
  <si>
    <t>Program pembinaan dan pengembangan bidang ketenagalistrikan</t>
  </si>
  <si>
    <t>Pemasangan pembangkit listrik tenaga surya (PLTS) (OTSUS)</t>
  </si>
  <si>
    <t>Fasilitasi bagi industri kecil menengah terhadap pemanfaatan sumber daya (OTSUS)</t>
  </si>
  <si>
    <t>Program pembinaan pedagang kakilima dan asongan</t>
  </si>
  <si>
    <t>Pembinaan pedagang kakilima dan asongan (OTSUS)</t>
  </si>
  <si>
    <t>Penyuluhan peningkatan disiplin pedagang kakilima dan asongan (OTSUS)</t>
  </si>
  <si>
    <t>Penataan tempat berusaha bagi pedagang kakilima dan asongan (OTSUS)</t>
  </si>
  <si>
    <t>Fasilitasi modal usaha bagi pedagang kakilima dan asongan (OTSUS)</t>
  </si>
  <si>
    <t>Program peningkatan sistem pengawasan internal dan pengendalian pelaksanaan kebijakan KDH</t>
  </si>
  <si>
    <t>Koordinasi penyusunan dan pembahasan URD Penggunaan Dana Otonomi Khusus Kabupaten/Kota (OTSUS)</t>
  </si>
  <si>
    <t>Monitoring Reguler dan Monitoring Terpadu/Kolaborasi Pelaksanaan Program/Kegiatan Otonomi Khusus Delapan Puluh Persen (80%) Bagian Kabupaten/Kota  (OTSUS)</t>
  </si>
  <si>
    <t>Pemberdayaan Lembaga-lembaga Keagamaan untuk mendukung kelancaran tugas tugas pembinaan dan pelayanan keagamaan (OTSUS)</t>
  </si>
  <si>
    <t>Penguatan fungsi dan peran Lembaga Masyarakat Adat Asli Papua dalam melindungi dan mengatur hak ulayat maupun hak perorangan Masyarakat Adat Asli Papua  (OTSUS)</t>
  </si>
  <si>
    <t>20</t>
  </si>
  <si>
    <t>KAB MAMBERAMO RAYA</t>
  </si>
  <si>
    <t>Pengadaan buku penunjang pembelajaran dan pengayaan siswa</t>
  </si>
  <si>
    <t>Pengadaan buku dan alat tulis siswa</t>
  </si>
  <si>
    <t>Jumlah siswa mendapat pengadaan buku dan alat tulis</t>
  </si>
  <si>
    <t>Pengadaan meubelair dan perlengkapan pendukung untuk ruang kelas, ruang guru, UKS, perpustakaan, asrama</t>
  </si>
  <si>
    <t>Penambahan ruang kelas</t>
  </si>
  <si>
    <t>Program Wajib Belajar Pendidikan Dasar 9 Tahun (SMP)</t>
  </si>
  <si>
    <t>Pembangunan gedung Sekolah</t>
  </si>
  <si>
    <t>Program Peningkatan Pelayanan Kesehatan Anak Balita</t>
  </si>
  <si>
    <t>Immunisasi bagi anak balita orang asli papua</t>
  </si>
  <si>
    <t>Pencegahan dan penanggulangan penyakit malaria</t>
  </si>
  <si>
    <t>Pencegahan dan penanggulangan penyakit IMS, HIV dan AIDS</t>
  </si>
  <si>
    <t>Pencegahan dan penanggulangan penyakit TB Paru</t>
  </si>
  <si>
    <t>Pencegahan dan penanggulangan penyakit kusta</t>
  </si>
  <si>
    <t>Pencegahan dan penanggulangan penyakit filariasis</t>
  </si>
  <si>
    <t>Program pengadaan, peningkatan sarana dan prasarana Rumah Sakit/rumah sakit jiwa/rumah sakit paru-paru/rumah sakit mata</t>
  </si>
  <si>
    <t>penyediaan obat-obatan</t>
  </si>
  <si>
    <t>DINAS KOPERASI USAHA MIKRO KECIL DAN MENENGAH</t>
  </si>
  <si>
    <t>Fasilitasi dukungan permodalan dan penjaminan usaha</t>
  </si>
  <si>
    <t>Pengembangan UMKM pengelola SDA Lokal</t>
  </si>
  <si>
    <t>Pendampingan bagi pelaku usaha ekonomi masyarakat Orang Asli Papua sesuai dengan karakteristik sosial budaya setempat</t>
  </si>
  <si>
    <t>Pemberdayaan kewirausahaan kelompok pengusaha OAP produk lokal</t>
  </si>
  <si>
    <t>Sertifikasi bibit unggul perkebunan</t>
  </si>
  <si>
    <t>pendampingan pada kelompok nelayan perikanan tangkap OAP</t>
  </si>
  <si>
    <t>Program Pemberdayaan Ekonomi Masyarakat Pesisir</t>
  </si>
  <si>
    <t>Pengembangan sarana budiaya air tawar/payau</t>
  </si>
  <si>
    <t>Program Pembinaan Kakilima dan Asongan</t>
  </si>
  <si>
    <t>Pembinaan pedagang kakilima dan asongan</t>
  </si>
  <si>
    <t>Fasilitasi kerjasama kemitraan industri mikro, kecil dan menengah dengan swasta</t>
  </si>
  <si>
    <t>DINAS PERUMAHAN DAN KAWASAN PEMUKIMAN</t>
  </si>
  <si>
    <t>Pembangunan rumah layak huni bagi masyarakat Asli Papua</t>
  </si>
  <si>
    <t>Perencanaan pembangunan jaringan air bersih/air minum</t>
  </si>
  <si>
    <t>Pengadaan angkutan umum kampung</t>
  </si>
  <si>
    <t>Program Peningkatan Kualitas Hidup Dan Perlindungan Perempuan</t>
  </si>
  <si>
    <t>Sosialisasi dan advokasi kebijakan penghapusan Buta Aksara Perempuan (PBAP) OAP di Distirk dan Kampung</t>
  </si>
  <si>
    <t>Program Peningkatan Peran Serta Dan Kesetaraan Jender Dalam Pembangunan</t>
  </si>
  <si>
    <t>pendidikan dan pelatihan peningkatan peran serta dan kesetaraan jender</t>
  </si>
  <si>
    <t>Penyuluhan bagi ibu rumah tangga dalam membangun keluarga sejahtera</t>
  </si>
  <si>
    <t>BADAN PERENCANAAN PENELITIAN DAN PEMBAGUNAN DAERAH</t>
  </si>
  <si>
    <t>DINAS LINGKUNGAN HIDUP</t>
  </si>
  <si>
    <t>Program Pengendalian Pencemaran dan Perusakan Lingkungan Hidup</t>
  </si>
  <si>
    <t>Peningkatan peran serta masyarakat dalam pengendalian pencemaran dan kerusakan lingkungan hidup</t>
  </si>
  <si>
    <t>DINAS SOSIAL,TENAGA KERJA DAN TRANSMIGRASI</t>
  </si>
  <si>
    <t>Pengembangan data base kependudukan OAP</t>
  </si>
  <si>
    <t>Pemberian Jaminan Hidup bagi OAP Penyandang Masalah Kesejahteraan Sosial</t>
  </si>
  <si>
    <t>Pelatihan ketrampilan berusaha bagi keluarga miskin OAP</t>
  </si>
  <si>
    <t>Pengembangan Bakat dan Ketrampilan Anak Terlantar OAP</t>
  </si>
  <si>
    <t>Penyiapan tenaga kerja siap pakai OAP</t>
  </si>
  <si>
    <t>21</t>
  </si>
  <si>
    <t>KABUPATEN   NDUGA</t>
  </si>
  <si>
    <t xml:space="preserve"> Dinas Pendidikan, Kebudayaan, dan Pariwisata</t>
  </si>
  <si>
    <t>Penyelenggaraan PAUD Non-Formal dan Formal (DOK)</t>
  </si>
  <si>
    <t>Pengadaan Pakaian Seragam Sekolah (DOK)</t>
  </si>
  <si>
    <t>Pembangunan SMP reguler/berasrama (DOK)</t>
  </si>
  <si>
    <t>Pengadaan Meubelair dan Perlengkapan Pendukung Ruang Kelas, Ruang Guru-SMP (DOK)</t>
  </si>
  <si>
    <t>Pengadaan Meubelair dan Perlengkapan Pendukung Ruang Kelas, Ruang Guru -SD (DOK)</t>
  </si>
  <si>
    <t>Pengadaan guru kontrak SD (DOK)</t>
  </si>
  <si>
    <t>Penambahan Ruang Kelas SMP Reguler (DOK)</t>
  </si>
  <si>
    <t>Pendistribusian Obat (handling cost) (DOK)</t>
  </si>
  <si>
    <t>Pemberian makanan Tambahan kepada bayi, balita dan ibu hamil (DOK)</t>
  </si>
  <si>
    <t>Gizi 1000 Hari Kehidupan (DOK)</t>
  </si>
  <si>
    <t>Peningkatan Imunisasi (DOK)</t>
  </si>
  <si>
    <t>Program Pengadaan, Peningkatan dan Perbaikan Sarana dan Prasarana Puskesmas/Puskesmas Pembantu dan Jaringannya</t>
  </si>
  <si>
    <t>Pemeliharaan sarana dan prasarana puskesmas /puskesmas pembantu dan jaringannya  (DOK)</t>
  </si>
  <si>
    <t>Penyediaan Obat-Obatan (DOK)</t>
  </si>
  <si>
    <t>Penyediaan Bahan Logistik (DOK)</t>
  </si>
  <si>
    <t>Penyediaan Makan Bagi Pasien Rumah Sakit (DOK)</t>
  </si>
  <si>
    <t>Penyedian Alat Kesehatan (DOK)</t>
  </si>
  <si>
    <t>Peningkatan kualitas SDM kesehatan melalui pelaksanaan D3,D4,S1,S2 kesehatan (DOK)</t>
  </si>
  <si>
    <t>Pendidikan dan Pelatihan Penaga Medis ( Jurim imunisasi) (DOK)</t>
  </si>
  <si>
    <t>Pelatihan dan Pendidikan Perawatan Anak Balita (APN) (DOK)</t>
  </si>
  <si>
    <t>Pendidikan dan pelatihan tenaga kesehatan ( Bidan Desa) (DOK)</t>
  </si>
  <si>
    <t>Pelayanan kesehatan rujukan bagi pasien OAP (DOK)</t>
  </si>
  <si>
    <t>Pengendalian Penyakit Polio, TB Paru,ISPA, HIV /AIDS dan PMS, DBD, Malaria, Kusta,Vilariasis</t>
  </si>
  <si>
    <t xml:space="preserve">Dinas Pekerjaan Umum, Tata Ruang Permukiman dan Pertanahan </t>
  </si>
  <si>
    <t>Program Pembangunan Infrastruktur Perdesaan</t>
  </si>
  <si>
    <t>Pembangunan/Peningkatan Jalan Lingkungan Kampung</t>
  </si>
  <si>
    <t>Pembangunan jembatan gantung (DOK)</t>
  </si>
  <si>
    <t>Pembangunan Rumah Layak Huni Bagi OAP (DOK)</t>
  </si>
  <si>
    <t>Dinas Sosial dan Tenaga Kerja</t>
  </si>
  <si>
    <t>Pengembangan Model Distribusi Pangan Yang Efisien</t>
  </si>
  <si>
    <t>Program Pemberdayaan Fakir Miskin, Komunitas Adat Terpencil (KAT) dan Penyandang Masalah Kesejahteraan Sosial (PMKS)</t>
  </si>
  <si>
    <t>Pengadaan sarana dan prasarana pendukung usaha bagi keluarga miskin</t>
  </si>
  <si>
    <t>Program Pemberdayaan Lembaga Keagamaan</t>
  </si>
  <si>
    <t xml:space="preserve">Pemberdayaan Lembaga Keagamaan untuk mendukung tugas pembinaan dan pelayanan </t>
  </si>
  <si>
    <t>Penguatan Fungsi dan Peran LMA Asli Papua</t>
  </si>
  <si>
    <t xml:space="preserve">Program Pembangunan Sarana dan Prasarana Perhubungan </t>
  </si>
  <si>
    <t>Pengadaan Angkutan Umum Kampung (DOK)</t>
  </si>
  <si>
    <t xml:space="preserve">Pengembangan Database Kependudukan Orang Asli Papua </t>
  </si>
  <si>
    <t>Dinas Pemberdayaan Perempuan Perlindungan Anak dan Keluarga Berencana</t>
  </si>
  <si>
    <t>Bimbingan manajemen usaha bagi perempuan dalam mengelola usaha</t>
  </si>
  <si>
    <t xml:space="preserve">Dinas Pertanian dan Ketahanan Pangan </t>
  </si>
  <si>
    <t>Program Peningkatan Pemasaran Hasil Produksi Pertanian/Perkebunan</t>
  </si>
  <si>
    <t>Pembangunan pusat-pusat penampungan produksi hasil perkebunan komoditas spesifik papua</t>
  </si>
  <si>
    <t>Program Peningkatan Produksi Pertanian dan Perkebunan</t>
  </si>
  <si>
    <t>Pengembangan Komoditas Unggulan  Spesifik Papua (DOK)</t>
  </si>
  <si>
    <t>Program Peningkatan Produksi  Peternakan</t>
  </si>
  <si>
    <t>Pendistribusian Bibit Ternak Kepada Masyarakat</t>
  </si>
  <si>
    <t>Program Pengembangan Budi Daya Perikanan</t>
  </si>
  <si>
    <t>Pengembangan / pembangunan dan rehabilitasi sarana budi daya air tawar / payau</t>
  </si>
  <si>
    <t>Dinas Perindustrian, Perdagangan dan Koperasi UKM</t>
  </si>
  <si>
    <t>Penataan Tempat Berusaha Bagi Pedagang Kakilima dan Asongan (DOK)</t>
  </si>
  <si>
    <t>Pembangunan Gudang Penyimpanan Barang Pedagang Kakilima dan Asongan (DOK)</t>
  </si>
  <si>
    <t>Pembinaan Manajemen Usaha dan Ketrampilan usaha mini mikro, mikro dan kecil</t>
  </si>
  <si>
    <t>Badan Perencanaan, Pembangunan, Penelitian dan Pengembangan Daerah</t>
  </si>
  <si>
    <t>Koordinasi penyusunan dan pembahasan URD Otsus (DOK)</t>
  </si>
  <si>
    <t>Monitoring dan evaluasi kegiatan OTSUS</t>
  </si>
  <si>
    <t>22</t>
  </si>
  <si>
    <t xml:space="preserve">KABUPATEN  LANNY  JAYA  </t>
  </si>
  <si>
    <t>Pelatihan Kompetensi tenaga pendidik</t>
  </si>
  <si>
    <t>Penunjang Ujian Nasianal SD</t>
  </si>
  <si>
    <t xml:space="preserve"> Pengadaan Computer dan  Perlengkapan TIK (SD)</t>
  </si>
  <si>
    <t>Pengadaan Sarana Mobilitas Sekolah</t>
  </si>
  <si>
    <t xml:space="preserve">Rehabilitasi sedang/berat  bangunan sekolah </t>
  </si>
  <si>
    <t>Rehabilitasi Asrama Siswa/siswi</t>
  </si>
  <si>
    <t>Pengadaan Alat-alat Olahraga</t>
  </si>
  <si>
    <t>Bantuan Oprasional Sekolah SD</t>
  </si>
  <si>
    <t>Pengadaan Buku Penunjang, Alat Tulis Siswa dan Pengayaan Siswa Serta Alat Peraga Pembelajaran</t>
  </si>
  <si>
    <t>Penambahan Ruang Kelas SD</t>
  </si>
  <si>
    <t>Pengadaan Moubelair dan Perlengkapan Pendukung untuk Ruang Kelas, Ruang Guru Jenjang SD</t>
  </si>
  <si>
    <t>Pengadaan Moubelair dan Perlengkapan Pendukung untuk Ruang Kelas, Ruang Guru Jenjang SMP</t>
  </si>
  <si>
    <t>Pengadaan Computer dan  Perlengkapan TIK (SMP)</t>
  </si>
  <si>
    <t>Pengadaan Pendidik/Guru Kontrak (jenjang SMP)</t>
  </si>
  <si>
    <t>Pelatihan Kompetensi Khusus bagi tenaga Pendidik termasuk Life Skill pencegahan HIV/AIDS (Jejang SD)</t>
  </si>
  <si>
    <t>Pelatihan Kompetensi Khusus bagi tenaga Pendidik termasuk Life Skill pencegahan HIV/AIDS (Jejang SMP)</t>
  </si>
  <si>
    <t>Pengadaan Guru Kontrak/Honor</t>
  </si>
  <si>
    <t>Penyediaan tunjangan khusus guru di daerah terpencil dan terisolir</t>
  </si>
  <si>
    <t xml:space="preserve">Kie Pemamfaatan Menu Seimbang dan Makanan Lokal </t>
  </si>
  <si>
    <t>Penanggulangan Kurang Energi Protein (KEP), Anemia Gizi Besi, Gangguan Akibat Kurang Yodium, Vit A, dan Gizi Lain.</t>
  </si>
  <si>
    <t>Program Pencegahan Dan Penanggulangan Penyakit Menular</t>
  </si>
  <si>
    <t>Pencegahan dan Pembarantasan IMS dan HIV/AIDS</t>
  </si>
  <si>
    <t>Program Peningkatan Pelayanan Rumah Sakit</t>
  </si>
  <si>
    <t>Penyediaan Makan Minum Pasien</t>
  </si>
  <si>
    <t>Pelayanan Kesehatan Rujukan Bagi Pasien OAP</t>
  </si>
  <si>
    <t xml:space="preserve">Program Pemberdayaan Fakir Miskin, Komunitas Adat Terpencil (KAT) dan Penyandang Masalah Kesejahteraan Sosial (PMKS) </t>
  </si>
  <si>
    <t>Peningkatan Kesejahteraan KAT Melalui Bantuan Sosial Bahan Bangunan Rumah (BBR)</t>
  </si>
  <si>
    <t>Program Keserasian Kebijakan Peningkatan Kualitas Anak dan Perempuan</t>
  </si>
  <si>
    <t>Workshop Peran Perempuan dalam Pengambilan Keputusan</t>
  </si>
  <si>
    <t>Fasilitasi Penyelenggaraan Festival Budaya Daerah</t>
  </si>
  <si>
    <t>Pelaksanaan Pengendalian dan Pengawasan Program kegiatan OTSUS</t>
  </si>
  <si>
    <t>Monitoring Reguler,Terpadu Kolaborasi dana OTSUS</t>
  </si>
  <si>
    <t>Badan Pendapatan, Pengelolaan Keuangan dan Aset Daerah</t>
  </si>
  <si>
    <t>Program Peningkatan Pengembangan Sistem Pelaporan Capaian Kinerja dan Keuangan</t>
  </si>
  <si>
    <t>Penyusunan Rancangan Program/Kegiatan dan Pelaporan Realisasi OTSUS</t>
  </si>
  <si>
    <t>23</t>
  </si>
  <si>
    <t>KABUPATEN   MAMBERAMO TENGAH</t>
  </si>
  <si>
    <t>Pengadaan Pendidik PAUD Non-Formal dan Formal</t>
  </si>
  <si>
    <t>Program Pendidikan Non-Formal dan In-formal</t>
  </si>
  <si>
    <t>Pengembangan Model Pendidikan Keaksaraan Yang Sesuai Dengan Kondisi Sosial Budaya Setempat</t>
  </si>
  <si>
    <t>Program Wajib Belajar Pendidikan Sebilan Tahun</t>
  </si>
  <si>
    <t>Pembangunan Rumah Dinas Guru dan Kepala Sekolah Serta Perlengkapannya</t>
  </si>
  <si>
    <t>Pengadaan tenaga pendidik (honor/kontrak)</t>
  </si>
  <si>
    <t>Program Wajib Belajar Pendidikan Sebilan Tahun (jenjang SD)</t>
  </si>
  <si>
    <t>Penunjang Ujian Nasional SD</t>
  </si>
  <si>
    <t>Program Wajib Belajar Pendidikan Sebilan Tahun (SMP)</t>
  </si>
  <si>
    <t>Pengadaan Beasiswa Melanjutkan (Transisi) Untuk Siswa Asli Papua</t>
  </si>
  <si>
    <t xml:space="preserve">Penunjang Ujian Nasional SMP </t>
  </si>
  <si>
    <t>Program Pendidikan Menengah Atas (SMA)</t>
  </si>
  <si>
    <t>Pengadaan Makan Dan Minum Siswa/Siswa SMA Berasrama</t>
  </si>
  <si>
    <t>Belanja Bantuan Pendidikan</t>
  </si>
  <si>
    <t>Pendistribusian Obat (Handling Cost)</t>
  </si>
  <si>
    <t xml:space="preserve">Peningkatan pelayanan dan penanggulangan masalah kesehatan </t>
  </si>
  <si>
    <t>Pengadaan Peralatan Dan Perbekalan Kesehatan Termasuk Obat  Generik Esensial, Penyediaan Biaya Operasional Dan Pemeliharaan</t>
  </si>
  <si>
    <t xml:space="preserve">Program Peningkatan Keselamatan Ibu Melahirkan dan Anak </t>
  </si>
  <si>
    <t>Perawatan Berkala Bagi Ibu Hamil dari Keluarga Kurang Mampu Orang Asli Papua</t>
  </si>
  <si>
    <t>Peningkatan Dan Pemeliharaan Kesehatan Ibu Dan Bayi Baru  Lahir Orang  Asli Papua</t>
  </si>
  <si>
    <t>Pengendalian penyakit polio, pengendalian penyakit TB Paru, pengendalian penyakit ISPA, pengendalian penyakit HIV/AIDS dan PMS, pengendalian penyakit penyakit demam berdarah dengue, pengendalian penyakit malaria, pengendalian penyakit kusta, dan pengendal</t>
  </si>
  <si>
    <t>Pelayanan Kesehatan bagi Orang Asli Papua</t>
  </si>
  <si>
    <t>Dinas Pekerjaan Umum</t>
  </si>
  <si>
    <t>Program Pembangunan Infrastruktur Pedesaan</t>
  </si>
  <si>
    <t>Pembangunan sarana dan prasarana sanitasi kampung OAP</t>
  </si>
  <si>
    <t>Koordinasi Penyusunan Dan Pembahasan URD Penggunaan Dana Otonomi Khusus Kabupaten/Kota</t>
  </si>
  <si>
    <t>Pengawasan Dan Pemeriksaan Internal Atas Pelaksanan Program  Dan Kegiatan Yang Dibiayai Dengan Dana Otonomi Khusus, Yang Dilaksanakan Oleh Inspektorat Kabupaten/Kota</t>
  </si>
  <si>
    <t>Dinas Tenaga Kerja</t>
  </si>
  <si>
    <t>Pengadaan Tenaga Kerja Siap Kerja 0AP</t>
  </si>
  <si>
    <t>Dinas Pemberdayaan Perempuan dan KB</t>
  </si>
  <si>
    <t>Bimbingan manajemen usaha bagi perempuan OAP dalam mengelola usaha</t>
  </si>
  <si>
    <t>Penyuluhan Bagi Ibu Rumah Tangga Dalam Membangun Keluarga Sejahtera</t>
  </si>
  <si>
    <t>Belanja Bantuan Sosial Organisasi Kemasyarakatan</t>
  </si>
  <si>
    <t>Belanja Bantuan Sosial Organisasi Kemasyarakatan Bidang Keagamaan</t>
  </si>
  <si>
    <t>Dinas Pertanian dan Tanaman Pangan</t>
  </si>
  <si>
    <t>Prog. Peningkatan Ketahanan Pangan (Pertanian/ Perkebunan)</t>
  </si>
  <si>
    <t>Penanganan pasca panen dan pengolahan hasil pertanian</t>
  </si>
  <si>
    <t>Pengembangan intensifikasi tanaman padi, palawija</t>
  </si>
  <si>
    <t>Peningkatan mutu dan keamanan pangan</t>
  </si>
  <si>
    <t>Pengembangan komoditas unggulan perkebunan spesifik Papua</t>
  </si>
  <si>
    <t>Program Peningkatan Kesejahteraan Petani (Tanaman Pangan dan Holtikultura)</t>
  </si>
  <si>
    <t>Pelatihan Petani dan Pelaku Agrobisnis</t>
  </si>
  <si>
    <t>Peningkatan Sistem Insentif dan Disinsentif bagi Petani/Kelompok Tani</t>
  </si>
  <si>
    <t>Program Peningkatan Kesejahteraan Petani (Perkebunan)</t>
  </si>
  <si>
    <t>Pelatihan Petani dan Pelaku Agribisnis</t>
  </si>
  <si>
    <t>Penyediaan Peralatan Tangkap bagi Nelayan OAP</t>
  </si>
  <si>
    <t>Pembinaan Pedagang Kakilima Dan Asongan</t>
  </si>
  <si>
    <t>Dinas Koperasi, Usaha Kecil dan Menengah</t>
  </si>
  <si>
    <t>Peningkatan Kualitas Pelayanan dan Pemenuhan Standar/ Ketentuan Pengelolaan Koperasi</t>
  </si>
  <si>
    <t>Pemberdayaan Kewirausahaan Kelompok Pengusaha OAP Produk Lokal</t>
  </si>
  <si>
    <t>24</t>
  </si>
  <si>
    <t xml:space="preserve">KABUPATEN   YALIMO </t>
  </si>
  <si>
    <t>Penyelenggaraan PAUD Formal Dan Non Formal (OTSUS)</t>
  </si>
  <si>
    <t>Pengadaan pendidik PAUD Non-Formal dan Formal</t>
  </si>
  <si>
    <t xml:space="preserve"> Program Wajib Belajar Pendidikan Dasar 9 Tahun (Jenjang SD)</t>
  </si>
  <si>
    <t>Pengadaan guru kontrak</t>
  </si>
  <si>
    <t>Program Wajib Belanja Pendidikan Dasar 9 Tahun (Jenjang SMP)</t>
  </si>
  <si>
    <t>Pengadaan pendidik (guru kontrak)</t>
  </si>
  <si>
    <t>Pengadaan beasiswa melanjutkan (transisi) untuk siswa asli Papua</t>
  </si>
  <si>
    <t>Program Pendidikan Tinggi</t>
  </si>
  <si>
    <t>Dukungan beasiswa S-1 untuk siswa-siswi SMA SMA OAP berprestasi secara terbatas untuk jurusa sangat dibutuhkan dalam pembangungan daerah</t>
  </si>
  <si>
    <t>Penyediaan dukungan bidang pendidikan bagi pengembangan potensi wilayah sesuai peta komo unggulan daerah</t>
  </si>
  <si>
    <t>Penyediaan sarana dan prasarana pendidikan tinggi</t>
  </si>
  <si>
    <t>Peningkatan pelayanan dan penanggulangan masalah kesehatan orang asli papua</t>
  </si>
  <si>
    <t>Program Perbaikan Gizi Masayarakat</t>
  </si>
  <si>
    <t>Program pengadaan, peningkatan sarana dan prasarana Rumah Sakit/rumah sakit jiwa/rumah sa paru/rumah sakit mata</t>
  </si>
  <si>
    <t>Pembangunan rumah sakit</t>
  </si>
  <si>
    <t>DINAS PERUMAHAN DAN PERMUKIMAN</t>
  </si>
  <si>
    <t>BADAN PERENCANAAN PEMBANGUNAN, PENELITIAN DAN PENGEMBANGAN DAERAH</t>
  </si>
  <si>
    <t>Program Perencanaan Penggunaan  Dana Otonomi Khusus</t>
  </si>
  <si>
    <t>Program Monitoring  dan Evaluasi Penggunaan Dana Otonomi Khusus</t>
  </si>
  <si>
    <t>Monitoring Reguler dam Monitoring Terpadu/Kolaborasi Pelaksanaan Program/Kegiatan Otonomi Khusus
Delapan Puluh Persen (80%) Bagian Kabupaten/Kota</t>
  </si>
  <si>
    <t>Pelayanan angkutan umum</t>
  </si>
  <si>
    <t>Program Perlindungan dan Konservasi Sumber Daya Air</t>
  </si>
  <si>
    <t>Perlindungan dan konservasi daerah tangkapan air dan sumber-sumber air</t>
  </si>
  <si>
    <t xml:space="preserve"> DINAS KEPENDUDUKAN DAN PENCATATAN SIPIL</t>
  </si>
  <si>
    <t>Pelayanan KIE Keluarga Sejahtera</t>
  </si>
  <si>
    <t>Pemberdayaan Lembaga-lembaga Keagamaan untuk mendukung kelancaran tugas tugas pe pelayanan keagamaan</t>
  </si>
  <si>
    <t>Pembinaan Umat, meliputi : Pendidikan, Ekonomi, dan Kesehatan Umat</t>
  </si>
  <si>
    <t>Program Peningkatan Kualitas dan Produktivitas tenaga kerja</t>
  </si>
  <si>
    <t>Pendidikan dan pelatihan ketrampilan bagi pencari kerja OAP</t>
  </si>
  <si>
    <t>DINAS KOPERASI, USAHA KECIL DAN MENENGAH</t>
  </si>
  <si>
    <t>Pembinaan manajamen usaha dan ketrampilan usaha mini mikro, mikro dan kecil</t>
  </si>
  <si>
    <t>Pemberian bantuan fasilitas permodalan dan pemasaran hasil produksi</t>
  </si>
  <si>
    <t xml:space="preserve"> DINAS PEMUDA OLAH RAGA DAN PARIWISATA</t>
  </si>
  <si>
    <t>Pemantauan dan evaluasi pelaksanaan program pengembangan destinasi pemasaran pariwisata</t>
  </si>
  <si>
    <t>Pengawasan dan Pemeriksaan Internal atas pelaksanan program dan kegiatan yang dibiayai dengan dana
Otonomi Khusus, yang dilaksanakan oleh Inspektorat Kabupaten/Kota</t>
  </si>
  <si>
    <t>DINAS PEMBERDAYAAN MASYARAKAT DAN KAMPUNG</t>
  </si>
  <si>
    <t>penguatan fungsi dan peran Lembaga Masyarakat Adat Asli Papua dalam melindungi dan mengatur hak
ulayat maupun hak perorangan Masyarakat Adat Asli Papua</t>
  </si>
  <si>
    <t>DINAS KEARSIPAN</t>
  </si>
  <si>
    <t>Program Pendidikan Informal dan Non Formal</t>
  </si>
  <si>
    <t>Pembangunan Sarana Dan Prasarana Pendidikan Non Formal</t>
  </si>
  <si>
    <t>DINAS KOMUNIKASI DAN INFORMATIKA</t>
  </si>
  <si>
    <t>Penyediaan sarana dan prasarana telekomunikasi kampung</t>
  </si>
  <si>
    <t>DINAS PERTANIAN DAN PANGAN</t>
  </si>
  <si>
    <t>Proogram Peningkatan Ketahanan Pangan (Pertanian/Perkebunan)</t>
  </si>
  <si>
    <t>Program peningkatan produksi perkebunan</t>
  </si>
  <si>
    <t>Pemeliharaan kebun benih tanaman perkebunan</t>
  </si>
  <si>
    <t>Program Pencegahan dan Penanggulangan Penyakit ternak</t>
  </si>
  <si>
    <t>Pengembangan lembaga usaha perdagangan perikanan tangkap bagi nelayan OAP</t>
  </si>
  <si>
    <t>DINAS PERDAGANGAN DAN PERINDUSTRIAN</t>
  </si>
  <si>
    <t>25</t>
  </si>
  <si>
    <t xml:space="preserve">KABUPATEN   PUNCAK </t>
  </si>
  <si>
    <t>Dinas Pendidikan Pemuda dan Olahraga</t>
  </si>
  <si>
    <t xml:space="preserve">Pembangunan SD kecil </t>
  </si>
  <si>
    <t>Pembangunan Gedung Sekolah</t>
  </si>
  <si>
    <t>Belanja Tidak Langsung (Pendidikan)</t>
  </si>
  <si>
    <t>Bantuan Beasiswa untuk Siswa/I OAP Kab Puncak</t>
  </si>
  <si>
    <t>Program jaminan kesehatan masyarakat asli Papua</t>
  </si>
  <si>
    <t>Penanggulangan masalah kesehatan masyarakat asli Papua</t>
  </si>
  <si>
    <t>Program peningkatan Keselamatan Ibu Melahirkan dan Anak</t>
  </si>
  <si>
    <t>Peningkatan dan pemeliharaan kesehatan masyarakat asli Papua</t>
  </si>
  <si>
    <t>Program Peningkatan Pelayanan Kesehatan Anak dan Balita</t>
  </si>
  <si>
    <t>Imunisasi bagi anak balita orang asli papua</t>
  </si>
  <si>
    <t>Pengadaaan obat dan perbekalan kesehatan puskesmas dan jaringan lainnya</t>
  </si>
  <si>
    <t>Dinas Pemberdayaan Perempuan dan Anak</t>
  </si>
  <si>
    <t>Program peningkatan kualitas hidup dan perlindungan perempuan</t>
  </si>
  <si>
    <t>Sosialisasi dan advokasi kebijakan penghapusan buta aksara perempuan (PBAP) OAP di Distrik</t>
  </si>
  <si>
    <t>Pelaksanaan sosialisasi yang terkait dengan kesetaraan gender, pemberdayaan perempuan dan perlindungan anak OAP</t>
  </si>
  <si>
    <t>Program Penguatan Kelembagaan Pengarusutamaan Gender Dan Anak</t>
  </si>
  <si>
    <t>Workshop peningkatan peran perempuan OAP dalam pengambilan keputusan</t>
  </si>
  <si>
    <t>Dinas Pertanian dan Perkebunan</t>
  </si>
  <si>
    <t>Program Peningkatan Ketahanan Pangan (Pertanian)</t>
  </si>
  <si>
    <t>Peningkatan produksi, produktifitas dan mutu produk perkebunan, produk pertanian</t>
  </si>
  <si>
    <t>Program Pencegahan dan Penanggulangan Penyakit Ternak</t>
  </si>
  <si>
    <t>Dinas Penanaman Modal Pelayanan Terpadu Satu Pintu</t>
  </si>
  <si>
    <t>Pembinaan koperasi Peranserta Masyarakat Adat Asli Papua (KOPERMAS)</t>
  </si>
  <si>
    <t>Dinas Tenaga Kerja, Perindustrian, dan Perdagangan</t>
  </si>
  <si>
    <t xml:space="preserve"> Program pembinaan pedagang kaki lima dan asongan</t>
  </si>
  <si>
    <t>Penyuluhan peningkatan disiplin pedagang kakilima dan asongan</t>
  </si>
  <si>
    <t>Fasilitasi modal usaha bagi pedagang kakilima dan asongan</t>
  </si>
  <si>
    <t>Pembinaan industri kecil dan menengah terhadap pemanfaatan</t>
  </si>
  <si>
    <t>Program Peningkatan Pemasaran Hasil Produksi Pertanian/perkebunan (Tanaman Pangan &amp; Hortikultura)</t>
  </si>
  <si>
    <t>Pengembangan bioindustri pangan lokal</t>
  </si>
  <si>
    <t>Pengembangan pelatihan, seminar dan lokakarya</t>
  </si>
  <si>
    <t>Belanja Tidak Langsung (Keagamaan/Afirmasi)</t>
  </si>
  <si>
    <t>Pemberdayaan Lembaga-lembaga Keagamaan untuk mendukung kelancaran tugas tugas pembinaan dan pelayanan keagamaan</t>
  </si>
  <si>
    <t xml:space="preserve">Dinas Pekerjaan Umum </t>
  </si>
  <si>
    <t>Penataan lingkungan permukiman penduduk kampung OAP</t>
  </si>
  <si>
    <t>Pembangunan sarana dan prasarana air bersih kampung OAP</t>
  </si>
  <si>
    <t>Program Perencanaan Pemabangunan Daerah</t>
  </si>
  <si>
    <t>Monitoring evaluasi dan pelaporan dana Otsus</t>
  </si>
  <si>
    <t>26</t>
  </si>
  <si>
    <t xml:space="preserve">KABUPATEN  DOGIYAI  </t>
  </si>
  <si>
    <t>Penyelenggaraan PAUD Non-Formal Dan Formal</t>
  </si>
  <si>
    <t>Pengadaan Alat Permainan Edukatif Indoor Dan Outdoor</t>
  </si>
  <si>
    <t>Pengadaan Tenaga Pendidik (Honor/Kontrak)</t>
  </si>
  <si>
    <t>Penyediaan Tunjangan Khusus Guru Di Daerah Terpencil Dan Terisolir</t>
  </si>
  <si>
    <t>Pelatihan Kompetensi Khusus Bagi Tenaga Pendidik Dan Kependidikan, Termasuk Life Skill Pencegahan HIV/AIDS</t>
  </si>
  <si>
    <t>Pelatihan Kompetensi Khusus Bagi Tenaga Pendidik Dan Tenaga Kependidikan, Termasuk Life Skill Pencegahan HIV Dan AIDS</t>
  </si>
  <si>
    <t>Pengadaan Makan Dan Minum Siswa/Siswa SMP Berasrama Berbasis Komoditas Lokal</t>
  </si>
  <si>
    <t>Penyediaan Dukungan Bidang Pendidikan Bagi Pengembangan Potensi Wilayah Sesuai Peta Komoditas Unggulan Daerah</t>
  </si>
  <si>
    <t xml:space="preserve">Program Jaminan Kesehatan Masyarakat Asli Papua </t>
  </si>
  <si>
    <t>Program Obat Dan Perbekalan Kesehatan</t>
  </si>
  <si>
    <t>Pengadaan Obat Dan Perbekalan Kesehatan Puskesmas Dan Jaringannya</t>
  </si>
  <si>
    <t>Pemberian Makanan Tambahan Kepada Bayi, Balita Dan Ibu Hamil</t>
  </si>
  <si>
    <t xml:space="preserve">Perbaikan Gizi Masyarakat  </t>
  </si>
  <si>
    <t>DINAS PEKERJAAN UMUM dan PENATAAN RUANG</t>
  </si>
  <si>
    <t>Pembangunan/peningkatan jalan lingkungan kampung</t>
  </si>
  <si>
    <t>Pembinaan Umat, meliputi : Pendidikan, Ekonomi dan Kesehatan Umat</t>
  </si>
  <si>
    <t>Penyuluhan Dan Pendampingan Petani Dan Pelaku Agribisnis</t>
  </si>
  <si>
    <t>Pengembangan Data Base Kependudukan OAP</t>
  </si>
  <si>
    <t>DINAS KOPERASI DAN USAHA KECIL DAN MENENGAH</t>
  </si>
  <si>
    <t>Program Pembinaan Dan Pendampingan Pelaku Usaha Ekonomi Kerakyatan</t>
  </si>
  <si>
    <t>Pembinaan Manajamen Usaha Dan Ketrampilan Usaha Mini Mikro, Mikro Dan Kecil</t>
  </si>
  <si>
    <t>Pendampingan Bagi Pelaku Usaha Ekonomi Masyarakat Orang Asli Papua Sesuai Dengan Karakteristik Sosial Budaya Setempat</t>
  </si>
  <si>
    <t>DINAS PETERNAKAN DAN PERIKANAN</t>
  </si>
  <si>
    <t>Pengembangan Obyek Pariwisata Unggulan</t>
  </si>
  <si>
    <t xml:space="preserve">Peningkatan Pembangunan Sarana Dan Prasarana </t>
  </si>
  <si>
    <t>Penguatan Fungsi Dan Peran Lembaga Masyarakat Adat Asli Papua Dalam Melindungi Dan Mengatur Hak Ulayat Maupun Hak Perorangan Masyarakat Adat</t>
  </si>
  <si>
    <t>Pemetaan Hak Ulayat Masyarakat Adat Adat Asli Melalui Kerjasama Dengan Lembaga Perguruan Tinggi</t>
  </si>
  <si>
    <t>Perlindungan Dan Pengakuan terhadap Keberadaan Hak Ulayat Dan Hak Perorangan Masyarakat Adat Asli, Maupun Pengelolaan Hak Ulayat Dan Hak</t>
  </si>
  <si>
    <t>DINAS PERTANIAN DAN PERKEBUNAN</t>
  </si>
  <si>
    <t>Program peningkatan produksi kebun</t>
  </si>
  <si>
    <t>Perluasan area komoditas perkebunan</t>
  </si>
  <si>
    <t>Intensifikasi tanaman perkebunan</t>
  </si>
  <si>
    <t>BADAN PERENCANAAN PEMBANGUNAN DAERAH DAN PENELITIAN PENGEMBANGAN</t>
  </si>
  <si>
    <t>Monitoring Reguler dan Monitoring Terpadu/Kolaborasi Pelaksanaan Program/Kegiatan Otonomi Khusus Delapan Puluh Persen (80%) Bagian</t>
  </si>
  <si>
    <t>27</t>
  </si>
  <si>
    <t xml:space="preserve">KABUPATEN  INTAN  JAYA   </t>
  </si>
  <si>
    <t>Pengadaan Makan Minum Berbahan Dasar Lokal Siswa TK</t>
  </si>
  <si>
    <t>Pengadaan Alat Permainan Edukatif Indor dan Outdoor</t>
  </si>
  <si>
    <t>Penambahan Ruang Guru Sekolah</t>
  </si>
  <si>
    <t>Pengadaan Makan Minum Berbahan Dasar Lokal Siswa SD/SMP</t>
  </si>
  <si>
    <t>Pembangunan Rumah Dinas Kepala Sekolah, Guru, Penjaga Sekolah</t>
  </si>
  <si>
    <t xml:space="preserve">Pengadaan Mebeluer Sekolah </t>
  </si>
  <si>
    <t>Penambahan Ruang Kelas Sekolah</t>
  </si>
  <si>
    <t>Pengadaan Biaya Operasional Pendukung Kegiatan Ekstrakulikuler</t>
  </si>
  <si>
    <t>Pengadaan Komputer dan ICT untuk Pembelajaran Interaktif dan Pangkalan Data Pendidikan</t>
  </si>
  <si>
    <t>Pendamping Pelaksanaan Afirmasi</t>
  </si>
  <si>
    <t>Pemeliharaan dan Pemulihan Kesehatan</t>
  </si>
  <si>
    <t>Penyediaan Makanan bagi Pasien di Puskesmas Jaringannya</t>
  </si>
  <si>
    <t>Pelatihan Pos Kesehatan Kampung</t>
  </si>
  <si>
    <t>Penyediaan PMT Anak Sekolah</t>
  </si>
  <si>
    <t>Peningkatan Imuniasasi</t>
  </si>
  <si>
    <t>Pencegahan dan Penanggulangan Penyakit Filariasis</t>
  </si>
  <si>
    <t>Pencegahan dan Penanggulangan Penyakit TB Paru</t>
  </si>
  <si>
    <t>Peningkatan dan Pemeliharaan Kesehatan Ibu dan Bayi Baru Lahir OAP</t>
  </si>
  <si>
    <t>Pendidikan dan Pelatihan Tenaga Kesehatan</t>
  </si>
  <si>
    <t>Rumah Sakit Daerah</t>
  </si>
  <si>
    <t>Program Pengadaan, Peningkatan Sarana dan Prasarana Rumah Sakit/ Rumah Sakit Jiwa/ Rumah Sakit Paru - Paru/ Rumah Sakit Mata</t>
  </si>
  <si>
    <t>Pengadaan Percetakan Administrasi dan Surat Menyurat Rumah Sakit</t>
  </si>
  <si>
    <t>Penyediaan Alat Kesehatan</t>
  </si>
  <si>
    <t>Immunisasi Bagi Anak Balita Orang Asli Papua</t>
  </si>
  <si>
    <t>Dinas Pekerjaan Umun dan Penataan Ruang</t>
  </si>
  <si>
    <t xml:space="preserve">Pembangunan Sarana dan Prasarana Air Bersih Perdesaan OAP </t>
  </si>
  <si>
    <t>Pembangunan Jembatan Perdesaan</t>
  </si>
  <si>
    <t>Pembangunan Jalan Perdesaan</t>
  </si>
  <si>
    <t xml:space="preserve">Program Pengembangan Perumahan </t>
  </si>
  <si>
    <t>Pembangunan Sarana dan Prasarana Rumah Sehat Sederhana</t>
  </si>
  <si>
    <t xml:space="preserve">Pengadaan Sarana dan Prasarana Perumahan </t>
  </si>
  <si>
    <t>Pelatihan Ketrampilan dan Praktek Belajar Kerja bagi Anak Terlantar</t>
  </si>
  <si>
    <t>Dinas Tenaga Kerja dan Perindustrian</t>
  </si>
  <si>
    <t>Pendidikan dan Pelatihan Bagi Pencari Kerja</t>
  </si>
  <si>
    <t>Fasilitasi Bagi Industri Kecil dan Menengah Terhadap Pemanfaatan Sumber Daya</t>
  </si>
  <si>
    <t>Pembinaan Bagi Industri Kecil dan Menengah Terhadap Pemanfaatan Sumber Daya</t>
  </si>
  <si>
    <t xml:space="preserve">Dinas Pemberdayaan Perempuan dan Perlindungan Anak </t>
  </si>
  <si>
    <t>Sosialisasi dan Advokasi Kebijakan Penghapusan Buta Aksara Perempuan (PBAP)</t>
  </si>
  <si>
    <t xml:space="preserve">Program Peningkatan Peran Serta dan Kesetaraan Jender Dalam Pembangunan </t>
  </si>
  <si>
    <t>Kegiatan Pendidikan dan Pelatihan Peningkatan Peran serta dan Kesetaraan Jender</t>
  </si>
  <si>
    <t>Dinas Pengendalian Penduduk dan KB</t>
  </si>
  <si>
    <t>Peningkatan Perlindungan Hak Reproduksi Ondovidu Orang Asli Papua</t>
  </si>
  <si>
    <t>Program Pembangunan Prasarana dan fasilitas Perhubungan</t>
  </si>
  <si>
    <t>Pemeliharaan Lapangan Terbang Perintis</t>
  </si>
  <si>
    <t>Kegiatan Pembinaan Pelatihan Kebudayaan</t>
  </si>
  <si>
    <t>Dinas Peternakan dan Perikanan</t>
  </si>
  <si>
    <t>Pembangunan Sarana dan Prasarana Pembibitan Ternak</t>
  </si>
  <si>
    <t>Penyuluhan Pengelolaan Bibit Ternak yang Didistribusikan kepada Masyarakat</t>
  </si>
  <si>
    <t>Peningkatan Kemampuan Lembaga Petani</t>
  </si>
  <si>
    <t>Program Peningkatan Ketahanan Pangan (Pertanian/Perkebunan)</t>
  </si>
  <si>
    <t>Pengembangan Komoditas Unggulan Spesifik Papua</t>
  </si>
  <si>
    <t xml:space="preserve">Perluasan Areal Komoditas Perkebunan </t>
  </si>
  <si>
    <t>Dinas  Perdagangan Koperasi dan UKM</t>
  </si>
  <si>
    <t xml:space="preserve">Kegiatan Pembinaan Organisasi Pedagang Kaki Lima dan Asongan </t>
  </si>
  <si>
    <t xml:space="preserve">Program Pengembangan Kewirausahaan dan Keunggulan Kompetitif Usaha Kecil menengah </t>
  </si>
  <si>
    <t xml:space="preserve">Kegiatan Penciptaan Wirausaha Baru Khusus Wirausaha Asli Papua </t>
  </si>
  <si>
    <t>Pembinaan Koperasi Peranserta Masyarakat Adat Asli Papua (KOPERMAS)</t>
  </si>
  <si>
    <t>Pengawasan dan Pemeriksaan Internal atas Pelaksanaan Program dan Kegiatan yang dibiayai dengan Dana OTSUS yang dilaksanakan oleh Inspektorat</t>
  </si>
  <si>
    <t>Badan Perencanaan Pembangunan Penelitian dan Pegembangan Daerah</t>
  </si>
  <si>
    <t>Penyusunan dan Penyampaian Laporan Pelaksanaan Penggunaan Dana OTSUS 80% Kab/Kota</t>
  </si>
  <si>
    <t>BPPKAD (PPKD)</t>
  </si>
  <si>
    <t xml:space="preserve">Belanja Hibah </t>
  </si>
  <si>
    <t>Belanja Hibah Lembaga Adat</t>
  </si>
  <si>
    <t>Hibah Untuk Dewan Adat Intan Jaya</t>
  </si>
  <si>
    <t>Hibah Untuk LMA Intan Jaya</t>
  </si>
  <si>
    <t>Belanja Hibah Untuk Pemberdayaan Perempuan Kabupaten Intan Jaya</t>
  </si>
  <si>
    <t>Hibah ke Organisasi Perempuan Gereja Katolik (WKRI)</t>
  </si>
  <si>
    <t>Hibah ke Organisasi Perempuan Gereja Kingmi (DPC PWKI)</t>
  </si>
  <si>
    <t xml:space="preserve">Belanja Bantuan Sosial </t>
  </si>
  <si>
    <t>Belanja Bantuan Sosial Keagamaan</t>
  </si>
  <si>
    <t>Honor Gembala/Pewarta Gereja</t>
  </si>
  <si>
    <t>Belanja Bantuan Bidang Pendidikan</t>
  </si>
  <si>
    <t>Bantuan Operasional Pendidikan Bagi Mahasiswa KPG asal Intan Jaya di Nabire</t>
  </si>
  <si>
    <t>Bantuan Operasional Pendidikan Bagi Siswa/Siswi SMA dan SMK Asal Intan Jaya di Jayapura</t>
  </si>
  <si>
    <t>Bantuan Operasional Pendidikan Bagi Siswa/Siswi SMP Asal Intan Jaya di Jayapura</t>
  </si>
  <si>
    <t>Pengadaan Beasiswa melanjutkan (Transisi) untuk Siswa Asli Papua ke Jenjang SMP</t>
  </si>
  <si>
    <t>Penyediaan Bantuan Operasional bagi Siswa dan Mahasiswa Afirmasi (ADIK)</t>
  </si>
  <si>
    <t>Penyediaan Bantuan Operasional bagi Siswa dan Mahasiswa Afirmasi (ADEM)</t>
  </si>
  <si>
    <t>28</t>
  </si>
  <si>
    <t>KABUPATEN    DEIYAI</t>
  </si>
  <si>
    <t>pembangunan sarana dan Prasarana bermain</t>
  </si>
  <si>
    <t>Pengadan pakaian seragam sekolah</t>
  </si>
  <si>
    <t>Penyelenggaraan Pendidikan Anak Usia Dini</t>
  </si>
  <si>
    <t>Penyediaan makanan tambahan siswa PAUD dan TK  berbahan lokal sesuai dengan usia tumbuh kembang anak</t>
  </si>
  <si>
    <t>Pelatihan Kompetensi tenaga pendidik dan kependidikan</t>
  </si>
  <si>
    <t>Peningkatan Mutu Pendidik dan Tenaga Kependidikan PAUD</t>
  </si>
  <si>
    <t>Pengembangan Data dan Informasi Pendidikan Anak Usia Dini</t>
  </si>
  <si>
    <t>Honorarium Pegawai Tidak Tetap/Guru Honorer</t>
  </si>
  <si>
    <t>Penyelenggaraan pendidikan kejar paket A dan B</t>
  </si>
  <si>
    <t>Pembangunan sekolah Satu Atap (SATAP) SD dan SMP</t>
  </si>
  <si>
    <t>Pengadaan bahan habis pakai untuk penyediaan pendukung pembelajaran dan praktik siswa jenjang SD dan SMP</t>
  </si>
  <si>
    <t>Bimbingan Tehknis Korikulum</t>
  </si>
  <si>
    <t>Pelatihan Kompetensi Tenaga Pendidik SD</t>
  </si>
  <si>
    <t>Pelaksanaan OSN SD tingkat Kabupaten dan Provinsi</t>
  </si>
  <si>
    <t>Supervisi dan monitoring mutu pendidikan sekolah dasar</t>
  </si>
  <si>
    <t>Pengembangan sekolah unggulan</t>
  </si>
  <si>
    <t>Pemberian makanan tambahan anak sekolah kelas 1 dan 2</t>
  </si>
  <si>
    <t>Pelatihan Penyusunan RKS/APBS dan Pemanfaatan Dana BOS SD dan SMP</t>
  </si>
  <si>
    <t>Pelaksanaan OSN SMP Tingkat Provinsi dan Tingkat Nasional</t>
  </si>
  <si>
    <t>Penyediaan beasiswa melanjutkan (transisi SMP ke SMA) untuk siswa asli papua</t>
  </si>
  <si>
    <t>Monitoring dan Evaluasi Mutu Pendidikan SMP Kabupaten Deiyai</t>
  </si>
  <si>
    <t>Perataan Halaman Sekolah</t>
  </si>
  <si>
    <t>Penyelenggaraan pendidikan non formal keaksaraan dasar (KF dan pelatihan ketrampilan kerja)</t>
  </si>
  <si>
    <t>Penyediaan operasional bagi lembaga penyelenggara pendidikan bagi kelompok adat terpencil</t>
  </si>
  <si>
    <t>Operasional  Pramuka Kwarcab DEIYAI</t>
  </si>
  <si>
    <t>Pelatihan dan Pendampingan Sekolah Model ICT</t>
  </si>
  <si>
    <t>Penyelenggraan paket C setara SMU</t>
  </si>
  <si>
    <t>Monitoring dan Evaluasi Mutu Pendidikan SMA Kabupaten Deiyai</t>
  </si>
  <si>
    <t>Pengadaan bahan habis pakai untuk penyediaan pendukung pembelajaran dan praktik siswa jenjang SMA</t>
  </si>
  <si>
    <t>Bimbingan teknis kurikulum</t>
  </si>
  <si>
    <t>Penyediaan operasional praktik kerja industri (PRAKERIN)</t>
  </si>
  <si>
    <t>Pengadaan bahan habis pakai untuk penyediaan pendukung pembelajaran dan praktik siswa jenjang SMK</t>
  </si>
  <si>
    <t>Program Peningkatan SDM Pendidikan Tinggi</t>
  </si>
  <si>
    <t>Pemberian bantuan biaya pendidikan beasiswa bagi mahasiswa berprestasi</t>
  </si>
  <si>
    <t>Immunisasi bagi anak balita</t>
  </si>
  <si>
    <t>UPT Rumah Sakit Umum Daerah</t>
  </si>
  <si>
    <t>Pelayanan kesehatan kepada orang asli papua di rumah sakit</t>
  </si>
  <si>
    <t>Program pemberdayaan lembaga keagamaan</t>
  </si>
  <si>
    <t>Penyediaan Pelayanan KB dan Alat Kontrasepsi bagi Keluarga OAP/Miskin</t>
  </si>
  <si>
    <t>Penyediaan bibit tanaman holtikultura /sayur-sayuran</t>
  </si>
  <si>
    <t>Pengembangan sarana dan prasarana pertanian tanaman pangan dan holtikultura</t>
  </si>
  <si>
    <t>Penyediaan tenaga penyuluh pertanian</t>
  </si>
  <si>
    <t>Perlindungan dan Konservasi Daerah Tangkapan Air dan Sumber-sumber Air</t>
  </si>
  <si>
    <t>Implementasi Sistem Administrasi Kependudukan (membangun, updating dan pemeliharaan)</t>
  </si>
  <si>
    <t>Program pembangunan sarana dan prasarana perhubungan</t>
  </si>
  <si>
    <t>Pengadaan angkutan umum</t>
  </si>
  <si>
    <t>Penyediaan Fasilitas Peneangan jalan</t>
  </si>
  <si>
    <t>Dinas Komunikasi, Informatika dan Persedian</t>
  </si>
  <si>
    <t>Dinas Penanaman Modal, Perijinan dan Koperasi</t>
  </si>
  <si>
    <t>Sosialisasi dan pelatihan pola pengelolaan limbah industri dalam menjaga kelestarian kawasan Usaha Mikro Kecil Menengah</t>
  </si>
  <si>
    <t>Penciptaan wirausaha baru khususnya wirausaha asli papua</t>
  </si>
  <si>
    <t>Pengembangan UKM pengelolah SDA Lokal</t>
  </si>
  <si>
    <t>Pemberian bantuan fasilitas dan permodalan dan Pemasaran Hasil Produksi</t>
  </si>
  <si>
    <t>Dinas Pemuda dan Olahraga</t>
  </si>
  <si>
    <t>Pembangunan sarana dan prasarana olahraga</t>
  </si>
  <si>
    <t>Peningkatan Pembangunan Sarana dan Prasarana</t>
  </si>
  <si>
    <t>Pengembangan, sosialisasi dan penerapan serta pengawasan standarisasi</t>
  </si>
  <si>
    <t>Pendidikan dan Pelatihan Budidaya Ikan</t>
  </si>
  <si>
    <t>Kajian kawasan budidaya laut, air payau dan air tawar</t>
  </si>
  <si>
    <t>Penyaluran pupuk bersubsidi dan identifikasi tanaman perkebunan spesifik</t>
  </si>
  <si>
    <t>Pengembangan komoditas unggulan perkebunan spesifik</t>
  </si>
  <si>
    <t>Pembelian dan pendidistribusian vaksin dan pakan ternak</t>
  </si>
  <si>
    <t>Pengembangan ternak besar</t>
  </si>
  <si>
    <t>Pembinaan organisasi pedagang kakilima dan asongan</t>
  </si>
  <si>
    <t>Pembangunan gedung penyimpanan barang kakilima dan asongan</t>
  </si>
  <si>
    <t>Peningkatan kualitas pelayanan dan pemenuhan standar/ketentuan pengelolaan koperasi</t>
  </si>
  <si>
    <t>Program perencanaan pengguna dana otonomi khusus</t>
  </si>
  <si>
    <t>Monitoring Reguler dam Monitoring Terpadu/Kolaborasi Pelaksanaan Program/Kegiatan Otonomi Khusus dua puluh persen Delapan Puluh Persen (80%) Bagian Kabupaten/Kota</t>
  </si>
  <si>
    <t>29</t>
  </si>
  <si>
    <t>KOTA JAYAPURA</t>
  </si>
  <si>
    <t>Pemeliharaan dan pemulihan kesehatan</t>
  </si>
  <si>
    <t>Penyelenggaraan Penyehatan Lingkungan dan Monitoring Evaluasi dan Pelaporan</t>
  </si>
  <si>
    <t>Penyuluhan menciptakan lingkungan sehat</t>
  </si>
  <si>
    <t>Penyediaan Tenaga Kesehatan Bayi dan Balita OAP</t>
  </si>
  <si>
    <t>Dinas Pekerjaan Umum dan Tata Ruang</t>
  </si>
  <si>
    <t>Pembangunan Rumah Layak Huni Bagi Masyarakat Asli Papua (OTSUS)</t>
  </si>
  <si>
    <t>Program Pemberdayaan Kelembagaan Keagamaan</t>
  </si>
  <si>
    <t>Pemberdayaan Lembaga-Lembaga Keagamaan Untuk Mendukung Kelancaran Tugas Pembinaan Dan Pelayanan Keagamaan</t>
  </si>
  <si>
    <t>Dinas Pemberdayaan Perempuan, Perlindungan Anak dan KB</t>
  </si>
  <si>
    <t>Penyediaan pelayanan KB dan Alat kontrasepsi bagi Keluarga Miskin</t>
  </si>
  <si>
    <t>Program Pengelolaan Kelembagaan Adat</t>
  </si>
  <si>
    <t>Perlindungan dan Pengakuan Terhadap Keberadaan Hak Ulayat dan Perorangan Masyarakat Adat Asli</t>
  </si>
  <si>
    <t>Pengembangan lembaga usaha perdagangan perikanan tangkap</t>
  </si>
  <si>
    <t>Peningkatan Pembangunan Sarana dan Prasarana Obyek Wisata</t>
  </si>
  <si>
    <t>Pengembagan Daerah Tujuan Wisata</t>
  </si>
  <si>
    <t>Pengembangan Jenis dan Paket Wisata Ungggulan</t>
  </si>
  <si>
    <t>Dinas Ketahanan Pangan dan Pertanian</t>
  </si>
  <si>
    <t>Penyuluhan dan bimbingan pemanfaatan dan produktivitas lahan tidur</t>
  </si>
  <si>
    <t>Penyediaan Sarana Produksi Perkebunan</t>
  </si>
  <si>
    <t>Dinas Perindustrian, Perdagangan, Koperasi dan UKM</t>
  </si>
  <si>
    <t>Pelatihan Kewirausahaan dan Manajemen Keuangan Bagi UMKM Kota Jayapura</t>
  </si>
  <si>
    <t>Fasilitasi Dukungan Permodalan dan Penjaminan Usaha</t>
  </si>
  <si>
    <t>Peningkatan Kualitas Pelayanan dan Pemenuhan Standar / Ketentuan Pengelolaan Koperasi</t>
  </si>
  <si>
    <t>Pendampingan Bagi Pelaku Usaha Ekonomi Masyarakat Orang Asli Papua sesuai dengan Karakteristik Sosial Budaya Setempat</t>
  </si>
  <si>
    <t>Penyuluhan Peningkatan Disiplin Pedagang Kakilima dan Asongan</t>
  </si>
  <si>
    <t>Fasilitasi Bagi Industri Kecil Menegah Terhadap Pemanfaatan Sumber Daya yang di Bina</t>
  </si>
  <si>
    <t>Program Perencanaan Pengguna Dana Otonomi Khusus</t>
  </si>
  <si>
    <t>Monitoring Reguler dan Monitoring Terpadu/Kolaborasi Pelaksanaan Program/Kegiatan Otonomi Khusus Delapan Puluh Persen (80%) Bagian Kabupaten/Kota</t>
  </si>
  <si>
    <t>Badan Pengelolaan Keuangan dan Aset Daerah (SKPKD)</t>
  </si>
  <si>
    <t>Belanja Bantuan Khusus Pendidikan Non PNS</t>
  </si>
  <si>
    <t>Belanja Bantuan Koperasi</t>
  </si>
  <si>
    <t>C</t>
  </si>
  <si>
    <t xml:space="preserve">PROVINSI PAPUA </t>
  </si>
  <si>
    <t>Honor Guru Kontrak SMA/SMK/SLB/PKLK</t>
  </si>
  <si>
    <t>Pengembangan Pendidikan Khusus dan Layanan Khusus</t>
  </si>
  <si>
    <t>Pelaksanaan Kartu Papua Sehat</t>
  </si>
  <si>
    <t>Pengembangan fasyankes di 5 (lima ) regional dukungan pelaksanaan KPS</t>
  </si>
  <si>
    <t>Dukungan tenaga Kesehatan dan Fasilitas Kesehatan dalam pelaksanaan PON di Papua tahun 2020</t>
  </si>
  <si>
    <t>Rumah Sakit Umum Daerah Jayapura</t>
  </si>
  <si>
    <t>Penyediaan jasa komunikasi, sumber daya air dan listrik</t>
  </si>
  <si>
    <t>penyediaan jasa kebersihan kantor</t>
  </si>
  <si>
    <t>Peningkatan Pelayanan Medis Umum dan Masyarakat</t>
  </si>
  <si>
    <t>Penelitian Bidang Kesehatan</t>
  </si>
  <si>
    <t>Penyuluhan masyarakat pola hidup sehat</t>
  </si>
  <si>
    <t>Program Standarisasi Pelayanan Kesehatan</t>
  </si>
  <si>
    <t>Pelatihan dan Kursus Singkat Tenaga RS</t>
  </si>
  <si>
    <t>Pengadaan mebeleur rumah sakit</t>
  </si>
  <si>
    <t>Pengadaan perlengkapan rumah tangga rumah sakit (dapur, ruang pasien, laundry, ruang tunggu dan lain-lain)</t>
  </si>
  <si>
    <t>Pengadaan pencetakan administrasi dan surat menyurat rumah sakit</t>
  </si>
  <si>
    <t>Pengembangan tipe rumah sakit</t>
  </si>
  <si>
    <t>Pengadaan Bahan Makanan untuk Penderita</t>
  </si>
  <si>
    <t>Pengadaan Bahan Habis Pakai Rumah Sakit</t>
  </si>
  <si>
    <t>Pengadaan Peralatan Gedung/Kantor Rumah Sakit</t>
  </si>
  <si>
    <t>Program pemeliharaan sarana dan prasarana rumah sakit/rumah sakit jiwa/rumah sakit paru-paru/rumah sakit mata</t>
  </si>
  <si>
    <t>Pemeliharaan rutin/berkala rumah sakit</t>
  </si>
  <si>
    <t>Pemeliharaan rutin/berkala perlengkapan rumah sakit</t>
  </si>
  <si>
    <t>Peningkatan Jaminan Pelayanan Kesehatan Masyarakat Miskin Papua</t>
  </si>
  <si>
    <t>Peningkatan Jenjang Pendidikan Tenaga RSU Jayapura</t>
  </si>
  <si>
    <t>Rumah Sakit Umum Daerah Abepura</t>
  </si>
  <si>
    <t>pelaksanaan Kartu Papua Sehat (KPS) Provinsi Papua</t>
  </si>
  <si>
    <t>Pemeliharaan rutin/berkala ruang rawat inap rumah sakit (VVIP, VIP, Kelas I,II,III)</t>
  </si>
  <si>
    <t>Pemeliharaan rutin/berkala instalasi pengolahan limbah rumah sakit</t>
  </si>
  <si>
    <t>Rumah Sakit Jiwa</t>
  </si>
  <si>
    <t>Penyediaan jasa kebersihan kantor</t>
  </si>
  <si>
    <t>Pemulangan dan Pemakaman Pasien Miskin</t>
  </si>
  <si>
    <t>Rehabilitasi bangunan rumah sakit</t>
  </si>
  <si>
    <t>Pemeliharaan rutin/berkala alat-alat kesehatan rumah sakit</t>
  </si>
  <si>
    <t>Pelayanan Rujukan, Home Visite dan Antar Jemput Pasien</t>
  </si>
  <si>
    <t>Pelayanan Pemeriksaan/Deteksi Dini Gangguan Jiwa</t>
  </si>
  <si>
    <t>Pelatihan Kesehatan Jiwa Bagi Petugas Kesehatan</t>
  </si>
  <si>
    <t>Pengadaan Obat dan Perbekalan Pelayanan Kesehatan Jiwa</t>
  </si>
  <si>
    <t>Dinas Olah Raga dan Pemuda</t>
  </si>
  <si>
    <t>Program peningkatan peran serta kepemudaan</t>
  </si>
  <si>
    <t>Pertukaran Pemuda antar Negara dan Provinsi</t>
  </si>
  <si>
    <t>Pembinaan PASKIBRAKA Provinsi dan Nasional</t>
  </si>
  <si>
    <t>Program peningkatan upaya penumbuhan kewirausahaan dan kecakapan hidup pemuda</t>
  </si>
  <si>
    <t>Pelatihan kewirausahaan bagi pemuda Menuju PON XX Tahun 2020 di Papua</t>
  </si>
  <si>
    <t>Porgram Pengembangan Kebijakan dan Manajemen Olah Raga</t>
  </si>
  <si>
    <t>Pelatihan Sertifikasi Pelatih Sepakbola Lisensi B AFC</t>
  </si>
  <si>
    <t>Workshop Focus Group Discussion (FGD) Pengembangan dan Pengelolaan PPLP</t>
  </si>
  <si>
    <t>Pembibitan dan pembinaan olahragawan berbakat</t>
  </si>
  <si>
    <t>Peningkatan kesegaran jasamani dan rekreasi</t>
  </si>
  <si>
    <t>Penyelenggaraan kompetisi olahraga</t>
  </si>
  <si>
    <t>Peningkatan SDM Industri Olahraga</t>
  </si>
  <si>
    <t>Bantuan Peralatan Olahraga Klub Olahraga</t>
  </si>
  <si>
    <t>Rehabilitasi GOR Cenderawasih di Kota Jayapura Tahap II</t>
  </si>
  <si>
    <t xml:space="preserve"> Rehabilitasi GOR Trikora Uncen di Kota Jayapura Tahap II </t>
  </si>
  <si>
    <t>Pembangunan Lapangan Tenis di Kota Jayapura Tahap II</t>
  </si>
  <si>
    <t>Dukungan dan Penguatan Pada Festival Wisata Daerah</t>
  </si>
  <si>
    <t>Workshop Pengembangan Produk dan pemasaran</t>
  </si>
  <si>
    <t>Pengadaan Bahan Promosi</t>
  </si>
  <si>
    <t>Pemilihan Duta Wisata Indonesia</t>
  </si>
  <si>
    <t>pengembangan objek pariwisata unggulan</t>
  </si>
  <si>
    <t>Pelatihan Pengelola Daya Tarik Wisata (DTW)</t>
  </si>
  <si>
    <t>Penyusunan Rencana Induk Pengembangan Pariwisata Daerah (RIPPDA) dan Perdasi tentang Kepariwisataan</t>
  </si>
  <si>
    <t>Pelatihan ekonomi kreatif</t>
  </si>
  <si>
    <t>Pelatihan Seni Kerajinan Tangan (anyam noken,gerabah,ukir)</t>
  </si>
  <si>
    <t>Pengadaan Ruang Kreatif</t>
  </si>
  <si>
    <t>Pengadaan Peralatan Ruang Kreatif</t>
  </si>
  <si>
    <t>program pengembangan kapasitas</t>
  </si>
  <si>
    <t>Pelatihan sertifikasi SDM bagi Karyawan hotel dan restoran</t>
  </si>
  <si>
    <t>Pelatihan SDM bagi pemandu pariwisata</t>
  </si>
  <si>
    <t>Pelatihan pengembangan SDM kepariwisataan</t>
  </si>
  <si>
    <t>Program pemberdayaan masyarakat dalam pengawasan dan pengendalian sumberdaya kelautan</t>
  </si>
  <si>
    <t>Patroli Rutin Perairan</t>
  </si>
  <si>
    <t>Bantuan Saprodi Kepada Pembudidaya Bandeng</t>
  </si>
  <si>
    <t>Monitoring PPI Se- Papua</t>
  </si>
  <si>
    <t>Bantuan Sarana Penangkapan Ikan (Rumpun)</t>
  </si>
  <si>
    <t>Restocking Ikan di Perairan Umum dan Danau</t>
  </si>
  <si>
    <t>Ekspose dan Promosi Investasi Kelautan dan Perikanan</t>
  </si>
  <si>
    <t>Pelaksanaan Peringatan Hari Nusantara dan HARKANAS,</t>
  </si>
  <si>
    <t>Penunjang Kegiatan Balai Benih Ikan Sentra Berap-  Kab. Jayapura</t>
  </si>
  <si>
    <t>Pemberdayaan Masyarakat Pulau-Pulau Terluar</t>
  </si>
  <si>
    <t>Pengembangan sistem Budidaya Wanamina sebagai mata pencaharian alternatif</t>
  </si>
  <si>
    <t xml:space="preserve"> Pengembangan Kawasan Lahan Pertanian   Pangan Pokok Berkelanjutan dan GRK  </t>
  </si>
  <si>
    <t>Pengendalian Organisme Pengganggu Tanaman Pangan dan Hortikultura</t>
  </si>
  <si>
    <t xml:space="preserve"> Pengembangan Pupuk dan Alsin Pertanian  </t>
  </si>
  <si>
    <t>Pengembangan Balai Benih Palawija</t>
  </si>
  <si>
    <t>Pengembangan Balai Benih Hortikultura</t>
  </si>
  <si>
    <t>Pengembangan Kebun Bibit Hortikultura</t>
  </si>
  <si>
    <t>Pengembangan Balai Benih Padi</t>
  </si>
  <si>
    <t>Peningkatan Pengawasan dan Sertifikasi Benih Tanaman Pangan dan Hortikultura</t>
  </si>
  <si>
    <t>Pengembangan Bioindustri Pangan Lokal</t>
  </si>
  <si>
    <t>Pengembangan Agroindustri terpadu hortikultura</t>
  </si>
  <si>
    <t>Pengembangan Pemasaran Hasil pertanian</t>
  </si>
  <si>
    <t>Penelitian dan pengembangan teknologi pertanian/perkebunan tepat guna</t>
  </si>
  <si>
    <t>Program pemberdayaan penyuluh pertanian/perkebunan lapangan</t>
  </si>
  <si>
    <t>Peningkatan kapasitas tenaga penyuluh pertanian/perkebunan</t>
  </si>
  <si>
    <t>Peningkatan kapasitas kelembagaan pertanian</t>
  </si>
  <si>
    <t>Rapat Kerja Teknis</t>
  </si>
  <si>
    <t>Penyusunan Program dan Anggaran Rencana Kerja/Teknis/Program</t>
  </si>
  <si>
    <t>Sistem Pengedalian Intern Pemerintah</t>
  </si>
  <si>
    <t>Pengelolaan Statistik Tanaman Pangan dan Hortikultura</t>
  </si>
  <si>
    <t>Program Peningkatan Sumberdaya Pertanian</t>
  </si>
  <si>
    <t>Peningkatan SDM Aparatur dan Non Aparatur Sekolah Pertanian</t>
  </si>
  <si>
    <t>Peningkatan SDM Aparatur dan Non Aparatur Balai Diklat Pertanian</t>
  </si>
  <si>
    <t>Pengembangan Tanaman Spesifik Lokal</t>
  </si>
  <si>
    <t>Pengembangan Kawasan Konservasi Lahan</t>
  </si>
  <si>
    <t>Pengawasan Lingkungan Hidup</t>
  </si>
  <si>
    <t>Peningkatan dan Pengembangan Laboratorium BPLH</t>
  </si>
  <si>
    <t>Pemantauan dan Pengendalian Kualitas Air Sungai di Provinsi Papua</t>
  </si>
  <si>
    <t>Pemantauan dan Pengendalian Kualitas Udara Ambien</t>
  </si>
  <si>
    <t xml:space="preserve">Validasi KLHS </t>
  </si>
  <si>
    <t>Program Mitigasi dan Adaptasi Dampak Perubahan Iklim</t>
  </si>
  <si>
    <t>Identifikasi Gas Rumah Kaca</t>
  </si>
  <si>
    <t>Pengolahan Sampah di Kab/kota (Pilot Project)</t>
  </si>
  <si>
    <t>Kampung Iklim Kabupaten/Kota di Provinsi Papua</t>
  </si>
  <si>
    <t>Program Pengembangan Kapasitas Pengelolaan SDA dan LH</t>
  </si>
  <si>
    <t>Penilaian Dokumen Lingkungan Hidup Kegiatan Wajib Amdal</t>
  </si>
  <si>
    <t>Kampanye Go Adipura PON 20 di 5 Wilayah Adat</t>
  </si>
  <si>
    <t>Program Perlindungan dan Pengelolaan Lingkungan Hidup</t>
  </si>
  <si>
    <t>Pembinaan dan Penilaian Kalpataru</t>
  </si>
  <si>
    <t>Penyediaan Sarana dan Prasarana Ekowisata</t>
  </si>
  <si>
    <t>Program Perlindungan Konsumen dan pengamanan perdagangan</t>
  </si>
  <si>
    <t>Peningkatan pengawasan peredaran barang dan jasa</t>
  </si>
  <si>
    <t>operasionalisasi dan pengembangan UPT kemetrologian daerah</t>
  </si>
  <si>
    <t xml:space="preserve">Pengawasn terhadap barang dan jasa bagi masyarakat </t>
  </si>
  <si>
    <t>Program Peningkatan dan Pengembangan Ekspor</t>
  </si>
  <si>
    <t xml:space="preserve">Penyusunan Kajian Prosedur dan dokumen ekspor dan </t>
  </si>
  <si>
    <t>Koordinasi program pengembangan ekspor dengan instansi terkait</t>
  </si>
  <si>
    <t>Dukungan marketing poin didaerah perbatasan RI/PNG</t>
  </si>
  <si>
    <t>Melakukan sosialisasi penggunaan rupiah di daerah perbatasan RI/PNG</t>
  </si>
  <si>
    <t>Pameran dalam dan luar negeri dalam rangka promosi komoditi ekspor daerah</t>
  </si>
  <si>
    <t>Pelatihan teknis ekspor dan simulasi bagi dunia usaha dan aparatur</t>
  </si>
  <si>
    <t>Program Peningkatan Efisiensi Perdagangan Dalam Negri</t>
  </si>
  <si>
    <t>Pengambangan pasar dan distribusi barang / produk</t>
  </si>
  <si>
    <t>Peningkatan sistem dan jaringan informasi perdagangan</t>
  </si>
  <si>
    <t>Pemberian bantuan sarana usaha perdagangan bagi orang asli papua di daerah pesisir dan pulau terluar</t>
  </si>
  <si>
    <t>Pembinaan, pendampingan dalam pengembangan usaha dan kewirausahaan terutama UMKM</t>
  </si>
  <si>
    <t>Pelaksanaan pasar murah di lima wilayah adat</t>
  </si>
  <si>
    <t>Pengendalian bongkar muat barang di pelabuhan dan bandar udara</t>
  </si>
  <si>
    <t>fasilitasi bagi industri keckl dan menengah terhadap pemanfaatan sumberdaya alam</t>
  </si>
  <si>
    <t>pembinaan industri kecil dan menengah dalam memperkuat jaringan cluster industri</t>
  </si>
  <si>
    <t>penyusunan kebijakan industri terkait dan penunjang industri kecil dan menengah</t>
  </si>
  <si>
    <t>fasilitasi kerjasama kemitraan industri mikro kecil dengan swasta</t>
  </si>
  <si>
    <t>Desiminasi dan uji coba pembuatan/pengolahan sabun dan shampo dari buah merah skala laboratorium</t>
  </si>
  <si>
    <t>Sosialisasi pemanfaatan laboratorium untuk pengujian produk industri dan komoditi eksport</t>
  </si>
  <si>
    <t>Pembinaan industri kecil dan menengah dalam memperkuat jaringan klaster industri</t>
  </si>
  <si>
    <t>Program Penataan Struktur Industri</t>
  </si>
  <si>
    <t>Penyediaan sarana maupun prasarana klaster industri</t>
  </si>
  <si>
    <t>Sekretariat Majelis Rakyat Papua</t>
  </si>
  <si>
    <t>Penyediaan jasa surat menyurat</t>
  </si>
  <si>
    <t>Penyediaan jasa pemeliharaan dan perizinan kendaraan dinas/operasional</t>
  </si>
  <si>
    <t>Penyediaan alat tulis kantor</t>
  </si>
  <si>
    <t>Penyediaan komponen instalasi listrik/penerangan bangunan kantor</t>
  </si>
  <si>
    <t>Penyediaan bahan bacaan dan peraturan perundang-undangan</t>
  </si>
  <si>
    <t>Penyediaan makanan dan minuman</t>
  </si>
  <si>
    <t xml:space="preserve">Penyediaan Jasa Pengamanan </t>
  </si>
  <si>
    <t>Pengadaan peralatan gedung kantor</t>
  </si>
  <si>
    <t>Pemeliharaan rutin/berkala kendaraan dinas/operasional</t>
  </si>
  <si>
    <t>Program peningkatan disiplin aparatur</t>
  </si>
  <si>
    <t>Pengadaan pakaian dinas beserta perlengkapannya</t>
  </si>
  <si>
    <t>Pengadaan pakaian khusus hari-hari tertentu</t>
  </si>
  <si>
    <t>Program Peningkatan Kapasitas Lembaga MRP</t>
  </si>
  <si>
    <t>Pembahasan Rancangan Peraturan Daerah</t>
  </si>
  <si>
    <t>Rapat-Rapat Alat Kelengkapan MRP</t>
  </si>
  <si>
    <t>Rapat-Rapat Pleno</t>
  </si>
  <si>
    <t>Kegiatan Reses</t>
  </si>
  <si>
    <t>Hearing/Dialog dan Koordinasi dengan Pejabat Pemerintah Daerah dan Tokoh Masyarakat/Tokoh Agama</t>
  </si>
  <si>
    <t>Kunjungan Kerja Pimpinan dan Anggota MRP</t>
  </si>
  <si>
    <t>Pelayanan Informal Pimpinan MRP</t>
  </si>
  <si>
    <t>Panitia Khusus (PANSUS) Masalah-Masalah di Tanah Papua</t>
  </si>
  <si>
    <t>Peningkatan Kinerja Alat Kelengkapan MRP</t>
  </si>
  <si>
    <t>Belanja Bantuan Keuangan kepada Provinsi/Kabupaten/Kota, Pemerintahan Kampung dan Partai Politik</t>
  </si>
  <si>
    <t>REKAPITULASI ALOKASI DAN REALISASI PENGGUNAAN DANA OTONOMI KHUSUS UNTUK PENDIDIKAN</t>
  </si>
  <si>
    <t xml:space="preserve"> DIURAIKAN BERDASARKAN, ORGANISASI, PROGRAM/KEGIATAN PROVINSI DAN KABUPATEN/KOTA </t>
  </si>
  <si>
    <t xml:space="preserve">Tabel A.6  </t>
  </si>
  <si>
    <t>ALOKASI ANGGARAN         (Rp.)</t>
  </si>
  <si>
    <t>PROSENTASE ALOKASI   ANGGARAN             (%)</t>
  </si>
  <si>
    <t>PROSENTASE REALISASI ANGGARAN    (%)</t>
  </si>
  <si>
    <t>CAPAIAN OUTPUT              (%)</t>
  </si>
  <si>
    <t>REALISASI ANGGARAN  (Rp.)</t>
  </si>
  <si>
    <t xml:space="preserve">PROSENTASE REALISASI ANGGARAN (%)       </t>
  </si>
  <si>
    <t>CAPAIAN OUTPUT                (%)</t>
  </si>
  <si>
    <t xml:space="preserve">KAB/KOTA </t>
  </si>
  <si>
    <t>I</t>
  </si>
  <si>
    <t>Kabupaten Merauke</t>
  </si>
  <si>
    <t>Kabupaten Jayawijaya</t>
  </si>
  <si>
    <t>KABUPATEN JAYAPURA</t>
  </si>
  <si>
    <t>KABUPATEN NABIRE</t>
  </si>
  <si>
    <t>KABUPATEN KEPULAUAN YAPEN</t>
  </si>
  <si>
    <t>KABUPATEN BIAK NUMFOR</t>
  </si>
  <si>
    <t>Kabupaten Paniai</t>
  </si>
  <si>
    <t>KABUPATEN PUNCAK JAYA</t>
  </si>
  <si>
    <t>KABUPATEN BOVEN DIGOEL</t>
  </si>
  <si>
    <t>PENGADAAN TENAGA PENDIDIK (HONOR/KONTRAK)</t>
  </si>
  <si>
    <t>PENYEDIAAN BIAYA OPERASIONAL PENDUKUNG KEGIATAN EKSTRAKULIKULER (SMP)</t>
  </si>
  <si>
    <t>BADAN PENGELOLAAN KEUANGAN DAN ASET DAERAH TIPE A</t>
  </si>
  <si>
    <t>Belanja Bantuan Sosial Kepada Pelajar SD, SLTP, SLTA, dan Mahasiswa</t>
  </si>
  <si>
    <t>KABUPATEN YAHUKIMO</t>
  </si>
  <si>
    <t>KABUPATEN TOLIKARA</t>
  </si>
  <si>
    <t>KABUPATEN KEEROM</t>
  </si>
  <si>
    <t>KABUPATEN SUPIORI</t>
  </si>
  <si>
    <t>KABUPATEN MAMBERAMO RAYA</t>
  </si>
  <si>
    <t>KABUPATEN NDUGA</t>
  </si>
  <si>
    <t>KABUPATEN LANNY JAYA</t>
  </si>
  <si>
    <t>KABUPATEN MAMBERAMO TENGAH</t>
  </si>
  <si>
    <t>KABUPATEN YALIMO</t>
  </si>
  <si>
    <t>KABUPATEN PUNCAK</t>
  </si>
  <si>
    <t>KABUPATEN DOGIYAI</t>
  </si>
  <si>
    <t>KABUPATEN INTAN JAYA</t>
  </si>
  <si>
    <t>Kabupaten Deiyai</t>
  </si>
  <si>
    <t>URUSAN BERSAMA PENDIDIKAN</t>
  </si>
  <si>
    <t>REKAPITULASI ALOKASI DAN REALISASI PENGGUNAAN DANA OTONOMI KHUSUS UNTUK KESEHATAN</t>
  </si>
  <si>
    <t xml:space="preserve">Tabel A.8  </t>
  </si>
  <si>
    <t>Kabupaten MERAUKE</t>
  </si>
  <si>
    <t>KABUPATEN JAYAWIJAYA</t>
  </si>
  <si>
    <t>Peningkatan pemerataan obat dan perbekalan kesehatan (OTSUS)</t>
  </si>
  <si>
    <t>Peningkatan kesehatan masyarakat (OTSUS)</t>
  </si>
  <si>
    <t>Monitoring, evaluasi dan pelaporan (OTSUS)</t>
  </si>
  <si>
    <t>Pelayanan Kesehatan Pantai / Terapung / BHC (OTSUS)</t>
  </si>
  <si>
    <t>Peningkatan pemberdayaan konsumen/masyarakat di bidang obat dan makanan (OTSUS)</t>
  </si>
  <si>
    <t>Pengembangan standarisasi tanaman obat bahan alam indonesia (OTSUS)</t>
  </si>
  <si>
    <t>Penanggulangan KEP, Anemia Gizi Besi, Gangguan Akibat GAKY, KVA, dan Kekurangan Zat Gizi Mikro Lainnya (OTSUS)</t>
  </si>
  <si>
    <t>Penyemprotan/fogging sarang nyamuk (OTSUS)</t>
  </si>
  <si>
    <t>Pelayanan vaksinasi bagi balita dan anak sekolah (OTSUS)</t>
  </si>
  <si>
    <t>Peningkatan survellance Epidemiologi dan penanggulangan wabah (OTSUS)</t>
  </si>
  <si>
    <t>Peningkatan KIE Pencegahan &amp; Pemberantasan Penyakit (OTSUS)</t>
  </si>
  <si>
    <t>Pengendalian Penyakit IMS , HIV dan AIDS (OTSUS)</t>
  </si>
  <si>
    <t>Evaluasi dan pengembangan standar pelayanan kesehatan (OTSUS)</t>
  </si>
  <si>
    <t>Pertolongan persalinan bagi ibu dari keluarga kurang mampu (OTSUS)</t>
  </si>
  <si>
    <t>RSUD</t>
  </si>
  <si>
    <t>Pelayanan Kesehatan (Rujukan) kepada OAP (OTSUS)</t>
  </si>
  <si>
    <t>Pengadaan bahan-bahan logistik rumah sakit (OTSUS)</t>
  </si>
  <si>
    <t>Pengadaan obat-obatan rumah sakit (OTSUS)</t>
  </si>
  <si>
    <t>Pengadaan alat-alat kesehatan rumah sakit (OTSUS)</t>
  </si>
  <si>
    <t>Penyediaan Makanan Pasien (OTSUS)</t>
  </si>
  <si>
    <t>KABUPATEN PANIAI</t>
  </si>
  <si>
    <t>KABUPATEN MAPPI</t>
  </si>
  <si>
    <t/>
  </si>
  <si>
    <t>Belanja Subsidi Kepada Penyelengara Jaminan Kesehatan OAP Lanny Jaya</t>
  </si>
  <si>
    <t>Pencegahan dan Penanggulangan Penyakit Filarias</t>
  </si>
  <si>
    <t>KABUPATEN DEIYAI</t>
  </si>
  <si>
    <t>URUSAB BERSAMA BIDANG KESEHATAN</t>
  </si>
  <si>
    <t>REKAPITULASI ALOKASI DAN REALISASI PENGGUNAAN DANA TAMBAHAN INFRASTRUKTUR</t>
  </si>
  <si>
    <t xml:space="preserve"> DIURAIKAN BERDASARKAN, ORGANISASI, PROGRAM/KEGIATAN  </t>
  </si>
  <si>
    <t>PROVINSI        : PAPUA</t>
  </si>
  <si>
    <t>PENERIMAAN  : Rp 2.853.973.800.000</t>
  </si>
  <si>
    <t xml:space="preserve">Tabel A.10  </t>
  </si>
  <si>
    <t>Pembangunan Gedung Jantung Terpadu</t>
  </si>
  <si>
    <t>Dinas Pekerjaan Umum, Penataan Ruang, Perumahan dan Kawasan Permukiman</t>
  </si>
  <si>
    <t>Pembangunan Jalan Burmeso - Gesa - Barapasi (118), 194,60 Km</t>
  </si>
  <si>
    <t>Pembangunan Jalan Karubaga - Wunim - Bokondini (154)</t>
  </si>
  <si>
    <t>Pembangunan Jalan Kobakma - Megambilis (120), 112 Km</t>
  </si>
  <si>
    <t>Pembangunan Jalan Nume - Tiom</t>
  </si>
  <si>
    <t>Pembangunan Jalan Panaga - Taive</t>
  </si>
  <si>
    <t>Pembangunan Jalan Muliama-Wame-Makki</t>
  </si>
  <si>
    <t>Pembangunan Jalan Lingkar Danau Tigi</t>
  </si>
  <si>
    <t>Pembangunan Jalan  Elelim (Yalimo) - Apalapsili - Anggruk (Yahukimo)</t>
  </si>
  <si>
    <t>Pembangunan Jalan Oksibil - Tarup - Denomngatupbin</t>
  </si>
  <si>
    <t>Pembangunan Jembatan Liba II Kampung Harapan Dalam</t>
  </si>
  <si>
    <t>Pembangunan Jembatan Yabaso II</t>
  </si>
  <si>
    <t>Pembangunan Jembatan Yabaso III</t>
  </si>
  <si>
    <t>Pembangunan Jembatan Doyo</t>
  </si>
  <si>
    <t>Pemasangan Lampu Lighting Art Jembatan Holtekamp</t>
  </si>
  <si>
    <t>Pembangunan Jembatan Penyebrangan Orang (JPO) Kab/Kota Jayapura</t>
  </si>
  <si>
    <t>Pembangunan Jalan Holtecamp (PLTD) -  Pantai Pasir III</t>
  </si>
  <si>
    <t>Pembangunan Jalan Buper - Kampung Harapan</t>
  </si>
  <si>
    <t xml:space="preserve">Pembangunan Jalan Angkasa Indah </t>
  </si>
  <si>
    <t xml:space="preserve">Pemasangan  Lampu Art Ligting Ucapan Selamat PON di Jayapura </t>
  </si>
  <si>
    <t>Pembangunan Jalan Irimuli - Wanduri - Pilia - Witile</t>
  </si>
  <si>
    <t>Pembangunan Jalan Wamena - Wesaput - Pugima - Lukaken - Aplapsili - Yalimo</t>
  </si>
  <si>
    <t>Pembangunan Jalan Tiom - Melagaineri - Jigemili</t>
  </si>
  <si>
    <t>Pembangunan Jembatan Kali Yungme</t>
  </si>
  <si>
    <t>Pembangunan Jalan Wangbe - Ogamaning</t>
  </si>
  <si>
    <t>Pembangunan Jalan Kanggime - Kembu (Mamit) - Umagi - Dou</t>
  </si>
  <si>
    <t>Pembangunan Jembatan Kali Mugun</t>
  </si>
  <si>
    <t>Pembangunan Jalan Wamena - Pugima - Lulaken - Distrik Itlay Hisage</t>
  </si>
  <si>
    <t>Pembangunan Jalan Biuk - Telenggeme - Kembu (Mamit)</t>
  </si>
  <si>
    <t>Pembangunan Jalan Beam - Muara</t>
  </si>
  <si>
    <t>Program Pembangunan saluran drainase/gorong-gorong</t>
  </si>
  <si>
    <t>Pembangunan Drainase GOR Futsal</t>
  </si>
  <si>
    <t>Program Pembangunan turap/talud/brojong</t>
  </si>
  <si>
    <t xml:space="preserve">Penataan Kawasan Gedung Serba Guna Emeneme </t>
  </si>
  <si>
    <t>Program rehabilitasi/pemeliharaan Jalan dan Jembatan</t>
  </si>
  <si>
    <t>Pemeliharaan Jalan dan Jembatan Provinsi Papua</t>
  </si>
  <si>
    <t xml:space="preserve">Pemeliharaan Jalan Okaba - Bian </t>
  </si>
  <si>
    <t>Rehabilitasi Jembatan APO</t>
  </si>
  <si>
    <t>Program penyediaan dan pengolahan air baku</t>
  </si>
  <si>
    <t>Pembangunan Infrastruktur Air Baku di Kabupaten Jayawijaya</t>
  </si>
  <si>
    <t>Pembangunan infrastruktur Air baku di Kota Jayapura</t>
  </si>
  <si>
    <t>Pembangunan Jaringan Air Bersih di Kabupaten Jayapura</t>
  </si>
  <si>
    <t>Pembangunan jaringan air bersih di Stadion Mandala</t>
  </si>
  <si>
    <t>Pembangunan Jaringan Air Bersih Kali Helak Distrik Napua</t>
  </si>
  <si>
    <t>Distribusi dan pemasangan Jaringan Air Bersih Kampung Sawarek Distrik Napua</t>
  </si>
  <si>
    <t>Rehab Intake Kampwolker dan Pembangunan Jaringan Air Bersih  Kampwolker</t>
  </si>
  <si>
    <t>Pembangunan jaringan air bersih di kompleks Lapangan Tennis Walikota</t>
  </si>
  <si>
    <t xml:space="preserve">Pengendalian Banjir Sungai Bambar </t>
  </si>
  <si>
    <t>Pengendalian Banjir Sungai Hanyaan</t>
  </si>
  <si>
    <t>Program pengembangan wilayah strategis dan cepat tumbuh</t>
  </si>
  <si>
    <t>Pembangunan Kawasan Sekolah Alkitab Mamit</t>
  </si>
  <si>
    <t>Penataan Kawasan Wisata di Kabupaten Jayawijaya</t>
  </si>
  <si>
    <t>Penataan Kawasan Stadion Pendidikan Wamena</t>
  </si>
  <si>
    <t>Pembangunan Lapangan Parkir Mimika Sport Centre dan Rumah Susun Mimika</t>
  </si>
  <si>
    <t xml:space="preserve">Penataan Lingkungan Penunjang GOR Keerom </t>
  </si>
  <si>
    <t>Penataan Lingkungan Penunjang Stadion Katalpal</t>
  </si>
  <si>
    <t>Penanaman rumput Lapangan Stadion Katalpal</t>
  </si>
  <si>
    <t>Pembangunan Gapura Jalan Masuk Ring Road</t>
  </si>
  <si>
    <t>Penataan Kawasan Gereja Baptis Walibhu Kehiran Sentani</t>
  </si>
  <si>
    <t>Rehab Sarana dan Prasarana Penunjang PAUD Integrasi</t>
  </si>
  <si>
    <t>Penataan Kawasan/Sekitar Venue PON di Kota Jayapura</t>
  </si>
  <si>
    <t>Penataan Kawasan/Sekitar Venue PON di Kabupaten Jayapura</t>
  </si>
  <si>
    <t>Program pembangunan infrastruktur pedesaaan</t>
  </si>
  <si>
    <t>Perencanaan Teknis Penataan Sarana dan Prasarana Kawasan di Provinsi Papua</t>
  </si>
  <si>
    <t>Peningkatan Jalan dan Jembatan</t>
  </si>
  <si>
    <t>Peningkatan Jalan Kemiri - Depapre (111)</t>
  </si>
  <si>
    <t>Peningkatan Jalan  Tiom, (Lanny Jaya) - Illu ( Puncak Jaya), (163)</t>
  </si>
  <si>
    <t>Peningkatan Jalan Masuk Stadion Katapal (PON XX)</t>
  </si>
  <si>
    <t>Peningkatan Jalan Poros SP V - SP II (PON XX)</t>
  </si>
  <si>
    <t>Peningkatan Jalan Poros SP V - SP I</t>
  </si>
  <si>
    <t>Peningkatan Jalan Masuk Gor Toware</t>
  </si>
  <si>
    <t>Peningkatan dan Pelebaran Jalan Alternatif Paldam - Perumnas III</t>
  </si>
  <si>
    <t>Peningkatan Jalan Ardipura - Polimak</t>
  </si>
  <si>
    <t>Peningkatan Jalan Swakarsa - Arso II -Bate (Venue Bike Mountain)</t>
  </si>
  <si>
    <t>Peningkatan Jalan Lintasan Balap Sepeda (Swakarsa-Jalan Trans-Arso I-Arso VI-Swakarsa)</t>
  </si>
  <si>
    <t>Peningkatan Jalan Buper -Waena</t>
  </si>
  <si>
    <t>Peningkatan Jalan Baru - Pasar Yotefa Kotaraja</t>
  </si>
  <si>
    <t>Peningkatan dan Pelebaran Jalan Vihara - Tanah Hitam dan Jalan Masuk Dermaga Teluk Youtefa</t>
  </si>
  <si>
    <t>Pelebaran dan Peningkatan Jalan Lampu Merah Waena - Perumnas III</t>
  </si>
  <si>
    <t>Peningkatan Jalan Buper (SMA 3) - BTS Kab./Kota Jayapura</t>
  </si>
  <si>
    <t>Pelebaran dan Peningkatan Jalan Raya Abepura - Skyline</t>
  </si>
  <si>
    <t>Peningkatan Jalan Auktakma - Okilik</t>
  </si>
  <si>
    <t>Peningkatan Jalan Lingkar Stadion Barnabas Youwe</t>
  </si>
  <si>
    <t>Peningkatan Jalan SPN - Pantai Base G</t>
  </si>
  <si>
    <t>Peningkatan Jalan Polimak Toyota - Kodam</t>
  </si>
  <si>
    <t>Peningkatan Jalan Entrop - Hamadi</t>
  </si>
  <si>
    <t>Peningkatan Jalan Kenyam - Bandara Baru</t>
  </si>
  <si>
    <t>Peningkatan Jalan ke TPA Waibron</t>
  </si>
  <si>
    <t>Peningkatan dan Pelebaran Jalan Soa Siu Dok 2</t>
  </si>
  <si>
    <t>Peningkatan Jalan Masuk Gor Futsal</t>
  </si>
  <si>
    <t>Peningkatan Jalan Dunlop</t>
  </si>
  <si>
    <t>Peningkatan Jalan Telaga Ria Kalkote</t>
  </si>
  <si>
    <t>Peningkatan Jalan Belakang POLRES Kota - KODAM</t>
  </si>
  <si>
    <t>Peningkatan Jalan Venue Hokey</t>
  </si>
  <si>
    <t>Program Perencanaan Teknis Jalan dan Jembatan</t>
  </si>
  <si>
    <t>Perencanaan Teknis Jalan dan Jembatan di Provinsi Papua</t>
  </si>
  <si>
    <t>Koordinasi dan Perencanaan master.program Infrastruktur Jalan dan Jembatan</t>
  </si>
  <si>
    <t xml:space="preserve">Program Pembinaan dan Pengembangan Konstruksi </t>
  </si>
  <si>
    <t>Monitoring dan Pengendalian Teknis bidang ke-PU-an</t>
  </si>
  <si>
    <t>Pembinaan usaha jasa konstruksi pengusaha asli Papua</t>
  </si>
  <si>
    <t>Core Team Pengawasan Teknis Bidang Ke-PU-An</t>
  </si>
  <si>
    <t>Pelatihan Ketrampilan Tenaga Kerja Konstruksi dengn Mobile Traning Unit (MTU)</t>
  </si>
  <si>
    <t>Penyusunan Master Plan dan  RTT  Sisi Udara, Sisi Darat  Bandar Udara Bogabaida di Kabupaten Paniai</t>
  </si>
  <si>
    <t>Review Tataran Transportasi Wilayah (Tatrawil) Provinsi Papua</t>
  </si>
  <si>
    <t>Penyusunan UKL/UPL Pembangunan Bandara Fawi di Kabupaten Puncak Jaya</t>
  </si>
  <si>
    <t>Studi Pemilihan Lokasi dan Kelayakan Pelabuhan Perintis</t>
  </si>
  <si>
    <t>Program Rehabilitasi dan Pemeliharaan Prasarana dan Fasilitas LLAJ</t>
  </si>
  <si>
    <t>Rehabilitasi/Pemeliharaan Lampu APILL</t>
  </si>
  <si>
    <t>Program Pembangunan  Sarana dan Prasarana Perhubungan</t>
  </si>
  <si>
    <t>Pembangunan Pelabuhan Perintis Ampimoi di Kabupaten Kepulauan Yapen</t>
  </si>
  <si>
    <t>Pembangunan Bandar Udara Mamit di Kabupaten Tolikara</t>
  </si>
  <si>
    <t>Pembangunan Terminal Penumpang Tipe B di Kabupaten Nabire</t>
  </si>
  <si>
    <t>Pembangunan Bandar Udara Ninia di Kabupaten Yahukimo</t>
  </si>
  <si>
    <t>Pembangunan Bandar Udara Saminage di Kabupaten Yahukimo</t>
  </si>
  <si>
    <t>Pembangunan Dermaga Danau 4 (empat) Lokasi di Danau Sentani Kabupaten Jayapura</t>
  </si>
  <si>
    <t>Pengembangan Pelabuhan Laut Kepi di Kabupaten Mappi</t>
  </si>
  <si>
    <t>Program pengendalian dan pengamanan lalu lintas</t>
  </si>
  <si>
    <t>Pengadaan rambu-rambu lalu lintas</t>
  </si>
  <si>
    <t>Pengadaan marka jalan</t>
  </si>
  <si>
    <t>Pengadaan dan Pemasangan Repiter Alat Komunikasi HT</t>
  </si>
  <si>
    <t>Pemasangan Guardrail</t>
  </si>
  <si>
    <t>Pengadaan Kendaraan Roda 2 Patroli</t>
  </si>
  <si>
    <t>Program peningkatan kelaikan pengoperasian kendaraan bermotor</t>
  </si>
  <si>
    <t>Penyusunan PEP RAD-GRK dan Inventarisasi Emisi GRK sektor Transportasi</t>
  </si>
  <si>
    <t>Hibah Kepada Badan/Lembaga/Organisasi</t>
  </si>
  <si>
    <t>Belanja Bantuan Khusus Infrastruktur</t>
  </si>
  <si>
    <t xml:space="preserve">Belanja Bantuan Khusus Infrastruktur </t>
  </si>
  <si>
    <t xml:space="preserve">JUMLAH  </t>
  </si>
  <si>
    <t>Peningkatan kualitas pelayanan dan pemenuhan standar/ketentuan pengelolaan koperasi (Koperasi)</t>
  </si>
  <si>
    <t>Pembinaan Managemen Usaha dan Keterampilan Usaha Mini Mikro, Mikro dan Kecil (OTSUS)</t>
  </si>
  <si>
    <t>Belanja Hibah Keagamaan</t>
  </si>
  <si>
    <t>Belanja Hibah Pendidikan</t>
  </si>
  <si>
    <t xml:space="preserve">PROGRAM PENGEMBANGAN KEWIRAUSAHAAN DAN KEUNGGULAN KOMPETITIF USAHA KECIL MENENGAH </t>
  </si>
  <si>
    <t xml:space="preserve"> Program Pendidikan  Tinggi</t>
  </si>
  <si>
    <t>Bantuan Pendidikan untuk Mahasiswa asal Kab. Sarmi (OTSUS)</t>
  </si>
  <si>
    <t xml:space="preserve"> Program Obat dan Perbekalan Kesehatan</t>
  </si>
  <si>
    <t xml:space="preserve"> Program Pengawasan Obat dan Makanan</t>
  </si>
  <si>
    <t xml:space="preserve"> Program jaminan kesehatan masyarakat asli papua</t>
  </si>
  <si>
    <t>Program sumber daya kesehatan</t>
  </si>
  <si>
    <t>Pengadaan buku dan alat tulis siswaJumlah siswa mendapat pengadaan buku dan alat tulis</t>
  </si>
  <si>
    <t>Program Pendidikan  Tinggi</t>
  </si>
  <si>
    <t>BPKAD (BTL)</t>
  </si>
  <si>
    <t>SEKRETARIAT MAJELIS RAKYAT PAPUA</t>
  </si>
  <si>
    <t>SEKRETARIAT DAERAH</t>
  </si>
  <si>
    <t>DINAS KEHUTANAN</t>
  </si>
  <si>
    <t>DINAS PERTERNAKAN DAN KESEHATAN HEWAN</t>
  </si>
  <si>
    <t>DINAS PERKEBUNAN</t>
  </si>
  <si>
    <t>DINAS TANAMAN PANGAN DAN HOLTIKULTURA</t>
  </si>
  <si>
    <t>DINAS PARIWISATA</t>
  </si>
  <si>
    <t xml:space="preserve">DINAS KELAUTAN DAN PERIKANAN  </t>
  </si>
  <si>
    <t>DINAS PEMUDA DAN OLAHRAGA</t>
  </si>
  <si>
    <t>DINAS KOPERASI, USAHA KECIL DAN MENENGAH'</t>
  </si>
  <si>
    <t>DINAS SOSIAL, KEPENDUDUKAN DAN CATATAN SIPIL</t>
  </si>
  <si>
    <t>BADAN KESATUAN BANGSA DAN POLITIK</t>
  </si>
  <si>
    <t>Tabel A.1</t>
  </si>
  <si>
    <t>PENERIMAAN  : Rp 5.850.230.158.000,00</t>
  </si>
  <si>
    <t>TAHUN ANGGARAN 2019</t>
  </si>
  <si>
    <t>Badan Pengelola Keuangan dan Asset Daerah</t>
  </si>
  <si>
    <t>Kegiatan Evaluasi Penyelenggaraan Pelaksanaan PROSPEK</t>
  </si>
  <si>
    <t>Kegiatan Evaluasi Penyelenggaraan Pelaksanaan Gerbangmas Hasrat Papua</t>
  </si>
  <si>
    <t>Pengembangan Sistem dan Kelembagaan Generasi Emas dan Keluarga Sejahtera (BANGGA PAPUA)</t>
  </si>
  <si>
    <t>Pendampingan dan Layanan Pengguna SPSE (VENDOR)</t>
  </si>
  <si>
    <t>Peningkatan Kapasitas Pimpinan dan Anggota MRP</t>
  </si>
  <si>
    <t>Pendidikan dan Pelatihan Non Formal</t>
  </si>
  <si>
    <t>Pendidikan dan pelatihan formal</t>
  </si>
  <si>
    <t>Program peningkatan kapasitas sumber daya aparatur</t>
  </si>
  <si>
    <t>Pemeliharaan rutin/berkala mebeleur</t>
  </si>
  <si>
    <t>Pemeliharaan rutin/berkala perlengkapan gedung kantor</t>
  </si>
  <si>
    <t>Pemeliharaan rutin/berkala gedung kantor</t>
  </si>
  <si>
    <t>Pemeliharaan rutin/berkala rumah dinas</t>
  </si>
  <si>
    <t>Pengadaan mobil jabatan</t>
  </si>
  <si>
    <t>Penyediaan Jasa Pengamanan</t>
  </si>
  <si>
    <t>Rapat-rapat kordinasi dan konsultasi ke luar daerah</t>
  </si>
  <si>
    <t>Penyediaan barang cetakan dan penggandaan</t>
  </si>
  <si>
    <t>Pendampingan Pengusaha OAP</t>
  </si>
  <si>
    <t>Biro Layanan Pengadaan Barang Dan Jasa</t>
  </si>
  <si>
    <t>Fasilitasi, Pembangunan dan Pembinaan Bidang Pendidikan, Kesehatan dan Ekonomi Umat GIDI secara terintegrasi di Sinode GIDI di Indonesia</t>
  </si>
  <si>
    <t>Fasilitasi Pembangunan dan Pembinaan Bidang Pendidikan, Kesehatan dan Ekonomi Umat Kingmi secara terintergrasi di Sinode Kingmi di Provinsi Papua</t>
  </si>
  <si>
    <t>Fasilitasi, Pebangunan dan Pembinaan Bidang Pendidikan, Kesehatan dan Ekonomi Umat GPDI secara Terintregasi di Sinode GPDI di Indonesia Provinsi Papua</t>
  </si>
  <si>
    <t>Fasilitasi, Pembangunan dan Pembinaan Bidang Pendidikan, Kesehatan dan Ekonomi Umat Babtis secara Terintregasi pada Gereja Babtis di Provinsi Papua</t>
  </si>
  <si>
    <t>Fasilitasi, Pembangunan dan Pembinaan Bidang Pendidikan, Kesehatan dan Ekonomi Umat Katolik Secara Terintregasi pada Keuskupan di Provinsi Papua</t>
  </si>
  <si>
    <t>Program Pemberdayaan Keagamaan</t>
  </si>
  <si>
    <t>Biro Kesejahteraan Rakyat dan Kemasyarakatan</t>
  </si>
  <si>
    <t>Rehabilitasi sedang/berat gedung kantor</t>
  </si>
  <si>
    <t>Biro Umum</t>
  </si>
  <si>
    <t>pemberian kemudahan ijin usaha industri kecil menengah</t>
  </si>
  <si>
    <t>Membangun jejaring dengan eksportir</t>
  </si>
  <si>
    <t>Pembangunan gedung kantor</t>
  </si>
  <si>
    <t>Pengembangan sakawana bakti</t>
  </si>
  <si>
    <t>Pengembangan Penyuluhan kehutanan</t>
  </si>
  <si>
    <t>Pembinaan dan pengendalian pelaksanaan Rehabilitasi Hutan dan Lahan</t>
  </si>
  <si>
    <t>Pengembangan hasil hutan non-kayu</t>
  </si>
  <si>
    <t>Dinas Kehutanan</t>
  </si>
  <si>
    <t>Dinas Peternakan dan Kesehatan Hewan</t>
  </si>
  <si>
    <t>Intensifikasi Tanaman Perkebunan</t>
  </si>
  <si>
    <t>Penyediaan sarana produksi pertanian/perkebunan</t>
  </si>
  <si>
    <t>Dinas Perkebunan</t>
  </si>
  <si>
    <t xml:space="preserve"> Pengembangan Kawasan  Tanaman Pangan dan Hortikultura Mendukung  Gerbangmas Hasrat Papua</t>
  </si>
  <si>
    <t>Peningkatan Sarana Prasarana Sekolah Pertanian</t>
  </si>
  <si>
    <t>Peningkatan Sarana Prasarana Diklat Pertanian</t>
  </si>
  <si>
    <t>Dinas Tanaman Pangan dan Hortikultura</t>
  </si>
  <si>
    <t>workshop mitra usaha pariwisata</t>
  </si>
  <si>
    <t>Pameran pekan budaya dan seni kreatif</t>
  </si>
  <si>
    <t>Pelatihan media kreatif (fotografi dan animasi)</t>
  </si>
  <si>
    <t>Penyuluhan dan penguatan kelompok sadar wisata</t>
  </si>
  <si>
    <t>TOT Analisa Pasar Wisata</t>
  </si>
  <si>
    <t>Survey dan data penyusunan data analisa pasar</t>
  </si>
  <si>
    <t>Pemilihan Putera Puteri Pariwisata Papua</t>
  </si>
  <si>
    <t>Pembangunan dan Pengembangan BBIS (DAK)</t>
  </si>
  <si>
    <t>Pelatihan Pengolahan hasil perikanan</t>
  </si>
  <si>
    <t>Pembangunan Cold Storage di Sentra-Sentra Nelayan</t>
  </si>
  <si>
    <t>Penghimpunan data statistik perikanan dan kelautan</t>
  </si>
  <si>
    <t>Program Pengembangan Data dan Informasi</t>
  </si>
  <si>
    <t>Pengadaan Sarana Produksi Keramba Jaring Apung untuk Pembudidaya Ikan</t>
  </si>
  <si>
    <t>Dinas Kebudayaan</t>
  </si>
  <si>
    <t>Fasilitasi Kontra Penginderaan</t>
  </si>
  <si>
    <t>Program Pengelolaan dan Pengembangan Persandian Daerah</t>
  </si>
  <si>
    <t>Pengadaan Peralatan dan Perlengkapan Cabang Olahraga POPNAS Tahun 2019</t>
  </si>
  <si>
    <t>Koordinasi Penyiapan Venues dan Persiapan Penyelenggaraan PON XX</t>
  </si>
  <si>
    <t>Program Persiapan Penyelenggaraan PON XX 2020</t>
  </si>
  <si>
    <t>Pembinaan dan Peningkatan Prestasi Atlet pada Event POPNAS dan PEPARPENAS</t>
  </si>
  <si>
    <t>Program Pembinaan Atlit Muda dan OLahraga Prestasi</t>
  </si>
  <si>
    <t>Upacara Peringatan Hari Olahraga Nasional (HAORNAS) dan Hari Sumpah Pemuda Tingkat Provinsi Papua</t>
  </si>
  <si>
    <t>Program mendorong partisipasi dan peran aktif pemuda dalam berbagai bidang pembangunan</t>
  </si>
  <si>
    <t>Pelaksanaan Sosialisasi PON XX/2020 di Dalam Provinsi dan Luar Provinsi</t>
  </si>
  <si>
    <t>Rapat Koordinasi dan Konsultasi Teknis Kesiapan Penyelenggaraan PON XX/2020 di 5 Cluster</t>
  </si>
  <si>
    <t>Program Peningkatan Koordinasi dan Sinergitas untuk Penyelenggaraan PON XX/2020</t>
  </si>
  <si>
    <t>Penyelenggaraan POPNAS dan PEPARPENAS</t>
  </si>
  <si>
    <t>Program Penyelenggaraan Kompetisi/Pekan Olahraga/Kejuaraan OLahraga</t>
  </si>
  <si>
    <t>Pembangunan Gedung Olahraga Volly</t>
  </si>
  <si>
    <t>Pelaksanaan Sosialisasi PON XX 2020</t>
  </si>
  <si>
    <t>Pembinaan manajemen organisasi olahraga</t>
  </si>
  <si>
    <t>Pengembangan Kewirausahaan Pemuda</t>
  </si>
  <si>
    <t>Penyediaan jasa peralatan dan perlengkapan kantor</t>
  </si>
  <si>
    <t>Peningkatan Usaha UMKM Melalui Jaringan Kemitraan</t>
  </si>
  <si>
    <t>Penguatan Usaha Ekonomi Produktif UKM Melalui Sarana Produksi Berbasis Komoditi Unggulan Daerah</t>
  </si>
  <si>
    <t>Pelatihan Keterampilan Produksi Handycraft dan Souvenir</t>
  </si>
  <si>
    <t>Layanan Media PON XX</t>
  </si>
  <si>
    <t>Pengadaan Media Center Utama PON XX</t>
  </si>
  <si>
    <t>Penyiapan Teknologi Informasi dan Komunikasi</t>
  </si>
  <si>
    <t>Pengembangan Aplikasi e-Government</t>
  </si>
  <si>
    <t>Program pengembangan komunikasi, informasi dan media massa</t>
  </si>
  <si>
    <t>Pendampingan Optimasi Pengelolaan Komoditas Sagu di Provinsi Papua</t>
  </si>
  <si>
    <t>Bangun Generasi dan Keluarga Papua Sejahtera (BANGGA PAPUA)</t>
  </si>
  <si>
    <t>Perlindungan dan Jaminan Sosial</t>
  </si>
  <si>
    <t>Dinas Sosial, Kependudukan dan Catatan Sipil</t>
  </si>
  <si>
    <t>Pengangkatan 14 Kursi Anggota DPRP</t>
  </si>
  <si>
    <t>Program Pendidikan Politik Masyarakat</t>
  </si>
  <si>
    <t>Penataan Kawasan Gedung Serba Guna Emeneme</t>
  </si>
  <si>
    <t>Pemasangan PLTA  di Mamit</t>
  </si>
  <si>
    <t>Pembayaran Bencana Alam Banjir Kota/Kabupaten Jayapura</t>
  </si>
  <si>
    <t>Pengadaan Tanah di Provinsi Papua</t>
  </si>
  <si>
    <t>Pembebasan Lahan Gedung Kantor</t>
  </si>
  <si>
    <t>Rehabilitasi Pos Jaga</t>
  </si>
  <si>
    <t>Rehabilitasi Poli Klinik</t>
  </si>
  <si>
    <t>Renovasi IGD</t>
  </si>
  <si>
    <t>Peningkatan Jalan Masuk RSJ</t>
  </si>
  <si>
    <t>Pembangunan Pagar Pengaman bagian belakang komplek RSJ</t>
  </si>
  <si>
    <t>Akreditasi Rumah Sakit Jiwa Daerah Abepura</t>
  </si>
  <si>
    <t>Evaluasi Program Akhir Tahun</t>
  </si>
  <si>
    <t>Pengadaan Peralatan Pendukung PON dan Akreditasi Rumah Sakit</t>
  </si>
  <si>
    <t>Perijinan Operasional Sanitasi Incenerator dan IPAL</t>
  </si>
  <si>
    <t>Penyusunan standar pelayanan kesehatan</t>
  </si>
  <si>
    <t>Pemenuhan Fasilitas Penunjang PON  Tahun 2020</t>
  </si>
  <si>
    <t xml:space="preserve"> </t>
  </si>
  <si>
    <t>Lomba Adiwiyata Mandala SMK</t>
  </si>
  <si>
    <t>TOT Penyusunan Kurikulum SMK</t>
  </si>
  <si>
    <t>Gala Siswa Indonesia</t>
  </si>
  <si>
    <t>Sosialisasi Pendidikan Keluarga</t>
  </si>
  <si>
    <t>Pelatihan Pengelolaan Sekolah Berasrama</t>
  </si>
  <si>
    <t>penyediaan biaya operasional PAUD bahasa ibu Paud Model di 10 lembaga</t>
  </si>
  <si>
    <t>Pengadaan Meubeler</t>
  </si>
  <si>
    <t>Beasiswa Pendidikan Doctor (S3)</t>
  </si>
  <si>
    <t>Biaya Operasional Pendidikan dan Biaya Personalia Peseta Didik Orang Asli Papua SMA/SMK/PLB</t>
  </si>
  <si>
    <t>Pendampingan Hukum</t>
  </si>
  <si>
    <t>Pengembangan Website Pendidikan</t>
  </si>
  <si>
    <t>Pengelolaan PAK (pengelolaan angka kredit) guru, pengawas sekolah, dan pamong belajar</t>
  </si>
  <si>
    <t>Pelaksanaan Ujian Nasional dan Ujian Sekolah</t>
  </si>
  <si>
    <t>Pelaksanaan Rapat Kerja Teknis</t>
  </si>
  <si>
    <t>Bimbingan Tehnis Operator Dapodik/UNPTK/SIMTUNJANGAN</t>
  </si>
  <si>
    <t>Pengembangan Sistem Pengendalian Disiplin dan Kinerja Guru TPP</t>
  </si>
  <si>
    <t>Penguatan dan Sertifikasi Guru SMA/SMK/PKLK</t>
  </si>
  <si>
    <t>SERTIFIKASI GURU DAN PROGRAM KEAHLIAN SMK</t>
  </si>
  <si>
    <t>Pembekalan dan Pengiriman Guru, Kepala Sekolah, Pengawas dan Tenaga Kependidikan Lainnya Yang Berprestasi dan Berdedikasi</t>
  </si>
  <si>
    <t>BELANJA LANGSUNG</t>
  </si>
  <si>
    <t>OK</t>
  </si>
  <si>
    <t>Bantuan Pendidikan Kesehatan</t>
  </si>
  <si>
    <t>Monitoring Reguler dan Monitoring Terpadu/Kolaborasi Pelaksanaan Program/Kegiatan Otonomi Khusus dua puluh persen Delapan Puluh Persen (80%)</t>
  </si>
  <si>
    <t>Kegiatan penyuluhan peningkatan disiplin pedagang kakilima dan asongan</t>
  </si>
  <si>
    <t>Peningkatan Kualitas Manajemen UKM</t>
  </si>
  <si>
    <t>Penyuluhan dan Bimbingan Pemanfaatan dan Produktifitas Lahan Tidur</t>
  </si>
  <si>
    <t>Pembinaan Lomba - Lomba</t>
  </si>
  <si>
    <t>Program Pembinaan Kebudayaan Asli Papua</t>
  </si>
  <si>
    <t>Pendampingan Kelompok Pembudidaya</t>
  </si>
  <si>
    <t>Implementasi Sistem Administrasi Kependudukan OAP (membangun, updating dan pemeliharaan)</t>
  </si>
  <si>
    <t>Workshop Peningkatan Peran Perempuan OAP dalam Pengambilan Keputusan</t>
  </si>
  <si>
    <t>Pemberdayaan Lembaga-Lembaga Keagamaan Untuk Mendukung Kelancaran Tugas Tugas Pembinaan Dan Pelayanan Keagamaan</t>
  </si>
  <si>
    <t>Pelatihan Keterampilan dan Praktek Belajar Kerja Bagi Anak Terlantar OAP</t>
  </si>
  <si>
    <t>Pengadaan Sarana Dan Prasarana pendukung Usaha Bagi keluarga Miskin OAP</t>
  </si>
  <si>
    <t>Pemberian Jaminan Hidup Bagi OAP Penyandang Masalah Kesejahterahan Sosial</t>
  </si>
  <si>
    <t>Rehabilitasi Jalan Lingkungan Kampung</t>
  </si>
  <si>
    <t>Peningkatan Kualitas SDM Kesehatan Melalui Pelaksanaan D3,D4,S1,S2 Kesehatan</t>
  </si>
  <si>
    <t>Peningkatan Peran Posyandu Dalam Rangka Peningkatan Kesehatan Anak Balita Orang Asli Papua</t>
  </si>
  <si>
    <t>Penyelenggaraan Penyehatan Lingkungan, Monitoring, Evaluasi dan Pelaporan</t>
  </si>
  <si>
    <t>Dukungan untuk Beasiswa S-1 untuk Siswa SMA Berprestasi Secara Terbatas untuk Jurusan yang Sangat dibutuhkan dalam Pengembangan SDA dan SDM</t>
  </si>
  <si>
    <t>Pengadaan Komputer dan Perlengkapan ICT Untuk Pembelajaran Interaktif, Jaringan Internet dan Pangkalan Data Pendidikan</t>
  </si>
  <si>
    <t>Dukungan Tambahan Jam Pelajaran (Remedial) dan Pendalaman</t>
  </si>
  <si>
    <t>Rehab Ruang Kelas SD Reguler atau SD-SMP Satu Atap</t>
  </si>
  <si>
    <t>Penambahan Ruang Kelas Baru (berbasis sentra belajar)</t>
  </si>
  <si>
    <t>KOTA  JAYAPURA</t>
  </si>
  <si>
    <t>Pelaksanaan Pameran Pembangunan untuk Penyebaran informasi program/kegiatan dan keuangan yang bersumber dari dana Otonomi Khusus, yang dilaksanakan oleh BAPPEDA Kabupaten/Kota</t>
  </si>
  <si>
    <t>Pemberian fasilitas kemudahan akses perbankan bagi industri kecil dan menengah</t>
  </si>
  <si>
    <t>Promosi hasil produksi perkebunan unggulan daerah</t>
  </si>
  <si>
    <t>Penyaluran pupuk bersubsidi dan identifikasi tanaman perkebunan spesifik papua</t>
  </si>
  <si>
    <t>Pengembangan komoditas unggulan perkebunan spesifik papua</t>
  </si>
  <si>
    <t>Pembangunan pusat-pusat penampungan produksi hasil pertanian/perkebunan masyarakat yang akan dipasarkan</t>
  </si>
  <si>
    <t>Pelatihan petani dan pelaku agrobisnis ternak</t>
  </si>
  <si>
    <t>Pembudidayaan ikan air tawar/air payau</t>
  </si>
  <si>
    <t>Pendampingan pada kelompok nelayan perikanan tangkap OAP</t>
  </si>
  <si>
    <t>Pembinaan budidaya perikanan</t>
  </si>
  <si>
    <t>Peningkatan pembangunan sarana dan prasarana pariwisata</t>
  </si>
  <si>
    <t>Program Pendidikan, Pelatihan, Sosialisasi bagi koperasi, UKM dan Pengusaha</t>
  </si>
  <si>
    <t>DINAS PENANAMAN MODAL, PERIJINAN DAN KOPERASI</t>
  </si>
  <si>
    <t>DINAS KOMUNIKASI, INFORMATIKA DAN PERSANDIAN</t>
  </si>
  <si>
    <t>Peningkatan peran serta masyarakat dalam pengendalian lingkungan hidup</t>
  </si>
  <si>
    <t>Bimbingan usaha perkebunan</t>
  </si>
  <si>
    <t>Pelatihan petani dan pelaku agrobisnis</t>
  </si>
  <si>
    <t>Penyediaan pelayanan KB dan alat  kontrasepsi bagi keluarga OAP/Miskin</t>
  </si>
  <si>
    <t>Penyusunan database tenaga kerja daerah OAP</t>
  </si>
  <si>
    <t>Pembangunan rumah layak huni bagi masyarakat asli papua</t>
  </si>
  <si>
    <t>Pembangunan/peningkatan jembatan pada ruas jalan lingkungan kampung</t>
  </si>
  <si>
    <t>Pelayanan jaminan kesehatan kepada OAP di Rumah Sakit</t>
  </si>
  <si>
    <t>Pelayanan kesehatan kepada OAP di rumah sakit</t>
  </si>
  <si>
    <t>Program peningkatan pelayanan kesehatan rumah sakit</t>
  </si>
  <si>
    <t>Peningkatan peran posyandu dalam rangka peningkatan kesehatan anak balita OAP</t>
  </si>
  <si>
    <t>Penanggulangan masalah kesehatan masyarakat asli papua</t>
  </si>
  <si>
    <t>Program jaminan kesehatan masyarakat asli papua</t>
  </si>
  <si>
    <t>Peningkatan dan pemeliharaan kesehatan ibu dan bayi baru lahir OAP</t>
  </si>
  <si>
    <t>Pemberian kapsul vitamin A bagi anak bayi dan balita</t>
  </si>
  <si>
    <t>Pemberian tablet zat besi bagi ibu hamil</t>
  </si>
  <si>
    <t>Pengadaan obat dan perbekalan kesehatan OAP</t>
  </si>
  <si>
    <t>Dukungan beasiswa S-1 untuk siswa siswi SMA - SMK OAP berperestasi secara terbatas untuk jurusan yang sangat dibutuhkan dalam pembangunan daerah</t>
  </si>
  <si>
    <t>Penyediaan biaya operasional bagi lembaga penyelenggara pendidikan bagi kelompok adat terpencil</t>
  </si>
  <si>
    <t>Penyediaan operasional bagi lembaga penyelenggara KF</t>
  </si>
  <si>
    <t>Penyelenggaraan pendidikan non formal keaksaraan dasar (KF dan Pelatihan Ketrampilan Kerja)</t>
  </si>
  <si>
    <t>Pengadaan ICT untuk pembelajaran interaktif dan pangkalan data pendidikan</t>
  </si>
  <si>
    <t>Penyediaan operasional praktik kerja industri (prakerin) sekolah menengah kejuruan</t>
  </si>
  <si>
    <t>Pengadaan pendidik (guru kontrak) dan tutor ahli sekolah menengah kejuruan</t>
  </si>
  <si>
    <t>Penyediaan operasional pendukung kegaitan ekstrakurikuler sekolah menengah atas</t>
  </si>
  <si>
    <t>Pengadaan bahan habis pakai untuk pendukung pembelajaran dan praktik siswa sekolah menengah atas</t>
  </si>
  <si>
    <t>Pengadaan pendidik (guru kontrak) sekolah menengah atas</t>
  </si>
  <si>
    <t>Penyediaan operasional pendukung kegiatan ekstrakurikuler</t>
  </si>
  <si>
    <t>Pembangunan ruang guru dan kepala sekolah</t>
  </si>
  <si>
    <t>Penambahan ruang kelas SMP reguler</t>
  </si>
  <si>
    <t>Pembangunan tempat ibadan, perpustakaan, UKS, kamar mandi, jamban dan jaringan air bersih dengan pipa atau bak penampungan air hujan disesuaikan dengan kondisi lingkungan sekolah menengah pertama</t>
  </si>
  <si>
    <t>Pengadaan beasiswa melanjutkan (transisi) untuk siswa asli papua sekolah menengah pertama</t>
  </si>
  <si>
    <t>Pelatihan kompetensi khusus bagi tenaga pendidik dan tenaga kependidikan, termasuk life skill pencegahan HIV dan AIDS sekolah menengah pertama</t>
  </si>
  <si>
    <t>Pengadaan bahan habis pakai untuk pendukung pembelajaran dan praktik siswa sekolah menengah pertama</t>
  </si>
  <si>
    <t>Pengadaan pendidik (guru kontrak) sekolah menengah pertama</t>
  </si>
  <si>
    <t>Penyediaan operasional kegiatan ektrakurikuler sekolah dasar</t>
  </si>
  <si>
    <t>Pengadaan bahan habis pakai untuk pendukung pembelajaran dan praktik siswa sekolah dasar</t>
  </si>
  <si>
    <t>Penambahan ruang kelas SD reguler atau SD-SMP satu atap</t>
  </si>
  <si>
    <t>Pengadaan meubelair dan perlengkapan pendukung untuk ruang kelas, ruang guru, UKS, perpustakaan, asrama sekolah dasar</t>
  </si>
  <si>
    <t>Pembangunan tempat ibadan, perpustakaan, UKS, kamar mandi, jamban dan jaringan air bersih dengan pipa atau bak penampungan air hujan disesuaikan dengan kondisi lingkungan sekolah dasar</t>
  </si>
  <si>
    <t>Pelatihan kompentensi khusus bagi tenaga pendidik dan kependidikan, termasuk life skill pencegahan HIV/AIDS sekolah dasar</t>
  </si>
  <si>
    <t>Pengadaan guru kontrak sekolah dasar</t>
  </si>
  <si>
    <t>Penambahan ruang kelas (berbasis sentra belajar)</t>
  </si>
  <si>
    <t>Pengadaan meubelair sekolah (siswa, guru, perpustakaan)</t>
  </si>
  <si>
    <t>Pembangunan tempat ibadan, perpustakaan, UKS, kamar mandi, jamban dan jaringan air bersih dengan pipa atau bak penampungan air hujan disesuaikan dengan kondisi lingkungan</t>
  </si>
  <si>
    <t>Pelatihan kompetensi tenaga pendidik dan pendidikan</t>
  </si>
  <si>
    <t>Pengadaan pendidik PAUD Non Formal dan Formal</t>
  </si>
  <si>
    <t>Penyelenggaraan PAUD Non Formal dan Formal</t>
  </si>
  <si>
    <t xml:space="preserve">    </t>
  </si>
  <si>
    <t>Peningkatan Kualitas Kompetensi Tenaga Pendidik</t>
  </si>
  <si>
    <t>Bantuan Operasional Mahasiswa/I Tk. IV</t>
  </si>
  <si>
    <t>Bantuan Operasional Mahasiswa/I Tk. III</t>
  </si>
  <si>
    <t>Bantuan Operasional Mahasiswa/I Tk. II</t>
  </si>
  <si>
    <t>Bantuan Operasional Mahasiswa/I Tk. I</t>
  </si>
  <si>
    <t>Bantuan Operasional Kelas XII SMA</t>
  </si>
  <si>
    <t>Bantuan Operasional Kelas XI SMA</t>
  </si>
  <si>
    <t>Bantuan Operasional Kelas X SMA</t>
  </si>
  <si>
    <t>Bantuan Operasional Siswa Afirmasi ADIK</t>
  </si>
  <si>
    <t>Penyediaan Biaya Untuk Kuliah Kerja Praktek (KKP)</t>
  </si>
  <si>
    <t>Penyediaan Biaya Untuk Kelompok Kegiatan Kepala Sekolah (KKKS)</t>
  </si>
  <si>
    <t>Penyediaan Biaya Untuk Kelompok Kerja Guru (KKG)</t>
  </si>
  <si>
    <t>Pelaksanaan Musyawarah Guru Mata Pelajaran (MGMP) Kab. Intan Jaya</t>
  </si>
  <si>
    <t>Pelatihan Guru Mata Pelajaran Kabupaten Intan Jaya</t>
  </si>
  <si>
    <t>Pendidikan Profesi Guru (PFG)</t>
  </si>
  <si>
    <t>Bantuan Kepada Siswa SD Asal Intan Jaya di Jayapura</t>
  </si>
  <si>
    <t>Bantuan Kepada Siswa SMP Asal Intan Jaya di Jayapura</t>
  </si>
  <si>
    <t>Bantuan Kepada Siswa SMA dan SMK Asal Intan Jaya di Jayapura</t>
  </si>
  <si>
    <t>Penyediaan Bantuan Operasional PAUD</t>
  </si>
  <si>
    <t>Belanja Hibah Untuk Pendidikan</t>
  </si>
  <si>
    <t>Penyususnan laporan realisasi keuangan (OTSUS)</t>
  </si>
  <si>
    <t>Program peningkatan pengembangan sistem pelaporan capaian kinerja dan keuangan</t>
  </si>
  <si>
    <t>Badan Pendapatan Pengelolaan Keuangan dan Aset Daerah</t>
  </si>
  <si>
    <t>Penyusunan URD Otsus</t>
  </si>
  <si>
    <t>Monitoring Reguler dan Monitoring Terpadu/Kolaborasi Pelaksanaan Program/Kegiatan OTSUS</t>
  </si>
  <si>
    <t>Pengawasan Pembangunan Dana OTSUS</t>
  </si>
  <si>
    <t>Pelatihan dan Bimbingan Pengoperasian Teknologi Pertanian/Perkebunan Tepat Guna</t>
  </si>
  <si>
    <t>Program Peningkatan Penerapan Teknologi Pertanian/Perkebunan</t>
  </si>
  <si>
    <t xml:space="preserve">Kegiatan Fasilitasi Modal Usaha bagi Pedagang Kaki Lima dan Asongan </t>
  </si>
  <si>
    <t>Pembinaan Keluarga Berencana OAP</t>
  </si>
  <si>
    <t>Dinas Ketahanan Pangan dan Penyuluhan</t>
  </si>
  <si>
    <t>Kegiatan Pendidikan dan Pelatihan Peningkatan Peran serta Kesetaraan Gender</t>
  </si>
  <si>
    <t>Program Peningkatan Kualitas Keluarga</t>
  </si>
  <si>
    <t>Pelatihan Ketrampilan dan Praktek Belajar Kerja Bagi Anak Terlambat OAP</t>
  </si>
  <si>
    <t>Pelatihan Ketrampilan Berusaha bagi Keluarga Misikin</t>
  </si>
  <si>
    <t>Program Pemberdayaan Fakir Miskin, KAT dan PMKS Lainnya</t>
  </si>
  <si>
    <t xml:space="preserve">Pengadaan Bahan - bahan Logistik Rumah Sakit </t>
  </si>
  <si>
    <t>Pengadaan Obat - obatan Rumah Sakit</t>
  </si>
  <si>
    <t>Pengadaan Alat -alat Kesehatan Rumah Sakit</t>
  </si>
  <si>
    <t xml:space="preserve">Peningkatan Kualitas SDM Kesehatan melalui Pelaksanaan D3,D4,S1,S2 Kesehatan </t>
  </si>
  <si>
    <t>Program Kemitraan Peningkatan Pelayanan Kesehatan</t>
  </si>
  <si>
    <t>Pengadaan Sarana dan Prasarana Puskesmas</t>
  </si>
  <si>
    <t>Pembangunan Puskesmas Pembantu</t>
  </si>
  <si>
    <t>Pembangunan Puskesmas</t>
  </si>
  <si>
    <t>Pelayanan Kesehatan Rujukan bagi Pasien OAP</t>
  </si>
  <si>
    <t>Jenis Pelayan Kesehatan Rujukan bagi Pasien OAP</t>
  </si>
  <si>
    <t>Pengedalian Penyakit ISPA</t>
  </si>
  <si>
    <t>Pengedalian Penyakit TB Paru</t>
  </si>
  <si>
    <t>Pengedalian Penyakit IMS HIV/AIDS</t>
  </si>
  <si>
    <t>Penyiapan Makanan bagi Pasien</t>
  </si>
  <si>
    <t>Penyuluhan dan Bimbingan Makanan Sehat kepada Masyarakat</t>
  </si>
  <si>
    <t>Pemberian Tambahan Makanan dan Vitamin</t>
  </si>
  <si>
    <t>Penyelenggaraan Penyehatan Lingkungan</t>
  </si>
  <si>
    <t xml:space="preserve">Pengadaan Peralatan dan Pembekalan Kesehatan termasuk Obat Generik Esensial </t>
  </si>
  <si>
    <t>Peningkatan Pemerataan Obat dan Pembekalan Kesehatan</t>
  </si>
  <si>
    <t>Program Obat dan Pembekalan Kesehatan</t>
  </si>
  <si>
    <t>Pembangunan SD Kecil</t>
  </si>
  <si>
    <t>Rehabilitasi sedang/berat Ruang Kelas Sekolah</t>
  </si>
  <si>
    <t>Pengadaan Insentif Guru Dengan Prioritas Non PNS/PNS yang belum bersertifikasi (SMP)</t>
  </si>
  <si>
    <t>Pembangunan Jaringan Instalasi Listrik Sekolah dan Perlengkapannya</t>
  </si>
  <si>
    <t>Pengadaan Insentif Guru Dengan Prioritas Non PNS/PNS yang belum bersertifikasi (SD)</t>
  </si>
  <si>
    <t>Pengadaan Peralatan Pendidian dan Media</t>
  </si>
  <si>
    <t>Pengadaan Mebeluer Sekolah (SD)</t>
  </si>
  <si>
    <t>Pembangunan Sarana Air Bersih dan Sanitary</t>
  </si>
  <si>
    <t>Pengadaan Makan Minum Tambahan Siswa Berbahan Dasar Lokal Sesuai Usia Tumbuh Kembang Anak</t>
  </si>
  <si>
    <t>Pengadaan Perlengkapan Sekolah</t>
  </si>
  <si>
    <t>Evaluasi hasil pelaksanaan program/kegiatan Otonomi Khusus delapan puluh persen (80%) bagian Kabupaten/Kota</t>
  </si>
  <si>
    <t>DINAS PERINDUSTRIAN PERDAGANGAN DAN KOPERASI</t>
  </si>
  <si>
    <t>Pembinaan manajemen usaha dan ketrampilan usaha mini mikro, mikro dan kecil</t>
  </si>
  <si>
    <t>Kegiatan pendidikan dan pelatihan peningkatan peran serta dan kesetaraan jender</t>
  </si>
  <si>
    <t>Pemberdayaan lembaga-lembaga keagamaan untuk mendukung tugas-tugas pembinaan dan pelayanan keagamaan</t>
  </si>
  <si>
    <t>Pelayanan kesehatan kepada OAP di Rumah Sakit di Ekimani</t>
  </si>
  <si>
    <t>Pelayanan kesehatan kepada OAP di Rumah Sakit di Ikebo</t>
  </si>
  <si>
    <t>Pelayanan kesehatan bagi orang asli papua</t>
  </si>
  <si>
    <t>Peningkatan peran posyandu dalam rangka peningkatan kesehatan anak balita orang asli papua</t>
  </si>
  <si>
    <t>Pemberian Kapsul Vitami A bagi anak bayi dan balita</t>
  </si>
  <si>
    <t>Pengadaan peralatan dan perbekalan kesehatan termasuk obat generik esensial, penyediaan biaya operasional dan pemeliharaan</t>
  </si>
  <si>
    <t>Penyelenggaraan penyehatan lingkungan dan monitoring. evaluasi dan pelaporan</t>
  </si>
  <si>
    <t>Kegiatan pendidikan lain yang memenuhi kriteria mendesak dan relevan untuk kepentingan daerah</t>
  </si>
  <si>
    <t>Penyediaan biaya operasional bagi kembaga penyelenggara KF</t>
  </si>
  <si>
    <t>Pembangunan tempat ibadah, perpustakaan, UKS, kamar mandi, jamban dan jaringan air bersih dengan pipa atau bak penampungan air hujan disesuaikan dengan kondisi lingkungan</t>
  </si>
  <si>
    <t>Penyediaan tujangan khusus guru di daerah terpencil dan terisolir</t>
  </si>
  <si>
    <t>Pembangunan rumah dinas guru dan kepala sekolah serta perlengkapannya</t>
  </si>
  <si>
    <t>Penyediaan insentif guru dengan prioritas guru non-PNS atau PNS yang belum bersertifikasi</t>
  </si>
  <si>
    <t>Penyediaan biaya operasional pendukung kegiatan ekstrakulikiler</t>
  </si>
  <si>
    <t>Pengadaan buku penunjang  pembelajaran dan pengayaan siswa</t>
  </si>
  <si>
    <t>Pemeliharaan rutin bangunan dan perlengkapan sekolah</t>
  </si>
  <si>
    <t>Pembangunan Penginapan KINGMI</t>
  </si>
  <si>
    <t>Pembangunan Mess KINGMI</t>
  </si>
  <si>
    <t>Pembangunan Kantor Klasis KINGMI</t>
  </si>
  <si>
    <t>Pembangunan Aula KINGMI</t>
  </si>
  <si>
    <t>Pembangunan Gedung Gereja Betlehem Kago</t>
  </si>
  <si>
    <t>Program Sarana dan Prasarana Masyarakat</t>
  </si>
  <si>
    <t>Belanja Bantuan Operasional Keagamaan/Klasis dan Daerah</t>
  </si>
  <si>
    <t>Belanja Bantuan Honor Ketua Klasis dan Daerah</t>
  </si>
  <si>
    <t>Bantuan Honor Keagamaan/Hamba Tuhan</t>
  </si>
  <si>
    <t>Pembinaan festival seni</t>
  </si>
  <si>
    <t>Program Pembinaan  Kebudayaan Asli Papua</t>
  </si>
  <si>
    <t>Pembelian Hasil Bumi dari Masyarakat</t>
  </si>
  <si>
    <t xml:space="preserve">Program Pemberdayaan Masyarakat Bidang Pertanian </t>
  </si>
  <si>
    <t>Kegiatan pembinaan pedagang kakilima dan asongan</t>
  </si>
  <si>
    <t>Fasilitasi bagi industri kecil dan menengah terhadap pemanfaatan sumber daya yang dibina</t>
  </si>
  <si>
    <t>Peningkatan cakupan imunisasi pada balita orang asli Papua</t>
  </si>
  <si>
    <t>peningkatan dan pemeliharaan kesehatan ibu dan bayi baru lahir orang asli papua</t>
  </si>
  <si>
    <t>Pengadaan Meubelair asrama Puncak di Manokwari</t>
  </si>
  <si>
    <t>Pengadaan Meubelair asrama Sinak di Jayapura</t>
  </si>
  <si>
    <t>Kerjasama Beasiswa untuk seleksi UGM bagi putra/i Papua di Kab. Puncak</t>
  </si>
  <si>
    <t>Pengadaan buku penunjang pembelajaran dan pengayaan siswa (SMP)</t>
  </si>
  <si>
    <t>Pembinaan Industri Kecil Dan Menengah Terhadap Pemanfaatan Sumber Daya</t>
  </si>
  <si>
    <t>Fasilitas bagi Industri Kecil Menengah terhadap Pemanfaatan sumber daya yang Dibina</t>
  </si>
  <si>
    <t>pengembagan sarana dan prasarana produksi ternak</t>
  </si>
  <si>
    <t>Program Peningkatan Produksi hasil peternakan</t>
  </si>
  <si>
    <t xml:space="preserve"> Pemeliharaan kesehatan dan pencegahan penyakit menular ternak</t>
  </si>
  <si>
    <t>Penyuluhan dan Pendampingan Petani</t>
  </si>
  <si>
    <t>Program peningkatan kesejahteraan petani (Perkebunan)</t>
  </si>
  <si>
    <t>Pengadaan Teknologi Pertanian /Perkebunan tepat guna</t>
  </si>
  <si>
    <t>Penyediaan Sarana Produksi Perkebunan (otsus)</t>
  </si>
  <si>
    <t>Perluasan Areal Komoditas Perkebunan (otsus)</t>
  </si>
  <si>
    <t>Pengembangan Diverisifikasi Tanaman</t>
  </si>
  <si>
    <t>Penguatan Fungsi Dan Peran Lembaga Masyarakat Adat Asli Dalam Melindungi Dan Mengatur Hak Ulayat Maupun Hak Perorangan Masyarakat Adat Asli (otsus)</t>
  </si>
  <si>
    <t>Evaluasi hasil Pelaksanaan Program/Kegiatan Otonomi Kusus 80% bagi Kabupaten/Kota</t>
  </si>
  <si>
    <t>Program Monitoring dan evaluasi penggunaan dana Otonomi Khusus</t>
  </si>
  <si>
    <t>Pembinaan Festival seni</t>
  </si>
  <si>
    <t>DINAS PEMUDA OLAH RAGA DAN PARIWISATA</t>
  </si>
  <si>
    <t>Pendampingan bagi pelaku usaha Ekonomi Masyarakat OAP sesuai dengan karakteristik sosial budaya setempat</t>
  </si>
  <si>
    <t>Pendidikan dan Keterampilan bagi pencari kerja OAP</t>
  </si>
  <si>
    <t>Pembinaan Umat, Meliputi Pendidikan, Ekonomi Dan Kesehatan Umat</t>
  </si>
  <si>
    <t>Pemberdayaan Lembaga - Lembaga Keagamaan Untuk Mendukung Kelancaran Tugas-tugas Pembinaan Dan Pelayanan Keagamaan</t>
  </si>
  <si>
    <t>Kegiatan Pendidikan Dan Pelatihan Peningkatan Peran Serta Dan Kesetaraan Gender</t>
  </si>
  <si>
    <t>Pengembangan database Kependudukan OAP</t>
  </si>
  <si>
    <t>Perlindungan dan Konservasi daerah Tangkapan air  dan sumber-sumber air</t>
  </si>
  <si>
    <t>Pemeliharaan /Rehabilitasi Lapangan terbang Kampung</t>
  </si>
  <si>
    <t>Monitoring Reguler dan Monitoring Terpadu/Kolaborasi Pelaksanaan Program/Kegiatan Otonomi Khusus dua puluh persen Delapan Puluh Persen(80%) Bagian Kabupaten/Kota</t>
  </si>
  <si>
    <t>Koordinasi Penyusunan dan Pembahasan URD Penggunaan Dana otonomi Khusus Kabupaten/Kota</t>
  </si>
  <si>
    <t>Pembangunan Rumah Layak Huni Bagi Masyarakat Papua</t>
  </si>
  <si>
    <t>Pembangunan/Peningkatan jalan Lingkungan Kampung</t>
  </si>
  <si>
    <t xml:space="preserve">Pengadaan Sarana Air Bersih Rumah Sakit </t>
  </si>
  <si>
    <t>Program pengadaan, peningkatan dan perbaikan sarana dan prasarana Rumah Sakit/Rumah Sakit Jiwa/Rumah Sakit Paru-Paru/Rumah Sakit Mata</t>
  </si>
  <si>
    <t>Pembangunan puskesmas pembantu</t>
  </si>
  <si>
    <t>ProgramCpengadaan, peningkatan dan perbaikan sarana dan prasarana puskesmas/ puskesmas pembantu dan jaringannya</t>
  </si>
  <si>
    <t>Pengadaan obat dan perbekalan kesehatan</t>
  </si>
  <si>
    <t>Kegiatan Pendidikan Lain Yang Memenuhi Kriteria Mendesak Dan Relevan Untuk Kepentingan Daerah (OTSUS)</t>
  </si>
  <si>
    <t>Dukungan beasiswa S-1untuk siswa-siswi SMA SMA OAP berprestasi secara terbatas untuk jurusan yang sangat dibutuhkan dalam pembangunan daerah</t>
  </si>
  <si>
    <t xml:space="preserve"> Program Pendidikan Tinggi</t>
  </si>
  <si>
    <t>Pengadaan Pendidik (guru Kontrak) OTSUS</t>
  </si>
  <si>
    <t>Pengadaan beasiswa melanjutkan (transisi)
untuk siswa asli Papua</t>
  </si>
  <si>
    <t xml:space="preserve"> Penunjang  Ujian Nasional</t>
  </si>
  <si>
    <t>Program Wajib Belajar Pendidikan Dasa 9 Tahun (Jenjang SD)</t>
  </si>
  <si>
    <t>Pembangunan Gedung Penyimpanan Barang Kakilima dan Asongan</t>
  </si>
  <si>
    <t>Pembinaan Pedagang Kakilima dan Asongan</t>
  </si>
  <si>
    <t>Program Pembinaan Pedagang Kakilima dan Asongan</t>
  </si>
  <si>
    <t>Pembinaan Industri Kecil dan Menengah Terhadap Pemamfaatan Sumber Daya</t>
  </si>
  <si>
    <t>Program Pengembangan Kewirausahaan dan Keuanggulaan Kompetitif Usaha Kecil Menengah</t>
  </si>
  <si>
    <t>Pembinaan Koperasi Peran Serta Masyarakat Adat Asli Papua (KOPERMAS)</t>
  </si>
  <si>
    <t>Pengembangan Sarana Budidaya Air Tawar/ Payau</t>
  </si>
  <si>
    <t>Prog. Pengembangan Kawasan Budidaya Laut, Air Laut &amp; Air Tawar</t>
  </si>
  <si>
    <t>Penyuluhan dan Bimbingan Pemamfaatan dan Produksi Lahan Tidur</t>
  </si>
  <si>
    <t>Penanganan Pasca Panen dan Pengolahan Hasil Pertanian</t>
  </si>
  <si>
    <t xml:space="preserve">Penyuluhan bagi Ibu Rumah Tangga dalam Membangun Keluarga Sejahtera </t>
  </si>
  <si>
    <t xml:space="preserve">Pembinaan Organisasi Perempuan </t>
  </si>
  <si>
    <t>Prog. Peningkatan Peran Serta dan Kesetaraan Gender dalam Pembangunan</t>
  </si>
  <si>
    <t>Program Peningkatan Kualitas dan Produktifitas Tenaga Kerja</t>
  </si>
  <si>
    <t>Pengawasan dan Pemeriksaan Internal atas Pelaksanaan Program dan Kegiatan yang Dibiayai dengan Dana OTSUS, yang Dilaksanakan oleh Inspektorat Kabupaten/ Kota</t>
  </si>
  <si>
    <t xml:space="preserve">Program Pertanggungjawaban Kinerja </t>
  </si>
  <si>
    <t>Koordinasi Penyusunan dan Pembahasan URD Penggunaan Dana OTSUS Kabupaten/ Kota</t>
  </si>
  <si>
    <t>Program Perencanaan Pembangunan Dana Otonomi Khusus</t>
  </si>
  <si>
    <t xml:space="preserve">Pembangunan/ Peningkatan Jalan Lingkungan Kampung </t>
  </si>
  <si>
    <t>Penyediaan Bahan Logistik</t>
  </si>
  <si>
    <t>Program Pengadaan, Peningkatan Sarana dan Prasarana Rumah Sakit/ Rumah Sakit Jiwa/ Rumah Sakit Paru</t>
  </si>
  <si>
    <t>Pengendalian Penyakit IMS, HIV dan AIDS</t>
  </si>
  <si>
    <t>Penyediaan Insentif Guru dengan Prioritas Guru Non PNS atau PNS yang belum Bersertifikasi</t>
  </si>
  <si>
    <t>Pengadaan Makan dan Minum Siswa/Siswi SMA Berasrama</t>
  </si>
  <si>
    <t>Pengadaan Insentif Guru dengan Prioritas Guru Non PNS atau PNS yang belum Bersertifikasi</t>
  </si>
  <si>
    <t xml:space="preserve">Pengadaan Beasiswa Melanjutkan (Transisi) untuk Siswa Asli Papua </t>
  </si>
  <si>
    <t xml:space="preserve">Pelatihan Kompetensi Khusus Bagi Tenaga Pendidikan dan Tenaga Kependidikan, termasuk Life Skill Pencegahan HIV dan AIDS </t>
  </si>
  <si>
    <t>Program Wajib Belajar Pendidikan Sembilan Tahun (SMP)</t>
  </si>
  <si>
    <t>Penyediaan Insenti Guru dengan Prioritas Guru Non PNS atau PNS yang belum Bersertifikasi</t>
  </si>
  <si>
    <t>Pelatiahan Kopetensi Khusus bagi Tenaga Pendidikan dan Kependidikan, termasuk Life Skill Pencegahan HIV/ AIDS</t>
  </si>
  <si>
    <t>Pembangunan Rumah Dinas Guru dan Kepala Sekolah serta perlengkapannya</t>
  </si>
  <si>
    <t>Pengadaan Pendidikan Non Formal Keaksaraan Dasar (KF dan Pelatiahan Keterampilan Dasar)</t>
  </si>
  <si>
    <t>Penyediaan Insentif Guru atau Guru Pendamping</t>
  </si>
  <si>
    <t>Badan Pendapatan, Pengelolaan  Keuangan dan Aset Daerah</t>
  </si>
  <si>
    <t xml:space="preserve">Pengembangan Pusat-Pusat Kebudayaan </t>
  </si>
  <si>
    <t>Pengadaan Sarana dan Pra Sarana Pendukung Usaha Bagi Keluarga Miskin OAP</t>
  </si>
  <si>
    <t>Sosialisi dan advokasi kebijakan Penghapusan buta aksara perempuan (PBAP) OAP didistrik dan kampung</t>
  </si>
  <si>
    <t>Study Partisipasi Orang Asli Papua Dalam Pembangunan</t>
  </si>
  <si>
    <t>Program Pengembangan Data/Infromasi</t>
  </si>
  <si>
    <t>Monitoring, Evaluasi, Pengendalian dan Pelaporan Pelaksanaan Dana OTSUS</t>
  </si>
  <si>
    <t>Peningkatan Cakupan Imunasasi pada Balita OAP</t>
  </si>
  <si>
    <t>Penanggulangan Masalah Kesehatan Masyarakat</t>
  </si>
  <si>
    <t>Pengadaan Obat Rumah Sakit</t>
  </si>
  <si>
    <t>Pengadaan Guru Kontrak SMP</t>
  </si>
  <si>
    <t>Pengadaan Guru Kontrak SD</t>
  </si>
  <si>
    <t>Biaya Operasional Pendukung Kegiatan Ekstrakulikuler SMA</t>
  </si>
  <si>
    <t>Penyelenggaran Sekolah Unggulan</t>
  </si>
  <si>
    <t>Pengadaan Pendidik PAUD Non-Formal dam Formal</t>
  </si>
  <si>
    <t>Belanja Bantuan Sosial kepada Lembaga Adat</t>
  </si>
  <si>
    <t>Pengembangan UMKM Pengelola SDA Lokal (DOK)</t>
  </si>
  <si>
    <t>Penyediaan Bibit Ikan Unggul dan Pakan Ikan (DOK)</t>
  </si>
  <si>
    <t>Pengadaan Saprodi Untuk Kelompok Tani dan Alat Tangkap (DOK)</t>
  </si>
  <si>
    <t>Sosialisasi dan advokasi kebijakan penghapusan buta aksara perempuan (PBAP)</t>
  </si>
  <si>
    <t>Pembangunan tambatan perahu rakyat (DOK)</t>
  </si>
  <si>
    <t>Pemeliharaan/rehabilitasi lapangan terbang kampung (DOK)</t>
  </si>
  <si>
    <t>Pendistribusian beras raskin</t>
  </si>
  <si>
    <t>Pembangunan rumah layak huni (DOK)</t>
  </si>
  <si>
    <t>Penanggulangan masalah kesehatan masyarakat asli Papua (DOK)</t>
  </si>
  <si>
    <t>Peningkatan dan pemeliharaan kesehatan ibu dan bayi baru lahir OAP (DOK)</t>
  </si>
  <si>
    <t>Program Peningkatan Keselamatan Ibu Melahirkan dan Balita</t>
  </si>
  <si>
    <t>Peningkatan cakupan imunisasi pada balita orang asli Papua (DOK)</t>
  </si>
  <si>
    <t>Penyediaan tenaga kesehatan bayi dan balita (DOK)</t>
  </si>
  <si>
    <t>Penyediaan makan bagi pasien Rumah Sakit (DOK)</t>
  </si>
  <si>
    <t>Pengadaan bahan-bahan logistik rumah sakit (DOK)</t>
  </si>
  <si>
    <t>Pengadaan obat-obatan rumah sakit (DOK)</t>
  </si>
  <si>
    <t>Pemberian kapsul vitamin a bagi anak bayi dan balita (DOK)</t>
  </si>
  <si>
    <t>Pengadaan peralatan dan perbekalan kesehatan (obat generik esensial) operasional dan pemeliharaan (DOK)</t>
  </si>
  <si>
    <t>Penyelenggaraan Pendidikan Non Formal Keaksaraan Dasar (KF dan Pelatihan Ketrampilan Kerja) (DOK)</t>
  </si>
  <si>
    <t>Pengembangan model pendidikan keaksaraan yang sesuai dengan kondisi sosial budaya setempat (DOK)</t>
  </si>
  <si>
    <t>Penyediaan insentif guru dengan prioritas guru non-PNS atau PNS yang belum bersertifikasi (SMK)-DOK</t>
  </si>
  <si>
    <t>Penyediaan tunjangan khusus guru di daerah terpencil dan terisolir (SMA)-DOK</t>
  </si>
  <si>
    <t>Pengadaan pendidik (guru kontrak) dan ahli tutor - SMK (DOK)</t>
  </si>
  <si>
    <t>Pengadaan pendidik (guru kontrak)-SMA (DOK)</t>
  </si>
  <si>
    <t>Pelatihan kompetensi khusus bagi tenaga pendidik dan tenaga kependidikan, termasuk life skill pencegahan HIV dan AIDS</t>
  </si>
  <si>
    <t>Pembangunan Gedung Perpustakaan SD (DOK)</t>
  </si>
  <si>
    <t>Penambahan ruang kelas SD reguler atau SD-SMP satu atap (DOK)</t>
  </si>
  <si>
    <t>Pengadaan guru kontrak SMP (DOK)</t>
  </si>
  <si>
    <t>Pembangunan gedung SD reguler (DOK)</t>
  </si>
  <si>
    <t>Pengadaan pendidik PAUD Non-Formal dan Formal (DOK)</t>
  </si>
  <si>
    <t>Pembangunan ruang guru dan kepala sekolah (DOK)</t>
  </si>
  <si>
    <t>Pembinaan industri kecil dan menengah terhadap pemanfaatan sumber daya III (OTSUS)</t>
  </si>
  <si>
    <t>Pembinaan industri kecil dan menengah terhadap pemanfaatan sumber daya I (OTSUS)</t>
  </si>
  <si>
    <t>Fasilitasi bagi industri kecil menengah terhadap pemanfaatan sumber daya yang dibina III (OTSUS)</t>
  </si>
  <si>
    <t xml:space="preserve"> Pembinaan industri kecil dan menengah dalam memperkuat jaringan klaster industry (OTSUS)</t>
  </si>
  <si>
    <t>Fasilitasi bagi industri kecil dan menengah terhadap pemanfaatan sumber daya yang dibina I (OTSUS)</t>
  </si>
  <si>
    <t>Kegiatan penyuluhan peningkatan disiplin pedagang kakilima dan asongan I (OTSUS)</t>
  </si>
  <si>
    <t>Pengembangan sarana budiaya air tawar/payau 2 (OTSUS)</t>
  </si>
  <si>
    <t>Pengembangan lembaga usaha perdagangan perikanan tangkap (OTSUS)</t>
  </si>
  <si>
    <t xml:space="preserve"> Program pengembangan budidaya perikanan</t>
  </si>
  <si>
    <t>Pemantauan dan Evaluasi Pelaksanaan Program Pengembangan Destinasi Pemasaran Pariwisata (OTSUS)</t>
  </si>
  <si>
    <t>Penyediaan Sarana Produksi Pertanian/Perkebunan (OTSUS)</t>
  </si>
  <si>
    <t>Pengembangan Komoditas Unggulan Hortikultura Spesifik Papua (Pengembangan Buah Merah) (OTSUS)</t>
  </si>
  <si>
    <t>Program Pemberdayaan Petani dan Masyarakat</t>
  </si>
  <si>
    <t>Pelaksanaan Pengawasan Internal Dana Otonomi Khusus (OTSUS)</t>
  </si>
  <si>
    <t>Program peningkatan sistem pengawasan internal dan pengendalian pembangunan</t>
  </si>
  <si>
    <t>Pemberdayaan Kewirausahaan Kelompok Pengusaha OAP Produk Lokal II (OTSUS)</t>
  </si>
  <si>
    <t>Pembinaan Koperasi Peran serta Masyarakat Adat Asli Papua II (OTSUS)</t>
  </si>
  <si>
    <t>Pembinaan koperasi Peran serta Masyarakat Adat Asli Papua (KOPERMAS) (OTSUS)</t>
  </si>
  <si>
    <t>Pengembangan UMKM Pengelola SDA Lokal (OTSUS)</t>
  </si>
  <si>
    <t>DINAS KOPERASI USAHA KECIL MIKRO DAN MENENGAH</t>
  </si>
  <si>
    <t>Pemberdayaan Lembaga-lembaga Keagamaan untuk mendukung kelancaran tugas tugas pembinaan dan pelayanan keagamaan
(OTSUS)</t>
  </si>
  <si>
    <t>DINAS SOSIAL, TENAGA KERJA DAN TRANSMIGARASI</t>
  </si>
  <si>
    <t>Penyuluhan Bagi Ibu Rumah Tangga dalam Memambangun Keluarga Sejahtera (OTSUS)</t>
  </si>
  <si>
    <t>Pendidikan dan Pelatihan Peningkatan Peran Serta dan Kesetaraan Gender (OTSUS)</t>
  </si>
  <si>
    <t>Program Peningkatan peran serta dan kesetaraan jender dalam pembangunan</t>
  </si>
  <si>
    <t>Pelaksanaan kebijakan perlindungan perempuan di daerah (OTSUS)</t>
  </si>
  <si>
    <t>Program Peningkatan Kualitas Hidup Perempuan</t>
  </si>
  <si>
    <t>Pemutakhiran Data Penduduk OAP (Orang Asli Papua)(OTSUS)</t>
  </si>
  <si>
    <t>Program Peningkatan Administrasi Kependudukan</t>
  </si>
  <si>
    <t xml:space="preserve">Peningkatan peran serta masyarakat dalam pengendalian Pencemaran dan Kerusakan lingkungan hidup (Otsus) </t>
  </si>
  <si>
    <t>Pembangunan Tambatan Perahu Rakyat (OTSUS)</t>
  </si>
  <si>
    <t>Pengadaan Alat Angkutan Umum Kampung (OTSUS)</t>
  </si>
  <si>
    <t>Program peningkatan pelayanan angkutan</t>
  </si>
  <si>
    <t>Monitoring Evaluasi Pengendalian Dan Pelaporan Pelaksanaan Rencana Pembangunan (Monitoring Dana Otsus) (OTSUS)</t>
  </si>
  <si>
    <t>BADAN PERENCANAAN PENELITIAN DAN PENGEMBANGAN</t>
  </si>
  <si>
    <t>Pembangunan Rumah (OTSUS)</t>
  </si>
  <si>
    <t>Pembangunan Jaringan Bersih/Air Minum (OTSUS)</t>
  </si>
  <si>
    <t xml:space="preserve"> Penyediaan Tenaga Kesehatan Tidak Tetap (OTSUS)</t>
  </si>
  <si>
    <t>Perbaikan Gizi Masyarakat (OTSUS)</t>
  </si>
  <si>
    <t>Pembayaran Honor Kader Posyandu (OTSUS)</t>
  </si>
  <si>
    <t>Pengadaan Peralatan dan Perbekalan Kesehatan Termasuk Obat Generik Esensial (OTSUS)</t>
  </si>
  <si>
    <t>Pembangunan Laboratorium dan Bengkel Kerja Siswa SMK (OTSUS)</t>
  </si>
  <si>
    <t>Program Pendidikan Menengah Kejuruan (SMK)</t>
  </si>
  <si>
    <t>Kegiatan Pendidikan Lain yang Memenuhi Kriteria Mendesak dan Relevan Untuk Kepentingan Daerah (OTSUS)</t>
  </si>
  <si>
    <t>Dukungan Beasiswa S1 Untuk Siswa Siswi SMA OAP Berprestrasi secara terbatas Untuk Jurusan Yang sangat di Butuhkan  dalam
Pembangunan Daerah (OTSUS)</t>
  </si>
  <si>
    <t>Pengadaan Komputer dan ICT Untuk Pembelajaran Interaktif (OTSUS)</t>
  </si>
  <si>
    <t>Penyelenggaraan Pendidikan Parenting Bagi Orang Tua untuk Mewujudkan Generasi yang Cerdas Koperehensif dan Berdaya Saing
(OTSUS)</t>
  </si>
  <si>
    <t>Penyelenggaraan Pendidikan non Formal Keaksaran Dasar (KF dan Pelatihan Ketrampilan Kerja) OTSUS</t>
  </si>
  <si>
    <t>Pengembangan Model Pendidikan Keaksaran Yang Sesuai Dengan Kondisi Sosial Budaya Setempat (OTSUS)</t>
  </si>
  <si>
    <t>Program Pendidikan Non Formal In Formal</t>
  </si>
  <si>
    <t>Pengadaan Bahan Habis Pakai Untuk Pendukung Pembelajaran dan Praktik Siswa II (OTSUS)</t>
  </si>
  <si>
    <t>Penyediaan Biaya Operasional Pendukung Kegiatan Ekstrakulikuler (OTSUS)</t>
  </si>
  <si>
    <t>Pengadaan Bahan Habis Pakai Untuk Pendukung Pembelajaran dan Praktik Siswa III (OTSUS)</t>
  </si>
  <si>
    <t>Pengadaan Bahan Habis Pakai Untuk Pendukung Pembelajaran dan Praktik Siswa I (OTSUS)</t>
  </si>
  <si>
    <t>Program Pendidikan Dasar (Wajib Belajar Sembilan Tahun)</t>
  </si>
  <si>
    <t>Penyelenggaraan PAUD Formal dan Non Formal (OTSUS)</t>
  </si>
  <si>
    <t>KABUPATEN   MAMBERAMO RAYA</t>
  </si>
  <si>
    <t>Penguatan Kelembagaan Adat</t>
  </si>
  <si>
    <t xml:space="preserve">Program Pemberdayaan Lembaga Agama </t>
  </si>
  <si>
    <t>Monitoring Reguler dan Monitoring Terpadu/Kolaborasi Pelaksanaan Program/Kegiatan Otonomi Khusus Dua Puluh Persen (80 Bagian Kabupaten/Kota) (OTSUS)</t>
  </si>
  <si>
    <t>Penyiapan data/informasi perencanaan program/kegiatan prioritas Otonomi Khusus yang terpilah pada Orang Asli Papua (OTSUS)</t>
  </si>
  <si>
    <t>Pelatihan dan Sertifikasi PBJ OAP</t>
  </si>
  <si>
    <t>Bagian Administrasi Pembangunan SETDA</t>
  </si>
  <si>
    <t>Penyiapan tenaga kerja siap pakai OAP (OTSUS)</t>
  </si>
  <si>
    <t>Pembangunan  PLTMH (OTSUS)</t>
  </si>
  <si>
    <t>Pelatihan dan bimbingan pengoperasian teknologi pertanian/perkebunan tepat guna (OTSUS)</t>
  </si>
  <si>
    <t>Peningkatan kemampuan lembaga petani (OTSUS)</t>
  </si>
  <si>
    <t>Pemugaran Situs Wisata Rohani "Gereja Tua Maudori"</t>
  </si>
  <si>
    <t>Pemugaran Situs Wisata Rohani "Gereja Tua Kiamdori"</t>
  </si>
  <si>
    <t>Program pengembangan Obyek Pariwisata</t>
  </si>
  <si>
    <t>Pengadaan Gorden Hotel Sapuri</t>
  </si>
  <si>
    <t>Pembangunan Pagar Hotel Sapuri</t>
  </si>
  <si>
    <t>Pemasangan Jaringan Head and Digital Hotel Sapuri</t>
  </si>
  <si>
    <t>Pembangunan R. Cafetaria &amp; R. Laundry Hotel Sapuri</t>
  </si>
  <si>
    <t>Bantuan Beasiswa Politeknik Perikanan (APSOR)</t>
  </si>
  <si>
    <t>Bantuan Beasiswa SUPM Tegal</t>
  </si>
  <si>
    <t>Bantuan Beasiswa SUPM Sorong</t>
  </si>
  <si>
    <t>Pengadaan Perlengkapan Pos Induk dan Pos Perikanan Terpadu</t>
  </si>
  <si>
    <t>Pemberian Bantuan Fasilitasi dan Permodalan (Otsus)</t>
  </si>
  <si>
    <t>Pembinaan koperasi Peranserta Masyarakat Adat Asli Papua (KOPERMAS) (OTSUS)</t>
  </si>
  <si>
    <t>Pelayanan KIE (OTSUS)</t>
  </si>
  <si>
    <t>Penguatan fungsi dan peran Lembaga Masyarakat Adat Asli Papua dalam melindungi dan mengatur hak ulayat maupun hak perorangan Masyarakat Adat Asli Papua (OTSUS)</t>
  </si>
  <si>
    <t>Rehabilitasi/pemeliharaan sarana dan prasarana air minum (OTSUS)</t>
  </si>
  <si>
    <t>Pembangunan Sarana dan Prasarana Air Bersih Kampung OAP (OTSUS)</t>
  </si>
  <si>
    <t>Pelayanan kesehatan bagi orang asli Papua (OTSUS)</t>
  </si>
  <si>
    <t>Pelayanan kesehatan rujukan bagi pasien OAP (OTSUS)</t>
  </si>
  <si>
    <t>Pelayanan Kesehatan kepada OAP di Rumah Sakit (OTSUS)</t>
  </si>
  <si>
    <t>Rehabilitasi Ringan Polindes Kampung Douwbo</t>
  </si>
  <si>
    <t>Rehabilitasi Ringan Ruang Rawat Inap Puskesmas Sabarmiokre</t>
  </si>
  <si>
    <t>Program Pengadaan, Peningkatan Sarana dan Prasarana Fasilitas Pelayanan Kesehatan</t>
  </si>
  <si>
    <t>Penyediaan tenaga kesehatan bayi dan balita (OTSUS)</t>
  </si>
  <si>
    <t>Peningkatan cakupan imunisasi pada balita orang asli Papua (OTSUS)</t>
  </si>
  <si>
    <t>Pengendalian penyakit TB Paru (OTSUS)</t>
  </si>
  <si>
    <t>Pengendalian penyakit IMS, HIV dan AIDS (OTSUS)</t>
  </si>
  <si>
    <t>Pengendalian penyakit malaria (OTSUS)</t>
  </si>
  <si>
    <t>Pengadaan obat dan perbekalan kesehatan (OTSUS)</t>
  </si>
  <si>
    <t>Penyediaan Biaya Operasional bagi Lembaga Penyelenggara Pendidikan Kelompok Adat Terpencil (Danone Cup)(Otsus)</t>
  </si>
  <si>
    <t>Penyelenggaraan Pendidikan Non Formal Keaksaraan Dasar (KF dan Pelatihan Ketrampilan Kerja) (OTSUS)</t>
  </si>
  <si>
    <t>Pengadaan makan dan minum siswa/siswa SMK berasrama (OTSUS)</t>
  </si>
  <si>
    <t>Penyelenggaraan UAN SMA/SMK (OTSUS)</t>
  </si>
  <si>
    <t>Bantuan Operasional Sekolah (BOSDA) SD (OTSUS)</t>
  </si>
  <si>
    <t>Penyediaan Biaya Operasional Pendukung Kegiatan Ekstrakurikuler (Otsus)</t>
  </si>
  <si>
    <t>Penyediaan Biaya Operasional  Sekolah SMP (OTSUS)</t>
  </si>
  <si>
    <t>Penyelenggaraan UAN/UAS untuk SMP/MTs (OTSUS)</t>
  </si>
  <si>
    <t>Penyelenggaraan UAN/UAS untuk SD/MI (OTSUS)</t>
  </si>
  <si>
    <t>Pembangunan Gedung SD Reguler (Otsus)</t>
  </si>
  <si>
    <t>Pengadaan tenaga pendidik (honor/kontrak) (OTSUS)</t>
  </si>
  <si>
    <t>Peningkatan edukasi dan komunikasi masyarakat di bidang lingkungan</t>
  </si>
  <si>
    <t>Program Peningkatan Kualitas dan Akses Informasi Sumber Daya Alam dan Lingkungan Hidup</t>
  </si>
  <si>
    <t>Pengendalian Kerusakan Hutan dan Lahan</t>
  </si>
  <si>
    <t>LINGKUNGAN HIDUP</t>
  </si>
  <si>
    <t>Pelatihan Kompetensi Khusus bagi Tenaga Pendidik dan tenaga kependidikan, termasuk life skill pencegahan HIV dan AIDS</t>
  </si>
  <si>
    <t>Penyediaan Biaya hidup dan tempat tinggal bagi siswa di luar domisili yang bersekolah si SMA tidak berasrama (dalam Kabupaten)</t>
  </si>
  <si>
    <t>Pelatihan Penyusunan Kurikulum</t>
  </si>
  <si>
    <t xml:space="preserve">KABUPATEN  WAROPEN </t>
  </si>
  <si>
    <t>Intensifikasi Tanaman Perkebunan (OTSUS)</t>
  </si>
  <si>
    <t>Pengembangan Komoditas Unggulan Perkebunan Spesifik Papua (OTSUS)</t>
  </si>
  <si>
    <t>Fasilitasi Bagi Industri Kecil Menengah terhadap Pemanfaatan Sumber Daya yang bisa dibina</t>
  </si>
  <si>
    <t>PENGEMBANGAN INDUSTRI KECIL DAN MENENGAH</t>
  </si>
  <si>
    <t>DINAS PERINDUSTRIAN, PERDANGAN DAN KOPERASI</t>
  </si>
  <si>
    <t>PENINGKATAN KETAHANAN PANGAN</t>
  </si>
  <si>
    <t>Pembinaan dan Pemberdayaan Komunitas Adat Terpencil (KAT)</t>
  </si>
  <si>
    <t>Pemetaan Hak Ulayat Masyarakat Adat Asli Melalui Kerjasama dengan Lembaga Perguruan Tinggi</t>
  </si>
  <si>
    <t>PEMBERDAYAAN LEMBAGA ADAT</t>
  </si>
  <si>
    <t>Pembangunan Rumah Layak Huni Masyarakat Asli Papua</t>
  </si>
  <si>
    <t>PENGADAAN, PENINGKATAN SARANA DAN PRASANA RUMAH SAKIT/RUMAH SAKIT JIWA/ RUMAH SAKIT PARU-PARU/ RUMAH SAKIT MATA</t>
  </si>
  <si>
    <t>Peningkatan Pelayanan dan Penangulangan Masalah Kesehatan</t>
  </si>
  <si>
    <t>Pemberian Jaminan Kesehatan Bagi Orang Asli Papua</t>
  </si>
  <si>
    <t>JAMINAN KESEHATAN MASYARAKAT ASLI PAPUA</t>
  </si>
  <si>
    <t>Pengadaan Obat dan Pembekalan Kesehatan</t>
  </si>
  <si>
    <t>Beasiswa untuk Siswa S1, SMA OAP berprestasi secara Terbatas untuk Jurusan yang Sangat Dibutuhkan dalam Pembangunan Daerah</t>
  </si>
  <si>
    <t>PENDIDIKAN TINGGI</t>
  </si>
  <si>
    <t>Pengadaan Pendidik (Guru Kontrak) dan Tutor Ahli</t>
  </si>
  <si>
    <t>Pengadaan Makanan dan Minuman Siswa Siswa/Siswi SMK Berasrama</t>
  </si>
  <si>
    <t>PENDIDIKAN MENENGAH ATAS (SMK)</t>
  </si>
  <si>
    <t>Pengadaan Pendidik (Guru Kotnrak) SMA</t>
  </si>
  <si>
    <t>Pengadaaan Makan dan Minum Siswa/Siswi SMA Berasrama</t>
  </si>
  <si>
    <t>PENDIDIKAN MENENGAH ATAS (SMA)</t>
  </si>
  <si>
    <t>Penyediaan Biaya Operasional Pendukung Kegiatan Ekstrakulikuler Tingkat SMP/MTs</t>
  </si>
  <si>
    <t>Pengadaan Makan dan Minum Siswa Siswi SMP Bersama Berbasis Lokal</t>
  </si>
  <si>
    <t>Pengadaan Pendidik (Guru Kontrak SMP)</t>
  </si>
  <si>
    <t>Pengadaan Tenaga Pendidik (TU, Petugas Perpustakaan, Petugas Lab, Penjaga Sekolah, Tenaga Kebersihan, Pengelola Asrama)</t>
  </si>
  <si>
    <t>WAJIB BELAJAR PENDIDIKAN DASAR SEMBILAN TAHUN (SMP)</t>
  </si>
  <si>
    <t>Penyediaan Biaya Operasional Kegiatan Ekstrakulikuler Tingkat SD/MI</t>
  </si>
  <si>
    <t>Pengadaan Makan dan Minum Siswa/Siswi SD-SMP satu atap berasrama berbasis bahan makanan lokal</t>
  </si>
  <si>
    <t>WAJIB BELANJA PENDIDIKAN DASAR SEMBILAN TAHUN (SD)</t>
  </si>
  <si>
    <t>17</t>
  </si>
  <si>
    <t>Penyusunan laporan pertanggungjawaban anggaran dana Otonomi Khusus</t>
  </si>
  <si>
    <t>Program pertanggungjawaban kinerja</t>
  </si>
  <si>
    <t>Monitoring reguler dan monitoring terpadu/kolaborasi pelaksanaan program/kegiatan otonomi khusus</t>
  </si>
  <si>
    <t>Distribusi Bibit Ternak kepada Masyarakat (Ternak Ayam Kampung dan Kandang)</t>
  </si>
  <si>
    <t>Pengendalian hama penyakit tanaman perkebunan</t>
  </si>
  <si>
    <t>Pengembangan Agroindustri Terpadu Holtikultura</t>
  </si>
  <si>
    <t>Program Peningkatan pemasaran  hasil produksi  pertanian /perkebunan</t>
  </si>
  <si>
    <t>Pelatihan petani dan pelaku agribisnis</t>
  </si>
  <si>
    <t>Program Pengembangan  kewiranusahaan  dan keunggulan kompetitif UKM</t>
  </si>
  <si>
    <t>fasilitasi modal usaha bagi pedagang kakilima dan asongan</t>
  </si>
  <si>
    <t>Program Pengembangan industri kecil  dan menengah</t>
  </si>
  <si>
    <t>Program Pemberdayaan  Masyarakat kampung</t>
  </si>
  <si>
    <t>Pengembangan Database Kependudukan OAP (OTSUS)</t>
  </si>
  <si>
    <t xml:space="preserve"> Program peningkatan ketahanan pangan</t>
  </si>
  <si>
    <t xml:space="preserve"> DINAS KETAHANAN PANGAN</t>
  </si>
  <si>
    <t>Upaya perlindungan perempuan di kampung-kampung dan daerah pedalaman (OTSUS)</t>
  </si>
  <si>
    <t>Program Peningkatan kualitas  hiudp dan perlindungan perempuan</t>
  </si>
  <si>
    <t>Program pemberdayaan  lembaga keagamaan</t>
  </si>
  <si>
    <t>Pemberian  Jaminan hidup   OAP Penyandang  masalah kesejahteraan Sosial</t>
  </si>
  <si>
    <t xml:space="preserve"> Program Pemberdayaan Kelembagaan Kesejahteraan Sosial</t>
  </si>
  <si>
    <t>Progrm Pelayanan Kesehatan  Rujukan</t>
  </si>
  <si>
    <t>Penyediaan makan minum bagi pasien</t>
  </si>
  <si>
    <t xml:space="preserve"> Pengadaan alat-alat kesehatan rumah sakit</t>
  </si>
  <si>
    <t>Program pengadaan  Peningkatan  sarana dan prasarana Rumah sakit</t>
  </si>
  <si>
    <t xml:space="preserve"> Program Sumber daya kesehatan</t>
  </si>
  <si>
    <t>Penyediaan PMT anak sekolah</t>
  </si>
  <si>
    <t>Penyuluhan dan bimbingan makanan sehat dan bergizi bagi masyarakat</t>
  </si>
  <si>
    <t xml:space="preserve"> Program Promosi Makakanan  sehat dan bergizi bagi masyarakat</t>
  </si>
  <si>
    <t xml:space="preserve"> Program Jaminan Kesehatan  Masyarakat Asli Papua</t>
  </si>
  <si>
    <t>Pengendalian penyakit polio, pengendalian penyakit TB Paru, Pengendalian penyakit ISPA, Pengendalian penyakit HIV/AIDS dan PMS, Pengendalian penyakit DBD, Pengendalian penyakit malaria, Pengendalian penyakit Kusta, dan pengendalian penyakit Filariasis</t>
  </si>
  <si>
    <t xml:space="preserve"> Program Peningkatan Kesehatan Perseorangan</t>
  </si>
  <si>
    <t xml:space="preserve"> Program Peningkatan Ibu Melahirkan  dan anak</t>
  </si>
  <si>
    <t>Program Peningkatan  Pelayanan Kesehatan  anak Balita</t>
  </si>
  <si>
    <t>Pengendalian penyakit ISPA</t>
  </si>
  <si>
    <t>Pengendalian penyakit demam berdarah dangue (DBD)</t>
  </si>
  <si>
    <t>Pengendalian penyakit Kusta</t>
  </si>
  <si>
    <t>Pengendalian penyakit TB Paru</t>
  </si>
  <si>
    <t>Pengendalian penyakit IMS, HIV dan AIDS</t>
  </si>
  <si>
    <t>Pengendalian penyakit malaria</t>
  </si>
  <si>
    <t xml:space="preserve"> Program Pencegahan dan Penanggulangan Penyakit Menular</t>
  </si>
  <si>
    <t>Penyelenggaraan  penyehatan lingkungan</t>
  </si>
  <si>
    <t xml:space="preserve"> Program Upaya Kesehatan Masyarakat</t>
  </si>
  <si>
    <t>Belanja Bantuan Sosial Kepada Anggota Masyarakat</t>
  </si>
  <si>
    <t>Pembinaan lomba-lomba</t>
  </si>
  <si>
    <t xml:space="preserve">Pengadaan Alat Praktek Dan Kebutuhan Bahan Habis Pakai Praktik Siswa Sesuai Program Keahlian (SMK) </t>
  </si>
  <si>
    <t xml:space="preserve">Pengadaan Bahan Habis Pakai Untuk Pendukung Pembelajaran Dan Praktik Siswa (Jenjang SMA) </t>
  </si>
  <si>
    <t xml:space="preserve"> Program Pendidikan Menengah</t>
  </si>
  <si>
    <t>Pengadaan Bahan Habis Pakai Untuk Pendukung Pembelajaran Dan Praktik Siswa (Jenjang SMP)</t>
  </si>
  <si>
    <t>Pengadaan Bahan Habis Pakai Untuk Pendukung Pembelajaran Dan Praktik Siswa (Jenjang SD)</t>
  </si>
  <si>
    <t>Pemberian Insentif Guru PNS/CPNS dan Pengawas Sekolah Jenjang SMP</t>
  </si>
  <si>
    <t>Pelatihan kompetensi khusus bagi tenaga pendidik dan kependidikan, termasuk life skill pencegahan HIV/AIDS</t>
  </si>
  <si>
    <t>Pemberian Insentif Guru PNS Paud</t>
  </si>
  <si>
    <t xml:space="preserve">KABUPATEN  SARMI   </t>
  </si>
  <si>
    <t>Monitoring Reguler dan Monitoring Terpadu /Kolaborasi Pelaksanaan Program/Kegiatan Otonomi Khusus Dua Puluh Persen Delapan Puluh Persen (80%) Bagian Kabupten/Kota</t>
  </si>
  <si>
    <t>Pelaksanaan dan Pemeriksaan Internal atas Pelaksanaan Program dan Kegiatan yang Inspektorat Kabupaten/Kota (OTSUS)</t>
  </si>
  <si>
    <t>Kegiatan penataan tempat berusaha bagi pedagang kakilima dan asongan (OTSUS)</t>
  </si>
  <si>
    <t>Peningkatan Kualitas Pelayanan dan Pemenuhan standar ketentuan pengelolaan koperasi (OTSUS)</t>
  </si>
  <si>
    <t>Fasilitasi Dukungan Permodalan Penjamin Usaha (OTSUS)</t>
  </si>
  <si>
    <t>Pembangunan sarana dan prasarana pembibitan ternak (OTSUS)</t>
  </si>
  <si>
    <t>Penyediaan sarana produksi pertanian/perkebunan (OTSUS)</t>
  </si>
  <si>
    <t>Pengembangan Sarana Budidaya Air Tawar/Payau (OTSUS)</t>
  </si>
  <si>
    <t>Pendampingan pada kelompok pembudidaya (OTSUS)</t>
  </si>
  <si>
    <t>Pengembangan Lumbung Pangan Desa (OTSUS)</t>
  </si>
  <si>
    <t>Pengembangan diverisifikasi tanaman (OTSUS)</t>
  </si>
  <si>
    <t>Pengembangan desa mandiri pangan (OTSUS)</t>
  </si>
  <si>
    <t>Pemberdayaan Lembaga lembaga keagamaan untuk mendukung kelancaran tugas pembinaan dan pelayanan keagamaan (OTSUS)</t>
  </si>
  <si>
    <t>Program Afirmasi Masyarakat</t>
  </si>
  <si>
    <t>Pengembangan Sistem Distribusi Air Minum (OTSUS)</t>
  </si>
  <si>
    <t>Peningkatan Kualitas SDM/Kesehatan Melalui Pelaksanaan D3,D4,S1,S2 Kesehatan (OTSUS)</t>
  </si>
  <si>
    <t>Penyediaan Tunjangan Khusus Guru SMK  di Daerah Terpencil dan Terisolir (OTSUS)</t>
  </si>
  <si>
    <t>Pengadaan Pendidik (Guru Kontrak) dan Tutor Ahli SMK  (OTSUS)</t>
  </si>
  <si>
    <t>Pengadaan Pendidik (Guru Kontrak) SMA  (OTSUS)</t>
  </si>
  <si>
    <t>Pengadaan guru kontrak (OTSUS)</t>
  </si>
  <si>
    <t>Penyediaan Tunjangan Khusus Guru di Daerah Terpencil dan Terisolir (OTSUS)</t>
  </si>
  <si>
    <t>Pembangunan asrama  siswa/siswa  SMP Reguler berasrama (OTSUS)</t>
  </si>
  <si>
    <t>Pengadaan Pendidik PAUD Non Formal dan Formal (OTSUS)</t>
  </si>
  <si>
    <t>Kabupaten Tolikara</t>
  </si>
  <si>
    <t>Pembangunan/peningkatan jalan lingkungan Kampung</t>
  </si>
  <si>
    <t>Pengembangan sistem distribusi air minum</t>
  </si>
  <si>
    <t>Penyiapan tenaga kerjasiap pakai OAP</t>
  </si>
  <si>
    <t>Pengembangan komoditas unggul spesific papua</t>
  </si>
  <si>
    <t>Pengadaan sarana dan prasarana teknologi pertanian/operkebunan tepat guna</t>
  </si>
  <si>
    <t>Pengembangan intensifikasi tanaman padi,palawija</t>
  </si>
  <si>
    <t>Pengendalian penyakit polio, pengendalian penyakit TB Paru, pengendalian penyakit ISPA, pengendalian penyakit HIV/AIDS dan PMS, pengendalian penyakit penyakit demam berdarah dengue, pengendalian penyakit malaria, pengendalian penyakit kusta,dan pengendalian penyakit filariasis</t>
  </si>
  <si>
    <t>Operasional Rumah Singgah</t>
  </si>
  <si>
    <t>Pemberian makanan tambahan kepada bayi,balita dan ibu hamil</t>
  </si>
  <si>
    <t>Pelayanan Jaminan Kesehatankepada OAP diRumahSakit</t>
  </si>
  <si>
    <t>Penyelenggaraan PendidikanNon FormalKeaksaraan Dasar( KF dan Pelatihan KetrampilanKerja)</t>
  </si>
  <si>
    <t xml:space="preserve">Fasilitasi Akreditasi   Sekolah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</si>
  <si>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Penunjang Ujian Nasional</t>
  </si>
  <si>
    <t>Pelatihan  kompetensikhusus  bagi tenaga pendidikdan kependidikan, termasuk    lifeskill pencegahan HIV/AIDS.</t>
  </si>
  <si>
    <t>LombaK reatifitas Tingkat PAUD</t>
  </si>
  <si>
    <t>Pembangunan gedungsekolah PAUD NonFormal dan Formal/terpadu</t>
  </si>
  <si>
    <t>Penyelenggaraan PAUD Non-Formal danFormal</t>
  </si>
  <si>
    <t xml:space="preserve">KABUPATEN  PEG. BINTANG </t>
  </si>
  <si>
    <t xml:space="preserve"> Pengadaan Sarana Dan Prasarana Pendukung Usaha Bagi Keluarga Miskin OAP</t>
  </si>
  <si>
    <t>Pengembangan perfilman</t>
  </si>
  <si>
    <t>Pembinaan Penampilan Nuansa Budaya Papua Pada Fasilitas Umum Milik Pemerintah, Swasta Dan Masyarakat</t>
  </si>
  <si>
    <t>Pembinaan Lomba-lomba</t>
  </si>
  <si>
    <t>Program pembinaan kebudayaan asli Papua</t>
  </si>
  <si>
    <t>Implementasi Sistem Administrasi Kependudukan (membangun, updating, dan pemeliharaan)</t>
  </si>
  <si>
    <t>Pengawasan dan Pemeriksaan Internal atas pelaksanaan program dan kegiatan yang dibiayai dengan dana Otonomi Khusus, yang dilaksanakan oleh Inspektorat Kabupaten/Kota</t>
  </si>
  <si>
    <t xml:space="preserve"> Koordinasi penyusunan dan pembahasan URD pengguna dana otonomi khusus Kabupaten/kota</t>
  </si>
  <si>
    <t>Monitoring reguler dan monitoring terpadu/kolaborasi pelaksanaan program/kegiatan otonomi khusus dua puluh persen delapan puluh persen (80%)</t>
  </si>
  <si>
    <t>PERENCANAAN DAN PENGAWASAN</t>
  </si>
  <si>
    <t>Pendiikan dan pelatihan peningkatan peran serta dan kesetaraan jender</t>
  </si>
  <si>
    <t>Pelakanaan sosialiasi yang terkait dengan kesetaraan gender, pemberdayaan perempuan dan perlindungan anak OAP</t>
  </si>
  <si>
    <t>Pelatihan bagi pelatih (TOT) SDM pelayanan dan pendampingan korban KDRT</t>
  </si>
  <si>
    <t>Belanja Sewa Kontrakan Tempat Tinggal bagi Mahasiswa Yahukimo</t>
  </si>
  <si>
    <t>Biaya Bantuan Studi Mahasiswa Untuk Pilot</t>
  </si>
  <si>
    <t>Biaya Bantuan Studi Mahasiswa Kedokteran</t>
  </si>
  <si>
    <t>Bantuan Langsung Pendidikan Mahasiswa Utusan Daerah (MUD)</t>
  </si>
  <si>
    <t>URUSAN AFIRMASI</t>
  </si>
  <si>
    <t xml:space="preserve">Penyediaan sarana dan prasarana telekomunikasi kampung
</t>
  </si>
  <si>
    <t xml:space="preserve">Program pengembangan teknologi informasi
</t>
  </si>
  <si>
    <t>Penyediaan fasilitas penerangan jalan</t>
  </si>
  <si>
    <t>Pembangunan sarana dan prasarana rumah sederhana sehat (OTSUS)</t>
  </si>
  <si>
    <t>URUSAN FISIK SARANA PRASARANA</t>
  </si>
  <si>
    <t>Penguatan institusi masyarakat adat Asli dalam pengelolaan hak ulayat untuk produksi_x000D_</t>
  </si>
  <si>
    <t>Peningkatan kualitas manajemen UKM_x000D_</t>
  </si>
  <si>
    <t>Program Pengembangan Kewirausahaan dan Keunggulan kompetitif UKM</t>
  </si>
  <si>
    <t xml:space="preserve"> Pembudidayaan Ikan Air Tawar/ Air Payau (otsus)</t>
  </si>
  <si>
    <t xml:space="preserve"> Pengembangan Sarana Dan Prasarana Produksi Ternak (otsus)</t>
  </si>
  <si>
    <t>Pelatihan Petani Dan Pelaku Agribisnis (perkebunan) (otsus)</t>
  </si>
  <si>
    <t xml:space="preserve">fasilitas bagi industri kecil menengah terhadap pemanfaatan sumber daya </t>
  </si>
  <si>
    <t>Peningkatan kualitas pelayanan dan pemenuhan standar / ketentuan pengelolaan koperasi</t>
  </si>
  <si>
    <t>Penciptaan wirausaha baru khususnya wira usaha asli papua</t>
  </si>
  <si>
    <t>Pengadaan Peralatan Dan Perbekalan Kesehatan Termasuk Obat Generik Esensial, Penyediaan Biaya Operasional Dan Pemeliharaan</t>
  </si>
  <si>
    <t>Pengadaan Obat Dan Perbekalan Kesehatan (otsus)</t>
  </si>
  <si>
    <t xml:space="preserve"> Peningkatan Kualitas Sdm Kesehatan Melalui Pelaksanaan D3,d4,s1,s2 Kesehatan_x000D_
</t>
  </si>
  <si>
    <t xml:space="preserve">Program Sumber Daya Kesehatan_x000D_
</t>
  </si>
  <si>
    <t>Penyediaan Jasa Tenaga Medis Non PNS (Dokter PTT Daerah dan Bidan PTT)</t>
  </si>
  <si>
    <t>Penyediaan Jasa Tenaga Kader Kesehatan</t>
  </si>
  <si>
    <t>Pelayanan kesehatan bagi orang asli Papua</t>
  </si>
  <si>
    <t>Program Peningkatan Kemitraan Kesehatan Masyarakat</t>
  </si>
  <si>
    <t>Penyelenggaraan Penyehatan Lingkungan, Dan Monitoring, Evaluasi Dan Pelaporan (otsus)</t>
  </si>
  <si>
    <t>Program pengawasan dan pengendalian kesehatan makanan</t>
  </si>
  <si>
    <t>Pengendalian Penyakit Malaria (otsus)</t>
  </si>
  <si>
    <t>Peningkatan Imunisasi (otsus)</t>
  </si>
  <si>
    <t>Peningkatan Pelayanan Dan Penanggulangan Masalah Kesehatan (otsus)</t>
  </si>
  <si>
    <t>Penanggulangan kurang energi protein (KEP), anemia gizi besi, gangguan akibat kurang yodium (GAKY), kurang vitamin A dan kekurangan zat gizi mikro lainnya</t>
  </si>
  <si>
    <t>Pemeliharaan Dan Pemulihan Kesehatan (otsus)</t>
  </si>
  <si>
    <t>URUSAN KESEHATAN</t>
  </si>
  <si>
    <t>Penyediaan biaya operasional bagi lembaga penyelenggara Pendidikan bagi Kelompok Adat Terpencil 1</t>
  </si>
  <si>
    <t>Pembangunan ruang guru dan kepala sekolah SMA</t>
  </si>
  <si>
    <t>Pengadaan komputer dan ICT untuk pembelajaran interaktif dan pangkalan data pendidikan SMA</t>
  </si>
  <si>
    <t>Pengadaan pendidik (guru kontrak) dan tutor ahli SMA</t>
  </si>
  <si>
    <t>Penyediaan biaya operasional praktik kerja industri (prakerin) SMK</t>
  </si>
  <si>
    <t>Pengadaan pendidik (guru kontrak) dan tutor ahli SMK</t>
  </si>
  <si>
    <t>Pengadaan komputer dan ICT untuk pembelajaraan interaktif dan pangkalan data pendidikan SMP</t>
  </si>
  <si>
    <t>Penyediaan insentif guru dengan prioritas guru non-PNS atau PNS yang belum bersertifikasi SMP</t>
  </si>
  <si>
    <t>Pengadaan pendidik (guru kontrak) SMP</t>
  </si>
  <si>
    <t>Penyediaan biaya operasional pendukung kegiatan ekstrakulikuler SMP</t>
  </si>
  <si>
    <t>Bantuan operasional sekolah SMP</t>
  </si>
  <si>
    <t>Penyediaan biaya operasional kegiatan ekstrakulikuler SD</t>
  </si>
  <si>
    <t>Pengadaan tenaga pendidik (honor/kontrak) SD</t>
  </si>
  <si>
    <t>Penyediaan insentif guru atau guru pendamping</t>
  </si>
  <si>
    <t>PENINGKATAN KUALITAS PELAYANAN DAN PEMENUHAN STANDART/KETENTUAN PENGELOLAAN KOPERASI</t>
  </si>
  <si>
    <t>PROGRAM PENINGKATAN KUALITAS KELEMBAGAAN DAN KOPERASI</t>
  </si>
  <si>
    <t>PENGADAAN PERALATAN PENDIDIKAN DAN KETRAMPILAN BAGI PENCARI KERJA</t>
  </si>
  <si>
    <t>DINAS PERINDUSTRIAN, PERDAGANGAN, KOPERASI, USAHA KECIL MENENGAH DAN TENAGA KERJA TIPE A</t>
  </si>
  <si>
    <t>PENINGKATAN SARANA PRODUKSI PERIKANAN BUDIDAYA</t>
  </si>
  <si>
    <t>PENINGKATAN SARANA PRODUKSI PERIKANAN TANGKAP</t>
  </si>
  <si>
    <t>PROGRAM PENINGKATAN PRASARANA DAN SARANA PROUKSI SDKP</t>
  </si>
  <si>
    <t>DINAS KELAUTAN DAN PERIKANAN TIPE A</t>
  </si>
  <si>
    <t>PELESTARIAN DAN AKTUALISASI ADAT BUDAYA DAERAH</t>
  </si>
  <si>
    <t>PROGRAM PENGEMBANGAN NILAI BUDAYA</t>
  </si>
  <si>
    <t>DINAS PARIWISATA DAN KEBUDAYAAN TIPE B</t>
  </si>
  <si>
    <t>PENGEMBANGAN TANAMAN KOPI ROBUSTA</t>
  </si>
  <si>
    <t>PENGEMBANGAN TANAMAN KELAPA</t>
  </si>
  <si>
    <t>PROGRAM PENINGKATAN PRODUKSI  PERKEBUNAN</t>
  </si>
  <si>
    <t>PELATIHAN PENGOLAHAN BIBIT TERNAK YANG DIDISTRIBUSIKAN KEPADA MASYARAKAT</t>
  </si>
  <si>
    <t>PENDAMPINGAN BUDIDAYA TERNAK</t>
  </si>
  <si>
    <t>PENDAMPINGAN WADAH KELOMPOK TANI DAN WANITA TANI TERNAK</t>
  </si>
  <si>
    <t>PENINGKATAN KAPASITAS SUMBER DAYA PETERNAK DAN APARATUR</t>
  </si>
  <si>
    <t>BUDIDAYA AYAM KAMPUNG</t>
  </si>
  <si>
    <t>PENINGKATAN POPULASI,PRODUKSI DAN DISTRIBUSI PETERNAKAN</t>
  </si>
  <si>
    <t>PENGADAAN SARANA DAN PRASARANA TEKNOLOGI PERTANIAN TEPAT GUNA</t>
  </si>
  <si>
    <t>PENINGKATAN TEKNOLOGI PERTANIAN</t>
  </si>
  <si>
    <t>PENGEMBANGAN MODEL PERTANIAN ORANG PAPUA</t>
  </si>
  <si>
    <t xml:space="preserve">PENGEMBANGAN TANAMAN PALAWIJA </t>
  </si>
  <si>
    <t>PENDAMPINGAN PENANAMAN PADI</t>
  </si>
  <si>
    <t>OPTIMASI LAHAN</t>
  </si>
  <si>
    <t>PEMBUKAAN LAHAN BARU</t>
  </si>
  <si>
    <t>PENGADAAN BENIH SAYURAN</t>
  </si>
  <si>
    <t>PENGEMBANGAN TANAMAN HORTIKULTURA</t>
  </si>
  <si>
    <t>PENGEMBANGAN TANAMAN UMBI-UMBIAN</t>
  </si>
  <si>
    <t>PELATIHAN PENANGANAN PASCA PANEN DAN PENGGUNAAN ALSINTAN</t>
  </si>
  <si>
    <t>PELATIHAN PETANI HORTIKULTURA</t>
  </si>
  <si>
    <t>DEMONSTRASI PLOT (DEMPLOT)</t>
  </si>
  <si>
    <t xml:space="preserve">PELATIHAN BAGI KELOMPOK TANI </t>
  </si>
  <si>
    <t>PENINGKATAN SUMBER DAYA PETANI</t>
  </si>
  <si>
    <t>DINAS TANAMAN PANGAN DAN PERTANIAN TIPE A</t>
  </si>
  <si>
    <t>PELAKSANAAN PENGAWASAN INTERNAL SECARA BERKALA</t>
  </si>
  <si>
    <t>INSPEKTORAT KABUPATEN TIPE A</t>
  </si>
  <si>
    <t>DINAS SOSIAL TIPE B</t>
  </si>
  <si>
    <t>BIMBINGAN MANAJEMEN USAHA BAGI PEREMPUAN OAP DALAM MENGELOLA USAHA</t>
  </si>
  <si>
    <t>KEGIATAN SOSIALISASI UU PERLINDUNGAN PEREMPUAN DAN ANAK</t>
  </si>
  <si>
    <t>DINAS PEMBERDAYAAN PEREMPUAN DAN KELUARGA BERENCANA TIPE B</t>
  </si>
  <si>
    <t>DINAS PERHUBUNGAN TIPE B</t>
  </si>
  <si>
    <t xml:space="preserve">KONSULTASI DAN PEMBAHASAN URD OTSUS  </t>
  </si>
  <si>
    <t>KOORDINASI PERENCANAAN PEMBANGUNAN DANA OTSUS, MONITORING DAN EVALUASI PENGGUNAAN DANA OTSUS DAN KONSULTASI DAN EVALUASI URD OTSUS</t>
  </si>
  <si>
    <t>BADAN PERENCANAAN PEMBANGUNAN DAN PENELITIAN PENGEMBANGAN DAERAH TIPE A</t>
  </si>
  <si>
    <t>PEMBANGUNAN RUMAH MASYARAKAT TYPE 45 M2 (OTSUS)</t>
  </si>
  <si>
    <t>PEMBOBOTAN FISIK PERUMAHAN MASYARAKAT</t>
  </si>
  <si>
    <t>DINAS PERUMAHAN RAKYAT, KAWASAN PERMUKIMAN DAN PERTANAHAN TIPE B</t>
  </si>
  <si>
    <t>PEMBANGUNAN JALAN JEMBATAN LINGKUNGAN</t>
  </si>
  <si>
    <t>DINAS PEKERJAAN UMUM DAN PENATAAN RUANG TIPE A</t>
  </si>
  <si>
    <t>RUJUKAN PASIEN</t>
  </si>
  <si>
    <t>PENGADAAN PERALATAN DAN PERBEKALAN KESEHATANTERMASUK OBAT GENERIK ESENSIAL</t>
  </si>
  <si>
    <t>PENYEDIAAN BIAYA OPERASIONAL PUSKESMAS DAN PUSTU</t>
  </si>
  <si>
    <t>PENGADAAN OBAT DAN PERBEKALAN</t>
  </si>
  <si>
    <t>DINAS KESEHATAN TIPE A</t>
  </si>
  <si>
    <t xml:space="preserve">PELAKSANAAN KERJASAMA SECARA KELEMBAGGAAN DALAM PENGELOLAAN PENDIDIKAN MENENGAH </t>
  </si>
  <si>
    <t>PENYELENGGARAAN PENDIDIKAN BERPOLA ASRAMA</t>
  </si>
  <si>
    <t>PELATIHAN KOMPETENSI SISWA BERPRESTASI</t>
  </si>
  <si>
    <t>PENYELENGGARAAN BELAJAR MENGAJAR SEKOLAH</t>
  </si>
  <si>
    <t>DINAS PENDIDIKAN TIPE B</t>
  </si>
  <si>
    <t>- BELANJA TIDAK LANGSUNG</t>
  </si>
  <si>
    <t xml:space="preserve">- MONITORING, EVALUASI DAN PELAPORAN PELAKSANAAN RENCANA PEMBANGUNAN DAERAH                           </t>
  </si>
  <si>
    <t xml:space="preserve">PROGRAM PERENCANAAN PEMBANGUNAN DAERAH_x000D_
                                                            </t>
  </si>
  <si>
    <t xml:space="preserve">- PELAKSANAAN PENGAWASAN INTERNAL SECARA BERKALA                                                      </t>
  </si>
  <si>
    <t xml:space="preserve">PROGRAM PENINGKATAN SISTEM PENGAWASAN INTERNAL DAN PENGENDALIAN PELAKSANAAN KEBIJAKAN KDH           </t>
  </si>
  <si>
    <t xml:space="preserve">PEMBINAAN INDUSTRI KECIL DAN MENENGAH DALAM MEMPERKUAT JARINGAN KLASTER INDUSTRI                    </t>
  </si>
  <si>
    <t xml:space="preserve">PROGRAM PENGEMBANGAN INDUSTRI KECIL DAN MENENGAH                  </t>
  </si>
  <si>
    <t>DINAS PERINDUSTRIAN DAN TENAGA KERJA</t>
  </si>
  <si>
    <t xml:space="preserve">PENYULUHAN PENGELOLAAN BIBIT TERNAK YANG DIDISTRIBUSIKAN KEPADA MASYARAKAT                          </t>
  </si>
  <si>
    <t xml:space="preserve">PENDISTRIBUSIAN BIBIT TERNAK KEPADA MASYARAKAT                                                      </t>
  </si>
  <si>
    <t xml:space="preserve">PROGRAM PENINGKATAN PRODUKSI HASIL PETERNAKAN                                                       </t>
  </si>
  <si>
    <t xml:space="preserve">PROGAM PENINGKATAN PRODUKSI PERTANIAN/PERKEBUNAN                                                    </t>
  </si>
  <si>
    <t xml:space="preserve">PENGEMBANGAN INTENSIFIKASI TANAMAN PADI, PALAWIJA                                                   </t>
  </si>
  <si>
    <t xml:space="preserve">PROGRAM PENINGKATAN KETAHANAN PANGAN PERTANIAN                                                      </t>
  </si>
  <si>
    <t xml:space="preserve">PENINGKATAN KEMAMPUAN LEMBAGA PETANI                                                                </t>
  </si>
  <si>
    <t xml:space="preserve">PENYULUHAN DAN PENDAMPINGAN PETANI DAN PELAKSANA AGROBISNIS                                         </t>
  </si>
  <si>
    <t xml:space="preserve">PELATIHAN PETANI DAN PELAKU AGRIBISNIS                                                              </t>
  </si>
  <si>
    <t xml:space="preserve">PROGRAM PENINGKATAN SUMBERDAYA PETANI                                                               </t>
  </si>
  <si>
    <t xml:space="preserve">PEMBINAAN KELOMPOK EKONOMI MASYARAKAT PESISIR                                                       </t>
  </si>
  <si>
    <t xml:space="preserve">PROGRAM PEMBERDAYAAN EKONOMI MASYARAKAT PESISIR                                                     </t>
  </si>
  <si>
    <t xml:space="preserve">PENGEMBANGAN SANGGAR BUDAYA </t>
  </si>
  <si>
    <t>PROGRAM PENGEMBANGAN KEBUDAYAAN ASLI PAPUA</t>
  </si>
  <si>
    <t>DINAS KEPEMUDAAN, OLAHRAGA KEBUDAYAAN DAN PARIWISATA</t>
  </si>
  <si>
    <t xml:space="preserve">PENGEMBANGAN DIVERSIFIKASI TANAMAN                                                                  </t>
  </si>
  <si>
    <t xml:space="preserve">PENANGANAN PASCA PANEN DAN PENGOLAHAN HASIL                                                         </t>
  </si>
  <si>
    <t xml:space="preserve">PROGRAM PENINGKATAN KETAHANAN PANGAN (PERTANIAN/PERKEBUNAN)                                         </t>
  </si>
  <si>
    <t>KEGIATAN BIMBINGAN MANAJEMEN USAHA BAGI PEREMPUAN DALAM MENGELOLA USAHA</t>
  </si>
  <si>
    <t xml:space="preserve">PRAGRAM PENINGKATAN PERAN SERTA DAN KESETARAAN JENDER DALAM PEMBANGUNAN                             </t>
  </si>
  <si>
    <t xml:space="preserve">PEMBANGUNAN SARANA DAN PRASARANA RUMAH SEDERHANA SEHAT                                              </t>
  </si>
  <si>
    <t xml:space="preserve">PROGRAM PENGEMBANGAN PERUMAHAN                                                                      </t>
  </si>
  <si>
    <t xml:space="preserve">PENYEDIAAN SARANA DAN PRASARANA LEMBAGA KEAGAMAAN                                                   </t>
  </si>
  <si>
    <t xml:space="preserve">PROGRAM PEMBERDAYAAN KELEMBAGAAN KESEJAHTERAAN SOSIAL                                               </t>
  </si>
  <si>
    <t>KEGIATAN PENGADAAN OBAT-OBATAN</t>
  </si>
  <si>
    <t xml:space="preserve">PENGADAAN, PENINGKATAN SARANA DAN PRASARANA RUMAH SAKIT/RS. JIWA/RS. PARU/RS. MATA                  </t>
  </si>
  <si>
    <t xml:space="preserve">PELAYANAN DALAM DAN LUAR GEDUNG PUSKESMAS/PUSKESMAS KELILING                                        </t>
  </si>
  <si>
    <t xml:space="preserve">PENGOBATAN TINGKAT LANJUT PASIEN TIDAK MAMPU/RUJUKAN                                                </t>
  </si>
  <si>
    <t xml:space="preserve">PROGRAM PELAYANAN KESEHATAN PENDUDUK MISKIN                                                         </t>
  </si>
  <si>
    <t xml:space="preserve">PELAYANAN PENCEGAHAN DAN PENANGGULANGAN PENYAKIT MENULAR TUBERCOLOSIS (TBC)                         </t>
  </si>
  <si>
    <t xml:space="preserve">PELAYANAN PENCEGAHAN DAN PENANGGULANGAN PENYAKIT MENULAR KUSTA                                      </t>
  </si>
  <si>
    <t xml:space="preserve">PENINGKATAN SURVEILLANCE EPIDEMIOLOGI DAN PENANGGULANGAN WABAH                                      </t>
  </si>
  <si>
    <t>PENINGKATAN IMUNISASI</t>
  </si>
  <si>
    <t xml:space="preserve">PENYEMPROTAN/FOGGING SARANG NYAMUK                                                                  </t>
  </si>
  <si>
    <t xml:space="preserve">PENGEMBANGAN UPAYA KESEHATAN BERBASIS MASYARAKAT (UKBM)                                   </t>
  </si>
  <si>
    <t xml:space="preserve">PROGRAM PROMOSI KESEHATAN DAN PEMBERDAYAAN MASYARAKAT                                               </t>
  </si>
  <si>
    <t>PENYELENGGARAAN PENCEGAHAN DAN PEMBERANTASAN PENYAKIT DAN WABAH</t>
  </si>
  <si>
    <t xml:space="preserve">PROGRAM UPAYA KESEHATAN MASYARAKAT                                                                  </t>
  </si>
  <si>
    <t>RAPAT-RAPAT KOORDINASI DAN KONSULTASI DALAM DAERAH (KHUSUS DISTRIK)</t>
  </si>
  <si>
    <t>PROGRAM PELAYANAN ADMINISTRASI PERKANTORAN</t>
  </si>
  <si>
    <t xml:space="preserve">FASILITASI PENDIDIKAN TINGGI                                                                        </t>
  </si>
  <si>
    <t xml:space="preserve">PROGRAM MANAJEMEN PELAYANAN PENDIDIKAN                                                              </t>
  </si>
  <si>
    <t xml:space="preserve">PENYEDIAAN GURU KONTRAK (SMK)                                                                       </t>
  </si>
  <si>
    <t xml:space="preserve">PELATIHAN KOMPETENSI SISWA BERPRESTASI                                                              </t>
  </si>
  <si>
    <t xml:space="preserve">PROGRAM PENDIDIKAN MENENGAH                                                                         </t>
  </si>
  <si>
    <t xml:space="preserve">PENYEDIAAN GURU KONTRAK                                                                             </t>
  </si>
  <si>
    <t xml:space="preserve">PEMBANGUNAN RUMAH DINAS KEPALA SEKOLAH,GURU,PENJAGA SEKOLAH                                         </t>
  </si>
  <si>
    <t xml:space="preserve">PEMBANGUNAN GEDUNG SEKOLAH                                                                          </t>
  </si>
  <si>
    <t xml:space="preserve">PROGRAM WAJIB BELAJAR PENDIDIKAN DASAR SEMBILAN TAHUN                                               </t>
  </si>
  <si>
    <t xml:space="preserve">PENGEMBANGAN PENDIDIKAN ANAK USIA DINI                                                              </t>
  </si>
  <si>
    <t xml:space="preserve">PENYEDIAAN JASA ADMINISTRASI KEUANGAN </t>
  </si>
  <si>
    <t>Pengadaan Sarana dan Prasarana Pendukung Usaha bagi Keluarga Miskin OAP (OTSUS)</t>
  </si>
  <si>
    <t>Program Pemberdayaan Fakir Miskin, Komunitas Adat Terpencil (KAT) dan Penyandang Masalah Kesejahteraan Sosial (PMKS)  Lainnya</t>
  </si>
  <si>
    <t>Monitoring Reguler dan Monitoring Terpadu/ Kolaborasi Pelaksanaan Program/ Kegiatan Otonomi Khusus dua puluh persen delapan puluh persen (80%) Bagian Kabupaten/ Kota (OTSUS)</t>
  </si>
  <si>
    <t>Koordinasi Penyusunan dan Pembahasan URD Penggunaan Dana OTSUS Kabupaten/ Kota (OTSUS)</t>
  </si>
  <si>
    <t>Program Perencanaan Pengguna Dana OTSUS</t>
  </si>
  <si>
    <t>BADAN PERENCANAAN, PENELITIAN, DAN PENGEMBANGAN PEMBANGUNAN DAERAH</t>
  </si>
  <si>
    <t>Peningkatan Perlindungan Hak Reproduksi Individu (OTSUS)</t>
  </si>
  <si>
    <t>Penyediaan pelayanan KB dan Alat kontrasepsi bagi Keluarga Miskin (OTSUS)</t>
  </si>
  <si>
    <t>DINAS PENGENDALIAN PENDUDUK DAN KELUARGA BERENCANA</t>
  </si>
  <si>
    <t>Pemberian Bantuan Fasilitas Permodalan dan Pemasaran Hasil Produksi (OTSUS)</t>
  </si>
  <si>
    <t>DINAS KOPERASI, USAHA KECIL DAN MENENGAH,  PERINDUSTRIAN DAN PERDAGANGAN</t>
  </si>
  <si>
    <t>Penanganan Pasca Panen dan Pengolahan Hasil Pertanian (OTSUS)</t>
  </si>
  <si>
    <t>Pengembangan Sarana Budidaya Air Tawar/ Payau (OTSUS)</t>
  </si>
  <si>
    <t>Penyediaan Peralatan Tangkap bagi Nelayan OAP (OTSUS)</t>
  </si>
  <si>
    <t>DINAS TANAMAN PANGAN, HORTIKULTURA , PETERNAKAN DAN PERIKANAN</t>
  </si>
  <si>
    <t>Pengadaan Puskesmas Keliling (OTSUS)</t>
  </si>
  <si>
    <t>Pengendalian Penyakit Malaria (OTSUS)</t>
  </si>
  <si>
    <t>Penyelenggaraan Penyehatan Lingkungan, dan Monitoring, Evaluasi, dan Pelaporan (OTSUS)</t>
  </si>
  <si>
    <t>Pengadaan biaya operasional sekolah kampung terpadu (OTSUS)</t>
  </si>
  <si>
    <t>Penyediaan Biaya Operasional Pendukung Kegiatan Ekstrakurikuler (OTSUS)</t>
  </si>
  <si>
    <t>Pengembangan Model Pendidikan Keaksaraan yang Sesuai dengan Kondisi Sosial Budaya Setempat (OTSUS)</t>
  </si>
  <si>
    <t>Pembangunan Sarana dan Prasarana Pendidikan non- Formal  (OTSUS)</t>
  </si>
  <si>
    <t>Program Pendidikan Non-Formal dan In-Formal (OTSUS)</t>
  </si>
  <si>
    <t>Biaya Operasional pendukung kegiatan ekstrakurikuler (OTSUS)</t>
  </si>
  <si>
    <t>Pengadaan Komputer dan ICT untuk pembelajaran interaktif dan pangkalan data pendidikan (OTSUS)</t>
  </si>
  <si>
    <t>Pembangunan rumah dinas guru dan kepala sekolah serta perlengkapannya (OTSUS)</t>
  </si>
  <si>
    <t>Pengadaan Biaya Operasional Sekolah Kampung Terpadu (OTSUS)</t>
  </si>
  <si>
    <t>AFIRMASI</t>
  </si>
  <si>
    <t xml:space="preserve"> Kegiatan Pendistribusian bibit ternak kepada masyarakat</t>
  </si>
  <si>
    <t>Penyuluhan dan bimbingan pemanfaatan  dan produktivitas lahan tidur</t>
  </si>
  <si>
    <t>Kegiatan Monitoring, Evaluasi dan Pelaporan</t>
  </si>
  <si>
    <t xml:space="preserve"> Program Perencanaan Pembangunan Daerah</t>
  </si>
  <si>
    <t>Koordinasi dalam peningkatan pelayanan angkutan darat</t>
  </si>
  <si>
    <t xml:space="preserve">Koordinasi dalam peningkatan pelayanan angkutan udara </t>
  </si>
  <si>
    <t>Pengembangan model pendidikan keaksaran yang sesuai dengan kondisi sosial budaya setempat</t>
  </si>
  <si>
    <t>Program Pendidikan Non-Formal dan In-Formal</t>
  </si>
  <si>
    <t>Pengadaan Beasiswa melanjutkan (transisi) untuk siswa asli Papua</t>
  </si>
  <si>
    <t>Pembinaan industri kecil dan menengah dalam memperkuat jaringan klaster industri (OTSUS 2019)</t>
  </si>
  <si>
    <t>Fasilitasi bagi industri kecil dan menengah terhadap pemanfaatan sumber daya yang dibina (OTSUS 2019)</t>
  </si>
  <si>
    <t>Pengembangan perbenihan/perbibitan (OTSUS 2019)</t>
  </si>
  <si>
    <t>Penyediaan peralatan tangkap bagi nelayan Orang Asli Papua (OAP) (OTSUS 2019)</t>
  </si>
  <si>
    <t>Pengembangan bibit ikan unggul (OTSUS 2019)</t>
  </si>
  <si>
    <t>Perlindungan Dan Pengakuan Terhadap Keberadaan Lembaga Adat Dan Hak Ulayat Dan Hak Perorangan Masyarakat Adat Asli (OTSUS 2019)</t>
  </si>
  <si>
    <t>Pemetaan Hak Ulayat Masyarakat Adat Asli melalui kerjasama dengan Lembaga Perguruan Tinggi  (OTSUS 2019)</t>
  </si>
  <si>
    <t>Perlindungan Dan Pengakuan Terhadap Keberadaan Lembaga Adat Dan Hak Ulayat Dan Hak Perorangan Masyarakat Adat Asli(OTSUS 2019)</t>
  </si>
  <si>
    <t>Pengembangan sanggar-sanggar seni (OTSUS 2019)</t>
  </si>
  <si>
    <t xml:space="preserve"> BADAN KESATUAN BANGSA, POLITIK DAN PERLINDUNGAN MASYARAKAT</t>
  </si>
  <si>
    <t>Pembangunan PLTMH (OTSUS 2019)</t>
  </si>
  <si>
    <t>Penanganan pasca panen dan pengolahan hasil pertanian (OTSUS 2019)</t>
  </si>
  <si>
    <t>Penyediaan dukungan bidang pendidikan bagi pengembanganpotensi wilayah sesuai peta komoditas unggulan daerah (OTSUS 2019)</t>
  </si>
  <si>
    <t>Dukungan beasiswa S-1 untuk siswa-siswi SMA SMA OAP berprestasi secara terbatas untuk jurusan yang sangat dibutuhkan dalam pembangungan daerah (OTSUS 2019)</t>
  </si>
  <si>
    <t>Pemberdayaan Lembaga-lembaga Keagamaan untuk mendukung kelancaran tugas tugas pembinaan dan pelayanan keagamaan (OTSUS 2019)</t>
  </si>
  <si>
    <t>Fasilitasi upaya perlindungan perempuan terhadap tindak kekerasan (OTSUS 2019)</t>
  </si>
  <si>
    <t>Pengembangan data base kependudukan OAP (OTSUS 2019)</t>
  </si>
  <si>
    <t>Pemeliharaan kesehatan dan pencegahan penyakit menular ternak (OTSUS 2019)</t>
  </si>
  <si>
    <t>Pengembangan komoditas unggulan perkebunan spesifik Papua (OTSUS 2019)</t>
  </si>
  <si>
    <t>Promosi atas hasil produksi pertanian/perkebunan unggul daerah (OTSUS 2019)</t>
  </si>
  <si>
    <t xml:space="preserve"> DINAS LINGKUNGAN HIDUP PERKEBUNAN DAN PETERNAKAN</t>
  </si>
  <si>
    <t>Monitoring Reguler dan Monitoring Terpadu/Kolaborasi Pelaksanaan Program/Kegiatan Otonomi Khusus dua puluh persen Delapan Puluh Persen (80%) Bagian Kabupaten/Kota (OTSUS 2019)</t>
  </si>
  <si>
    <t>Pembangunan Rumah Layak Huni Bagi Masyarakat Asli Papua (OTSUS 2019)</t>
  </si>
  <si>
    <t>Pembangunan/peningkatan jalan lingkungan Kampung (OTSUS 2019)</t>
  </si>
  <si>
    <t>Penanggulangan masalah kesehatan masyarakat asli Papua (OTSUS 2019)</t>
  </si>
  <si>
    <t>Pelayanan kesehatan bagi orang asli Papua (OTSUS 2019)</t>
  </si>
  <si>
    <t>Pengadaan Alat Kesehatan  (OTSUS RSUD 2019)</t>
  </si>
  <si>
    <t>Pengadaan Obat-Obatan (OTSUS RSUD 2019)</t>
  </si>
  <si>
    <t>Pengendalian penyakit TB Paru (OTSUS 2019)</t>
  </si>
  <si>
    <t>Pengendalian penyakit malaria (OTSUS 2019)</t>
  </si>
  <si>
    <t>Pengendalian penyakit IMS, HIV dan AIDS (OTSUS 2019)</t>
  </si>
  <si>
    <t>Perbaikan gizi masyarakat (OTSUS 2019)</t>
  </si>
  <si>
    <t>Pemberian makanan tambahan kepada bayi, balita dan ibu hamil (OTSUS 2019)</t>
  </si>
  <si>
    <t>Pemeliharaan dan pemulihan kesehatan (OTSUS 2019)</t>
  </si>
  <si>
    <t>Peningkatan pelayanan dan penanggulangan masalah kesehatan (OTSUS 2019)</t>
  </si>
  <si>
    <t>Pengadaan obat dan perbekalan kesehatan (OTSUS 2019)</t>
  </si>
  <si>
    <t>Penyediaan dukungan bidang pendidikan bagi pengembangan potensi wilayah sesuai peta komoditas unggulan daerah (OTSUS 2019)</t>
  </si>
  <si>
    <t>Pengadaan Guru Honor dan TU (SMA &amp; SMK) (OTSUS 2019)</t>
  </si>
  <si>
    <t>Penyediaan Biaya operasional kegiatan ekstrakurikuler (SMK) (OTSUS 2019)</t>
  </si>
  <si>
    <t>Biaya operasional pendukung kegiatan ekstrakurikuler (SMA) (OTSUS 2019)</t>
  </si>
  <si>
    <t>Penunjang Ujian Nasional SMA/SMK (OTSUS 2019)</t>
  </si>
  <si>
    <t>Penyediaan insentif guru dengan prioritas guru non-PNS atau PNS yang belum bersertifikasi (SMK) (OTSUS 2019)</t>
  </si>
  <si>
    <t>Penyediaan insentif guru dengan prioritas guru non-PNS atau PNS yang belum bersertifikasi (SMA) (OTSUS 2019)</t>
  </si>
  <si>
    <t>Pengadaan komputer dan ICT untuk pembelajaran Interaktif dan pangkalan data pendidikan (SMP) (OTSUS 2019)</t>
  </si>
  <si>
    <t>Penyediaan Biaya operasional kegiatan ekstrakurikuler (SD)  (OTSUS 2019)</t>
  </si>
  <si>
    <t>Penunjang Ujian Nasional SD  (OTSUS 2019)</t>
  </si>
  <si>
    <t>Penyelenggaraan Pendidikan Kejar Paket B (SMP)  (OTSUS 2019)</t>
  </si>
  <si>
    <t>Penyelenggaraan Pendidikan Kejar Paket A (OTSUS 2019)</t>
  </si>
  <si>
    <t>Penyediaan insentif guru dengan prioritas guru non-PNS atau PNS yang belum bersertifikasi (SD) (OTSUS 2019)</t>
  </si>
  <si>
    <t>Penyediaan insentif guru dengan prioritas guru non-PNS atau PNS yang belum bersertifikasi (SMP) (OTSUS 2019)</t>
  </si>
  <si>
    <t>Pengadaan biaya operasional sekolah kampung terpadu (SD) (OTSUS 2019)</t>
  </si>
  <si>
    <t>Sarana Prasarana ruang kelas/Gedung (OTSUS 2019)</t>
  </si>
  <si>
    <t>Pengadaan bahan habis pakai untuk pendukung pembelajaran dan praktik siswa (SMP) (OTSUS 2019)</t>
  </si>
  <si>
    <t>Penyelenggaraan PAUD Formal dan Non Formal (OTSUS 2019)</t>
  </si>
  <si>
    <t>Penyediaan insentif guru atau guru pendamping (OTSUS 2019)</t>
  </si>
  <si>
    <t>Pengadaan makanan tambahan siswa berbahan lokal sesuai dengan usia tumbuh kembang anak (OTSUS 2019)</t>
  </si>
  <si>
    <t>Belanja Bantuan Sosial kepada Pendidikan Studi Kedokteran</t>
  </si>
  <si>
    <t>Belanja Bantuan Sosial kepada Pendidikan Studi Penerbangan</t>
  </si>
  <si>
    <t>Belanja Bantuan Sosial kepada Pendidikan S2 dan S3</t>
  </si>
  <si>
    <t>Belanja Bantuan Sosial kepada Pendidikan S1 Studi Akhir</t>
  </si>
  <si>
    <t>Bantuan Usaha Perikanan</t>
  </si>
  <si>
    <t>Bantuan Modal Usaha Perbengkelan</t>
  </si>
  <si>
    <t>Belanja Bantuan Modal usaha Mama-Mama Papua</t>
  </si>
  <si>
    <t>Belanja Bantuan Modal Usaha Kerajinan Tangan Khas Papua</t>
  </si>
  <si>
    <t>Belanja Bantuan Modal Usaha Ternak</t>
  </si>
  <si>
    <t>Belanja Hibah Kepada Pengurus Gereja GPDI</t>
  </si>
  <si>
    <t>Belanja Hibah Kepada  Klasis Gereja GKI</t>
  </si>
  <si>
    <t>Belanja Hibah Dalam Rangka HUT Kingmi</t>
  </si>
  <si>
    <t>Belanja Hibah Kepada Gereja Kingmi Antiokhia Enarotali</t>
  </si>
  <si>
    <t>Belanja Hibah kepada Gereja lainnya</t>
  </si>
  <si>
    <t>Belanja Hibah kepada Sekber Bangga Papua Kab. Paniai</t>
  </si>
  <si>
    <t>Belanja Hibah Kepada Pembangunan Aula STP Kebo</t>
  </si>
  <si>
    <t>Program peningkatan dan pengembangan pengelolaan keuangan daerah</t>
  </si>
  <si>
    <t>Monitoring Reguler dan Monitoring Terpadu/Kolaborasi Pelaksaan Program/Kegiatan Otonomi Khusus 20% 80%</t>
  </si>
  <si>
    <t>Program perencanaan Penggunaan Dana Otonomi Khusus</t>
  </si>
  <si>
    <t>Pembinaan Manajemen Usaha dan Keterampilan Usaha Mini Mikro, Mikro dan Kecil</t>
  </si>
  <si>
    <t>Program Pembinaan dan Pendampingan Pelaku Usaha Ekonomi Kerakyatan 00207</t>
  </si>
  <si>
    <t>Pembangunan pusat-pusat penampungan produksi hasil pertanian/perkebunan komoditas spesifik Papua yang akan dipasarkan</t>
  </si>
  <si>
    <t>Program peningkatan pemasaran hasil produksi pertanian/perkebunan 00303</t>
  </si>
  <si>
    <t>Program Peningkatan Produksi Pertaniai/Perkebunan 00203</t>
  </si>
  <si>
    <t>Penyuluhan kualitas gizi dan pakan ternak</t>
  </si>
  <si>
    <t>Penciptaan wirausaha baru khusunya wirausaha asli Papua</t>
  </si>
  <si>
    <t>Program Pengembangan Komunikasi, Informasi dan Media Massa</t>
  </si>
  <si>
    <t>Pemeliharaan/Rehabilitasi Lapangan Terbang Kampung</t>
  </si>
  <si>
    <t>Penguatan Institusi Masyarakat Adat Asli Dalam Pengelolaan Hak Ulayat Untuk Produksi</t>
  </si>
  <si>
    <t>Dinas Pemberdayaan Masyarakat Kampung</t>
  </si>
  <si>
    <t>Program Keluarga Berencana 00208</t>
  </si>
  <si>
    <t>Pengembangan Database Kependudukan Orang Asli Papua (OAP)</t>
  </si>
  <si>
    <t>Perlindungan dan Konservasi Daerah Tangkapan Air dan Sumber-Sumber Air</t>
  </si>
  <si>
    <t>Pendampingan Bagi Pelaku Usaha Ekonomi Masyarakat OAP Sesuai Dengan Karakteristik Sosial Budaya Setempat</t>
  </si>
  <si>
    <t>Fasilitasi dan Stimulasi Pembangunan perumahan masyarakat kurang mampu</t>
  </si>
  <si>
    <t>Pelanyanan Kesehatan bagi orang asli papua</t>
  </si>
  <si>
    <t>Penyuluhan dan Bimbingan Makanan Sehat dan Bergizi kepada Masyarakat</t>
  </si>
  <si>
    <t>Promosi Makanan Sehat dan Bergizi bagi Masyarakat</t>
  </si>
  <si>
    <t>Peningkatan Kualitas SDM Kesehatan melalui Pelaksanaan D3,D4,S1,S2 Kesehatan</t>
  </si>
  <si>
    <t>Penanggulangan Masalah Kesehatan Masyarakat Asli Papua</t>
  </si>
  <si>
    <t>Peningkatan dan Pemeliharaan Kesehatan Ibu dan Bayi Baru Lahir Orang Asli Papua</t>
  </si>
  <si>
    <t>Pengendalian Penyakit ISPA</t>
  </si>
  <si>
    <t>Pengendalian Penyakit Kusta</t>
  </si>
  <si>
    <t>Pengendalian Penyakit Malaria</t>
  </si>
  <si>
    <t>Pengendalian Penyakit TB Paru</t>
  </si>
  <si>
    <t>Pengendalian Penyakit IMS, HIV, AIDS</t>
  </si>
  <si>
    <t>Pemberian Makanan Tambahan Bagi Bayi, Balita dan Ibu Hamil</t>
  </si>
  <si>
    <t>Penyelenggaraan Pendidikan Non Formal Keaksaraan Dasar (KF dan Pelatihan Ketrampilan Kerja)</t>
  </si>
  <si>
    <t>Pendidikan Non Formal dan Informal</t>
  </si>
  <si>
    <t>Penyediaan Insentif Guru dengan Prioritas Guru Non-PNS atau PNS yang belum Bersertifikasi</t>
  </si>
  <si>
    <t>Penyediaan Tunjangan Khusus Guru di Daerah Terpencil dan Terisolir</t>
  </si>
  <si>
    <t>Pengadaan Tenaga Kependidikan (TU, Petugas Perpustakaan, Petugas Laboratorium, Penjaga Sekolah, Tenaga Kebersihan, Pengelola Asrama)</t>
  </si>
  <si>
    <t>Pengadaan Beasiswa Melanjutkan (Transasi) untuk Siswa Asli Papua</t>
  </si>
  <si>
    <t>Pengadaan Beasiswa Melanjutkan (Transasi) untuk Siswa Asli Papua ke Jenjang SMP</t>
  </si>
  <si>
    <t>Pelatihan Kompetensi Khusus bagi Tenaga Pendidik dan Kependidikan, termasuk life Skill Pencegahan HIV/AIDS</t>
  </si>
  <si>
    <t>Penyediaan Tunjangan Guru di Daerah Terpencil dan Terisolir</t>
  </si>
  <si>
    <t>Pengadaan Tenaga Pendidikan (Honor/Kontrak</t>
  </si>
  <si>
    <t>Peningkatan Pembangunan Sarana dan Prasarana (Otsus)</t>
  </si>
  <si>
    <t>Pengawasan dan Pemeriksaan Internal atas pelaksaan program dan kegiatan yang dibiayai dengan dana Otonomi Khusus</t>
  </si>
  <si>
    <t>Belanja Hibah Lainnya</t>
  </si>
  <si>
    <t>Belanja Hibah kepada Badan/Lembaga Organisasi (Keagamaan) (Otsus)</t>
  </si>
  <si>
    <t>Pemberian Jaminan Hidup (Perkiosan) bagi OAP penyandang masalah kesejahteraan sosial masyarakat pesisir dan kepulauan (OTSUS)</t>
  </si>
  <si>
    <t>Monitoring Reguler dam Monitoring Terpadu/Kolaborasi Pelaksanaan Program/Kegiatan Otonomi Khusus dua puluh persen Delapan Puluh Persen (80%) Bagian Kabupaten/Kota (Otsus)</t>
  </si>
  <si>
    <t>Koordinasi Penyusunan dan pembahasan URD Penggunaan Otonomi Khusus Kabupaten/Kota (OTSUS)</t>
  </si>
  <si>
    <t>Program perencanaan penggunaan dana otonomi khusus</t>
  </si>
  <si>
    <t>Penyediaan obat-obatan (Otsus)</t>
  </si>
  <si>
    <t>Program pengadaan, peningkatan sarana dan prasarana rumah sakit/ rumah sakit jiwa/ rumah sakit paru-paru/ rumah sakit mata</t>
  </si>
  <si>
    <t>Pelayanan kesehatan rujukan bagi pasien OAP (Otsus)</t>
  </si>
  <si>
    <t>Pelayanan kesehatan bagi orang asli papua (Otsus)</t>
  </si>
  <si>
    <t>Peningkatan peran posyandu dalam rangka peningkatan kesehatan anak balita orang asli Papua (Otsus)</t>
  </si>
  <si>
    <t>Peningkatan cakupan Imunisasi pada balita orang asli Papua (Otsus)</t>
  </si>
  <si>
    <t>Penyediaan tenaga kesehatan bayi dan balita (Otsus)</t>
  </si>
  <si>
    <t>Pengendalian penyakit Demam Berdarah Dengue (DBD) (Otsus)</t>
  </si>
  <si>
    <t>Pengendalian penyakit malaria (Otsus)</t>
  </si>
  <si>
    <t>Pengendalian Penyakit Kusta (Otsus)</t>
  </si>
  <si>
    <t>Pengendalian Penyakit TB Paru (Otsus)</t>
  </si>
  <si>
    <t>Pengendalian Penyakit IMS, HIV dan AIDS (Otsus)</t>
  </si>
  <si>
    <t>Pemberian makanan tambahan kepada bayi, balita dan ibu hamil (Otsus)</t>
  </si>
  <si>
    <t>Penanggulangan Kurang Energi Protein (KEP), Anemia Gizi Besi, Gangguan Akibat kurang Yodium (GAKY), Kurang Vitamin A, dan Kekurangan Zat Gizi Mikro (Otsus)</t>
  </si>
  <si>
    <t>Peningkatan pelayanan dan Penanggulangan Masalah Kesehatan (Otsus)</t>
  </si>
  <si>
    <t>Penyelenggaraan Penyehatan lingkungan, dan monitoring, evaluasi dan pelaporan (OTSUS)</t>
  </si>
  <si>
    <t>Pengadaan Alat Permainan Edukatif (APE) indoor dan outdoor (OTSUS)</t>
  </si>
  <si>
    <t>Pelatihan Kompetensi tenaga pendidik dan kependidikan (OTSUS)</t>
  </si>
  <si>
    <t>Penyediaan insentif guru atau guru pendamping (OTSUS)</t>
  </si>
  <si>
    <t>Kegiatan pendidikan lain yang memenuhi kriteria mendesak dan relevan untuk kepentingan daerah (OTSUS)</t>
  </si>
  <si>
    <t>Penyelenggaraan Pendidikan Kejar Paket C (Otsus)</t>
  </si>
  <si>
    <t>Pengadaan meubelair dan perlengkapan pendukung untuk ruang kelas, ruang guru, UKA, perpustakaan, asrama (OTSUS)</t>
  </si>
  <si>
    <t>Penunjang Ujian Nasional SMA/SMK (Otsus)</t>
  </si>
  <si>
    <t>Program Pendidikan Menengah ATAS (SMA)</t>
  </si>
  <si>
    <t>Pelatihan Kompetensi khusus bagi tenaga pendidik dan tenaga Pendidik dan Tenaga kependidikan, Termasuk life skill pencegahan HIV dan AIDS (Otsus)</t>
  </si>
  <si>
    <t>Penunjang Ujian Nasional SMP (Otsus)</t>
  </si>
  <si>
    <t>Pembangunan tempat ibadah, perpustakaan, UKS, kamar mandi, jamban dan jaringan air bersih dengan pipa atau bak penampungan air hujan disesuaikan dengan kondisi lingkungan (OTSUS)</t>
  </si>
  <si>
    <t>Program Wajib Belajar Pendidikan Dasar Sembilan Tahun (Jenjang SD)</t>
  </si>
  <si>
    <t>Penyediaan biaya operasional bagi lembaga penyelenggara KF (Otsus)</t>
  </si>
  <si>
    <t>Pembangunan Sarana dan Prasarana pendidikan non formal (OTSUS)</t>
  </si>
  <si>
    <t>Penyelenggaraan Pendidikan Kejar Paket A (Otsus)</t>
  </si>
  <si>
    <t>Pengadaan Komputer dan ICT untuk pembelajaran interaktif dan pangkalan data pendidikan (Otsus)</t>
  </si>
  <si>
    <t>Penyelenggaraan PAUD Non-Formal dan Formal (Otsus)</t>
  </si>
  <si>
    <t>Afirmasi Lembaga Masyarakat Adat Asli (OTSUS)</t>
  </si>
  <si>
    <t>Belanja Hibah Kepada Lembaga Keagamaan/Tempat-Tempat Ibadah dan Pembinaan Keagamaan</t>
  </si>
  <si>
    <t>Pembahasan Usulan Rencana Definitif OTSUS (OTSUS)</t>
  </si>
  <si>
    <t>TNI Manunggal Membangun Desa (OTSUS)</t>
  </si>
  <si>
    <t>Pembangunan jaringan air bersih/air minum (OTSUS)</t>
  </si>
  <si>
    <t>Program Pengembangan dan Pengelolaan Jaringan Irigasi, Rawa dan Jaringan Pengairan lainnya</t>
  </si>
  <si>
    <t>Bantuan Modal Usaha (OTSUS)</t>
  </si>
  <si>
    <t>Belanja Bantuan Sosial Kepada Masyarakat Umum</t>
  </si>
  <si>
    <t>Pelayanan pencegahan dan penanggulangan penyakit menular (OTSUS)</t>
  </si>
  <si>
    <t>Penyuluhan kesehatan bagi ibu hamil dari keluarga kurang mampu (OTSUS)</t>
  </si>
  <si>
    <t>Pelayanan kesehatan akibat gizi buruk/busung lapar (OTSUS)</t>
  </si>
  <si>
    <t>Penyusunan standar pelayanan kesehatan (OTSUS)</t>
  </si>
  <si>
    <t>Peningkatan Imunisasi (OTSUS)</t>
  </si>
  <si>
    <t>Pemberdayaan Masyarakat Untuk Pencapaian Keluarga Sehat (OTSUS)</t>
  </si>
  <si>
    <t>Peningkatan promosi obat bahan alam indonesia di dalam dan di luar negeri  (OTSUS)</t>
  </si>
  <si>
    <t>BOSDA SMP SWASTA (OTSUS)</t>
  </si>
  <si>
    <t>BOSDA TK SWASTA (OTSUS)</t>
  </si>
  <si>
    <t>BOSDA Sekolah Swasta</t>
  </si>
  <si>
    <t>Hibah kepada STIKES BARAMULI (OTSUS)</t>
  </si>
  <si>
    <t>Belanja Hibah Kepada Perguruan Tinggi (OTSUS)</t>
  </si>
  <si>
    <t>Pelaksanaan Ujian Komprehensif Mahasiswa UNIMA (OTSUS)</t>
  </si>
  <si>
    <t>Seleksi Penerimaan Mahasiswa Baru Afirmasi Dikti (OTSUS)</t>
  </si>
  <si>
    <t>Seleksi dan Penerimaan Mahasiswa Baru Kelautan dan Perikanan Sorong (OTSUS)</t>
  </si>
  <si>
    <t>Seleksi Penerimaan Mahasiswa Baru PTN (OTSUS)</t>
  </si>
  <si>
    <t>Pendidikan Calon Guru di STIKIP Surya Institute (OTSUS)</t>
  </si>
  <si>
    <t>Pembinaan Kepramukaan (OTSUS)</t>
  </si>
  <si>
    <t>Insentif Tutor/Pamong PKBM (OTSUS)</t>
  </si>
  <si>
    <t>Operasional SKB (OTSUS)</t>
  </si>
  <si>
    <t>Operasional PKBM dan LKP (OTSUS)</t>
  </si>
  <si>
    <t>Lomba Olimpiade Sains SMA (OTSUS)</t>
  </si>
  <si>
    <t>Pelaksanaan UAS dan UN SMA/SMK (OTSUS)</t>
  </si>
  <si>
    <t>Biaya Hidup Siswa SMAN Unggulan Dawai (OTSUS)</t>
  </si>
  <si>
    <t>Seleksi Calon Siswa Afimasi Menengah-ADEM (OTSUS)</t>
  </si>
  <si>
    <t>Penyediaan Biaya Operasional Asrama Sekolah (OTSUS)</t>
  </si>
  <si>
    <t>Penyelenggaraan paket C setara SMA (OTSUS)</t>
  </si>
  <si>
    <t>Pelatihan Kompetensi Tenaga Pendidik (MKKS SMA/SMK) (Otsus)</t>
  </si>
  <si>
    <t>Musyawarah Guru Mata Pelajaran (MGMP) SMA (Otsus)</t>
  </si>
  <si>
    <t>Pembinaan Peserta Lomba Kompetensi Siswa (LKS) Tingkat Nasional (OTSUS)</t>
  </si>
  <si>
    <t>Ujian Praktek Kejuruan (OTSUS)</t>
  </si>
  <si>
    <t>Pelaksanaan Workshop Pembinaan Pengelolaan Asrama (OTSUS)</t>
  </si>
  <si>
    <t>Rehabilitasi sedang/berat ruang kelas sekolah (OTSUS)</t>
  </si>
  <si>
    <t>Pembangunan Ruang Kelas Sekolah (OTSUS)</t>
  </si>
  <si>
    <t>Pembinaaan minat, bakat, dan kreativitas siswa (OTSUS)</t>
  </si>
  <si>
    <t>Penyediaan dana pengembangan sekolah Untuk SMP/MTs (OTSUS)</t>
  </si>
  <si>
    <t>Penyediaan dana pengembangan sekolah Untuk SD/MI (OTSUS)</t>
  </si>
  <si>
    <t>Pelaksanaan UAS Bagi Siswa Kelas VI SD/MI Dan SDLB (OTSUS)</t>
  </si>
  <si>
    <t>Penyediaan Operasional asrama sekolah (OTSUS)</t>
  </si>
  <si>
    <t>Pelaksanaan US Dan UN SMP (OTSUS)</t>
  </si>
  <si>
    <t>Penyelenggaraan Paket B Setara SMP (OTSUS)</t>
  </si>
  <si>
    <t>Penyelenggaraan Paket A Setara SD (OTSUS)</t>
  </si>
  <si>
    <t>Pengadaan Peralatan Gedung Sekolah (Otsus)</t>
  </si>
  <si>
    <t>Penyelenggaraan Pendidikan Anak Usia Dini (OTSUS)</t>
  </si>
  <si>
    <t>Rehabilitasi sedang/berat taman, lapangan upacara dan fasilitas parkir (OTSUS)</t>
  </si>
  <si>
    <t>MONITORING DAN EVALUASI PENGGUNAAN DANA OTONOMI KHUSUS</t>
  </si>
  <si>
    <t>Pemberian kemudahan izin usaha industri kecil dan menengah</t>
  </si>
  <si>
    <t>Fasilitasi bagi industri kecil menengah terhadap pemanfaatan sumber daya yang dibina</t>
  </si>
  <si>
    <t>Penataan Tempat Berusaha Bagi Pedagang Kaki Lima Dan Asongan</t>
  </si>
  <si>
    <t>PROGRAM PEMBINAAN KAKI LIMA DAN ASONGAN</t>
  </si>
  <si>
    <t>Dinas Perdagangan</t>
  </si>
  <si>
    <t>Peningkatan Pembangunan Sarana Dan Prasarana</t>
  </si>
  <si>
    <t>Pameran Hasil Karya Perempuan di Bidang Pembangunan</t>
  </si>
  <si>
    <t>Bimbingan Manajemen Usaha bagi Perempuan OAP Dalam Mengelola Usaha</t>
  </si>
  <si>
    <t>Kegiatan Pembinaan Organisasi Perempuan</t>
  </si>
  <si>
    <t>Pelaksanaan Kebijakan Perlindungan Perempuan OAP di Distrik dan Kampung-kampung</t>
  </si>
  <si>
    <t>Upaya Perlindungan Perempuan di Kampung-kampung dan Daerah Pedalaman</t>
  </si>
  <si>
    <t>Sosialisasi dan Advokasi Kebijakan Penghapusan Buta Aksara Perempuan (BPAP) OAP di Distrik dan Kampung</t>
  </si>
  <si>
    <t>Fasilitasi Upaya Perlindungan Perempuan Terhadap Tindak Kekerasan</t>
  </si>
  <si>
    <t>Kegiatan Pemberdayaan Lembaga Yang Berbasis Gender</t>
  </si>
  <si>
    <t>PROGRAM PENGUATAN KELEMBAGAAN PENGARUSUTAMAAN GENDER DAN ANAK</t>
  </si>
  <si>
    <t>Pemberdayaan Lembaga-lembaga Keagamaan untuk Mendukung Kelancaran tugas tugas Pembinaan dan Pelayanan Keagamaan</t>
  </si>
  <si>
    <t>PROGRAM PENGADAAN, PENINGKATAN SARANA DAN PRASARANA RUMAH SAKIT</t>
  </si>
  <si>
    <t>Pelaksanaan Pengawasan Dana OTSUS Secara Berkala</t>
  </si>
  <si>
    <t>PROGRAM PENINGKATAN SISTEM PENGAWASAN INTERNAL DAN PENGENDALIAN PELAKSANAAN OTSUS</t>
  </si>
  <si>
    <t>Monitoring Evaluasi dan Pelaporan Pelaksanaan Rencana Pembangunan Daerah</t>
  </si>
  <si>
    <t>Belanja Hibah Perempuan Papua</t>
  </si>
  <si>
    <t>Belanja Hibah Lembaga Masyarakat Adat</t>
  </si>
  <si>
    <t>Belanja Hibah Lembaga Keagamaan</t>
  </si>
  <si>
    <t>PROGRAM BELANJA HIBAH KEPADA KELOMPOK /ANGGOTA MASYARAKAT</t>
  </si>
  <si>
    <t>BADAN PENGELOLA KEUANGAN DAN ASET DAERAH</t>
  </si>
  <si>
    <t>DINAS KEBUDAYAAN PARIWISATA</t>
  </si>
  <si>
    <t>Bimbingan Manajemen Usaha bagi Perempuan Dalam Mengelola Usaha</t>
  </si>
  <si>
    <t>Pelatihan Ketrampilan dan Praktek Belajar Kerja Bagi Anak Terlantar</t>
  </si>
  <si>
    <t>Pengadaan Sarana dan Prasarana Pendukung usaha bagi keluarga miskin OAP</t>
  </si>
  <si>
    <t>Pelatihan Ketrampilan Berusaha Bagi Keluarga Miskin OAP</t>
  </si>
  <si>
    <t>PROGRAM PEMBERDAYAAN FAKIR MISKIN, KOMUNITAS ADAT TERPENCIL (KAT) DAN PENYANDANG MASALAH KESEJAHTERAAN SOSIAL LAINNYA</t>
  </si>
  <si>
    <t>URUSAN WAJIB BUKAN PELAYANAN DASAR SOSIAL</t>
  </si>
  <si>
    <t>Fasilitas Dukungan Pemodalan dan Penjaminan Usaha</t>
  </si>
  <si>
    <t>PROGRAM PENGEMBANGAN KEWIRAUSAHAAN DAN KEUNGGULAN KOMPETITIF UKM</t>
  </si>
  <si>
    <t>DINAS KOPERASI DAN UMKM</t>
  </si>
  <si>
    <t>URUSAN WAJIB BUKAN PELAYANAN DASAR KOPERASI, UMKM</t>
  </si>
  <si>
    <t>Penataan Tempat Berusaha Bagi Pedagang Kaki Lima dan Asongan</t>
  </si>
  <si>
    <t>DINAS PERINDUSTRAIAN DAN PERDAGANGAN</t>
  </si>
  <si>
    <t>URUSAN PILIHAN PERINDUSTRIAN DAN PERDAGANGAN</t>
  </si>
  <si>
    <t>Pengembangan Agribisnis Perternakan</t>
  </si>
  <si>
    <t>Pengembangan Perbenihan/Pembibitan</t>
  </si>
  <si>
    <t>PROGRAM PENINGKATAN KETAHAN PANGAN</t>
  </si>
  <si>
    <t>DINAS TANAMAN PANGAN &amp; HORTIKULTURA</t>
  </si>
  <si>
    <t>Pendampingan pada Kelompok Nelayanan Perikanan Tangkap</t>
  </si>
  <si>
    <t>Pengadaan Alat - alat Kesehatan Rumah Sakit</t>
  </si>
  <si>
    <t>Pengadaan Obat-obatan Rumah Sakit</t>
  </si>
  <si>
    <t>RSUD YOWARI</t>
  </si>
  <si>
    <t xml:space="preserve"> PROGRAM PENGADAAN, PENINGKATAN DAN PERBAIKAN SARANA DAN PRASARANA PUSKESMAS/PUSTU DAN JARINGANNYA</t>
  </si>
  <si>
    <t>Penyemprotan/Foging Sarang Nyamuk</t>
  </si>
  <si>
    <t>Penanggulangan Kurang Energi Protein (KEP), Anemia Gizi Besi, Gangguan Akibat Kurang Yodium (GAKY), Kurang Vitamin A dan Kekurangan Zat Gizi Mikro Lainnya</t>
  </si>
  <si>
    <t xml:space="preserve"> PROGRAM PERBAIKAN GIZI MASYARAKAT</t>
  </si>
  <si>
    <t>Rekruitmen Tenaga Perawat Kesehatan</t>
  </si>
  <si>
    <t>Penyediaan Biaya Operasional dan Pemeliharaan (Puskesmas, Pustu dan Polindes)</t>
  </si>
  <si>
    <t>Program PENDIDIKAN TINGGI</t>
  </si>
  <si>
    <t>BADAN KEPEGAWAIAN DAN PENEGEMBANGAN SDM</t>
  </si>
  <si>
    <t>URUSAN PEMERINTAHAN FUNGSI PENUNJANG KEPEGAWAIAN</t>
  </si>
  <si>
    <t>Pendidikan dan Pelatihan Guru Kontrak</t>
  </si>
  <si>
    <t>Perekrutan Tenaga Guru Kontrak</t>
  </si>
  <si>
    <t>Ujian Paket A Setara SD, Paket B setara SMP, Paket C Setara SMA</t>
  </si>
  <si>
    <t>PROGRAM PENDIDIKAN NON FORMAL PNFI</t>
  </si>
  <si>
    <t>MASIH KACAU BALAU BELUM FINAL</t>
  </si>
  <si>
    <t>Belanja Bantuan Sosial Kepada Pengusaha Papua</t>
  </si>
  <si>
    <t>Belanja Bantuan Sosial Kepada Kelompok Masyarakat</t>
  </si>
  <si>
    <t xml:space="preserve">Belanja Bantuan Sosial kepada Organisasi Sosial Kemasyarakatan </t>
  </si>
  <si>
    <t>Belanja Hibah kepada Yayasan Francis Tan</t>
  </si>
  <si>
    <t>Belanja Hibah Kepada PGGJ</t>
  </si>
  <si>
    <t>Belanja Hibah Kepada MTQ</t>
  </si>
  <si>
    <t>Belanja Hibah Manasik Haji</t>
  </si>
  <si>
    <t>Belanja Hibah Kepada PHBK</t>
  </si>
  <si>
    <t>Belanja HIbah Kepada PHBI</t>
  </si>
  <si>
    <t>Belanja Hibah kepada FKUB</t>
  </si>
  <si>
    <t>Belanja Subsidi Kesehatan</t>
  </si>
  <si>
    <t>Belanja Tidak Langsung [PPKD]</t>
  </si>
  <si>
    <t>Penyediaan bahan pustaka perpustakaan umum daerah</t>
  </si>
  <si>
    <t>Program Pengeloaan Keragaman Budaya</t>
  </si>
  <si>
    <t>Fasilitasi Rencana Aksi Daerah PPPA</t>
  </si>
  <si>
    <t>Program Pusat pelayanan Terpadu Perlindungan Perempuan dan Anak</t>
  </si>
  <si>
    <t>Penyuluhan penanggulangan narkoba,PMS termasuk HIV/AIDS</t>
  </si>
  <si>
    <t>Program Peningkatan Penanggulangan Narkoba,PMS termasuk HIV/AIDS</t>
  </si>
  <si>
    <t>Advokasi dan KIE tentang Kesehatan Reproduksi Remaja (KRR)</t>
  </si>
  <si>
    <t>Program Kesehatan Reproduksi Remaja</t>
  </si>
  <si>
    <t>Fasilitasi Forum Anak</t>
  </si>
  <si>
    <t>Pendayagunaan para penyandang cacat dan eks trauma</t>
  </si>
  <si>
    <t>Program pembinaan para penyandang cacat dan trauma</t>
  </si>
  <si>
    <t>Dana Pendampingan penyaluran beras rastra ke KPM (Keluarga Penerima Manfaat)</t>
  </si>
  <si>
    <t>Pengadaan bahan/reagen laboratotium</t>
  </si>
  <si>
    <t>Pertemuan Penyusunan Rencana Aksi Daerah HIV/AIDS</t>
  </si>
  <si>
    <t>Penyelenggaraan Ujian Akhir Nasional/Ujian Akhir Sekolah/Ujian Paket</t>
  </si>
  <si>
    <t>Pelatihan Kompetensi siswa Berpresatasi</t>
  </si>
  <si>
    <t>Monitoring Reguler dan Monitoring Terpadu / kolaborasi pelaksanaan program/kegiatan otonomi khusus 80% bagian kab/kota</t>
  </si>
  <si>
    <t>Penyediaan Biaya Operasional bagi lembaga penyelenggara KF (OTSUS)</t>
  </si>
  <si>
    <t>Pengadaan ICT untuk pembelajaran Interaktif dan Pangkalan data Pendidikan ( SMK ) ( OTSUS )</t>
  </si>
  <si>
    <t xml:space="preserve">KABUPATEN MERAUKE </t>
  </si>
  <si>
    <t xml:space="preserve">Bantuan Pendidikan/Bea Siswa Tugas Belajar </t>
  </si>
  <si>
    <t xml:space="preserve">Belanja  Hibah </t>
  </si>
  <si>
    <t>Fasilitasi dan Koordinasi Tujuan Pembangunan Berkelanjutan (SDGS)</t>
  </si>
  <si>
    <t>Program  Perencanaan Sosial dan Budaya</t>
  </si>
  <si>
    <t>pelaksanaan pengendalian program dan kegiatan APBD Provinsi Papua</t>
  </si>
  <si>
    <t>Pembahasan URD/RD Otsus Provinsi Papua</t>
  </si>
  <si>
    <t>Pemeriksaan Reguler sesuai PKPT</t>
  </si>
  <si>
    <t>Penanganan kasus pengaduan masyarakat/ Non PKPT di Lingkungan Pemerintah Daerah</t>
  </si>
  <si>
    <t>Program mengintensifkan penanganan pengaduan masyarakat</t>
  </si>
  <si>
    <t>Pengembangan Standarisasi dan Sertifikasi Kompetensi ASN</t>
  </si>
  <si>
    <t>Perencanaan dan Pembinaan Diklat Aparatur</t>
  </si>
  <si>
    <t>Monitoring dan Evaluasi Penyelenggaraan Diklat</t>
  </si>
  <si>
    <t>Analisis Kebutuhan Diklat</t>
  </si>
  <si>
    <t>Diklat TOT Subtansi WI</t>
  </si>
  <si>
    <t>Pengembangan Data dan Informasi Diklat</t>
  </si>
  <si>
    <t>Penilaian Angka Kredit Jabatan Fungsional</t>
  </si>
  <si>
    <t>Pengembangan Kerjasama Penyelenggaraan Diklat</t>
  </si>
  <si>
    <t>Diklat Bahasa Ingris bagi Aparatur</t>
  </si>
  <si>
    <t>Evaluasi Pasca Diklat Pim</t>
  </si>
  <si>
    <t>Penyusunan Kajian Prosedur dan dokumen ekspor dan</t>
  </si>
  <si>
    <t>Pengawasan Keselamatan dan Lindungan Lingkungan Minyak dan Gas</t>
  </si>
  <si>
    <t>Program pengawasan penyediaan dan pendistribusian bahan bakar minyak (BBM) dan bahan bakar gas (BBG)</t>
  </si>
  <si>
    <t>Pendidikan dan Pelatihan Teknis Geologi, Tambang dan Energi Bagi Aparat, Mahasiswa dan SMK</t>
  </si>
  <si>
    <t>Program Penelitian dan Pengembangan Balai Latihan dan Laboratorium Pertambangan</t>
  </si>
  <si>
    <t>Pengawasan Keselamatan dan Lindungan Lingkungan Ketenagalistrikan serta Usaha Jasa Penunjang Tenaga Listrik</t>
  </si>
  <si>
    <t>Program Pengelolaan Listrik dan Pemanfaatan Energi</t>
  </si>
  <si>
    <t>Survey Geologi Lingkungan dan Mitigasi Bencana Geologi</t>
  </si>
  <si>
    <t>Penelitian dan Pengembangan Teknologi Mineral dan Batubara</t>
  </si>
  <si>
    <t>Program Penelitian, Mitigasi dan Pelayanan Geologi</t>
  </si>
  <si>
    <t>Pengawasan penertiban kegiatan pertambangan rakyat</t>
  </si>
  <si>
    <t>Program pengawasan dan penertiban kegiatan rakyat yang berpotensi merusak lingkungan</t>
  </si>
  <si>
    <t>Pengawasan IUP dan IUPK Explorasi dan operasi produksi ijin usaha jasa pertambangan dan surat keterangan terdaftar</t>
  </si>
  <si>
    <t>Program pembinaan dan pengawasan bidang pertambangan</t>
  </si>
  <si>
    <t>Pengembangan Industri Kayu Masyarakat Hukum Adat.</t>
  </si>
  <si>
    <t>Program Pengelolaan hutan masyarakat hukum adat</t>
  </si>
  <si>
    <t>Pengawasan dan Pengendalian Penggunaan Kawasan Hutan</t>
  </si>
  <si>
    <t>Pengembangan Wisata di TBTA Biak</t>
  </si>
  <si>
    <t>Perlindungan Hutan dan Pengelolaan Kawasan Konservasi</t>
  </si>
  <si>
    <t>Pengelolaan wisata alam di kawasan konservasi</t>
  </si>
  <si>
    <t>Pengembangan Persemaian Tanaman hutan</t>
  </si>
  <si>
    <t>Peningkatan peran serta masyarakat dalam rehabilitasi hutan dan lahan</t>
  </si>
  <si>
    <t>Pendataan Kelembagaan Penyuluh</t>
  </si>
  <si>
    <t>Pengembagan ternak besar</t>
  </si>
  <si>
    <t>Pembinaan Petani</t>
  </si>
  <si>
    <t>Pengadaan sarana dan prasaranan teknologi pertanian/perkebunan tepat guna</t>
  </si>
  <si>
    <t>Investasi dan Perijinan Usaha Perkebunan</t>
  </si>
  <si>
    <t>Penyuluhan dan pendampingan petani dan pelaku agrobisnis</t>
  </si>
  <si>
    <t>Pembangunan Kawasan Wisata (Tourism Resort)</t>
  </si>
  <si>
    <t>Penunjang Kegiatan  PPI di  Kab/Kota</t>
  </si>
  <si>
    <t>Program  Optimalisasi dan Pembangunan Prasarana Perikanan Tangkap</t>
  </si>
  <si>
    <t>Pengembangan Calon Induk Ikan Unggul</t>
  </si>
  <si>
    <t>Fasilitasi Penyelesaian Permasalahan Perijinan dan Non Peijinan diBidang Penanaman Modal</t>
  </si>
  <si>
    <t>Penyederhanaan prosedur perijinan dan peningkatan pelayanan penanaman modal</t>
  </si>
  <si>
    <t>Program Peningkatan Iklim Investasi dan Realisasi Investasi</t>
  </si>
  <si>
    <t>Peningkatan kegiatan pemantauan, pembinaan dan pengawasan pelaksanaan penanaman modal</t>
  </si>
  <si>
    <t>Monitoring dan Pengawasan Koperasi Aktif</t>
  </si>
  <si>
    <t>Memfasilitasi Kemudahan Formalisasi Usaha Kecil Menengah menjadi Koperasi</t>
  </si>
  <si>
    <t>Bimtek Pembuatan Laporan Keuangan bagi Koperasi</t>
  </si>
  <si>
    <t>Pengawasan dan Penilaian Kesehatan KSP/USP Koperasi</t>
  </si>
  <si>
    <t>Identifikasi Keragaman Koperasi</t>
  </si>
  <si>
    <t xml:space="preserve">   Pengembangan Kebijakan dan program peningkatan ekonomi lokal</t>
  </si>
  <si>
    <t xml:space="preserve">   Penyelenggaraan promosi produk Usaha Mikro Kecil Menengah</t>
  </si>
  <si>
    <t xml:space="preserve">   Sosialisasi dukungan informasi penyediaan permodalan</t>
  </si>
  <si>
    <t xml:space="preserve">   Sosialisasi HAKI kepada Usaha Mikro Kecil Menengah</t>
  </si>
  <si>
    <t>Lomba kampung/kelurahan di 29 Kabupaten/Kota</t>
  </si>
  <si>
    <t>Monitoring Program/Kegiatan Ke.PMD-an</t>
  </si>
  <si>
    <t>Alih Teknologi melalui gelar TTG Nasional</t>
  </si>
  <si>
    <t>Sosialisasi Mekanisme dan Tahapan Pembentukan Kampung Adat di 5 Wilayah Adat</t>
  </si>
  <si>
    <t>Pertemuan Evaluasi dan Singkronisasi Pelayanan Kesehatan Rujukan</t>
  </si>
  <si>
    <t>Peningkatan kapasitas tenaga Laboratorium</t>
  </si>
  <si>
    <t>Penjaminan mutu laboratorium</t>
  </si>
  <si>
    <t>PELATIHAN AKREDITASI PELATIHAN BAGI PENYELENGGARA PELATIHAN</t>
  </si>
  <si>
    <t>Sekolah Menengah Kejuruan Analis Kesehatan</t>
  </si>
  <si>
    <t>Pelatihan Master OF Training</t>
  </si>
  <si>
    <t>Peningkatan kapasitas widyaswara</t>
  </si>
  <si>
    <t>PMT 1000 hari Pertama Kelahiran</t>
  </si>
  <si>
    <t>Penanggulangan Penyakit Hepatitis</t>
  </si>
  <si>
    <t>Penanggulangan Penyakit Tidak Menular</t>
  </si>
  <si>
    <t>ADMINISTRASI KEGIATAN SP3T</t>
  </si>
  <si>
    <t>Monitoring pelayanan kesehatan primer</t>
  </si>
  <si>
    <t>penyediaan biaya operasional dan pemeliharaan</t>
  </si>
  <si>
    <t>Pengelolaan Perbekalan Farmasi/Gudang Obat Buffer Stock Provinsi</t>
  </si>
  <si>
    <t>Bimtek K13 Berbasis Spektrum SMK</t>
  </si>
  <si>
    <t>Penyediaan Biaya Aplikasi Travel SMK Pariwisata di 6 Sekolah</t>
  </si>
  <si>
    <t>Pengadaan peralatan Praktek SMK</t>
  </si>
  <si>
    <t>Praktek kerja industri siswa</t>
  </si>
  <si>
    <t>Pembangunan Sarana dan Prasarana Olahraga SMK</t>
  </si>
  <si>
    <t>Sosialisasi Paradigma Kurikulum Holistik Terintegratif Jenjang SMA/SMK</t>
  </si>
  <si>
    <t>Revitalisasi KPG Papua</t>
  </si>
  <si>
    <t>Fasilitasi Kegiatan PON XX Tahun 2020</t>
  </si>
  <si>
    <t>Biaya Seleksi Siswa di 29 Kabupaten/Kota</t>
  </si>
  <si>
    <t>Sosialisasi Pendidikan Inklusif</t>
  </si>
  <si>
    <t>Pengadaan dan Pembelian Buku Panduan Kurikulum Muatan Lokal</t>
  </si>
  <si>
    <t>Pembangunan Asrama Putri STT GIDI STAKIN Sentani</t>
  </si>
  <si>
    <t>Beasiswa Pendidikan Pascasarjana (S2)</t>
  </si>
  <si>
    <t>Pengelolaan Buletin/Majalah Pendidikan Papua</t>
  </si>
  <si>
    <t>Biaya Operasi Sekolah</t>
  </si>
  <si>
    <t>Pendidikan Pengelolaan Dana Pendidikan SMA dan SMK</t>
  </si>
  <si>
    <t>DAK Reguler SMA ( Utang TA 2017)</t>
  </si>
  <si>
    <t>Pembangunan Ruang Kelas Baru (SMA)</t>
  </si>
  <si>
    <t>Lomba Kompetensi Siswa SMA Tingkat Prov dan Tk.Nasional</t>
  </si>
  <si>
    <t xml:space="preserve">Tabel A.3  </t>
  </si>
  <si>
    <t xml:space="preserve"> TAHUN ANGGARAN 2019</t>
  </si>
  <si>
    <t xml:space="preserve"> Program peningkatan kesejahteraan petani (Perkebunan)</t>
  </si>
  <si>
    <t xml:space="preserve"> DINAS PERTANIAN DAN PANGAN</t>
  </si>
  <si>
    <t xml:space="preserve">   Program Pendidikan  Tinggi</t>
  </si>
  <si>
    <t xml:space="preserve">   Program Pendidikan Menengah</t>
  </si>
  <si>
    <t xml:space="preserve">   Program Pendidikan Anak Usia Dini</t>
  </si>
  <si>
    <t xml:space="preserve">   DINAS PENDIDIKAN DAN PENGAJARAN</t>
  </si>
  <si>
    <t xml:space="preserve">FasilitasiAkreditasi    Sekolah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</si>
  <si>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- PEMBINAAN INDUSTRI KECIL DAN MENENGAH DALAM MEMPERKUAT JARINGAN KLASTER INDUSTRI                    </t>
  </si>
  <si>
    <t xml:space="preserve">- PENYULUHAN PENGELOLAAN BIBIT TERNAK YANG DIDISTRIBUSIKAN KEPADA MASYARAKAT                          </t>
  </si>
  <si>
    <t xml:space="preserve">- PENYULUHAN DAN PENDAMPINGAN PETANI DAN PELAKSANA AGROBISNIS                                         </t>
  </si>
  <si>
    <t xml:space="preserve">- PELATIHAN PETANI DAN PELAKU AGRIBISNIS                                                              </t>
  </si>
  <si>
    <t xml:space="preserve">- FASILITASI PENDIDIKAN TINGGI                                                                        </t>
  </si>
  <si>
    <t xml:space="preserve">- PENYEDIAAN GURU KONTRAK                                                                             </t>
  </si>
  <si>
    <t xml:space="preserve">- PEMBANGUNAN RUMAH DINAS KEPALA SEKOLAH,GURU,PENJAGA SEKOLAH                                         </t>
  </si>
  <si>
    <t xml:space="preserve">- PEMBANGUNAN GEDUNG SEKOLAH                                                                          </t>
  </si>
  <si>
    <t xml:space="preserve">- PENGEMBANGAN PENDIDIKAN ANAK USIA DINI                                                              </t>
  </si>
  <si>
    <t xml:space="preserve">- PENYEDIAAN JASA ADMINISTRASI KEUANGAN </t>
  </si>
  <si>
    <t>URUSAN PENDIDIKAN</t>
  </si>
  <si>
    <t>PENERIMAAN  : Rp 5.850.230.158.00,00</t>
  </si>
  <si>
    <t xml:space="preserve">Tabel A.5  </t>
  </si>
  <si>
    <t xml:space="preserve">   Pengadaan alat-alat kesehatan rumah sakit</t>
  </si>
  <si>
    <t xml:space="preserve">   Program Sumber daya kesehatan</t>
  </si>
  <si>
    <t xml:space="preserve">   Program Promosi Makakanan  sehat dan bergizi bagi masyarakat</t>
  </si>
  <si>
    <t xml:space="preserve">   Program Jaminan Kesehatan  Masyarakat Asli Papua</t>
  </si>
  <si>
    <t xml:space="preserve">   Program Peningkatan Kesehatan Perseorangan</t>
  </si>
  <si>
    <t xml:space="preserve">   Program Peningkatan Ibu Melahirkan  dan anak</t>
  </si>
  <si>
    <t xml:space="preserve">   Program Peningkatan  Pelayanan Kesehatan  anak Balita</t>
  </si>
  <si>
    <t xml:space="preserve">   Program Pencegahan dan Penanggulangan Penyakit Menular</t>
  </si>
  <si>
    <t xml:space="preserve"> KABUPATEN  PEG. BINTANG </t>
  </si>
  <si>
    <t>- KEGIATAN PENGADAAN OBAT-OBATAN</t>
  </si>
  <si>
    <t xml:space="preserve">- PELAYANAN DALAM DAN LUAR GEDUNG PUSKESMAS/PUSKESMAS KELILING                                        </t>
  </si>
  <si>
    <t xml:space="preserve">- PENGOBATAN TINGKAT LANJUT PASIEN TIDAK MAMPU/RUJUKAN                                                </t>
  </si>
  <si>
    <t xml:space="preserve">- PELAYANAN PENCEGAHAN DAN PENANGGULANGAN PENYAKIT MENULAR TUBERCOLOSIS (TBC)                         </t>
  </si>
  <si>
    <t xml:space="preserve">- PELAYANAN PENCEGAHAN DAN PENANGGULANGAN PENYAKIT MENULAR KUSTA                                      </t>
  </si>
  <si>
    <t xml:space="preserve">- PENINGKATAN SURVEILLANCE EPIDEMIOLOGI DAN PENANGGULANGAN WABAH                                      </t>
  </si>
  <si>
    <t>- PENINGKATAN IMUNISASI</t>
  </si>
  <si>
    <t xml:space="preserve">- PENYEMPROTAN/FOGGING SARANG NYAMUK                                                                  </t>
  </si>
  <si>
    <t xml:space="preserve">- PENGEMBANGAN UPAYA KESEHATAN BERBASIS MASYARAKAT (UKBM)                                   </t>
  </si>
  <si>
    <t>- PENYELENGGARAAN PENCEGAHAN DAN PEMBERANTASAN PENYAKIT DAN WABAH</t>
  </si>
  <si>
    <t>- RAPAT-RAPAT KOORDINASI DAN KONSULTASI DALAM DAERAH (KHUSUS DISTRIK)</t>
  </si>
  <si>
    <t>BPKAD</t>
  </si>
  <si>
    <t xml:space="preserve">Tabel A.7 </t>
  </si>
  <si>
    <t>Rapat Koordinasi Pembangunan Infrastruktur</t>
  </si>
  <si>
    <t>Program Perencanaan Pembangunan Fisik Prasarana dan Lingkungan Hidup</t>
  </si>
  <si>
    <t>Pengadaan perlengkapan gedung kantor</t>
  </si>
  <si>
    <t>Penyediaan bahan logistik kantor</t>
  </si>
  <si>
    <t>Pembangunan GOR Futsal</t>
  </si>
  <si>
    <t>Pembangunan Lapangan Softball dan Baseball</t>
  </si>
  <si>
    <t>Pembangunan Lapangan Tenis</t>
  </si>
  <si>
    <t>Pembangunan Arena Menembak</t>
  </si>
  <si>
    <t>Program Pembangunan dan Pengembangan sarana dan prasarana olahraga yang berstandar nasional dan Internasional</t>
  </si>
  <si>
    <t>Pembangunan Stadion Utama</t>
  </si>
  <si>
    <t>Pengembangan Prasarana PON</t>
  </si>
  <si>
    <t>Pembangunan Gudang Peralatan Olahraga</t>
  </si>
  <si>
    <t>Rehabilitasi Gedung Olahraga Cenderawasih</t>
  </si>
  <si>
    <t>Pembangunan Gedung Olahraga STT GIDI di Kabupaten Jayapura</t>
  </si>
  <si>
    <t>Rehabilitasi dan Renovasi Sarana dan Prasarana olahraga</t>
  </si>
  <si>
    <t>Peningkatan pembangunan sarana dan prasarana olahraga</t>
  </si>
  <si>
    <t>Pembangunan sistem aplikasi penyelenggaraan PON XX</t>
  </si>
  <si>
    <t>Pembangunan Command Center PON XX</t>
  </si>
  <si>
    <t>Pengembangan/pembangunan JARKOMDA di lingkungan pemerintah</t>
  </si>
  <si>
    <t>Jasa Berlangganan Fasilitas Komunikasi Data Antar SKPD Di Lingkungan Pemerintah Provinsi Papua Dan Masyarakat</t>
  </si>
  <si>
    <t>Pengembangan Sistem Website Pemerintah Provinsi Papua</t>
  </si>
  <si>
    <t>Pengamanan, Pengendalian dan Pembuatan Sistem Pelaporan Operasionalisasi JARKOMDA</t>
  </si>
  <si>
    <t>Pengembangan fasilitas multi media/display</t>
  </si>
  <si>
    <t>Survey Data Kendaraan dan Fasilitas Keselamatan Jalan di Provinsi Papua</t>
  </si>
  <si>
    <t>Pengadaan Kendaraan Roda 4 (empat) untuk Pengawasan LLAJ</t>
  </si>
  <si>
    <t>Pengadaan Kendaraan Operasional Hidrolik</t>
  </si>
  <si>
    <t>Pengadaan Speed Boat dalam rangka pengawasan dan pengendalian transportasi laut</t>
  </si>
  <si>
    <t>Pembangunan Bandar Udara Kobakma di Kabupaten Mamberamo Tengah</t>
  </si>
  <si>
    <t>Peningkatan Bandar Udara Kustra di Kabupaten Mamberamo Raya</t>
  </si>
  <si>
    <t>Pembangunan Terminal Penumpang Tipe B di Kota Jayapura</t>
  </si>
  <si>
    <t>Pembangunan Bandar Udara Fawi di Kabupaten Puncak Jaya</t>
  </si>
  <si>
    <t>Pembangunan Bandar Udara Botawa di Kabupaten Waropen</t>
  </si>
  <si>
    <t>Pembangunan Pelabuhan Laut Waren di Kabupaten Waropen</t>
  </si>
  <si>
    <t>Pengadaan Angkutan Umum</t>
  </si>
  <si>
    <t>Penyusunan Masterplan Angkutan Penunjang PON</t>
  </si>
  <si>
    <t>Penyusunan RTT Sisi Udara dan Sisi Darat Pembangunan Bandar Udara Fawi di Kabupaten Puncak Jaya</t>
  </si>
  <si>
    <t>Persiapan Akreditaasi Laboratorium</t>
  </si>
  <si>
    <t>Sertifikasi Tenaga Ahli Konstruksi bagi OAP</t>
  </si>
  <si>
    <t>Survey dan Pemetaan Quarry di Provinsi Papua</t>
  </si>
  <si>
    <t>Pengujian Kualitas Pekerjaan Konstruksi Bidang Ke-PU-an</t>
  </si>
  <si>
    <t>Pengadaan Peralatan Penunjang Jalan dan Jembatan</t>
  </si>
  <si>
    <t>Pemeliharaan Peralatan Kegiatan UPTD Pengujian Dinas PU Provinsi Papua</t>
  </si>
  <si>
    <t>Penelitian Material Infrastruktur Bidang Ke-PU-an</t>
  </si>
  <si>
    <t>Kalibrasi Peralatan UPTD Balai Pengujian PU</t>
  </si>
  <si>
    <t>Penyusunan Basic dan Unit Price Bidang Ke PU-an</t>
  </si>
  <si>
    <t>Program Pembinaan dan Pengembangan Konstruksi</t>
  </si>
  <si>
    <t>Peningkatan Jalan Menuju TPA Waibron</t>
  </si>
  <si>
    <t>Peningkatan Jalan dan Jembatan di Prov. Papua</t>
  </si>
  <si>
    <t>Peningkatan Jalan DI Panjaitan (PON XX)</t>
  </si>
  <si>
    <t>Peningkatan Jalan Diponegoro (PON XX)</t>
  </si>
  <si>
    <t>Peningkatan Jalan Taja - SP V - Kwarja</t>
  </si>
  <si>
    <t>Peningkatan Jalan Sultan Peternakan (Mendukung PON XX)</t>
  </si>
  <si>
    <t>Peningkatan Jalan Sewan - Petam</t>
  </si>
  <si>
    <t>Peningkatan Jalan Sisingamangaraja 2 Jalur</t>
  </si>
  <si>
    <t>Peningkatan Jalan  Hamadi - Entrop (102)</t>
  </si>
  <si>
    <t>Peningkatan Jalan Kuprik - Jagebob - Erambu (183)</t>
  </si>
  <si>
    <t>Perencanaan Teknis Bidang KePUan</t>
  </si>
  <si>
    <t>Penataan Lingkungan Penunjang GOR Keerom</t>
  </si>
  <si>
    <t>Penyelesaian Hutang (Kewajiban)</t>
  </si>
  <si>
    <t>Rehabilitasi stadion katalpal</t>
  </si>
  <si>
    <t>Penataan Kawasan Lingkungan di Provinsi Papua</t>
  </si>
  <si>
    <t>Penataan Kawasan Wisata di Kabupaten Mimika (menunjang PON)</t>
  </si>
  <si>
    <t>Penataan Kawasan Patung Tuhan Yesus</t>
  </si>
  <si>
    <t>Pemeliharaan Sarana Prasarana Lapangan Olahraga Mandala</t>
  </si>
  <si>
    <t>Penataan Kawasan Wisata Pantai Dok II Kota Jayapura</t>
  </si>
  <si>
    <t>Normalisasi Kali Holima</t>
  </si>
  <si>
    <t>Pengendalian Banjir Sungai Bambar</t>
  </si>
  <si>
    <t xml:space="preserve"> Pembangunan Prasarana Pengendali Banjir Makanuay (Mendukung PON)</t>
  </si>
  <si>
    <t>Perencanaan Pembangunan Pengaman Pantai</t>
  </si>
  <si>
    <t>Pembangunan Pengendali Banjir Kali Entrop</t>
  </si>
  <si>
    <t>Pembangunan Pengendali Banjir Sungai Uwe</t>
  </si>
  <si>
    <t>Pembangunan prasarana pengendali banjir</t>
  </si>
  <si>
    <t>Perencanaan Pengendalian banjir</t>
  </si>
  <si>
    <t>Pembangunan prasarana pengaman pantai</t>
  </si>
  <si>
    <t>Perencanaan Jaringan Air Bersih di Provinsi Papua</t>
  </si>
  <si>
    <t>Pembangunan Jaringan Air Bersih di Prov. Papua</t>
  </si>
  <si>
    <t>Pembangunan Jaringan Air Bersih di Kabupaten Jayawijaya</t>
  </si>
  <si>
    <t>Pembangunan Jaringan Air Bersih di Kabupaten Biak Numfor</t>
  </si>
  <si>
    <t>Pembangunan Jaringan Air Bersih di Kota Jayapura</t>
  </si>
  <si>
    <t>Perencanaan Infrastruktur Air Baku di Provinsi Papua</t>
  </si>
  <si>
    <t>Pemeliharaan Jalan Okaba - Bian</t>
  </si>
  <si>
    <t>Pemeliharaan Jalan Wardo - Duber (134) 37,96 Km</t>
  </si>
  <si>
    <t>Perencanaan Talud Permukiman di Provinsi Papua</t>
  </si>
  <si>
    <t>Pembangunan Talud Permukiman di Kota Jayapura</t>
  </si>
  <si>
    <t>Pembangunan Gorong - Gorong Gereja Gidi Mulia/Kali Wuyu</t>
  </si>
  <si>
    <t>Pembangunan Gorong - Gorong Sekolah Alkitab Muli/Kali Yagawari</t>
  </si>
  <si>
    <t>Pembangunan Drainase di Provinsi Papua</t>
  </si>
  <si>
    <t>Perencanaan Pembangunan saluran drainase/gorong-gorong</t>
  </si>
  <si>
    <t>Pemasangan  Lampu Art Ligting Ucapan Selamat PON di Jayapura</t>
  </si>
  <si>
    <t>Pembangunan Jalan Angkasa Indah</t>
  </si>
  <si>
    <t>Pembangunan Jalan Holtecamp (PLTD) - Pantai Pasir III</t>
  </si>
  <si>
    <t>Pembangunan Jalan dan Jembatan Prov Papua</t>
  </si>
  <si>
    <t>Pembangunan Jembatan Liba Kampung Harapan Dalam (PON XX)</t>
  </si>
  <si>
    <t>Pembangunan Jalan Arso XIV (Keerom) - Sawia - Kwarja (114) 60 Km</t>
  </si>
  <si>
    <t>Pembangunan Jalan Mamit -Umagi</t>
  </si>
  <si>
    <t>Pembangunan Jalan Keppi - Bade (181)</t>
  </si>
  <si>
    <t>Pembangunan Jalan Burmeso - Sikari (119)</t>
  </si>
  <si>
    <t>Pelebaran Dan Pengaspalan Jalan RSUD Jayapura</t>
  </si>
  <si>
    <t xml:space="preserve">Tabel A.9  </t>
  </si>
  <si>
    <t>PENERIMAAN  : Rp 2.824.446.537.000</t>
  </si>
  <si>
    <t>PENERIMAAN  : Rp5.288.694.844,00</t>
  </si>
  <si>
    <t>REKAPITULASI REVIU LAP OTSUS TA 2019</t>
  </si>
  <si>
    <t>KABUPATEN DAN KOTA SE-PROV PAPUA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</si>
</sst>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(* #,##0_);_(* \(#,##0\);_(* &quot;-&quot;_);_(@_)"/>
    <numFmt numFmtId="43" formatCode="_(* #,##0.00_);_(* \(#,##0.00\);_(* &quot;-&quot;??_);_(@_)"/>
    <numFmt numFmtId="164" formatCode="_-&quot;Rp&quot;* #,##0_-;\-&quot;Rp&quot;* #,##0_-;_-&quot;Rp&quot;* &quot;-&quot;_-;_-@_-"/>
    <numFmt numFmtId="165" formatCode="_-* #,##0_-;\-* #,##0_-;_-* &quot;-&quot;_-;_-@_-"/>
    <numFmt numFmtId="166" formatCode="_-* #,##0.00_-;\-* #,##0.00_-;_-* &quot;-&quot;??_-;_-@_-"/>
    <numFmt numFmtId="167" formatCode="_(* #,##0.00_);_(* \(#,##0.00\);_(* &quot;-&quot;_);_(@_)"/>
    <numFmt numFmtId="168" formatCode="_(* #,##0_);_(* \(#,##0\);_(* &quot;-&quot;??_);_(@_)"/>
    <numFmt numFmtId="169" formatCode="_-* #,##0.0_-;\-* #,##0.0_-;_-* &quot;-&quot;?_-;_-@_-"/>
    <numFmt numFmtId="170" formatCode="_-* #,##0.00_-;\-* #,##0.00_-;_-* &quot;-&quot;_-;_-@_-"/>
    <numFmt numFmtId="171" formatCode="_-* #,##0_-;\-* #,##0_-;_-* &quot;-&quot;??_-;_-@_-"/>
    <numFmt numFmtId="172" formatCode="h:m"/>
    <numFmt numFmtId="173" formatCode="_(* #,##0.0_);_(* \(#,##0.0\);_(* &quot;-&quot;_);_(@_)"/>
    <numFmt numFmtId="174" formatCode="&quot;  &quot;#,##0.00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0"/>
      <color indexed="8"/>
      <name val="Arial"/>
      <family val="2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b/>
      <sz val="18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indexed="10"/>
      <name val="Calibri"/>
      <family val="2"/>
      <scheme val="minor"/>
    </font>
    <font>
      <sz val="14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name val="Calibri"/>
      <family val="2"/>
    </font>
    <font>
      <sz val="10"/>
      <name val="MS Sans Serif"/>
      <family val="2"/>
    </font>
    <font>
      <sz val="10"/>
      <name val="Arial"/>
      <family val="2"/>
      <charset val="134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sz val="10"/>
      <color indexed="8"/>
      <name val="Tahoma"/>
      <family val="2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i/>
      <sz val="8"/>
      <color indexed="8"/>
      <name val="Tahoma"/>
      <family val="2"/>
    </font>
    <font>
      <i/>
      <sz val="8"/>
      <color indexed="8"/>
      <name val="Tahoma"/>
      <family val="2"/>
    </font>
    <font>
      <sz val="11"/>
      <name val="Arial Narrow"/>
      <family val="2"/>
    </font>
    <font>
      <b/>
      <i/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92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>
      <alignment vertical="top"/>
    </xf>
    <xf numFmtId="43" fontId="2" fillId="0" borderId="0" applyFont="0" applyFill="0" applyBorder="0" applyAlignment="0" applyProtection="0"/>
    <xf numFmtId="0" fontId="18" fillId="0" borderId="0">
      <alignment vertical="top"/>
    </xf>
    <xf numFmtId="41" fontId="20" fillId="0" borderId="0">
      <alignment vertical="top"/>
      <protection locked="0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6" fillId="0" borderId="0" applyFont="0" applyFill="0" applyBorder="0" applyAlignment="0" applyProtection="0"/>
    <xf numFmtId="0" fontId="2" fillId="0" borderId="0"/>
    <xf numFmtId="41" fontId="6" fillId="0" borderId="0" applyFont="0" applyFill="0" applyBorder="0" applyAlignment="0" applyProtection="0"/>
    <xf numFmtId="0" fontId="22" fillId="0" borderId="0"/>
    <xf numFmtId="0" fontId="18" fillId="0" borderId="0"/>
    <xf numFmtId="0" fontId="1" fillId="0" borderId="0"/>
    <xf numFmtId="41" fontId="6" fillId="0" borderId="0" applyFont="0" applyFill="0" applyBorder="0" applyAlignment="0" applyProtection="0"/>
    <xf numFmtId="0" fontId="1" fillId="0" borderId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9" fillId="2" borderId="0" applyNumberFormat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41" fontId="20" fillId="0" borderId="0">
      <alignment vertical="top"/>
      <protection locked="0"/>
    </xf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2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43" fontId="22" fillId="0" borderId="0" applyFont="0" applyFill="0" applyBorder="0" applyAlignment="0" applyProtection="0"/>
    <xf numFmtId="43" fontId="20" fillId="0" borderId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/>
    <xf numFmtId="0" fontId="1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/>
    <xf numFmtId="0" fontId="22" fillId="0" borderId="0"/>
    <xf numFmtId="0" fontId="18" fillId="0" borderId="0">
      <alignment vertical="top"/>
    </xf>
    <xf numFmtId="0" fontId="22" fillId="0" borderId="0"/>
    <xf numFmtId="0" fontId="18" fillId="0" borderId="0">
      <alignment vertical="top"/>
    </xf>
    <xf numFmtId="0" fontId="43" fillId="0" borderId="0">
      <alignment vertical="center"/>
    </xf>
    <xf numFmtId="0" fontId="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40" fillId="0" borderId="0"/>
    <xf numFmtId="0" fontId="1" fillId="0" borderId="0"/>
    <xf numFmtId="0" fontId="1" fillId="0" borderId="0"/>
    <xf numFmtId="0" fontId="40" fillId="0" borderId="0"/>
    <xf numFmtId="0" fontId="22" fillId="0" borderId="0"/>
    <xf numFmtId="0" fontId="2" fillId="0" borderId="0"/>
    <xf numFmtId="0" fontId="18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protection locked="0"/>
    </xf>
    <xf numFmtId="173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2" fillId="0" borderId="0"/>
    <xf numFmtId="0" fontId="2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</cellStyleXfs>
  <cellXfs count="1793">
    <xf numFmtId="0" fontId="0" fillId="0" borderId="0" xfId="0"/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1" fontId="5" fillId="0" borderId="0" xfId="0" applyNumberFormat="1" applyFont="1" applyBorder="1" applyAlignment="1">
      <alignment vertical="center"/>
    </xf>
    <xf numFmtId="41" fontId="5" fillId="0" borderId="0" xfId="2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67" fontId="4" fillId="0" borderId="0" xfId="2" applyNumberFormat="1" applyFont="1" applyBorder="1" applyAlignment="1">
      <alignment vertical="center"/>
    </xf>
    <xf numFmtId="167" fontId="9" fillId="0" borderId="0" xfId="2" applyNumberFormat="1" applyFont="1" applyBorder="1" applyAlignment="1">
      <alignment vertical="center"/>
    </xf>
    <xf numFmtId="0" fontId="9" fillId="0" borderId="5" xfId="0" applyFon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7" fontId="11" fillId="0" borderId="18" xfId="2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26" xfId="0" quotePrefix="1" applyFont="1" applyBorder="1" applyAlignment="1">
      <alignment horizontal="center" vertical="center"/>
    </xf>
    <xf numFmtId="49" fontId="11" fillId="0" borderId="27" xfId="2" quotePrefix="1" applyNumberFormat="1" applyFont="1" applyBorder="1" applyAlignment="1">
      <alignment horizontal="center" vertical="center"/>
    </xf>
    <xf numFmtId="49" fontId="11" fillId="0" borderId="28" xfId="2" quotePrefix="1" applyNumberFormat="1" applyFont="1" applyBorder="1" applyAlignment="1">
      <alignment horizontal="center" vertical="center"/>
    </xf>
    <xf numFmtId="49" fontId="10" fillId="0" borderId="26" xfId="2" quotePrefix="1" applyNumberFormat="1" applyFont="1" applyBorder="1" applyAlignment="1">
      <alignment horizontal="center" vertical="center"/>
    </xf>
    <xf numFmtId="49" fontId="10" fillId="0" borderId="12" xfId="2" quotePrefix="1" applyNumberFormat="1" applyFont="1" applyBorder="1" applyAlignment="1">
      <alignment horizontal="center" vertical="center"/>
    </xf>
    <xf numFmtId="0" fontId="10" fillId="0" borderId="13" xfId="0" quotePrefix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29" xfId="0" quotePrefix="1" applyFont="1" applyBorder="1" applyAlignment="1">
      <alignment horizontal="center" vertical="center"/>
    </xf>
    <xf numFmtId="0" fontId="9" fillId="0" borderId="30" xfId="0" quotePrefix="1" applyFont="1" applyBorder="1" applyAlignment="1">
      <alignment horizontal="center" vertical="center"/>
    </xf>
    <xf numFmtId="167" fontId="4" fillId="0" borderId="31" xfId="2" quotePrefix="1" applyNumberFormat="1" applyFont="1" applyBorder="1" applyAlignment="1">
      <alignment horizontal="center" vertical="center"/>
    </xf>
    <xf numFmtId="167" fontId="4" fillId="0" borderId="29" xfId="2" quotePrefix="1" applyNumberFormat="1" applyFont="1" applyBorder="1" applyAlignment="1">
      <alignment horizontal="center" vertical="center"/>
    </xf>
    <xf numFmtId="167" fontId="9" fillId="0" borderId="30" xfId="2" quotePrefix="1" applyNumberFormat="1" applyFont="1" applyBorder="1" applyAlignment="1">
      <alignment horizontal="center" vertical="center"/>
    </xf>
    <xf numFmtId="167" fontId="9" fillId="0" borderId="32" xfId="2" quotePrefix="1" applyNumberFormat="1" applyFont="1" applyBorder="1" applyAlignment="1">
      <alignment horizontal="center" vertical="center"/>
    </xf>
    <xf numFmtId="0" fontId="9" fillId="0" borderId="31" xfId="0" quotePrefix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left" vertical="center"/>
    </xf>
    <xf numFmtId="41" fontId="11" fillId="3" borderId="35" xfId="4" applyNumberFormat="1" applyFont="1" applyFill="1" applyBorder="1" applyAlignment="1">
      <alignment vertical="center"/>
    </xf>
    <xf numFmtId="167" fontId="11" fillId="0" borderId="36" xfId="2" applyNumberFormat="1" applyFont="1" applyBorder="1" applyAlignment="1">
      <alignment vertical="center"/>
    </xf>
    <xf numFmtId="167" fontId="10" fillId="0" borderId="34" xfId="2" applyNumberFormat="1" applyFont="1" applyBorder="1" applyAlignment="1">
      <alignment vertical="center"/>
    </xf>
    <xf numFmtId="167" fontId="14" fillId="0" borderId="37" xfId="2" applyNumberFormat="1" applyFont="1" applyBorder="1" applyAlignment="1">
      <alignment vertical="center"/>
    </xf>
    <xf numFmtId="167" fontId="10" fillId="0" borderId="37" xfId="2" applyNumberFormat="1" applyFont="1" applyBorder="1" applyAlignment="1">
      <alignment vertical="center"/>
    </xf>
    <xf numFmtId="167" fontId="10" fillId="0" borderId="35" xfId="2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9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left" vertical="center"/>
    </xf>
    <xf numFmtId="167" fontId="4" fillId="3" borderId="35" xfId="4" applyNumberFormat="1" applyFont="1" applyFill="1" applyBorder="1" applyAlignment="1">
      <alignment horizontal="left" vertical="center"/>
    </xf>
    <xf numFmtId="167" fontId="9" fillId="0" borderId="34" xfId="2" applyNumberFormat="1" applyFont="1" applyBorder="1" applyAlignment="1">
      <alignment vertical="center"/>
    </xf>
    <xf numFmtId="167" fontId="9" fillId="0" borderId="37" xfId="2" applyNumberFormat="1" applyFont="1" applyBorder="1" applyAlignment="1">
      <alignment vertical="center"/>
    </xf>
    <xf numFmtId="167" fontId="9" fillId="0" borderId="35" xfId="2" applyNumberFormat="1" applyFont="1" applyBorder="1" applyAlignment="1">
      <alignment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/>
    </xf>
    <xf numFmtId="167" fontId="4" fillId="0" borderId="35" xfId="4" applyNumberFormat="1" applyFont="1" applyFill="1" applyBorder="1" applyAlignment="1">
      <alignment horizontal="left" vertical="center"/>
    </xf>
    <xf numFmtId="41" fontId="0" fillId="0" borderId="34" xfId="0" applyNumberFormat="1" applyFont="1" applyFill="1" applyBorder="1" applyAlignment="1">
      <alignment vertical="center"/>
    </xf>
    <xf numFmtId="0" fontId="11" fillId="3" borderId="34" xfId="0" applyFont="1" applyFill="1" applyBorder="1" applyAlignment="1">
      <alignment horizontal="left" vertical="center"/>
    </xf>
    <xf numFmtId="41" fontId="11" fillId="3" borderId="35" xfId="4" applyNumberFormat="1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left" vertical="center" wrapText="1"/>
    </xf>
    <xf numFmtId="168" fontId="4" fillId="0" borderId="34" xfId="1" applyNumberFormat="1" applyFont="1" applyFill="1" applyBorder="1" applyAlignment="1">
      <alignment vertical="center"/>
    </xf>
    <xf numFmtId="167" fontId="4" fillId="0" borderId="36" xfId="2" applyNumberFormat="1" applyFont="1" applyBorder="1" applyAlignment="1">
      <alignment vertical="center"/>
    </xf>
    <xf numFmtId="41" fontId="4" fillId="0" borderId="37" xfId="2" applyFont="1" applyBorder="1" applyAlignment="1">
      <alignment vertical="center"/>
    </xf>
    <xf numFmtId="0" fontId="9" fillId="0" borderId="33" xfId="0" applyFont="1" applyBorder="1" applyAlignment="1">
      <alignment horizontal="center" vertical="center"/>
    </xf>
    <xf numFmtId="168" fontId="4" fillId="0" borderId="37" xfId="1" applyNumberFormat="1" applyFont="1" applyFill="1" applyBorder="1" applyAlignment="1">
      <alignment vertical="center"/>
    </xf>
    <xf numFmtId="0" fontId="9" fillId="0" borderId="38" xfId="0" applyFont="1" applyBorder="1" applyAlignment="1">
      <alignment horizontal="center" vertical="center"/>
    </xf>
    <xf numFmtId="0" fontId="4" fillId="0" borderId="39" xfId="0" applyFont="1" applyFill="1" applyBorder="1" applyAlignment="1">
      <alignment horizontal="left" vertical="center" wrapText="1"/>
    </xf>
    <xf numFmtId="168" fontId="4" fillId="0" borderId="40" xfId="1" applyNumberFormat="1" applyFont="1" applyFill="1" applyBorder="1" applyAlignment="1">
      <alignment vertical="center"/>
    </xf>
    <xf numFmtId="167" fontId="4" fillId="0" borderId="41" xfId="2" applyNumberFormat="1" applyFont="1" applyBorder="1" applyAlignment="1">
      <alignment vertical="center"/>
    </xf>
    <xf numFmtId="167" fontId="9" fillId="0" borderId="39" xfId="2" applyNumberFormat="1" applyFont="1" applyBorder="1" applyAlignment="1">
      <alignment vertical="center"/>
    </xf>
    <xf numFmtId="167" fontId="9" fillId="0" borderId="40" xfId="2" applyNumberFormat="1" applyFont="1" applyBorder="1" applyAlignment="1">
      <alignment vertical="center"/>
    </xf>
    <xf numFmtId="167" fontId="9" fillId="0" borderId="42" xfId="2" applyNumberFormat="1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26" xfId="0" applyFont="1" applyBorder="1" applyAlignment="1">
      <alignment horizontal="right" vertical="center"/>
    </xf>
    <xf numFmtId="41" fontId="11" fillId="0" borderId="27" xfId="2" applyNumberFormat="1" applyFont="1" applyBorder="1" applyAlignment="1">
      <alignment vertical="center"/>
    </xf>
    <xf numFmtId="167" fontId="11" fillId="0" borderId="28" xfId="2" applyNumberFormat="1" applyFont="1" applyBorder="1" applyAlignment="1">
      <alignment vertical="center"/>
    </xf>
    <xf numFmtId="167" fontId="10" fillId="0" borderId="26" xfId="2" applyNumberFormat="1" applyFont="1" applyBorder="1" applyAlignment="1">
      <alignment vertical="center"/>
    </xf>
    <xf numFmtId="167" fontId="10" fillId="0" borderId="12" xfId="2" applyNumberFormat="1" applyFont="1" applyBorder="1" applyAlignment="1">
      <alignment vertical="center"/>
    </xf>
    <xf numFmtId="167" fontId="10" fillId="0" borderId="13" xfId="2" applyNumberFormat="1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167" fontId="4" fillId="0" borderId="2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4" fillId="0" borderId="0" xfId="2" applyNumberFormat="1" applyFont="1" applyAlignment="1">
      <alignment vertical="center"/>
    </xf>
    <xf numFmtId="167" fontId="9" fillId="0" borderId="0" xfId="2" applyNumberFormat="1" applyFont="1" applyAlignment="1">
      <alignment vertical="center"/>
    </xf>
    <xf numFmtId="41" fontId="12" fillId="0" borderId="0" xfId="2" applyFont="1" applyAlignment="1">
      <alignment vertical="center"/>
    </xf>
    <xf numFmtId="169" fontId="12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41" fontId="4" fillId="0" borderId="0" xfId="2" applyFont="1" applyBorder="1" applyAlignment="1">
      <alignment horizontal="center" vertical="center"/>
    </xf>
    <xf numFmtId="41" fontId="4" fillId="0" borderId="0" xfId="2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41" fontId="4" fillId="0" borderId="0" xfId="2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41" fontId="4" fillId="0" borderId="0" xfId="2" applyFont="1" applyBorder="1" applyAlignment="1">
      <alignment horizontal="left" vertical="center"/>
    </xf>
    <xf numFmtId="41" fontId="4" fillId="0" borderId="26" xfId="2" applyFont="1" applyBorder="1" applyAlignment="1">
      <alignment horizontal="center" vertical="center" wrapText="1"/>
    </xf>
    <xf numFmtId="167" fontId="11" fillId="0" borderId="26" xfId="2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26" xfId="0" quotePrefix="1" applyFont="1" applyBorder="1" applyAlignment="1">
      <alignment horizontal="center" vertical="center"/>
    </xf>
    <xf numFmtId="0" fontId="11" fillId="0" borderId="26" xfId="0" quotePrefix="1" applyFont="1" applyBorder="1" applyAlignment="1">
      <alignment horizontal="center" vertical="center" wrapText="1"/>
    </xf>
    <xf numFmtId="41" fontId="4" fillId="0" borderId="26" xfId="2" quotePrefix="1" applyFont="1" applyBorder="1" applyAlignment="1">
      <alignment horizontal="center" vertical="center"/>
    </xf>
    <xf numFmtId="49" fontId="11" fillId="0" borderId="26" xfId="2" quotePrefix="1" applyNumberFormat="1" applyFont="1" applyBorder="1" applyAlignment="1">
      <alignment horizontal="center" vertical="center"/>
    </xf>
    <xf numFmtId="0" fontId="4" fillId="0" borderId="24" xfId="0" quotePrefix="1" applyFont="1" applyBorder="1" applyAlignment="1">
      <alignment horizontal="center" vertical="center"/>
    </xf>
    <xf numFmtId="0" fontId="4" fillId="0" borderId="24" xfId="0" quotePrefix="1" applyFont="1" applyBorder="1" applyAlignment="1">
      <alignment vertical="center" wrapText="1"/>
    </xf>
    <xf numFmtId="41" fontId="4" fillId="0" borderId="24" xfId="2" quotePrefix="1" applyFont="1" applyBorder="1" applyAlignment="1">
      <alignment horizontal="center" vertical="center"/>
    </xf>
    <xf numFmtId="167" fontId="4" fillId="0" borderId="24" xfId="2" quotePrefix="1" applyNumberFormat="1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49" fontId="11" fillId="0" borderId="34" xfId="0" applyNumberFormat="1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vertical="center" wrapText="1"/>
    </xf>
    <xf numFmtId="41" fontId="11" fillId="0" borderId="34" xfId="2" applyFont="1" applyFill="1" applyBorder="1" applyAlignment="1">
      <alignment horizontal="center" vertical="center"/>
    </xf>
    <xf numFmtId="41" fontId="4" fillId="0" borderId="34" xfId="2" applyFont="1" applyFill="1" applyBorder="1" applyAlignment="1">
      <alignment horizontal="left" vertical="center"/>
    </xf>
    <xf numFmtId="167" fontId="11" fillId="0" borderId="34" xfId="2" applyNumberFormat="1" applyFont="1" applyFill="1" applyBorder="1" applyAlignment="1">
      <alignment horizontal="left" vertical="center"/>
    </xf>
    <xf numFmtId="167" fontId="4" fillId="0" borderId="34" xfId="2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41" fontId="11" fillId="0" borderId="34" xfId="2" applyFont="1" applyFill="1" applyBorder="1" applyAlignment="1">
      <alignment horizontal="left" vertical="center"/>
    </xf>
    <xf numFmtId="167" fontId="11" fillId="0" borderId="34" xfId="2" applyNumberFormat="1" applyFont="1" applyFill="1" applyBorder="1" applyAlignment="1">
      <alignment vertical="center"/>
    </xf>
    <xf numFmtId="0" fontId="11" fillId="0" borderId="34" xfId="0" applyFont="1" applyFill="1" applyBorder="1" applyAlignment="1">
      <alignment vertical="center"/>
    </xf>
    <xf numFmtId="49" fontId="4" fillId="0" borderId="34" xfId="0" applyNumberFormat="1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 wrapText="1"/>
    </xf>
    <xf numFmtId="0" fontId="11" fillId="0" borderId="34" xfId="0" applyNumberFormat="1" applyFont="1" applyFill="1" applyBorder="1" applyAlignment="1" applyProtection="1">
      <alignment vertical="center" wrapText="1"/>
    </xf>
    <xf numFmtId="167" fontId="4" fillId="0" borderId="34" xfId="4" applyNumberFormat="1" applyFont="1" applyFill="1" applyBorder="1" applyAlignment="1">
      <alignment horizontal="left" vertical="center"/>
    </xf>
    <xf numFmtId="43" fontId="4" fillId="0" borderId="34" xfId="0" applyNumberFormat="1" applyFont="1" applyFill="1" applyBorder="1" applyAlignment="1">
      <alignment horizontal="left" vertical="center"/>
    </xf>
    <xf numFmtId="43" fontId="11" fillId="0" borderId="34" xfId="0" applyNumberFormat="1" applyFont="1" applyFill="1" applyBorder="1" applyAlignment="1">
      <alignment horizontal="left" vertical="center"/>
    </xf>
    <xf numFmtId="167" fontId="11" fillId="0" borderId="34" xfId="2" applyNumberFormat="1" applyFont="1" applyFill="1" applyBorder="1" applyAlignment="1" applyProtection="1">
      <alignment horizontal="center" vertical="center" wrapText="1"/>
    </xf>
    <xf numFmtId="167" fontId="11" fillId="0" borderId="34" xfId="4" applyNumberFormat="1" applyFont="1" applyFill="1" applyBorder="1" applyAlignment="1">
      <alignment horizontal="left" vertical="center"/>
    </xf>
    <xf numFmtId="0" fontId="4" fillId="0" borderId="34" xfId="0" applyNumberFormat="1" applyFont="1" applyFill="1" applyBorder="1" applyAlignment="1" applyProtection="1">
      <alignment vertical="center" wrapText="1"/>
    </xf>
    <xf numFmtId="41" fontId="11" fillId="0" borderId="34" xfId="4" applyNumberFormat="1" applyFont="1" applyFill="1" applyBorder="1" applyAlignment="1">
      <alignment vertical="center"/>
    </xf>
    <xf numFmtId="49" fontId="11" fillId="0" borderId="34" xfId="5" applyNumberFormat="1" applyFont="1" applyFill="1" applyBorder="1" applyAlignment="1">
      <alignment vertical="center" wrapText="1"/>
    </xf>
    <xf numFmtId="49" fontId="4" fillId="0" borderId="34" xfId="5" applyNumberFormat="1" applyFont="1" applyFill="1" applyBorder="1" applyAlignment="1">
      <alignment vertical="center" wrapText="1"/>
    </xf>
    <xf numFmtId="167" fontId="4" fillId="0" borderId="34" xfId="2" applyNumberFormat="1" applyFont="1" applyFill="1" applyBorder="1" applyAlignment="1">
      <alignment horizontal="left" vertical="center"/>
    </xf>
    <xf numFmtId="167" fontId="11" fillId="0" borderId="34" xfId="5" applyNumberFormat="1" applyFont="1" applyFill="1" applyBorder="1" applyAlignment="1">
      <alignment vertical="center"/>
    </xf>
    <xf numFmtId="167" fontId="4" fillId="0" borderId="34" xfId="5" applyNumberFormat="1" applyFont="1" applyFill="1" applyBorder="1" applyAlignment="1">
      <alignment vertical="center"/>
    </xf>
    <xf numFmtId="41" fontId="4" fillId="0" borderId="34" xfId="2" applyFont="1" applyFill="1" applyBorder="1" applyAlignment="1">
      <alignment vertical="center"/>
    </xf>
    <xf numFmtId="39" fontId="11" fillId="0" borderId="34" xfId="0" applyNumberFormat="1" applyFont="1" applyFill="1" applyBorder="1" applyAlignment="1">
      <alignment horizontal="right" vertical="center"/>
    </xf>
    <xf numFmtId="39" fontId="4" fillId="0" borderId="34" xfId="0" applyNumberFormat="1" applyFont="1" applyFill="1" applyBorder="1" applyAlignment="1">
      <alignment vertical="center" wrapText="1"/>
    </xf>
    <xf numFmtId="170" fontId="11" fillId="0" borderId="34" xfId="6" applyNumberFormat="1" applyFont="1" applyFill="1" applyBorder="1" applyAlignment="1">
      <alignment horizontal="right" vertical="center"/>
    </xf>
    <xf numFmtId="170" fontId="4" fillId="0" borderId="34" xfId="6" applyNumberFormat="1" applyFont="1" applyFill="1" applyBorder="1" applyAlignment="1">
      <alignment horizontal="right" vertical="center"/>
    </xf>
    <xf numFmtId="0" fontId="4" fillId="0" borderId="34" xfId="7" applyFont="1" applyFill="1" applyBorder="1" applyAlignment="1">
      <alignment vertical="center" wrapText="1"/>
    </xf>
    <xf numFmtId="0" fontId="11" fillId="0" borderId="34" xfId="7" applyFont="1" applyFill="1" applyBorder="1" applyAlignment="1">
      <alignment vertical="center" wrapText="1"/>
    </xf>
    <xf numFmtId="166" fontId="4" fillId="0" borderId="34" xfId="0" applyNumberFormat="1" applyFont="1" applyFill="1" applyBorder="1" applyAlignment="1">
      <alignment vertical="center" wrapText="1"/>
    </xf>
    <xf numFmtId="168" fontId="11" fillId="0" borderId="34" xfId="1" applyNumberFormat="1" applyFont="1" applyFill="1" applyBorder="1" applyAlignment="1">
      <alignment vertical="center"/>
    </xf>
    <xf numFmtId="4" fontId="11" fillId="0" borderId="34" xfId="0" applyNumberFormat="1" applyFont="1" applyFill="1" applyBorder="1" applyAlignment="1">
      <alignment vertical="center"/>
    </xf>
    <xf numFmtId="2" fontId="11" fillId="0" borderId="34" xfId="0" applyNumberFormat="1" applyFont="1" applyFill="1" applyBorder="1" applyAlignment="1">
      <alignment horizontal="right" vertical="center"/>
    </xf>
    <xf numFmtId="49" fontId="11" fillId="0" borderId="34" xfId="0" applyNumberFormat="1" applyFont="1" applyFill="1" applyBorder="1" applyAlignment="1">
      <alignment vertical="center" wrapText="1"/>
    </xf>
    <xf numFmtId="0" fontId="4" fillId="0" borderId="34" xfId="0" quotePrefix="1" applyFont="1" applyFill="1" applyBorder="1" applyAlignment="1">
      <alignment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1" fillId="0" borderId="34" xfId="0" applyNumberFormat="1" applyFont="1" applyFill="1" applyBorder="1" applyAlignment="1" applyProtection="1">
      <alignment horizontal="left" vertical="center" wrapText="1"/>
    </xf>
    <xf numFmtId="43" fontId="11" fillId="0" borderId="34" xfId="8" applyFont="1" applyFill="1" applyBorder="1" applyAlignment="1" applyProtection="1">
      <alignment horizontal="right" vertical="center"/>
    </xf>
    <xf numFmtId="0" fontId="4" fillId="0" borderId="34" xfId="0" applyNumberFormat="1" applyFont="1" applyFill="1" applyBorder="1" applyAlignment="1" applyProtection="1">
      <alignment horizontal="left" vertical="center" wrapText="1"/>
    </xf>
    <xf numFmtId="43" fontId="4" fillId="0" borderId="34" xfId="8" applyFont="1" applyFill="1" applyBorder="1" applyAlignment="1" applyProtection="1">
      <alignment horizontal="right" vertical="center"/>
    </xf>
    <xf numFmtId="4" fontId="11" fillId="0" borderId="34" xfId="0" applyNumberFormat="1" applyFont="1" applyFill="1" applyBorder="1" applyAlignment="1" applyProtection="1">
      <alignment horizontal="right" vertical="center"/>
    </xf>
    <xf numFmtId="4" fontId="4" fillId="0" borderId="34" xfId="0" applyNumberFormat="1" applyFont="1" applyFill="1" applyBorder="1" applyAlignment="1" applyProtection="1">
      <alignment horizontal="right" vertical="center"/>
    </xf>
    <xf numFmtId="0" fontId="11" fillId="0" borderId="34" xfId="0" applyFont="1" applyFill="1" applyBorder="1" applyAlignment="1" applyProtection="1">
      <alignment vertical="center" wrapText="1"/>
      <protection locked="0"/>
    </xf>
    <xf numFmtId="4" fontId="11" fillId="0" borderId="34" xfId="0" applyNumberFormat="1" applyFont="1" applyFill="1" applyBorder="1" applyAlignment="1" applyProtection="1">
      <alignment horizontal="right" vertical="center"/>
      <protection locked="0"/>
    </xf>
    <xf numFmtId="0" fontId="4" fillId="0" borderId="34" xfId="0" applyFont="1" applyFill="1" applyBorder="1" applyAlignment="1" applyProtection="1">
      <alignment vertical="center" wrapText="1"/>
      <protection locked="0"/>
    </xf>
    <xf numFmtId="4" fontId="4" fillId="0" borderId="34" xfId="0" applyNumberFormat="1" applyFont="1" applyFill="1" applyBorder="1" applyAlignment="1" applyProtection="1">
      <alignment horizontal="right" vertical="center"/>
      <protection locked="0"/>
    </xf>
    <xf numFmtId="0" fontId="11" fillId="0" borderId="34" xfId="9" applyFont="1" applyFill="1" applyBorder="1" applyAlignment="1">
      <alignment vertical="center" wrapText="1"/>
    </xf>
    <xf numFmtId="43" fontId="11" fillId="0" borderId="34" xfId="1" applyNumberFormat="1" applyFont="1" applyFill="1" applyBorder="1" applyAlignment="1">
      <alignment vertical="center"/>
    </xf>
    <xf numFmtId="0" fontId="4" fillId="0" borderId="34" xfId="9" applyFont="1" applyFill="1" applyBorder="1" applyAlignment="1">
      <alignment vertical="center" wrapText="1"/>
    </xf>
    <xf numFmtId="0" fontId="4" fillId="0" borderId="34" xfId="0" quotePrefix="1" applyFont="1" applyFill="1" applyBorder="1" applyAlignment="1">
      <alignment horizontal="left" vertical="center" wrapText="1"/>
    </xf>
    <xf numFmtId="0" fontId="11" fillId="0" borderId="34" xfId="0" quotePrefix="1" applyFont="1" applyFill="1" applyBorder="1" applyAlignment="1">
      <alignment horizontal="left" vertical="center" wrapText="1"/>
    </xf>
    <xf numFmtId="167" fontId="4" fillId="0" borderId="34" xfId="2" applyNumberFormat="1" applyFont="1" applyFill="1" applyBorder="1" applyAlignment="1">
      <alignment vertical="center" wrapText="1"/>
    </xf>
    <xf numFmtId="167" fontId="11" fillId="0" borderId="34" xfId="2" applyNumberFormat="1" applyFont="1" applyFill="1" applyBorder="1" applyAlignment="1">
      <alignment vertical="center" wrapText="1"/>
    </xf>
    <xf numFmtId="167" fontId="4" fillId="0" borderId="34" xfId="10" applyNumberFormat="1" applyFont="1" applyFill="1" applyBorder="1" applyAlignment="1" applyProtection="1">
      <alignment vertical="center"/>
    </xf>
    <xf numFmtId="167" fontId="11" fillId="0" borderId="34" xfId="10" applyNumberFormat="1" applyFont="1" applyFill="1" applyBorder="1" applyAlignment="1" applyProtection="1">
      <alignment vertical="center"/>
    </xf>
    <xf numFmtId="167" fontId="11" fillId="0" borderId="34" xfId="5" applyNumberFormat="1" applyFont="1" applyFill="1" applyBorder="1" applyAlignment="1">
      <alignment vertical="center" wrapText="1"/>
    </xf>
    <xf numFmtId="4" fontId="11" fillId="0" borderId="34" xfId="0" applyNumberFormat="1" applyFont="1" applyFill="1" applyBorder="1" applyAlignment="1">
      <alignment horizontal="right" vertical="center" wrapText="1"/>
    </xf>
    <xf numFmtId="0" fontId="11" fillId="0" borderId="34" xfId="11" applyFont="1" applyFill="1" applyBorder="1" applyAlignment="1">
      <alignment vertical="center" wrapText="1"/>
    </xf>
    <xf numFmtId="4" fontId="11" fillId="0" borderId="34" xfId="11" applyNumberFormat="1" applyFont="1" applyFill="1" applyBorder="1" applyAlignment="1">
      <alignment horizontal="right" vertical="center" wrapText="1"/>
    </xf>
    <xf numFmtId="0" fontId="4" fillId="0" borderId="34" xfId="11" applyFont="1" applyFill="1" applyBorder="1" applyAlignment="1">
      <alignment vertical="center" wrapText="1"/>
    </xf>
    <xf numFmtId="4" fontId="4" fillId="0" borderId="34" xfId="11" applyNumberFormat="1" applyFont="1" applyFill="1" applyBorder="1" applyAlignment="1">
      <alignment horizontal="right" vertical="center" wrapText="1"/>
    </xf>
    <xf numFmtId="0" fontId="11" fillId="0" borderId="34" xfId="12" applyFont="1" applyFill="1" applyBorder="1" applyAlignment="1">
      <alignment vertical="center" wrapText="1"/>
    </xf>
    <xf numFmtId="0" fontId="4" fillId="0" borderId="34" xfId="12" applyFont="1" applyFill="1" applyBorder="1" applyAlignment="1">
      <alignment vertical="center" wrapText="1"/>
    </xf>
    <xf numFmtId="4" fontId="4" fillId="0" borderId="34" xfId="0" applyNumberFormat="1" applyFont="1" applyFill="1" applyBorder="1" applyAlignment="1">
      <alignment horizontal="right" vertical="center" wrapText="1"/>
    </xf>
    <xf numFmtId="0" fontId="11" fillId="0" borderId="34" xfId="13" applyFont="1" applyFill="1" applyBorder="1" applyAlignment="1">
      <alignment vertical="center" wrapText="1"/>
    </xf>
    <xf numFmtId="0" fontId="4" fillId="0" borderId="34" xfId="13" applyFont="1" applyFill="1" applyBorder="1" applyAlignment="1">
      <alignment vertical="center" wrapText="1"/>
    </xf>
    <xf numFmtId="0" fontId="11" fillId="0" borderId="34" xfId="14" applyFont="1" applyFill="1" applyBorder="1" applyAlignment="1">
      <alignment vertical="center" wrapText="1"/>
    </xf>
    <xf numFmtId="0" fontId="4" fillId="0" borderId="34" xfId="14" applyFont="1" applyFill="1" applyBorder="1" applyAlignment="1">
      <alignment vertical="center" wrapText="1"/>
    </xf>
    <xf numFmtId="0" fontId="11" fillId="0" borderId="34" xfId="15" applyFont="1" applyFill="1" applyBorder="1" applyAlignment="1">
      <alignment vertical="center" wrapText="1"/>
    </xf>
    <xf numFmtId="0" fontId="4" fillId="0" borderId="34" xfId="15" applyFont="1" applyFill="1" applyBorder="1" applyAlignment="1">
      <alignment vertical="center" wrapText="1"/>
    </xf>
    <xf numFmtId="0" fontId="11" fillId="0" borderId="34" xfId="16" applyFont="1" applyFill="1" applyBorder="1" applyAlignment="1">
      <alignment vertical="center" wrapText="1"/>
    </xf>
    <xf numFmtId="0" fontId="4" fillId="0" borderId="34" xfId="16" applyFont="1" applyFill="1" applyBorder="1" applyAlignment="1">
      <alignment vertical="center" wrapText="1"/>
    </xf>
    <xf numFmtId="0" fontId="11" fillId="0" borderId="34" xfId="17" applyFont="1" applyFill="1" applyBorder="1" applyAlignment="1">
      <alignment vertical="center" wrapText="1"/>
    </xf>
    <xf numFmtId="0" fontId="4" fillId="0" borderId="34" xfId="17" applyFont="1" applyFill="1" applyBorder="1" applyAlignment="1">
      <alignment vertical="center" wrapText="1"/>
    </xf>
    <xf numFmtId="0" fontId="11" fillId="0" borderId="34" xfId="18" applyFont="1" applyFill="1" applyBorder="1" applyAlignment="1">
      <alignment vertical="center" wrapText="1"/>
    </xf>
    <xf numFmtId="0" fontId="4" fillId="0" borderId="34" xfId="18" applyFont="1" applyFill="1" applyBorder="1" applyAlignment="1">
      <alignment vertical="center" wrapText="1"/>
    </xf>
    <xf numFmtId="0" fontId="11" fillId="0" borderId="34" xfId="19" applyFont="1" applyFill="1" applyBorder="1" applyAlignment="1">
      <alignment vertical="center" wrapText="1"/>
    </xf>
    <xf numFmtId="0" fontId="4" fillId="0" borderId="34" xfId="19" applyFont="1" applyFill="1" applyBorder="1" applyAlignment="1">
      <alignment vertical="center" wrapText="1"/>
    </xf>
    <xf numFmtId="0" fontId="11" fillId="0" borderId="34" xfId="20" applyFont="1" applyFill="1" applyBorder="1" applyAlignment="1">
      <alignment vertical="center" wrapText="1"/>
    </xf>
    <xf numFmtId="0" fontId="4" fillId="0" borderId="34" xfId="20" applyFont="1" applyFill="1" applyBorder="1" applyAlignment="1">
      <alignment vertical="center" wrapText="1"/>
    </xf>
    <xf numFmtId="0" fontId="11" fillId="0" borderId="34" xfId="21" applyFont="1" applyFill="1" applyBorder="1" applyAlignment="1">
      <alignment vertical="center" wrapText="1"/>
    </xf>
    <xf numFmtId="0" fontId="4" fillId="0" borderId="34" xfId="21" applyFont="1" applyFill="1" applyBorder="1" applyAlignment="1">
      <alignment vertical="center" wrapText="1"/>
    </xf>
    <xf numFmtId="0" fontId="11" fillId="0" borderId="34" xfId="22" applyFont="1" applyFill="1" applyBorder="1" applyAlignment="1">
      <alignment vertical="center" wrapText="1"/>
    </xf>
    <xf numFmtId="0" fontId="4" fillId="0" borderId="34" xfId="22" applyFont="1" applyFill="1" applyBorder="1" applyAlignment="1">
      <alignment vertical="center" wrapText="1"/>
    </xf>
    <xf numFmtId="0" fontId="11" fillId="0" borderId="34" xfId="23" applyFont="1" applyFill="1" applyBorder="1" applyAlignment="1">
      <alignment vertical="center" wrapText="1"/>
    </xf>
    <xf numFmtId="0" fontId="4" fillId="0" borderId="34" xfId="23" applyFont="1" applyFill="1" applyBorder="1" applyAlignment="1">
      <alignment vertical="center" wrapText="1"/>
    </xf>
    <xf numFmtId="0" fontId="11" fillId="0" borderId="34" xfId="24" applyFont="1" applyFill="1" applyBorder="1" applyAlignment="1">
      <alignment vertical="center" wrapText="1"/>
    </xf>
    <xf numFmtId="0" fontId="4" fillId="0" borderId="34" xfId="24" applyFont="1" applyFill="1" applyBorder="1" applyAlignment="1">
      <alignment vertical="center" wrapText="1"/>
    </xf>
    <xf numFmtId="0" fontId="4" fillId="0" borderId="34" xfId="25" applyFont="1" applyFill="1" applyBorder="1" applyAlignment="1">
      <alignment vertical="center" wrapText="1"/>
    </xf>
    <xf numFmtId="0" fontId="11" fillId="0" borderId="34" xfId="26" applyFont="1" applyFill="1" applyBorder="1" applyAlignment="1">
      <alignment vertical="center" wrapText="1"/>
    </xf>
    <xf numFmtId="0" fontId="4" fillId="0" borderId="34" xfId="26" applyFont="1" applyFill="1" applyBorder="1" applyAlignment="1">
      <alignment vertical="center" wrapText="1"/>
    </xf>
    <xf numFmtId="0" fontId="11" fillId="0" borderId="34" xfId="27" applyFont="1" applyFill="1" applyBorder="1" applyAlignment="1">
      <alignment vertical="center" wrapText="1"/>
    </xf>
    <xf numFmtId="0" fontId="4" fillId="0" borderId="34" xfId="27" applyFont="1" applyFill="1" applyBorder="1" applyAlignment="1">
      <alignment vertical="center" wrapText="1"/>
    </xf>
    <xf numFmtId="0" fontId="11" fillId="0" borderId="34" xfId="28" applyFont="1" applyFill="1" applyBorder="1" applyAlignment="1">
      <alignment vertical="center" wrapText="1"/>
    </xf>
    <xf numFmtId="0" fontId="4" fillId="0" borderId="34" xfId="28" applyFont="1" applyFill="1" applyBorder="1" applyAlignment="1">
      <alignment vertical="center" wrapText="1"/>
    </xf>
    <xf numFmtId="0" fontId="11" fillId="0" borderId="34" xfId="29" applyFont="1" applyFill="1" applyBorder="1" applyAlignment="1">
      <alignment vertical="center" wrapText="1"/>
    </xf>
    <xf numFmtId="0" fontId="4" fillId="0" borderId="34" xfId="29" applyFont="1" applyFill="1" applyBorder="1" applyAlignment="1">
      <alignment vertical="center" wrapText="1"/>
    </xf>
    <xf numFmtId="0" fontId="11" fillId="0" borderId="34" xfId="30" applyFont="1" applyFill="1" applyBorder="1" applyAlignment="1">
      <alignment vertical="center" wrapText="1"/>
    </xf>
    <xf numFmtId="0" fontId="4" fillId="0" borderId="34" xfId="30" applyFont="1" applyFill="1" applyBorder="1" applyAlignment="1">
      <alignment vertical="center" wrapText="1"/>
    </xf>
    <xf numFmtId="0" fontId="11" fillId="0" borderId="34" xfId="31" applyFont="1" applyFill="1" applyBorder="1" applyAlignment="1">
      <alignment vertical="center" wrapText="1"/>
    </xf>
    <xf numFmtId="0" fontId="4" fillId="0" borderId="34" xfId="31" applyFont="1" applyFill="1" applyBorder="1" applyAlignment="1">
      <alignment vertical="center" wrapText="1"/>
    </xf>
    <xf numFmtId="41" fontId="11" fillId="0" borderId="34" xfId="2" applyNumberFormat="1" applyFont="1" applyFill="1" applyBorder="1" applyAlignment="1">
      <alignment horizontal="right" vertical="center"/>
    </xf>
    <xf numFmtId="0" fontId="4" fillId="0" borderId="34" xfId="33" applyFont="1" applyFill="1" applyBorder="1" applyAlignment="1">
      <alignment vertical="center" wrapText="1"/>
    </xf>
    <xf numFmtId="167" fontId="11" fillId="0" borderId="34" xfId="4" applyNumberFormat="1" applyFont="1" applyFill="1" applyBorder="1" applyAlignment="1">
      <alignment vertical="center"/>
    </xf>
    <xf numFmtId="41" fontId="11" fillId="0" borderId="34" xfId="5" applyFont="1" applyFill="1" applyBorder="1" applyAlignment="1">
      <alignment vertical="center" wrapText="1"/>
    </xf>
    <xf numFmtId="41" fontId="4" fillId="0" borderId="34" xfId="5" applyFont="1" applyFill="1" applyBorder="1" applyAlignment="1">
      <alignment vertical="center" wrapText="1"/>
    </xf>
    <xf numFmtId="0" fontId="11" fillId="0" borderId="34" xfId="33" applyFont="1" applyFill="1" applyBorder="1" applyAlignment="1">
      <alignment horizontal="left" vertical="center" wrapText="1"/>
    </xf>
    <xf numFmtId="4" fontId="11" fillId="0" borderId="34" xfId="33" applyNumberFormat="1" applyFont="1" applyFill="1" applyBorder="1" applyAlignment="1">
      <alignment vertical="center"/>
    </xf>
    <xf numFmtId="4" fontId="4" fillId="0" borderId="34" xfId="33" applyNumberFormat="1" applyFont="1" applyFill="1" applyBorder="1" applyAlignment="1">
      <alignment vertical="center"/>
    </xf>
    <xf numFmtId="4" fontId="11" fillId="0" borderId="34" xfId="0" applyNumberFormat="1" applyFont="1" applyFill="1" applyBorder="1" applyAlignment="1">
      <alignment vertical="center" wrapText="1"/>
    </xf>
    <xf numFmtId="4" fontId="4" fillId="0" borderId="34" xfId="2" applyNumberFormat="1" applyFont="1" applyFill="1" applyBorder="1" applyAlignment="1">
      <alignment horizontal="right" vertical="center"/>
    </xf>
    <xf numFmtId="39" fontId="4" fillId="0" borderId="34" xfId="0" applyNumberFormat="1" applyFont="1" applyFill="1" applyBorder="1" applyAlignment="1">
      <alignment horizontal="left" vertical="center" wrapText="1"/>
    </xf>
    <xf numFmtId="0" fontId="11" fillId="0" borderId="34" xfId="7" applyFont="1" applyFill="1" applyBorder="1" applyAlignment="1">
      <alignment horizontal="left" vertical="center" wrapText="1"/>
    </xf>
    <xf numFmtId="172" fontId="4" fillId="0" borderId="34" xfId="0" applyNumberFormat="1" applyFont="1" applyFill="1" applyBorder="1" applyAlignment="1">
      <alignment horizontal="left" vertical="center" wrapText="1"/>
    </xf>
    <xf numFmtId="172" fontId="4" fillId="0" borderId="34" xfId="0" applyNumberFormat="1" applyFont="1" applyFill="1" applyBorder="1" applyAlignment="1">
      <alignment vertical="center" wrapText="1"/>
    </xf>
    <xf numFmtId="172" fontId="11" fillId="0" borderId="34" xfId="0" applyNumberFormat="1" applyFont="1" applyFill="1" applyBorder="1" applyAlignment="1">
      <alignment horizontal="left" vertical="center" wrapText="1"/>
    </xf>
    <xf numFmtId="167" fontId="11" fillId="0" borderId="34" xfId="5" quotePrefix="1" applyNumberFormat="1" applyFont="1" applyFill="1" applyBorder="1" applyAlignment="1">
      <alignment horizontal="center" vertical="center"/>
    </xf>
    <xf numFmtId="167" fontId="11" fillId="0" borderId="34" xfId="5" applyNumberFormat="1" applyFont="1" applyFill="1" applyBorder="1" applyAlignment="1">
      <alignment horizontal="right" vertical="center"/>
    </xf>
    <xf numFmtId="167" fontId="4" fillId="0" borderId="34" xfId="5" applyNumberFormat="1" applyFont="1" applyFill="1" applyBorder="1" applyAlignment="1">
      <alignment horizontal="right" vertical="center"/>
    </xf>
    <xf numFmtId="41" fontId="11" fillId="0" borderId="34" xfId="2" applyFont="1" applyFill="1" applyBorder="1" applyAlignment="1">
      <alignment vertical="center"/>
    </xf>
    <xf numFmtId="170" fontId="4" fillId="0" borderId="34" xfId="2" applyNumberFormat="1" applyFont="1" applyFill="1" applyBorder="1" applyAlignment="1">
      <alignment vertical="center" wrapText="1"/>
    </xf>
    <xf numFmtId="49" fontId="11" fillId="0" borderId="34" xfId="3" applyNumberFormat="1" applyFont="1" applyFill="1" applyBorder="1" applyAlignment="1">
      <alignment vertical="center" wrapText="1"/>
    </xf>
    <xf numFmtId="0" fontId="11" fillId="0" borderId="34" xfId="0" applyFont="1" applyFill="1" applyBorder="1" applyAlignment="1">
      <alignment wrapText="1"/>
    </xf>
    <xf numFmtId="0" fontId="4" fillId="0" borderId="34" xfId="0" applyFont="1" applyFill="1" applyBorder="1" applyAlignment="1">
      <alignment wrapText="1"/>
    </xf>
    <xf numFmtId="167" fontId="4" fillId="0" borderId="34" xfId="5" applyNumberFormat="1" applyFont="1" applyFill="1" applyBorder="1" applyAlignment="1">
      <alignment vertical="center" wrapText="1"/>
    </xf>
    <xf numFmtId="0" fontId="11" fillId="0" borderId="34" xfId="33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top" wrapText="1"/>
    </xf>
    <xf numFmtId="0" fontId="4" fillId="0" borderId="34" xfId="0" applyFont="1" applyFill="1" applyBorder="1" applyAlignment="1">
      <alignment vertical="top" wrapText="1"/>
    </xf>
    <xf numFmtId="0" fontId="4" fillId="0" borderId="34" xfId="0" applyFont="1" applyFill="1" applyBorder="1" applyAlignment="1">
      <alignment horizontal="left" vertical="top" wrapText="1"/>
    </xf>
    <xf numFmtId="0" fontId="11" fillId="0" borderId="34" xfId="0" quotePrefix="1" applyFont="1" applyFill="1" applyBorder="1" applyAlignment="1">
      <alignment horizontal="left" vertical="top" wrapText="1"/>
    </xf>
    <xf numFmtId="0" fontId="11" fillId="0" borderId="34" xfId="0" applyFont="1" applyFill="1" applyBorder="1" applyAlignment="1">
      <alignment horizontal="left" vertical="top" wrapText="1"/>
    </xf>
    <xf numFmtId="0" fontId="11" fillId="0" borderId="34" xfId="0" quotePrefix="1" applyFont="1" applyFill="1" applyBorder="1" applyAlignment="1">
      <alignment vertical="top" wrapText="1"/>
    </xf>
    <xf numFmtId="167" fontId="11" fillId="0" borderId="34" xfId="5" applyNumberFormat="1" applyFont="1" applyFill="1" applyBorder="1" applyAlignment="1">
      <alignment horizontal="left" vertical="center"/>
    </xf>
    <xf numFmtId="167" fontId="4" fillId="0" borderId="34" xfId="5" applyNumberFormat="1" applyFont="1" applyFill="1" applyBorder="1" applyAlignment="1">
      <alignment horizontal="left" vertical="center"/>
    </xf>
    <xf numFmtId="168" fontId="11" fillId="0" borderId="34" xfId="0" applyNumberFormat="1" applyFont="1" applyFill="1" applyBorder="1" applyAlignment="1">
      <alignment vertical="center"/>
    </xf>
    <xf numFmtId="167" fontId="11" fillId="0" borderId="34" xfId="0" applyNumberFormat="1" applyFont="1" applyFill="1" applyBorder="1" applyAlignment="1">
      <alignment vertical="center"/>
    </xf>
    <xf numFmtId="168" fontId="4" fillId="0" borderId="34" xfId="0" applyNumberFormat="1" applyFont="1" applyFill="1" applyBorder="1" applyAlignment="1">
      <alignment vertical="center"/>
    </xf>
    <xf numFmtId="0" fontId="4" fillId="0" borderId="34" xfId="33" applyFont="1" applyFill="1" applyBorder="1" applyAlignment="1" applyProtection="1">
      <alignment vertical="center" wrapText="1"/>
      <protection locked="0"/>
    </xf>
    <xf numFmtId="0" fontId="11" fillId="0" borderId="34" xfId="35" applyFont="1" applyFill="1" applyBorder="1" applyAlignment="1">
      <alignment vertical="center" wrapText="1"/>
    </xf>
    <xf numFmtId="166" fontId="11" fillId="0" borderId="34" xfId="35" applyNumberFormat="1" applyFont="1" applyFill="1" applyBorder="1" applyAlignment="1">
      <alignment horizontal="right" vertical="center"/>
    </xf>
    <xf numFmtId="166" fontId="4" fillId="0" borderId="34" xfId="35" applyNumberFormat="1" applyFont="1" applyFill="1" applyBorder="1" applyAlignment="1">
      <alignment horizontal="right" vertical="center"/>
    </xf>
    <xf numFmtId="0" fontId="4" fillId="0" borderId="34" xfId="35" applyFont="1" applyFill="1" applyBorder="1" applyAlignment="1">
      <alignment vertical="center" wrapText="1"/>
    </xf>
    <xf numFmtId="167" fontId="11" fillId="0" borderId="34" xfId="5" applyNumberFormat="1" applyFont="1" applyFill="1" applyBorder="1" applyAlignment="1">
      <alignment horizontal="center" vertical="center"/>
    </xf>
    <xf numFmtId="41" fontId="11" fillId="0" borderId="34" xfId="5" applyFont="1" applyFill="1" applyBorder="1" applyAlignment="1">
      <alignment horizontal="right" vertical="center"/>
    </xf>
    <xf numFmtId="41" fontId="4" fillId="0" borderId="34" xfId="5" applyFont="1" applyFill="1" applyBorder="1" applyAlignment="1">
      <alignment horizontal="right" vertical="center"/>
    </xf>
    <xf numFmtId="0" fontId="11" fillId="0" borderId="34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40" xfId="0" applyNumberFormat="1" applyFont="1" applyFill="1" applyBorder="1" applyAlignment="1" applyProtection="1">
      <alignment vertical="center" wrapText="1"/>
    </xf>
    <xf numFmtId="167" fontId="11" fillId="0" borderId="39" xfId="2" applyNumberFormat="1" applyFont="1" applyFill="1" applyBorder="1" applyAlignment="1">
      <alignment vertical="center"/>
    </xf>
    <xf numFmtId="0" fontId="11" fillId="0" borderId="39" xfId="0" applyFont="1" applyFill="1" applyBorder="1" applyAlignment="1">
      <alignment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 wrapText="1"/>
    </xf>
    <xf numFmtId="41" fontId="4" fillId="0" borderId="26" xfId="2" applyFont="1" applyFill="1" applyBorder="1" applyAlignment="1">
      <alignment vertical="center"/>
    </xf>
    <xf numFmtId="43" fontId="11" fillId="0" borderId="26" xfId="1" applyNumberFormat="1" applyFont="1" applyFill="1" applyBorder="1" applyAlignment="1">
      <alignment vertical="center"/>
    </xf>
    <xf numFmtId="167" fontId="11" fillId="0" borderId="26" xfId="2" applyNumberFormat="1" applyFont="1" applyFill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11" fillId="0" borderId="0" xfId="0" quotePrefix="1" applyFont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11" fillId="0" borderId="0" xfId="0" quotePrefix="1" applyFont="1" applyAlignment="1">
      <alignment vertical="center"/>
    </xf>
    <xf numFmtId="4" fontId="4" fillId="4" borderId="0" xfId="0" applyNumberFormat="1" applyFont="1" applyFill="1" applyBorder="1" applyAlignment="1" applyProtection="1">
      <alignment vertical="center"/>
    </xf>
    <xf numFmtId="41" fontId="4" fillId="0" borderId="0" xfId="0" applyNumberFormat="1" applyFont="1" applyAlignment="1">
      <alignment vertical="center" wrapText="1"/>
    </xf>
    <xf numFmtId="41" fontId="4" fillId="0" borderId="0" xfId="2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41" fontId="9" fillId="0" borderId="0" xfId="2" applyFont="1" applyFill="1" applyBorder="1" applyAlignment="1">
      <alignment vertical="center"/>
    </xf>
    <xf numFmtId="167" fontId="4" fillId="0" borderId="0" xfId="2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 wrapText="1"/>
    </xf>
    <xf numFmtId="41" fontId="9" fillId="0" borderId="0" xfId="2" applyFont="1" applyFill="1" applyBorder="1" applyAlignment="1">
      <alignment horizontal="right" vertical="center"/>
    </xf>
    <xf numFmtId="167" fontId="4" fillId="0" borderId="0" xfId="2" applyNumberFormat="1" applyFont="1" applyFill="1" applyBorder="1" applyAlignment="1">
      <alignment horizontal="right" vertical="center"/>
    </xf>
    <xf numFmtId="41" fontId="9" fillId="0" borderId="0" xfId="2" applyFont="1" applyFill="1" applyBorder="1" applyAlignment="1">
      <alignment horizontal="left" vertical="center"/>
    </xf>
    <xf numFmtId="167" fontId="4" fillId="0" borderId="0" xfId="2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41" fontId="9" fillId="0" borderId="7" xfId="2" applyFont="1" applyFill="1" applyBorder="1" applyAlignment="1">
      <alignment horizontal="right" vertical="center"/>
    </xf>
    <xf numFmtId="167" fontId="4" fillId="0" borderId="7" xfId="2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41" fontId="10" fillId="0" borderId="19" xfId="2" applyFont="1" applyFill="1" applyBorder="1" applyAlignment="1">
      <alignment horizontal="center" vertical="center" wrapText="1"/>
    </xf>
    <xf numFmtId="167" fontId="11" fillId="0" borderId="19" xfId="2" applyNumberFormat="1" applyFont="1" applyFill="1" applyBorder="1" applyAlignment="1">
      <alignment horizontal="center" vertical="center" wrapText="1"/>
    </xf>
    <xf numFmtId="167" fontId="10" fillId="0" borderId="19" xfId="2" applyNumberFormat="1" applyFont="1" applyFill="1" applyBorder="1" applyAlignment="1">
      <alignment horizontal="center" vertical="center" wrapText="1"/>
    </xf>
    <xf numFmtId="0" fontId="10" fillId="0" borderId="26" xfId="0" quotePrefix="1" applyFont="1" applyFill="1" applyBorder="1" applyAlignment="1">
      <alignment horizontal="center" vertical="center"/>
    </xf>
    <xf numFmtId="0" fontId="10" fillId="0" borderId="26" xfId="0" quotePrefix="1" applyFont="1" applyFill="1" applyBorder="1" applyAlignment="1">
      <alignment horizontal="center" vertical="center" wrapText="1"/>
    </xf>
    <xf numFmtId="41" fontId="10" fillId="0" borderId="26" xfId="2" quotePrefix="1" applyFont="1" applyFill="1" applyBorder="1" applyAlignment="1">
      <alignment horizontal="center" vertical="center"/>
    </xf>
    <xf numFmtId="167" fontId="11" fillId="0" borderId="26" xfId="2" quotePrefix="1" applyNumberFormat="1" applyFont="1" applyFill="1" applyBorder="1" applyAlignment="1">
      <alignment horizontal="center" vertical="center"/>
    </xf>
    <xf numFmtId="49" fontId="10" fillId="0" borderId="26" xfId="0" applyNumberFormat="1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left" vertical="center" wrapText="1"/>
    </xf>
    <xf numFmtId="167" fontId="10" fillId="0" borderId="43" xfId="2" applyNumberFormat="1" applyFont="1" applyFill="1" applyBorder="1" applyAlignment="1">
      <alignment vertical="center"/>
    </xf>
    <xf numFmtId="167" fontId="11" fillId="0" borderId="43" xfId="2" applyNumberFormat="1" applyFont="1" applyFill="1" applyBorder="1" applyAlignment="1">
      <alignment vertical="center"/>
    </xf>
    <xf numFmtId="0" fontId="10" fillId="0" borderId="43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34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vertical="center" wrapText="1"/>
    </xf>
    <xf numFmtId="165" fontId="0" fillId="0" borderId="34" xfId="2" applyNumberFormat="1" applyFont="1" applyFill="1" applyBorder="1" applyAlignment="1">
      <alignment vertical="center"/>
    </xf>
    <xf numFmtId="167" fontId="10" fillId="0" borderId="34" xfId="2" applyNumberFormat="1" applyFont="1" applyFill="1" applyBorder="1" applyAlignment="1">
      <alignment vertical="center"/>
    </xf>
    <xf numFmtId="0" fontId="10" fillId="0" borderId="34" xfId="0" applyFont="1" applyFill="1" applyBorder="1" applyAlignment="1">
      <alignment vertical="center"/>
    </xf>
    <xf numFmtId="0" fontId="9" fillId="0" borderId="34" xfId="0" applyFont="1" applyFill="1" applyBorder="1" applyAlignment="1">
      <alignment horizontal="center" vertical="center"/>
    </xf>
    <xf numFmtId="41" fontId="9" fillId="0" borderId="34" xfId="2" applyFont="1" applyFill="1" applyBorder="1" applyAlignment="1">
      <alignment horizontal="left" vertical="center"/>
    </xf>
    <xf numFmtId="167" fontId="9" fillId="0" borderId="34" xfId="2" applyNumberFormat="1" applyFont="1" applyFill="1" applyBorder="1" applyAlignment="1">
      <alignment vertical="center"/>
    </xf>
    <xf numFmtId="0" fontId="9" fillId="0" borderId="34" xfId="0" applyFont="1" applyFill="1" applyBorder="1" applyAlignment="1">
      <alignment vertical="center"/>
    </xf>
    <xf numFmtId="0" fontId="10" fillId="0" borderId="34" xfId="0" applyFont="1" applyFill="1" applyBorder="1" applyAlignment="1">
      <alignment horizontal="left" vertical="center" wrapText="1"/>
    </xf>
    <xf numFmtId="167" fontId="14" fillId="0" borderId="34" xfId="2" applyNumberFormat="1" applyFont="1" applyFill="1" applyBorder="1" applyAlignment="1">
      <alignment vertical="center"/>
    </xf>
    <xf numFmtId="41" fontId="10" fillId="0" borderId="34" xfId="4" applyFont="1" applyFill="1" applyBorder="1" applyAlignment="1">
      <alignment vertical="center" wrapText="1"/>
    </xf>
    <xf numFmtId="168" fontId="10" fillId="0" borderId="34" xfId="1" applyNumberFormat="1" applyFont="1" applyFill="1" applyBorder="1" applyAlignment="1">
      <alignment horizontal="left" vertical="center"/>
    </xf>
    <xf numFmtId="0" fontId="10" fillId="0" borderId="34" xfId="0" applyFont="1" applyFill="1" applyBorder="1" applyAlignment="1">
      <alignment vertical="center" wrapText="1"/>
    </xf>
    <xf numFmtId="39" fontId="9" fillId="0" borderId="34" xfId="0" applyNumberFormat="1" applyFont="1" applyFill="1" applyBorder="1" applyAlignment="1">
      <alignment vertical="center"/>
    </xf>
    <xf numFmtId="0" fontId="9" fillId="0" borderId="34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horizontal="left" vertical="center" wrapText="1"/>
    </xf>
    <xf numFmtId="168" fontId="9" fillId="0" borderId="34" xfId="1" applyNumberFormat="1" applyFont="1" applyFill="1" applyBorder="1" applyAlignment="1">
      <alignment vertical="center"/>
    </xf>
    <xf numFmtId="43" fontId="4" fillId="0" borderId="34" xfId="1" applyNumberFormat="1" applyFont="1" applyFill="1" applyBorder="1" applyAlignment="1">
      <alignment vertical="center"/>
    </xf>
    <xf numFmtId="41" fontId="9" fillId="0" borderId="34" xfId="2" applyFont="1" applyFill="1" applyBorder="1" applyAlignment="1">
      <alignment vertical="center"/>
    </xf>
    <xf numFmtId="49" fontId="10" fillId="0" borderId="34" xfId="0" applyNumberFormat="1" applyFont="1" applyFill="1" applyBorder="1" applyAlignment="1">
      <alignment horizontal="center" vertical="center"/>
    </xf>
    <xf numFmtId="41" fontId="11" fillId="0" borderId="34" xfId="4" applyFont="1" applyFill="1" applyBorder="1" applyAlignment="1">
      <alignment horizontal="left" vertical="center" wrapText="1"/>
    </xf>
    <xf numFmtId="168" fontId="11" fillId="0" borderId="34" xfId="1" applyNumberFormat="1" applyFont="1" applyFill="1" applyBorder="1" applyAlignment="1">
      <alignment horizontal="right" vertical="center"/>
    </xf>
    <xf numFmtId="43" fontId="11" fillId="0" borderId="34" xfId="1" applyNumberFormat="1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left" vertical="center" wrapText="1"/>
    </xf>
    <xf numFmtId="41" fontId="0" fillId="0" borderId="34" xfId="5" applyFont="1" applyFill="1" applyBorder="1" applyAlignment="1">
      <alignment vertical="center"/>
    </xf>
    <xf numFmtId="49" fontId="12" fillId="0" borderId="34" xfId="5" applyNumberFormat="1" applyFont="1" applyFill="1" applyBorder="1" applyAlignment="1">
      <alignment horizontal="left" vertical="center" wrapText="1"/>
    </xf>
    <xf numFmtId="41" fontId="12" fillId="0" borderId="34" xfId="5" applyFont="1" applyFill="1" applyBorder="1" applyAlignment="1">
      <alignment vertical="center"/>
    </xf>
    <xf numFmtId="41" fontId="10" fillId="0" borderId="34" xfId="4" applyFont="1" applyFill="1" applyBorder="1" applyAlignment="1">
      <alignment horizontal="left" vertical="center" wrapText="1"/>
    </xf>
    <xf numFmtId="168" fontId="10" fillId="0" borderId="34" xfId="1" applyNumberFormat="1" applyFont="1" applyFill="1" applyBorder="1" applyAlignment="1">
      <alignment horizontal="right" vertical="center"/>
    </xf>
    <xf numFmtId="41" fontId="10" fillId="0" borderId="34" xfId="4" applyFont="1" applyFill="1" applyBorder="1" applyAlignment="1">
      <alignment horizontal="right" vertical="center"/>
    </xf>
    <xf numFmtId="43" fontId="4" fillId="0" borderId="34" xfId="1" applyNumberFormat="1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vertical="center" wrapText="1"/>
    </xf>
    <xf numFmtId="0" fontId="10" fillId="0" borderId="34" xfId="36" applyNumberFormat="1" applyFont="1" applyFill="1" applyBorder="1" applyAlignment="1">
      <alignment horizontal="left" vertical="center" wrapText="1"/>
    </xf>
    <xf numFmtId="168" fontId="10" fillId="0" borderId="34" xfId="1" applyNumberFormat="1" applyFont="1" applyFill="1" applyBorder="1" applyAlignment="1">
      <alignment horizontal="right" vertical="center" wrapText="1"/>
    </xf>
    <xf numFmtId="41" fontId="11" fillId="0" borderId="34" xfId="4" applyFont="1" applyFill="1" applyBorder="1" applyAlignment="1" applyProtection="1">
      <alignment horizontal="right" vertical="center" wrapText="1"/>
      <protection locked="0"/>
    </xf>
    <xf numFmtId="39" fontId="10" fillId="0" borderId="34" xfId="0" applyNumberFormat="1" applyFont="1" applyFill="1" applyBorder="1" applyAlignment="1">
      <alignment horizontal="right" vertical="center"/>
    </xf>
    <xf numFmtId="39" fontId="10" fillId="0" borderId="34" xfId="0" applyNumberFormat="1" applyFont="1" applyFill="1" applyBorder="1" applyAlignment="1">
      <alignment vertical="center"/>
    </xf>
    <xf numFmtId="167" fontId="9" fillId="0" borderId="34" xfId="2" applyNumberFormat="1" applyFont="1" applyFill="1" applyBorder="1" applyAlignment="1">
      <alignment horizontal="left" vertical="center"/>
    </xf>
    <xf numFmtId="168" fontId="11" fillId="0" borderId="34" xfId="1" applyNumberFormat="1" applyFont="1" applyFill="1" applyBorder="1" applyAlignment="1">
      <alignment horizontal="right" vertical="center" wrapText="1"/>
    </xf>
    <xf numFmtId="43" fontId="4" fillId="0" borderId="34" xfId="1" applyNumberFormat="1" applyFont="1" applyFill="1" applyBorder="1" applyAlignment="1">
      <alignment horizontal="center" vertical="center" wrapText="1"/>
    </xf>
    <xf numFmtId="168" fontId="12" fillId="0" borderId="34" xfId="1" applyNumberFormat="1" applyFont="1" applyFill="1" applyBorder="1" applyAlignment="1">
      <alignment vertical="center"/>
    </xf>
    <xf numFmtId="168" fontId="0" fillId="0" borderId="34" xfId="1" applyNumberFormat="1" applyFont="1" applyFill="1" applyBorder="1" applyAlignment="1">
      <alignment vertical="center"/>
    </xf>
    <xf numFmtId="41" fontId="12" fillId="0" borderId="34" xfId="5" applyFont="1" applyFill="1" applyBorder="1" applyAlignment="1">
      <alignment vertical="center" wrapText="1"/>
    </xf>
    <xf numFmtId="4" fontId="10" fillId="0" borderId="34" xfId="0" applyNumberFormat="1" applyFont="1" applyFill="1" applyBorder="1" applyAlignment="1">
      <alignment vertical="center"/>
    </xf>
    <xf numFmtId="2" fontId="12" fillId="0" borderId="34" xfId="0" applyNumberFormat="1" applyFont="1" applyFill="1" applyBorder="1" applyAlignment="1">
      <alignment horizontal="right" vertical="center"/>
    </xf>
    <xf numFmtId="41" fontId="11" fillId="0" borderId="34" xfId="4" applyFont="1" applyFill="1" applyBorder="1" applyAlignment="1">
      <alignment horizontal="right" vertical="center"/>
    </xf>
    <xf numFmtId="4" fontId="9" fillId="0" borderId="34" xfId="0" applyNumberFormat="1" applyFont="1" applyFill="1" applyBorder="1" applyAlignment="1">
      <alignment vertical="center"/>
    </xf>
    <xf numFmtId="49" fontId="10" fillId="0" borderId="34" xfId="0" applyNumberFormat="1" applyFont="1" applyFill="1" applyBorder="1" applyAlignment="1">
      <alignment horizontal="center" vertical="center" wrapText="1"/>
    </xf>
    <xf numFmtId="49" fontId="12" fillId="0" borderId="34" xfId="0" applyNumberFormat="1" applyFont="1" applyFill="1" applyBorder="1" applyAlignment="1">
      <alignment vertical="center" wrapText="1"/>
    </xf>
    <xf numFmtId="0" fontId="9" fillId="0" borderId="34" xfId="0" quotePrefix="1" applyFont="1" applyFill="1" applyBorder="1" applyAlignment="1">
      <alignment vertical="center" wrapText="1"/>
    </xf>
    <xf numFmtId="168" fontId="10" fillId="0" borderId="34" xfId="1" applyNumberFormat="1" applyFont="1" applyFill="1" applyBorder="1" applyAlignment="1">
      <alignment vertical="center"/>
    </xf>
    <xf numFmtId="0" fontId="10" fillId="0" borderId="34" xfId="0" quotePrefix="1" applyFont="1" applyFill="1" applyBorder="1" applyAlignment="1">
      <alignment horizontal="left" vertical="center" wrapText="1"/>
    </xf>
    <xf numFmtId="168" fontId="10" fillId="0" borderId="34" xfId="1" quotePrefix="1" applyNumberFormat="1" applyFont="1" applyFill="1" applyBorder="1" applyAlignment="1">
      <alignment horizontal="center" vertical="center"/>
    </xf>
    <xf numFmtId="43" fontId="10" fillId="0" borderId="34" xfId="8" applyFont="1" applyFill="1" applyBorder="1" applyAlignment="1">
      <alignment horizontal="right" vertical="center" wrapText="1"/>
    </xf>
    <xf numFmtId="168" fontId="4" fillId="0" borderId="34" xfId="1" applyNumberFormat="1" applyFont="1" applyFill="1" applyBorder="1" applyAlignment="1" applyProtection="1">
      <alignment horizontal="right" vertical="center"/>
    </xf>
    <xf numFmtId="168" fontId="11" fillId="0" borderId="34" xfId="1" applyNumberFormat="1" applyFont="1" applyFill="1" applyBorder="1" applyAlignment="1" applyProtection="1">
      <alignment horizontal="right" vertical="center"/>
    </xf>
    <xf numFmtId="43" fontId="12" fillId="0" borderId="34" xfId="8" applyFont="1" applyFill="1" applyBorder="1" applyAlignment="1">
      <alignment vertical="center"/>
    </xf>
    <xf numFmtId="43" fontId="0" fillId="0" borderId="34" xfId="8" applyFont="1" applyFill="1" applyBorder="1" applyAlignment="1">
      <alignment vertical="center"/>
    </xf>
    <xf numFmtId="0" fontId="11" fillId="0" borderId="34" xfId="0" applyFont="1" applyFill="1" applyBorder="1" applyAlignment="1" applyProtection="1">
      <alignment horizontal="left" vertical="center" wrapText="1"/>
      <protection locked="0"/>
    </xf>
    <xf numFmtId="0" fontId="4" fillId="0" borderId="34" xfId="0" applyFont="1" applyFill="1" applyBorder="1" applyAlignment="1" applyProtection="1">
      <alignment horizontal="left" vertical="center" wrapText="1"/>
      <protection locked="0"/>
    </xf>
    <xf numFmtId="43" fontId="11" fillId="0" borderId="34" xfId="1" applyNumberFormat="1" applyFont="1" applyFill="1" applyBorder="1" applyAlignment="1">
      <alignment horizontal="left" vertical="center"/>
    </xf>
    <xf numFmtId="0" fontId="10" fillId="0" borderId="34" xfId="9" applyFont="1" applyFill="1" applyBorder="1" applyAlignment="1">
      <alignment horizontal="left" vertical="center" wrapText="1"/>
    </xf>
    <xf numFmtId="43" fontId="10" fillId="0" borderId="34" xfId="1" applyNumberFormat="1" applyFont="1" applyFill="1" applyBorder="1" applyAlignment="1">
      <alignment vertical="center"/>
    </xf>
    <xf numFmtId="0" fontId="9" fillId="0" borderId="34" xfId="9" applyFont="1" applyFill="1" applyBorder="1" applyAlignment="1">
      <alignment vertical="center" wrapText="1"/>
    </xf>
    <xf numFmtId="43" fontId="10" fillId="0" borderId="34" xfId="1" applyFont="1" applyFill="1" applyBorder="1" applyAlignment="1">
      <alignment vertical="center"/>
    </xf>
    <xf numFmtId="0" fontId="9" fillId="0" borderId="34" xfId="9" applyFont="1" applyFill="1" applyBorder="1" applyAlignment="1">
      <alignment horizontal="left" vertical="center" wrapText="1"/>
    </xf>
    <xf numFmtId="43" fontId="9" fillId="0" borderId="34" xfId="1" applyFont="1" applyFill="1" applyBorder="1" applyAlignment="1">
      <alignment vertical="center"/>
    </xf>
    <xf numFmtId="0" fontId="11" fillId="0" borderId="34" xfId="9" applyFont="1" applyFill="1" applyBorder="1" applyAlignment="1">
      <alignment horizontal="left" vertical="center" wrapText="1"/>
    </xf>
    <xf numFmtId="0" fontId="4" fillId="0" borderId="34" xfId="9" applyFont="1" applyFill="1" applyBorder="1" applyAlignment="1">
      <alignment horizontal="left" vertical="center" wrapText="1"/>
    </xf>
    <xf numFmtId="167" fontId="10" fillId="0" borderId="34" xfId="2" applyNumberFormat="1" applyFont="1" applyFill="1" applyBorder="1" applyAlignment="1">
      <alignment horizontal="left" vertical="center"/>
    </xf>
    <xf numFmtId="167" fontId="12" fillId="0" borderId="34" xfId="5" applyNumberFormat="1" applyFont="1" applyFill="1" applyBorder="1" applyAlignment="1">
      <alignment horizontal="left" vertical="center" indent="1"/>
    </xf>
    <xf numFmtId="0" fontId="0" fillId="0" borderId="34" xfId="0" quotePrefix="1" applyFont="1" applyFill="1" applyBorder="1" applyAlignment="1">
      <alignment horizontal="left" vertical="center" wrapText="1"/>
    </xf>
    <xf numFmtId="167" fontId="0" fillId="0" borderId="34" xfId="5" applyNumberFormat="1" applyFont="1" applyFill="1" applyBorder="1" applyAlignment="1">
      <alignment horizontal="left" vertical="center" indent="1"/>
    </xf>
    <xf numFmtId="0" fontId="0" fillId="0" borderId="34" xfId="0" quotePrefix="1" applyFont="1" applyFill="1" applyBorder="1" applyAlignment="1">
      <alignment horizontal="left" vertical="center"/>
    </xf>
    <xf numFmtId="0" fontId="12" fillId="0" borderId="34" xfId="0" quotePrefix="1" applyFont="1" applyFill="1" applyBorder="1" applyAlignment="1">
      <alignment horizontal="left" vertical="center" wrapText="1"/>
    </xf>
    <xf numFmtId="167" fontId="12" fillId="0" borderId="34" xfId="2" applyNumberFormat="1" applyFont="1" applyFill="1" applyBorder="1" applyAlignment="1">
      <alignment vertical="center" wrapText="1"/>
    </xf>
    <xf numFmtId="167" fontId="0" fillId="0" borderId="34" xfId="2" applyNumberFormat="1" applyFont="1" applyFill="1" applyBorder="1" applyAlignment="1">
      <alignment vertical="center" wrapText="1"/>
    </xf>
    <xf numFmtId="4" fontId="12" fillId="0" borderId="34" xfId="0" applyNumberFormat="1" applyFont="1" applyFill="1" applyBorder="1" applyAlignment="1">
      <alignment horizontal="right" vertical="center" wrapText="1"/>
    </xf>
    <xf numFmtId="0" fontId="11" fillId="0" borderId="34" xfId="11" applyFont="1" applyFill="1" applyBorder="1" applyAlignment="1">
      <alignment horizontal="left" vertical="center" wrapText="1"/>
    </xf>
    <xf numFmtId="0" fontId="4" fillId="0" borderId="34" xfId="11" applyFont="1" applyFill="1" applyBorder="1" applyAlignment="1">
      <alignment horizontal="left" vertical="center" wrapText="1"/>
    </xf>
    <xf numFmtId="0" fontId="11" fillId="0" borderId="34" xfId="37" applyFont="1" applyFill="1" applyBorder="1" applyAlignment="1">
      <alignment horizontal="left" vertical="center" wrapText="1"/>
    </xf>
    <xf numFmtId="0" fontId="26" fillId="0" borderId="34" xfId="0" applyFont="1" applyFill="1" applyBorder="1" applyAlignment="1">
      <alignment vertical="center" wrapText="1"/>
    </xf>
    <xf numFmtId="41" fontId="26" fillId="0" borderId="34" xfId="2" applyFont="1" applyFill="1" applyBorder="1" applyAlignment="1">
      <alignment horizontal="right" vertical="center"/>
    </xf>
    <xf numFmtId="41" fontId="10" fillId="0" borderId="34" xfId="2" applyFont="1" applyFill="1" applyBorder="1" applyAlignment="1">
      <alignment horizontal="left" vertical="center"/>
    </xf>
    <xf numFmtId="0" fontId="27" fillId="0" borderId="34" xfId="0" applyFont="1" applyFill="1" applyBorder="1" applyAlignment="1">
      <alignment vertical="center" wrapText="1"/>
    </xf>
    <xf numFmtId="41" fontId="27" fillId="0" borderId="34" xfId="2" applyFont="1" applyFill="1" applyBorder="1" applyAlignment="1">
      <alignment horizontal="right" vertical="center"/>
    </xf>
    <xf numFmtId="171" fontId="27" fillId="0" borderId="34" xfId="2" applyNumberFormat="1" applyFont="1" applyFill="1" applyBorder="1" applyAlignment="1">
      <alignment horizontal="right" vertical="center"/>
    </xf>
    <xf numFmtId="167" fontId="9" fillId="0" borderId="34" xfId="38" applyNumberFormat="1" applyFont="1" applyFill="1" applyBorder="1" applyAlignment="1">
      <alignment vertical="center"/>
    </xf>
    <xf numFmtId="41" fontId="26" fillId="0" borderId="34" xfId="5" applyFont="1" applyFill="1" applyBorder="1" applyAlignment="1">
      <alignment vertical="center" wrapText="1"/>
    </xf>
    <xf numFmtId="43" fontId="26" fillId="0" borderId="34" xfId="8" applyNumberFormat="1" applyFont="1" applyFill="1" applyBorder="1" applyAlignment="1">
      <alignment vertical="center" wrapText="1"/>
    </xf>
    <xf numFmtId="41" fontId="27" fillId="0" borderId="34" xfId="5" applyFont="1" applyFill="1" applyBorder="1" applyAlignment="1">
      <alignment vertical="center" wrapText="1"/>
    </xf>
    <xf numFmtId="43" fontId="27" fillId="0" borderId="34" xfId="8" applyNumberFormat="1" applyFont="1" applyFill="1" applyBorder="1" applyAlignment="1">
      <alignment vertical="center" wrapText="1"/>
    </xf>
    <xf numFmtId="41" fontId="14" fillId="0" borderId="34" xfId="2" applyFont="1" applyFill="1" applyBorder="1" applyAlignment="1">
      <alignment horizontal="left" vertical="center"/>
    </xf>
    <xf numFmtId="41" fontId="11" fillId="0" borderId="34" xfId="4" quotePrefix="1" applyFont="1" applyFill="1" applyBorder="1" applyAlignment="1">
      <alignment horizontal="right" vertical="center" wrapText="1"/>
    </xf>
    <xf numFmtId="41" fontId="12" fillId="0" borderId="34" xfId="5" quotePrefix="1" applyFont="1" applyFill="1" applyBorder="1" applyAlignment="1">
      <alignment horizontal="center" vertical="center"/>
    </xf>
    <xf numFmtId="41" fontId="0" fillId="0" borderId="34" xfId="5" quotePrefix="1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left" vertical="center" wrapText="1"/>
    </xf>
    <xf numFmtId="43" fontId="12" fillId="0" borderId="34" xfId="0" applyNumberFormat="1" applyFont="1" applyFill="1" applyBorder="1" applyAlignment="1">
      <alignment vertical="center" wrapText="1"/>
    </xf>
    <xf numFmtId="43" fontId="12" fillId="0" borderId="34" xfId="8" applyFont="1" applyFill="1" applyBorder="1" applyAlignment="1">
      <alignment vertical="center" wrapText="1"/>
    </xf>
    <xf numFmtId="43" fontId="0" fillId="0" borderId="34" xfId="8" applyFont="1" applyFill="1" applyBorder="1" applyAlignment="1">
      <alignment vertical="center" wrapText="1"/>
    </xf>
    <xf numFmtId="0" fontId="10" fillId="0" borderId="34" xfId="37" applyFont="1" applyFill="1" applyBorder="1" applyAlignment="1">
      <alignment horizontal="left" vertical="center" wrapText="1"/>
    </xf>
    <xf numFmtId="43" fontId="11" fillId="0" borderId="34" xfId="1" applyNumberFormat="1" applyFont="1" applyFill="1" applyBorder="1" applyAlignment="1">
      <alignment vertical="center" wrapText="1"/>
    </xf>
    <xf numFmtId="41" fontId="10" fillId="0" borderId="34" xfId="2" applyFont="1" applyFill="1" applyBorder="1" applyAlignment="1">
      <alignment vertical="center"/>
    </xf>
    <xf numFmtId="170" fontId="10" fillId="0" borderId="34" xfId="2" applyNumberFormat="1" applyFont="1" applyFill="1" applyBorder="1" applyAlignment="1">
      <alignment vertical="center"/>
    </xf>
    <xf numFmtId="170" fontId="9" fillId="0" borderId="34" xfId="2" applyNumberFormat="1" applyFont="1" applyFill="1" applyBorder="1" applyAlignment="1">
      <alignment vertical="center"/>
    </xf>
    <xf numFmtId="49" fontId="10" fillId="0" borderId="34" xfId="39" applyNumberFormat="1" applyFont="1" applyFill="1" applyBorder="1" applyAlignment="1">
      <alignment horizontal="left" vertical="center" wrapText="1"/>
    </xf>
    <xf numFmtId="41" fontId="11" fillId="0" borderId="34" xfId="40" applyFont="1" applyFill="1" applyBorder="1" applyAlignment="1">
      <alignment horizontal="right" vertical="center"/>
    </xf>
    <xf numFmtId="0" fontId="12" fillId="0" borderId="34" xfId="0" applyFont="1" applyFill="1" applyBorder="1" applyAlignment="1">
      <alignment wrapText="1"/>
    </xf>
    <xf numFmtId="4" fontId="28" fillId="0" borderId="34" xfId="0" applyNumberFormat="1" applyFont="1" applyFill="1" applyBorder="1" applyAlignment="1">
      <alignment horizontal="center" vertical="center" wrapText="1"/>
    </xf>
    <xf numFmtId="4" fontId="28" fillId="0" borderId="34" xfId="0" applyNumberFormat="1" applyFont="1" applyFill="1" applyBorder="1" applyAlignment="1">
      <alignment wrapText="1"/>
    </xf>
    <xf numFmtId="0" fontId="0" fillId="0" borderId="34" xfId="0" applyFont="1" applyFill="1" applyBorder="1" applyAlignment="1">
      <alignment wrapText="1"/>
    </xf>
    <xf numFmtId="4" fontId="29" fillId="0" borderId="34" xfId="0" applyNumberFormat="1" applyFont="1" applyFill="1" applyBorder="1" applyAlignment="1">
      <alignment wrapText="1"/>
    </xf>
    <xf numFmtId="49" fontId="9" fillId="0" borderId="34" xfId="39" applyNumberFormat="1" applyFont="1" applyFill="1" applyBorder="1" applyAlignment="1">
      <alignment horizontal="left" vertical="center" wrapText="1"/>
    </xf>
    <xf numFmtId="168" fontId="9" fillId="0" borderId="34" xfId="1" applyNumberFormat="1" applyFont="1" applyFill="1" applyBorder="1" applyAlignment="1">
      <alignment vertical="center" wrapText="1"/>
    </xf>
    <xf numFmtId="167" fontId="11" fillId="0" borderId="34" xfId="38" applyNumberFormat="1" applyFont="1" applyFill="1" applyBorder="1" applyAlignment="1">
      <alignment horizontal="left" vertical="center" wrapText="1"/>
    </xf>
    <xf numFmtId="168" fontId="11" fillId="0" borderId="34" xfId="1" applyNumberFormat="1" applyFont="1" applyFill="1" applyBorder="1" applyAlignment="1">
      <alignment horizontal="left" vertical="center"/>
    </xf>
    <xf numFmtId="167" fontId="12" fillId="0" borderId="34" xfId="5" applyNumberFormat="1" applyFont="1" applyFill="1" applyBorder="1" applyAlignment="1">
      <alignment vertical="center"/>
    </xf>
    <xf numFmtId="167" fontId="0" fillId="0" borderId="34" xfId="5" applyNumberFormat="1" applyFont="1" applyFill="1" applyBorder="1" applyAlignment="1">
      <alignment vertical="center"/>
    </xf>
    <xf numFmtId="41" fontId="12" fillId="0" borderId="34" xfId="5" applyFont="1" applyFill="1" applyBorder="1" applyAlignment="1">
      <alignment horizontal="left" vertical="center"/>
    </xf>
    <xf numFmtId="41" fontId="0" fillId="0" borderId="34" xfId="5" applyFont="1" applyFill="1" applyBorder="1" applyAlignment="1">
      <alignment horizontal="left" vertical="center"/>
    </xf>
    <xf numFmtId="41" fontId="10" fillId="0" borderId="34" xfId="38" applyFont="1" applyFill="1" applyBorder="1" applyAlignment="1">
      <alignment horizontal="right" vertical="center"/>
    </xf>
    <xf numFmtId="41" fontId="9" fillId="0" borderId="34" xfId="38" applyNumberFormat="1" applyFont="1" applyFill="1" applyBorder="1" applyAlignment="1">
      <alignment vertical="center"/>
    </xf>
    <xf numFmtId="41" fontId="11" fillId="0" borderId="34" xfId="38" applyFont="1" applyFill="1" applyBorder="1" applyAlignment="1">
      <alignment horizontal="right" vertical="center"/>
    </xf>
    <xf numFmtId="168" fontId="12" fillId="0" borderId="34" xfId="0" applyNumberFormat="1" applyFont="1" applyFill="1" applyBorder="1" applyAlignment="1">
      <alignment vertical="center"/>
    </xf>
    <xf numFmtId="4" fontId="12" fillId="0" borderId="34" xfId="0" applyNumberFormat="1" applyFont="1" applyFill="1" applyBorder="1" applyAlignment="1">
      <alignment vertical="center"/>
    </xf>
    <xf numFmtId="43" fontId="11" fillId="0" borderId="34" xfId="35" applyNumberFormat="1" applyFont="1" applyFill="1" applyBorder="1" applyAlignment="1">
      <alignment horizontal="right" vertical="center"/>
    </xf>
    <xf numFmtId="43" fontId="4" fillId="0" borderId="34" xfId="35" applyNumberFormat="1" applyFont="1" applyFill="1" applyBorder="1" applyAlignment="1">
      <alignment horizontal="right" vertical="center"/>
    </xf>
    <xf numFmtId="0" fontId="4" fillId="0" borderId="34" xfId="35" applyFont="1" applyFill="1" applyBorder="1" applyAlignment="1">
      <alignment horizontal="left" vertical="center" wrapText="1"/>
    </xf>
    <xf numFmtId="0" fontId="11" fillId="0" borderId="34" xfId="35" applyFont="1" applyFill="1" applyBorder="1" applyAlignment="1">
      <alignment horizontal="left" vertical="center" wrapText="1"/>
    </xf>
    <xf numFmtId="43" fontId="11" fillId="0" borderId="34" xfId="35" applyNumberFormat="1" applyFont="1" applyFill="1" applyBorder="1" applyAlignment="1">
      <alignment horizontal="left" vertical="center"/>
    </xf>
    <xf numFmtId="49" fontId="10" fillId="0" borderId="34" xfId="0" applyNumberFormat="1" applyFont="1" applyFill="1" applyBorder="1" applyAlignment="1">
      <alignment horizontal="left" vertical="center" wrapText="1"/>
    </xf>
    <xf numFmtId="41" fontId="12" fillId="0" borderId="34" xfId="5" applyFont="1" applyFill="1" applyBorder="1" applyAlignment="1">
      <alignment horizontal="right" vertical="center"/>
    </xf>
    <xf numFmtId="41" fontId="0" fillId="0" borderId="34" xfId="5" applyFont="1" applyFill="1" applyBorder="1" applyAlignment="1">
      <alignment horizontal="right" vertical="center"/>
    </xf>
    <xf numFmtId="0" fontId="10" fillId="0" borderId="34" xfId="0" applyNumberFormat="1" applyFont="1" applyFill="1" applyBorder="1" applyAlignment="1" applyProtection="1">
      <alignment vertical="center" wrapText="1"/>
    </xf>
    <xf numFmtId="4" fontId="10" fillId="0" borderId="34" xfId="0" applyNumberFormat="1" applyFont="1" applyFill="1" applyBorder="1" applyAlignment="1" applyProtection="1">
      <alignment horizontal="right" vertical="center"/>
    </xf>
    <xf numFmtId="4" fontId="9" fillId="0" borderId="34" xfId="0" applyNumberFormat="1" applyFont="1" applyFill="1" applyBorder="1" applyAlignment="1" applyProtection="1">
      <alignment horizontal="right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vertical="center" wrapText="1"/>
    </xf>
    <xf numFmtId="168" fontId="9" fillId="0" borderId="39" xfId="1" applyNumberFormat="1" applyFont="1" applyFill="1" applyBorder="1" applyAlignment="1">
      <alignment vertical="center"/>
    </xf>
    <xf numFmtId="41" fontId="9" fillId="0" borderId="39" xfId="2" applyFont="1" applyFill="1" applyBorder="1" applyAlignment="1">
      <alignment vertical="center"/>
    </xf>
    <xf numFmtId="43" fontId="4" fillId="0" borderId="39" xfId="1" applyNumberFormat="1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horizontal="right" vertical="center" wrapText="1"/>
    </xf>
    <xf numFmtId="168" fontId="10" fillId="0" borderId="24" xfId="1" applyNumberFormat="1" applyFont="1" applyFill="1" applyBorder="1" applyAlignment="1">
      <alignment vertical="center"/>
    </xf>
    <xf numFmtId="167" fontId="10" fillId="0" borderId="24" xfId="2" applyNumberFormat="1" applyFont="1" applyFill="1" applyBorder="1" applyAlignment="1">
      <alignment vertical="center"/>
    </xf>
    <xf numFmtId="43" fontId="11" fillId="0" borderId="24" xfId="1" applyNumberFormat="1" applyFont="1" applyFill="1" applyBorder="1" applyAlignment="1">
      <alignment vertical="center"/>
    </xf>
    <xf numFmtId="0" fontId="10" fillId="0" borderId="24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41" fontId="9" fillId="0" borderId="0" xfId="2" applyFont="1" applyFill="1" applyAlignment="1">
      <alignment vertical="center"/>
    </xf>
    <xf numFmtId="167" fontId="4" fillId="0" borderId="0" xfId="2" applyNumberFormat="1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41" fontId="4" fillId="0" borderId="0" xfId="2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 wrapText="1"/>
    </xf>
    <xf numFmtId="167" fontId="9" fillId="0" borderId="0" xfId="2" applyNumberFormat="1" applyFont="1" applyFill="1" applyBorder="1" applyAlignment="1">
      <alignment horizontal="right" vertical="center"/>
    </xf>
    <xf numFmtId="167" fontId="9" fillId="0" borderId="0" xfId="2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41" fontId="10" fillId="0" borderId="46" xfId="2" applyFont="1" applyFill="1" applyBorder="1" applyAlignment="1">
      <alignment horizontal="center" vertical="center" wrapText="1"/>
    </xf>
    <xf numFmtId="167" fontId="10" fillId="0" borderId="46" xfId="2" applyNumberFormat="1" applyFont="1" applyFill="1" applyBorder="1" applyAlignment="1">
      <alignment horizontal="center" vertical="center" wrapText="1"/>
    </xf>
    <xf numFmtId="0" fontId="10" fillId="0" borderId="48" xfId="0" quotePrefix="1" applyFont="1" applyFill="1" applyBorder="1" applyAlignment="1">
      <alignment horizontal="center" vertical="center"/>
    </xf>
    <xf numFmtId="0" fontId="10" fillId="0" borderId="48" xfId="0" quotePrefix="1" applyFont="1" applyFill="1" applyBorder="1" applyAlignment="1">
      <alignment horizontal="center" vertical="center" wrapText="1"/>
    </xf>
    <xf numFmtId="41" fontId="10" fillId="0" borderId="48" xfId="2" quotePrefix="1" applyFont="1" applyFill="1" applyBorder="1" applyAlignment="1">
      <alignment horizontal="right" vertical="center"/>
    </xf>
    <xf numFmtId="41" fontId="10" fillId="0" borderId="48" xfId="2" quotePrefix="1" applyFont="1" applyFill="1" applyBorder="1" applyAlignment="1">
      <alignment horizontal="center" vertical="center"/>
    </xf>
    <xf numFmtId="167" fontId="10" fillId="0" borderId="48" xfId="2" quotePrefix="1" applyNumberFormat="1" applyFont="1" applyFill="1" applyBorder="1" applyAlignment="1">
      <alignment horizontal="center" vertical="center"/>
    </xf>
    <xf numFmtId="49" fontId="10" fillId="0" borderId="48" xfId="0" applyNumberFormat="1" applyFont="1" applyFill="1" applyBorder="1" applyAlignment="1">
      <alignment horizontal="center" vertical="center"/>
    </xf>
    <xf numFmtId="0" fontId="10" fillId="0" borderId="30" xfId="0" quotePrefix="1" applyFont="1" applyFill="1" applyBorder="1" applyAlignment="1">
      <alignment horizontal="center" vertical="center"/>
    </xf>
    <xf numFmtId="0" fontId="9" fillId="0" borderId="30" xfId="0" quotePrefix="1" applyFont="1" applyFill="1" applyBorder="1" applyAlignment="1">
      <alignment horizontal="center" vertical="center" wrapText="1"/>
    </xf>
    <xf numFmtId="41" fontId="9" fillId="0" borderId="30" xfId="2" quotePrefix="1" applyFont="1" applyFill="1" applyBorder="1" applyAlignment="1">
      <alignment horizontal="right" vertical="center"/>
    </xf>
    <xf numFmtId="41" fontId="9" fillId="0" borderId="30" xfId="2" quotePrefix="1" applyFont="1" applyFill="1" applyBorder="1" applyAlignment="1">
      <alignment horizontal="center" vertical="center"/>
    </xf>
    <xf numFmtId="167" fontId="9" fillId="0" borderId="30" xfId="2" quotePrefix="1" applyNumberFormat="1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5" fontId="4" fillId="0" borderId="34" xfId="2" applyNumberFormat="1" applyFont="1" applyFill="1" applyBorder="1" applyAlignment="1">
      <alignment horizontal="right"/>
    </xf>
    <xf numFmtId="41" fontId="11" fillId="0" borderId="34" xfId="2" applyFont="1" applyFill="1" applyBorder="1" applyAlignment="1" applyProtection="1">
      <alignment horizontal="right" vertical="center" wrapText="1"/>
    </xf>
    <xf numFmtId="41" fontId="11" fillId="0" borderId="34" xfId="4" applyFont="1" applyFill="1" applyBorder="1" applyAlignment="1">
      <alignment vertical="center" wrapText="1"/>
    </xf>
    <xf numFmtId="41" fontId="11" fillId="0" borderId="34" xfId="4" applyNumberFormat="1" applyFont="1" applyFill="1" applyBorder="1" applyAlignment="1">
      <alignment horizontal="right" vertical="center"/>
    </xf>
    <xf numFmtId="167" fontId="11" fillId="0" borderId="34" xfId="41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vertical="center"/>
    </xf>
    <xf numFmtId="39" fontId="4" fillId="0" borderId="34" xfId="0" applyNumberFormat="1" applyFont="1" applyFill="1" applyBorder="1" applyAlignment="1">
      <alignment horizontal="right" vertical="top"/>
    </xf>
    <xf numFmtId="41" fontId="4" fillId="0" borderId="34" xfId="2" applyNumberFormat="1" applyFont="1" applyFill="1" applyBorder="1" applyAlignment="1">
      <alignment horizontal="right" vertical="center"/>
    </xf>
    <xf numFmtId="41" fontId="11" fillId="0" borderId="34" xfId="41" applyNumberFormat="1" applyFont="1" applyFill="1" applyBorder="1" applyAlignment="1">
      <alignment horizontal="right" vertical="center"/>
    </xf>
    <xf numFmtId="41" fontId="11" fillId="0" borderId="34" xfId="0" quotePrefix="1" applyNumberFormat="1" applyFont="1" applyFill="1" applyBorder="1" applyAlignment="1">
      <alignment horizontal="right" vertical="center"/>
    </xf>
    <xf numFmtId="49" fontId="11" fillId="0" borderId="34" xfId="5" applyNumberFormat="1" applyFont="1" applyFill="1" applyBorder="1" applyAlignment="1">
      <alignment horizontal="left" vertical="center" wrapText="1"/>
    </xf>
    <xf numFmtId="49" fontId="4" fillId="0" borderId="34" xfId="5" applyNumberFormat="1" applyFont="1" applyFill="1" applyBorder="1" applyAlignment="1">
      <alignment horizontal="left" vertical="center" wrapText="1"/>
    </xf>
    <xf numFmtId="167" fontId="11" fillId="0" borderId="34" xfId="1" applyNumberFormat="1" applyFont="1" applyFill="1" applyBorder="1" applyAlignment="1">
      <alignment horizontal="center" vertical="center"/>
    </xf>
    <xf numFmtId="167" fontId="11" fillId="0" borderId="34" xfId="5" applyNumberFormat="1" applyFont="1" applyFill="1" applyBorder="1" applyAlignment="1">
      <alignment horizontal="right"/>
    </xf>
    <xf numFmtId="41" fontId="4" fillId="0" borderId="34" xfId="5" applyFont="1" applyFill="1" applyBorder="1" applyAlignment="1">
      <alignment horizontal="right"/>
    </xf>
    <xf numFmtId="167" fontId="4" fillId="0" borderId="34" xfId="5" applyNumberFormat="1" applyFont="1" applyFill="1" applyBorder="1" applyAlignment="1">
      <alignment horizontal="right"/>
    </xf>
    <xf numFmtId="49" fontId="11" fillId="0" borderId="34" xfId="0" applyNumberFormat="1" applyFont="1" applyFill="1" applyBorder="1" applyAlignment="1">
      <alignment horizontal="center" vertical="center" wrapText="1"/>
    </xf>
    <xf numFmtId="41" fontId="11" fillId="0" borderId="34" xfId="5" applyFont="1" applyFill="1" applyBorder="1" applyAlignment="1">
      <alignment horizontal="right"/>
    </xf>
    <xf numFmtId="167" fontId="4" fillId="0" borderId="34" xfId="1" applyNumberFormat="1" applyFont="1" applyFill="1" applyBorder="1" applyAlignment="1">
      <alignment vertical="center"/>
    </xf>
    <xf numFmtId="0" fontId="11" fillId="0" borderId="34" xfId="36" applyNumberFormat="1" applyFont="1" applyFill="1" applyBorder="1" applyAlignment="1">
      <alignment horizontal="left" vertical="center" wrapText="1"/>
    </xf>
    <xf numFmtId="41" fontId="11" fillId="0" borderId="34" xfId="36" applyNumberFormat="1" applyFont="1" applyFill="1" applyBorder="1" applyAlignment="1">
      <alignment horizontal="right" vertical="center" wrapText="1"/>
    </xf>
    <xf numFmtId="39" fontId="4" fillId="0" borderId="34" xfId="0" applyNumberFormat="1" applyFont="1" applyFill="1" applyBorder="1" applyAlignment="1">
      <alignment horizontal="right" vertical="center"/>
    </xf>
    <xf numFmtId="39" fontId="11" fillId="0" borderId="34" xfId="0" applyNumberFormat="1" applyFont="1" applyFill="1" applyBorder="1" applyAlignment="1">
      <alignment horizontal="right" vertical="center" wrapText="1"/>
    </xf>
    <xf numFmtId="39" fontId="4" fillId="0" borderId="34" xfId="0" applyNumberFormat="1" applyFont="1" applyFill="1" applyBorder="1" applyAlignment="1">
      <alignment horizontal="right" vertical="center" wrapText="1"/>
    </xf>
    <xf numFmtId="41" fontId="11" fillId="0" borderId="34" xfId="2" applyFont="1" applyFill="1" applyBorder="1" applyAlignment="1">
      <alignment horizontal="right" vertical="top"/>
    </xf>
    <xf numFmtId="41" fontId="11" fillId="0" borderId="34" xfId="2" applyFont="1" applyFill="1" applyBorder="1" applyAlignment="1">
      <alignment horizontal="right" vertical="top" wrapText="1"/>
    </xf>
    <xf numFmtId="41" fontId="4" fillId="0" borderId="34" xfId="2" applyFont="1" applyFill="1" applyBorder="1" applyAlignment="1">
      <alignment horizontal="right" vertical="top"/>
    </xf>
    <xf numFmtId="41" fontId="11" fillId="0" borderId="34" xfId="0" applyNumberFormat="1" applyFont="1" applyFill="1" applyBorder="1" applyAlignment="1">
      <alignment horizontal="right" vertical="center"/>
    </xf>
    <xf numFmtId="41" fontId="11" fillId="0" borderId="34" xfId="41" applyNumberFormat="1" applyFont="1" applyFill="1" applyBorder="1" applyAlignment="1">
      <alignment horizontal="right" vertical="center" wrapText="1"/>
    </xf>
    <xf numFmtId="0" fontId="10" fillId="5" borderId="0" xfId="0" applyFont="1" applyFill="1" applyAlignment="1">
      <alignment vertical="center"/>
    </xf>
    <xf numFmtId="4" fontId="11" fillId="0" borderId="34" xfId="0" applyNumberFormat="1" applyFont="1" applyFill="1" applyBorder="1" applyAlignment="1">
      <alignment horizontal="right" vertical="center"/>
    </xf>
    <xf numFmtId="167" fontId="11" fillId="0" borderId="34" xfId="1" applyNumberFormat="1" applyFont="1" applyFill="1" applyBorder="1" applyAlignment="1">
      <alignment vertical="center"/>
    </xf>
    <xf numFmtId="4" fontId="4" fillId="0" borderId="34" xfId="0" applyNumberFormat="1" applyFont="1" applyFill="1" applyBorder="1" applyAlignment="1">
      <alignment horizontal="right" vertical="center"/>
    </xf>
    <xf numFmtId="41" fontId="11" fillId="0" borderId="34" xfId="41" quotePrefix="1" applyNumberFormat="1" applyFont="1" applyFill="1" applyBorder="1" applyAlignment="1">
      <alignment horizontal="right" vertical="center"/>
    </xf>
    <xf numFmtId="43" fontId="11" fillId="0" borderId="34" xfId="8" applyFont="1" applyFill="1" applyBorder="1" applyAlignment="1">
      <alignment horizontal="right" vertical="top" wrapText="1"/>
    </xf>
    <xf numFmtId="4" fontId="4" fillId="0" borderId="34" xfId="0" applyNumberFormat="1" applyFont="1" applyFill="1" applyBorder="1" applyAlignment="1" applyProtection="1">
      <alignment horizontal="right" vertical="top"/>
    </xf>
    <xf numFmtId="41" fontId="4" fillId="0" borderId="34" xfId="0" applyNumberFormat="1" applyFont="1" applyFill="1" applyBorder="1" applyAlignment="1" applyProtection="1">
      <alignment horizontal="right" vertical="center"/>
    </xf>
    <xf numFmtId="167" fontId="4" fillId="0" borderId="34" xfId="1" applyNumberFormat="1" applyFont="1" applyFill="1" applyBorder="1" applyAlignment="1">
      <alignment horizontal="center" vertical="center"/>
    </xf>
    <xf numFmtId="4" fontId="11" fillId="0" borderId="34" xfId="0" applyNumberFormat="1" applyFont="1" applyFill="1" applyBorder="1" applyAlignment="1" applyProtection="1">
      <alignment horizontal="right" vertical="center" indent="1"/>
      <protection locked="0"/>
    </xf>
    <xf numFmtId="4" fontId="4" fillId="0" borderId="34" xfId="0" applyNumberFormat="1" applyFont="1" applyFill="1" applyBorder="1" applyAlignment="1" applyProtection="1">
      <alignment horizontal="right" vertical="center" indent="1"/>
      <protection locked="0"/>
    </xf>
    <xf numFmtId="43" fontId="11" fillId="0" borderId="34" xfId="1" applyFont="1" applyFill="1" applyBorder="1" applyAlignment="1">
      <alignment horizontal="right" vertical="center"/>
    </xf>
    <xf numFmtId="43" fontId="4" fillId="0" borderId="34" xfId="1" applyFont="1" applyFill="1" applyBorder="1" applyAlignment="1">
      <alignment horizontal="right" vertical="center"/>
    </xf>
    <xf numFmtId="167" fontId="12" fillId="0" borderId="34" xfId="5" applyNumberFormat="1" applyFont="1" applyFill="1" applyBorder="1" applyAlignment="1">
      <alignment horizontal="right" vertical="center" indent="1"/>
    </xf>
    <xf numFmtId="43" fontId="9" fillId="0" borderId="34" xfId="0" applyNumberFormat="1" applyFont="1" applyFill="1" applyBorder="1" applyAlignment="1">
      <alignment horizontal="left" vertical="center"/>
    </xf>
    <xf numFmtId="167" fontId="0" fillId="0" borderId="34" xfId="5" applyNumberFormat="1" applyFont="1" applyFill="1" applyBorder="1" applyAlignment="1">
      <alignment horizontal="right" vertical="center" indent="1"/>
    </xf>
    <xf numFmtId="167" fontId="11" fillId="0" borderId="34" xfId="2" applyNumberFormat="1" applyFont="1" applyFill="1" applyBorder="1" applyAlignment="1">
      <alignment horizontal="right" vertical="top" wrapText="1"/>
    </xf>
    <xf numFmtId="4" fontId="11" fillId="0" borderId="34" xfId="0" applyNumberFormat="1" applyFont="1" applyFill="1" applyBorder="1" applyAlignment="1">
      <alignment horizontal="right" vertical="top" wrapText="1"/>
    </xf>
    <xf numFmtId="0" fontId="11" fillId="0" borderId="34" xfId="12" applyFont="1" applyFill="1" applyBorder="1" applyAlignment="1">
      <alignment horizontal="left" vertical="center" wrapText="1"/>
    </xf>
    <xf numFmtId="4" fontId="11" fillId="0" borderId="34" xfId="12" applyNumberFormat="1" applyFont="1" applyFill="1" applyBorder="1" applyAlignment="1">
      <alignment horizontal="right" vertical="top" wrapText="1"/>
    </xf>
    <xf numFmtId="0" fontId="4" fillId="0" borderId="34" xfId="12" applyFont="1" applyFill="1" applyBorder="1" applyAlignment="1">
      <alignment horizontal="left" vertical="center" wrapText="1"/>
    </xf>
    <xf numFmtId="4" fontId="4" fillId="0" borderId="34" xfId="12" applyNumberFormat="1" applyFont="1" applyFill="1" applyBorder="1" applyAlignment="1">
      <alignment horizontal="right" vertical="top" wrapText="1"/>
    </xf>
    <xf numFmtId="4" fontId="4" fillId="0" borderId="34" xfId="0" applyNumberFormat="1" applyFont="1" applyFill="1" applyBorder="1" applyAlignment="1">
      <alignment horizontal="right" vertical="top" wrapText="1"/>
    </xf>
    <xf numFmtId="0" fontId="11" fillId="0" borderId="34" xfId="13" applyFont="1" applyFill="1" applyBorder="1" applyAlignment="1">
      <alignment horizontal="left" vertical="center" wrapText="1"/>
    </xf>
    <xf numFmtId="4" fontId="11" fillId="0" borderId="34" xfId="13" applyNumberFormat="1" applyFont="1" applyFill="1" applyBorder="1" applyAlignment="1">
      <alignment horizontal="right" vertical="top" wrapText="1"/>
    </xf>
    <xf numFmtId="0" fontId="4" fillId="0" borderId="34" xfId="13" applyFont="1" applyFill="1" applyBorder="1" applyAlignment="1">
      <alignment horizontal="left" vertical="center" wrapText="1"/>
    </xf>
    <xf numFmtId="4" fontId="4" fillId="0" borderId="34" xfId="13" applyNumberFormat="1" applyFont="1" applyFill="1" applyBorder="1" applyAlignment="1">
      <alignment horizontal="right" vertical="top" wrapText="1"/>
    </xf>
    <xf numFmtId="0" fontId="4" fillId="0" borderId="34" xfId="42" applyNumberFormat="1" applyFont="1" applyFill="1" applyBorder="1" applyAlignment="1">
      <alignment horizontal="left" vertical="center" wrapText="1"/>
    </xf>
    <xf numFmtId="41" fontId="4" fillId="0" borderId="34" xfId="43" applyNumberFormat="1" applyFont="1" applyFill="1" applyBorder="1" applyAlignment="1">
      <alignment horizontal="right" vertical="center" wrapText="1"/>
    </xf>
    <xf numFmtId="41" fontId="11" fillId="0" borderId="34" xfId="4" applyFont="1" applyFill="1" applyBorder="1" applyAlignment="1">
      <alignment horizontal="right" vertical="center" wrapText="1"/>
    </xf>
    <xf numFmtId="167" fontId="11" fillId="0" borderId="34" xfId="1" applyNumberFormat="1" applyFont="1" applyFill="1" applyBorder="1" applyAlignment="1">
      <alignment horizontal="center" vertical="center" wrapText="1"/>
    </xf>
    <xf numFmtId="41" fontId="11" fillId="0" borderId="34" xfId="44" applyNumberFormat="1" applyFont="1" applyFill="1" applyBorder="1" applyAlignment="1">
      <alignment horizontal="right" vertical="center"/>
    </xf>
    <xf numFmtId="41" fontId="11" fillId="0" borderId="34" xfId="2" applyFont="1" applyFill="1" applyBorder="1" applyAlignment="1">
      <alignment horizontal="right" vertical="center" indent="1"/>
    </xf>
    <xf numFmtId="41" fontId="4" fillId="0" borderId="34" xfId="2" applyFont="1" applyFill="1" applyBorder="1" applyAlignment="1">
      <alignment horizontal="right" vertical="center" indent="1"/>
    </xf>
    <xf numFmtId="41" fontId="4" fillId="0" borderId="34" xfId="38" applyNumberFormat="1" applyFont="1" applyFill="1" applyBorder="1" applyAlignment="1">
      <alignment horizontal="right" vertical="center"/>
    </xf>
    <xf numFmtId="167" fontId="4" fillId="0" borderId="34" xfId="38" applyNumberFormat="1" applyFont="1" applyFill="1" applyBorder="1" applyAlignment="1">
      <alignment vertical="center"/>
    </xf>
    <xf numFmtId="41" fontId="11" fillId="0" borderId="34" xfId="45" applyNumberFormat="1" applyFont="1" applyFill="1" applyBorder="1" applyAlignment="1">
      <alignment horizontal="right" vertical="center"/>
    </xf>
    <xf numFmtId="43" fontId="11" fillId="0" borderId="34" xfId="8" applyNumberFormat="1" applyFont="1" applyFill="1" applyBorder="1" applyAlignment="1">
      <alignment horizontal="right" vertical="center" wrapText="1"/>
    </xf>
    <xf numFmtId="43" fontId="4" fillId="0" borderId="34" xfId="8" applyNumberFormat="1" applyFont="1" applyFill="1" applyBorder="1" applyAlignment="1">
      <alignment horizontal="right" vertical="center" wrapText="1"/>
    </xf>
    <xf numFmtId="0" fontId="4" fillId="0" borderId="34" xfId="37" applyFont="1" applyFill="1" applyBorder="1" applyAlignment="1">
      <alignment vertical="center" wrapText="1"/>
    </xf>
    <xf numFmtId="41" fontId="4" fillId="0" borderId="34" xfId="45" applyNumberFormat="1" applyFont="1" applyFill="1" applyBorder="1" applyAlignment="1">
      <alignment horizontal="right" vertical="center"/>
    </xf>
    <xf numFmtId="41" fontId="11" fillId="0" borderId="34" xfId="46" applyNumberFormat="1" applyFont="1" applyFill="1" applyBorder="1" applyAlignment="1">
      <alignment horizontal="right" vertical="center"/>
    </xf>
    <xf numFmtId="41" fontId="11" fillId="0" borderId="34" xfId="4" applyFont="1" applyFill="1" applyBorder="1" applyAlignment="1">
      <alignment vertical="center"/>
    </xf>
    <xf numFmtId="4" fontId="4" fillId="0" borderId="34" xfId="33" applyNumberFormat="1" applyFont="1" applyFill="1" applyBorder="1" applyAlignment="1">
      <alignment horizontal="right" vertical="center"/>
    </xf>
    <xf numFmtId="4" fontId="11" fillId="0" borderId="34" xfId="33" applyNumberFormat="1" applyFont="1" applyFill="1" applyBorder="1" applyAlignment="1">
      <alignment horizontal="right" vertical="center"/>
    </xf>
    <xf numFmtId="4" fontId="19" fillId="0" borderId="34" xfId="0" applyNumberFormat="1" applyFont="1" applyFill="1" applyBorder="1" applyAlignment="1">
      <alignment horizontal="right" vertical="center" wrapText="1"/>
    </xf>
    <xf numFmtId="41" fontId="11" fillId="0" borderId="34" xfId="47" quotePrefix="1" applyNumberFormat="1" applyFont="1" applyFill="1" applyBorder="1" applyAlignment="1">
      <alignment horizontal="right" vertical="center" wrapText="1"/>
    </xf>
    <xf numFmtId="41" fontId="11" fillId="0" borderId="34" xfId="5" quotePrefix="1" applyFont="1" applyFill="1" applyBorder="1" applyAlignment="1">
      <alignment horizontal="right" vertical="center"/>
    </xf>
    <xf numFmtId="41" fontId="4" fillId="0" borderId="34" xfId="5" quotePrefix="1" applyFont="1" applyFill="1" applyBorder="1" applyAlignment="1">
      <alignment horizontal="right" vertical="center"/>
    </xf>
    <xf numFmtId="41" fontId="4" fillId="0" borderId="34" xfId="0" quotePrefix="1" applyNumberFormat="1" applyFont="1" applyFill="1" applyBorder="1" applyAlignment="1">
      <alignment horizontal="right" vertical="center"/>
    </xf>
    <xf numFmtId="41" fontId="11" fillId="0" borderId="34" xfId="4" quotePrefix="1" applyNumberFormat="1" applyFont="1" applyFill="1" applyBorder="1" applyAlignment="1">
      <alignment horizontal="right" vertical="center" wrapText="1"/>
    </xf>
    <xf numFmtId="41" fontId="11" fillId="0" borderId="34" xfId="48" applyNumberFormat="1" applyFont="1" applyFill="1" applyBorder="1" applyAlignment="1">
      <alignment horizontal="right" vertical="center"/>
    </xf>
    <xf numFmtId="43" fontId="11" fillId="0" borderId="34" xfId="0" applyNumberFormat="1" applyFont="1" applyFill="1" applyBorder="1" applyAlignment="1">
      <alignment horizontal="right"/>
    </xf>
    <xf numFmtId="43" fontId="4" fillId="0" borderId="34" xfId="0" applyNumberFormat="1" applyFont="1" applyFill="1" applyBorder="1" applyAlignment="1">
      <alignment horizontal="right"/>
    </xf>
    <xf numFmtId="41" fontId="11" fillId="0" borderId="34" xfId="49" applyNumberFormat="1" applyFont="1" applyFill="1" applyBorder="1" applyAlignment="1">
      <alignment horizontal="right" vertical="center"/>
    </xf>
    <xf numFmtId="170" fontId="11" fillId="0" borderId="34" xfId="2" applyNumberFormat="1" applyFont="1" applyFill="1" applyBorder="1" applyAlignment="1">
      <alignment horizontal="right" vertical="top"/>
    </xf>
    <xf numFmtId="170" fontId="4" fillId="0" borderId="34" xfId="2" applyNumberFormat="1" applyFont="1" applyFill="1" applyBorder="1" applyAlignment="1">
      <alignment horizontal="right" vertical="top"/>
    </xf>
    <xf numFmtId="49" fontId="11" fillId="0" borderId="34" xfId="39" applyNumberFormat="1" applyFont="1" applyFill="1" applyBorder="1" applyAlignment="1">
      <alignment horizontal="left" vertical="center" wrapText="1"/>
    </xf>
    <xf numFmtId="41" fontId="11" fillId="0" borderId="34" xfId="40" applyNumberFormat="1" applyFont="1" applyFill="1" applyBorder="1" applyAlignment="1">
      <alignment horizontal="right" vertical="center"/>
    </xf>
    <xf numFmtId="0" fontId="28" fillId="0" borderId="34" xfId="0" applyFont="1" applyFill="1" applyBorder="1" applyAlignment="1">
      <alignment vertical="center" wrapText="1"/>
    </xf>
    <xf numFmtId="4" fontId="28" fillId="0" borderId="34" xfId="0" applyNumberFormat="1" applyFont="1" applyFill="1" applyBorder="1" applyAlignment="1">
      <alignment horizontal="right" wrapText="1"/>
    </xf>
    <xf numFmtId="0" fontId="29" fillId="0" borderId="34" xfId="0" applyFont="1" applyFill="1" applyBorder="1" applyAlignment="1">
      <alignment vertical="center" wrapText="1"/>
    </xf>
    <xf numFmtId="4" fontId="29" fillId="0" borderId="34" xfId="0" applyNumberFormat="1" applyFont="1" applyFill="1" applyBorder="1" applyAlignment="1">
      <alignment horizontal="right" wrapText="1"/>
    </xf>
    <xf numFmtId="167" fontId="4" fillId="0" borderId="34" xfId="1" quotePrefix="1" applyNumberFormat="1" applyFont="1" applyFill="1" applyBorder="1" applyAlignment="1">
      <alignment vertical="center"/>
    </xf>
    <xf numFmtId="167" fontId="11" fillId="0" borderId="34" xfId="38" applyNumberFormat="1" applyFont="1" applyFill="1" applyBorder="1" applyAlignment="1">
      <alignment horizontal="right" vertical="center"/>
    </xf>
    <xf numFmtId="167" fontId="11" fillId="0" borderId="34" xfId="5" applyNumberFormat="1" applyFont="1" applyFill="1" applyBorder="1" applyAlignment="1">
      <alignment horizontal="right" vertical="center" wrapText="1"/>
    </xf>
    <xf numFmtId="167" fontId="4" fillId="0" borderId="34" xfId="5" applyNumberFormat="1" applyFont="1" applyFill="1" applyBorder="1" applyAlignment="1">
      <alignment horizontal="right" vertical="center" wrapText="1"/>
    </xf>
    <xf numFmtId="41" fontId="11" fillId="0" borderId="34" xfId="38" applyNumberFormat="1" applyFont="1" applyFill="1" applyBorder="1" applyAlignment="1">
      <alignment horizontal="right" vertical="center"/>
    </xf>
    <xf numFmtId="41" fontId="11" fillId="0" borderId="34" xfId="5" applyFont="1" applyFill="1" applyBorder="1" applyAlignment="1">
      <alignment horizontal="right" vertical="center" indent="1"/>
    </xf>
    <xf numFmtId="41" fontId="4" fillId="0" borderId="34" xfId="5" applyFont="1" applyFill="1" applyBorder="1" applyAlignment="1">
      <alignment horizontal="right" vertical="center" indent="1"/>
    </xf>
    <xf numFmtId="41" fontId="11" fillId="0" borderId="34" xfId="5" applyNumberFormat="1" applyFont="1" applyFill="1" applyBorder="1" applyAlignment="1">
      <alignment horizontal="right" vertical="center"/>
    </xf>
    <xf numFmtId="41" fontId="4" fillId="0" borderId="34" xfId="5" applyNumberFormat="1" applyFont="1" applyFill="1" applyBorder="1" applyAlignment="1">
      <alignment horizontal="right" vertical="center"/>
    </xf>
    <xf numFmtId="167" fontId="11" fillId="0" borderId="34" xfId="4" applyNumberFormat="1" applyFont="1" applyFill="1" applyBorder="1" applyAlignment="1">
      <alignment horizontal="right" vertical="center"/>
    </xf>
    <xf numFmtId="167" fontId="4" fillId="0" borderId="34" xfId="4" applyNumberFormat="1" applyFont="1" applyFill="1" applyBorder="1" applyAlignment="1">
      <alignment horizontal="right" vertical="center"/>
    </xf>
    <xf numFmtId="41" fontId="11" fillId="0" borderId="34" xfId="1" applyNumberFormat="1" applyFont="1" applyFill="1" applyBorder="1" applyAlignment="1">
      <alignment horizontal="right" vertical="center"/>
    </xf>
    <xf numFmtId="168" fontId="11" fillId="0" borderId="34" xfId="0" applyNumberFormat="1" applyFont="1" applyFill="1" applyBorder="1" applyAlignment="1">
      <alignment horizontal="right" vertical="center"/>
    </xf>
    <xf numFmtId="168" fontId="4" fillId="0" borderId="34" xfId="0" applyNumberFormat="1" applyFont="1" applyFill="1" applyBorder="1" applyAlignment="1">
      <alignment horizontal="right" vertical="center"/>
    </xf>
    <xf numFmtId="39" fontId="4" fillId="0" borderId="34" xfId="35" applyNumberFormat="1" applyFont="1" applyFill="1" applyBorder="1" applyAlignment="1">
      <alignment horizontal="right" vertical="center"/>
    </xf>
    <xf numFmtId="41" fontId="11" fillId="0" borderId="34" xfId="38" applyFont="1" applyFill="1" applyBorder="1" applyAlignment="1">
      <alignment horizontal="right" vertical="center" wrapText="1"/>
    </xf>
    <xf numFmtId="39" fontId="11" fillId="0" borderId="34" xfId="35" applyNumberFormat="1" applyFont="1" applyFill="1" applyBorder="1" applyAlignment="1">
      <alignment horizontal="right" vertical="center"/>
    </xf>
    <xf numFmtId="49" fontId="11" fillId="0" borderId="34" xfId="0" applyNumberFormat="1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center"/>
    </xf>
    <xf numFmtId="167" fontId="4" fillId="0" borderId="34" xfId="5" applyNumberFormat="1" applyFont="1" applyFill="1" applyBorder="1" applyAlignment="1">
      <alignment horizontal="right" vertical="top"/>
    </xf>
    <xf numFmtId="0" fontId="11" fillId="5" borderId="0" xfId="0" applyFont="1" applyFill="1" applyAlignment="1">
      <alignment vertical="center"/>
    </xf>
    <xf numFmtId="4" fontId="11" fillId="0" borderId="34" xfId="0" applyNumberFormat="1" applyFont="1" applyFill="1" applyBorder="1" applyAlignment="1" applyProtection="1">
      <alignment horizontal="right" vertical="top"/>
    </xf>
    <xf numFmtId="0" fontId="4" fillId="0" borderId="39" xfId="0" applyNumberFormat="1" applyFont="1" applyFill="1" applyBorder="1" applyAlignment="1" applyProtection="1">
      <alignment vertical="center" wrapText="1"/>
    </xf>
    <xf numFmtId="4" fontId="4" fillId="0" borderId="39" xfId="0" applyNumberFormat="1" applyFont="1" applyFill="1" applyBorder="1" applyAlignment="1" applyProtection="1">
      <alignment horizontal="right" vertical="top"/>
    </xf>
    <xf numFmtId="41" fontId="11" fillId="0" borderId="39" xfId="2" applyFont="1" applyFill="1" applyBorder="1" applyAlignment="1">
      <alignment horizontal="center" vertical="center"/>
    </xf>
    <xf numFmtId="43" fontId="11" fillId="0" borderId="39" xfId="1" applyNumberFormat="1" applyFont="1" applyFill="1" applyBorder="1" applyAlignment="1">
      <alignment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right" vertical="center" wrapText="1"/>
    </xf>
    <xf numFmtId="41" fontId="10" fillId="0" borderId="26" xfId="2" applyNumberFormat="1" applyFont="1" applyFill="1" applyBorder="1" applyAlignment="1">
      <alignment horizontal="right" vertical="center"/>
    </xf>
    <xf numFmtId="167" fontId="10" fillId="0" borderId="26" xfId="2" applyNumberFormat="1" applyFont="1" applyFill="1" applyBorder="1" applyAlignment="1">
      <alignment vertical="center"/>
    </xf>
    <xf numFmtId="167" fontId="10" fillId="0" borderId="26" xfId="1" applyNumberFormat="1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41" fontId="9" fillId="0" borderId="0" xfId="2" applyFont="1" applyFill="1" applyAlignment="1">
      <alignment horizontal="right" vertical="center"/>
    </xf>
    <xf numFmtId="167" fontId="9" fillId="0" borderId="0" xfId="2" applyNumberFormat="1" applyFont="1" applyFill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 wrapText="1"/>
    </xf>
    <xf numFmtId="3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vertical="center" wrapText="1"/>
    </xf>
    <xf numFmtId="3" fontId="34" fillId="0" borderId="0" xfId="2" applyNumberFormat="1" applyFont="1" applyBorder="1" applyAlignment="1">
      <alignment horizontal="right" vertical="center"/>
    </xf>
    <xf numFmtId="41" fontId="38" fillId="0" borderId="0" xfId="2" applyFont="1" applyBorder="1" applyAlignment="1">
      <alignment horizontal="right" vertical="center"/>
    </xf>
    <xf numFmtId="167" fontId="34" fillId="0" borderId="0" xfId="2" applyNumberFormat="1" applyFont="1" applyBorder="1" applyAlignment="1">
      <alignment horizontal="right" vertical="center"/>
    </xf>
    <xf numFmtId="41" fontId="38" fillId="0" borderId="0" xfId="2" applyFont="1" applyBorder="1" applyAlignment="1">
      <alignment horizontal="left" vertical="center"/>
    </xf>
    <xf numFmtId="167" fontId="34" fillId="0" borderId="0" xfId="2" applyNumberFormat="1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 wrapText="1"/>
    </xf>
    <xf numFmtId="3" fontId="35" fillId="0" borderId="19" xfId="2" applyNumberFormat="1" applyFont="1" applyBorder="1" applyAlignment="1">
      <alignment horizontal="center" vertical="center" wrapText="1"/>
    </xf>
    <xf numFmtId="41" fontId="36" fillId="0" borderId="19" xfId="2" applyFont="1" applyBorder="1" applyAlignment="1">
      <alignment horizontal="center" vertical="center" wrapText="1"/>
    </xf>
    <xf numFmtId="167" fontId="35" fillId="0" borderId="19" xfId="2" applyNumberFormat="1" applyFont="1" applyBorder="1" applyAlignment="1">
      <alignment horizontal="center" vertical="center" wrapText="1"/>
    </xf>
    <xf numFmtId="0" fontId="35" fillId="0" borderId="26" xfId="0" quotePrefix="1" applyFont="1" applyBorder="1" applyAlignment="1">
      <alignment horizontal="center" vertical="center"/>
    </xf>
    <xf numFmtId="0" fontId="35" fillId="0" borderId="26" xfId="0" quotePrefix="1" applyFont="1" applyBorder="1" applyAlignment="1">
      <alignment horizontal="center" vertical="center" wrapText="1"/>
    </xf>
    <xf numFmtId="3" fontId="35" fillId="0" borderId="26" xfId="2" quotePrefix="1" applyNumberFormat="1" applyFont="1" applyBorder="1" applyAlignment="1">
      <alignment horizontal="right" vertical="center"/>
    </xf>
    <xf numFmtId="41" fontId="36" fillId="0" borderId="26" xfId="2" quotePrefix="1" applyFont="1" applyBorder="1" applyAlignment="1">
      <alignment horizontal="center" vertical="center"/>
    </xf>
    <xf numFmtId="167" fontId="35" fillId="0" borderId="26" xfId="2" quotePrefix="1" applyNumberFormat="1" applyFont="1" applyBorder="1" applyAlignment="1">
      <alignment horizontal="center" vertical="center"/>
    </xf>
    <xf numFmtId="49" fontId="35" fillId="0" borderId="26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left" vertical="center" wrapText="1"/>
    </xf>
    <xf numFmtId="3" fontId="10" fillId="0" borderId="30" xfId="2" applyNumberFormat="1" applyFont="1" applyFill="1" applyBorder="1" applyAlignment="1">
      <alignment horizontal="right" vertical="center"/>
    </xf>
    <xf numFmtId="167" fontId="11" fillId="0" borderId="30" xfId="2" applyNumberFormat="1" applyFont="1" applyFill="1" applyBorder="1" applyAlignment="1">
      <alignment vertical="center"/>
    </xf>
    <xf numFmtId="167" fontId="10" fillId="0" borderId="30" xfId="2" applyNumberFormat="1" applyFont="1" applyFill="1" applyBorder="1" applyAlignment="1">
      <alignment vertical="center"/>
    </xf>
    <xf numFmtId="167" fontId="14" fillId="0" borderId="30" xfId="2" applyNumberFormat="1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4" borderId="34" xfId="0" applyNumberFormat="1" applyFont="1" applyFill="1" applyBorder="1" applyAlignment="1" applyProtection="1">
      <alignment horizontal="left" vertical="center" wrapText="1"/>
    </xf>
    <xf numFmtId="3" fontId="10" fillId="4" borderId="34" xfId="0" applyNumberFormat="1" applyFont="1" applyFill="1" applyBorder="1" applyAlignment="1" applyProtection="1">
      <alignment horizontal="right" vertical="center"/>
    </xf>
    <xf numFmtId="0" fontId="9" fillId="0" borderId="34" xfId="0" applyFont="1" applyBorder="1" applyAlignment="1">
      <alignment vertical="center"/>
    </xf>
    <xf numFmtId="0" fontId="10" fillId="4" borderId="34" xfId="0" applyNumberFormat="1" applyFont="1" applyFill="1" applyBorder="1" applyAlignment="1" applyProtection="1">
      <alignment vertical="center" wrapText="1"/>
    </xf>
    <xf numFmtId="3" fontId="9" fillId="4" borderId="34" xfId="0" applyNumberFormat="1" applyFont="1" applyFill="1" applyBorder="1" applyAlignment="1" applyProtection="1">
      <alignment horizontal="right" vertical="center"/>
    </xf>
    <xf numFmtId="0" fontId="9" fillId="4" borderId="34" xfId="0" applyNumberFormat="1" applyFont="1" applyFill="1" applyBorder="1" applyAlignment="1" applyProtection="1">
      <alignment vertical="center" wrapText="1"/>
    </xf>
    <xf numFmtId="0" fontId="10" fillId="0" borderId="34" xfId="0" applyFont="1" applyBorder="1" applyAlignment="1">
      <alignment vertical="center"/>
    </xf>
    <xf numFmtId="0" fontId="9" fillId="5" borderId="34" xfId="0" applyNumberFormat="1" applyFont="1" applyFill="1" applyBorder="1" applyAlignment="1" applyProtection="1">
      <alignment vertical="center" wrapText="1"/>
    </xf>
    <xf numFmtId="0" fontId="10" fillId="0" borderId="39" xfId="0" applyFont="1" applyFill="1" applyBorder="1" applyAlignment="1">
      <alignment horizontal="center" vertical="center"/>
    </xf>
    <xf numFmtId="0" fontId="9" fillId="4" borderId="39" xfId="0" applyNumberFormat="1" applyFont="1" applyFill="1" applyBorder="1" applyAlignment="1" applyProtection="1">
      <alignment vertical="center" wrapText="1"/>
    </xf>
    <xf numFmtId="3" fontId="9" fillId="4" borderId="39" xfId="0" applyNumberFormat="1" applyFont="1" applyFill="1" applyBorder="1" applyAlignment="1" applyProtection="1">
      <alignment horizontal="right" vertical="center"/>
    </xf>
    <xf numFmtId="167" fontId="10" fillId="0" borderId="39" xfId="2" applyNumberFormat="1" applyFont="1" applyFill="1" applyBorder="1" applyAlignment="1">
      <alignment vertical="center"/>
    </xf>
    <xf numFmtId="167" fontId="10" fillId="0" borderId="39" xfId="2" applyNumberFormat="1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right" vertical="center" wrapText="1"/>
    </xf>
    <xf numFmtId="3" fontId="10" fillId="0" borderId="26" xfId="2" applyNumberFormat="1" applyFont="1" applyBorder="1" applyAlignment="1">
      <alignment horizontal="right" vertical="center"/>
    </xf>
    <xf numFmtId="0" fontId="9" fillId="0" borderId="26" xfId="0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41" fontId="38" fillId="0" borderId="0" xfId="2" applyFont="1" applyBorder="1" applyAlignment="1">
      <alignment vertical="center"/>
    </xf>
    <xf numFmtId="167" fontId="34" fillId="0" borderId="0" xfId="2" applyNumberFormat="1" applyFont="1" applyBorder="1" applyAlignment="1">
      <alignment vertical="center"/>
    </xf>
    <xf numFmtId="0" fontId="34" fillId="0" borderId="0" xfId="0" applyFont="1" applyAlignment="1">
      <alignment horizontal="right" vertical="center"/>
    </xf>
    <xf numFmtId="3" fontId="34" fillId="0" borderId="0" xfId="2" applyNumberFormat="1" applyFont="1" applyAlignment="1">
      <alignment horizontal="right" vertical="center"/>
    </xf>
    <xf numFmtId="41" fontId="38" fillId="0" borderId="0" xfId="2" applyFont="1" applyAlignment="1">
      <alignment horizontal="left" vertical="center"/>
    </xf>
    <xf numFmtId="167" fontId="34" fillId="0" borderId="0" xfId="2" applyNumberFormat="1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41" fontId="38" fillId="0" borderId="0" xfId="2" applyFont="1" applyAlignment="1">
      <alignment vertical="center"/>
    </xf>
    <xf numFmtId="167" fontId="34" fillId="0" borderId="0" xfId="2" applyNumberFormat="1" applyFont="1" applyAlignment="1">
      <alignment vertical="center"/>
    </xf>
    <xf numFmtId="41" fontId="34" fillId="0" borderId="0" xfId="2" applyFont="1" applyAlignment="1">
      <alignment horizontal="left" vertical="center" wrapText="1"/>
    </xf>
    <xf numFmtId="41" fontId="34" fillId="0" borderId="0" xfId="2" applyFont="1" applyAlignment="1">
      <alignment vertical="center" wrapText="1"/>
    </xf>
    <xf numFmtId="41" fontId="4" fillId="0" borderId="0" xfId="2" applyFont="1" applyAlignment="1">
      <alignment vertical="center" wrapText="1"/>
    </xf>
    <xf numFmtId="41" fontId="11" fillId="0" borderId="0" xfId="0" applyNumberFormat="1" applyFont="1" applyFill="1" applyBorder="1" applyAlignment="1">
      <alignment vertical="center" wrapText="1"/>
    </xf>
    <xf numFmtId="167" fontId="19" fillId="0" borderId="34" xfId="0" applyNumberFormat="1" applyFont="1" applyFill="1" applyBorder="1" applyAlignment="1">
      <alignment vertical="center"/>
    </xf>
    <xf numFmtId="167" fontId="4" fillId="0" borderId="34" xfId="5" quotePrefix="1" applyNumberFormat="1" applyFont="1" applyFill="1" applyBorder="1" applyAlignment="1">
      <alignment horizontal="center" vertical="center"/>
    </xf>
    <xf numFmtId="167" fontId="4" fillId="0" borderId="34" xfId="0" quotePrefix="1" applyNumberFormat="1" applyFont="1" applyFill="1" applyBorder="1" applyAlignment="1">
      <alignment horizontal="center" vertical="center"/>
    </xf>
    <xf numFmtId="167" fontId="4" fillId="0" borderId="34" xfId="0" applyNumberFormat="1" applyFont="1" applyFill="1" applyBorder="1" applyAlignment="1">
      <alignment vertical="center"/>
    </xf>
    <xf numFmtId="167" fontId="11" fillId="0" borderId="34" xfId="0" quotePrefix="1" applyNumberFormat="1" applyFont="1" applyFill="1" applyBorder="1" applyAlignment="1">
      <alignment horizontal="center" vertical="center"/>
    </xf>
    <xf numFmtId="167" fontId="11" fillId="0" borderId="34" xfId="5" quotePrefix="1" applyNumberFormat="1" applyFont="1" applyFill="1" applyBorder="1" applyAlignment="1" applyProtection="1">
      <alignment horizontal="center" vertical="center"/>
      <protection locked="0"/>
    </xf>
    <xf numFmtId="167" fontId="4" fillId="0" borderId="34" xfId="5" quotePrefix="1" applyNumberFormat="1" applyFont="1" applyFill="1" applyBorder="1" applyAlignment="1" applyProtection="1">
      <alignment horizontal="center" vertical="center"/>
      <protection locked="0"/>
    </xf>
    <xf numFmtId="0" fontId="44" fillId="0" borderId="5" xfId="0" applyFont="1" applyBorder="1" applyAlignment="1">
      <alignment vertical="top" wrapText="1"/>
    </xf>
    <xf numFmtId="0" fontId="45" fillId="0" borderId="13" xfId="0" applyFont="1" applyBorder="1" applyAlignment="1">
      <alignment vertical="top" wrapText="1"/>
    </xf>
    <xf numFmtId="0" fontId="45" fillId="0" borderId="14" xfId="0" applyFont="1" applyBorder="1" applyAlignment="1">
      <alignment vertical="top" wrapText="1"/>
    </xf>
    <xf numFmtId="43" fontId="45" fillId="0" borderId="10" xfId="1" applyNumberFormat="1" applyFont="1" applyBorder="1" applyAlignment="1">
      <alignment vertical="top"/>
    </xf>
    <xf numFmtId="167" fontId="10" fillId="0" borderId="19" xfId="2" applyNumberFormat="1" applyFont="1" applyBorder="1" applyAlignment="1">
      <alignment horizontal="center" vertical="center" wrapText="1"/>
    </xf>
    <xf numFmtId="167" fontId="10" fillId="0" borderId="24" xfId="2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left" vertical="center"/>
    </xf>
    <xf numFmtId="167" fontId="11" fillId="0" borderId="34" xfId="2" applyNumberFormat="1" applyFont="1" applyFill="1" applyBorder="1" applyAlignment="1">
      <alignment horizontal="center" vertical="center"/>
    </xf>
    <xf numFmtId="167" fontId="4" fillId="0" borderId="34" xfId="2" applyNumberFormat="1" applyFont="1" applyFill="1" applyBorder="1" applyAlignment="1" applyProtection="1">
      <alignment horizontal="center" vertical="center" wrapText="1"/>
    </xf>
    <xf numFmtId="167" fontId="11" fillId="0" borderId="34" xfId="0" applyNumberFormat="1" applyFont="1" applyFill="1" applyBorder="1" applyAlignment="1">
      <alignment horizontal="right" vertical="center"/>
    </xf>
    <xf numFmtId="167" fontId="11" fillId="0" borderId="34" xfId="0" applyNumberFormat="1" applyFont="1" applyFill="1" applyBorder="1" applyAlignment="1">
      <alignment vertical="center" wrapText="1"/>
    </xf>
    <xf numFmtId="167" fontId="4" fillId="0" borderId="34" xfId="0" applyNumberFormat="1" applyFont="1" applyFill="1" applyBorder="1" applyAlignment="1">
      <alignment vertical="center" wrapText="1"/>
    </xf>
    <xf numFmtId="167" fontId="11" fillId="0" borderId="34" xfId="6" applyNumberFormat="1" applyFont="1" applyFill="1" applyBorder="1" applyAlignment="1">
      <alignment horizontal="right" vertical="center"/>
    </xf>
    <xf numFmtId="167" fontId="4" fillId="0" borderId="34" xfId="6" applyNumberFormat="1" applyFont="1" applyFill="1" applyBorder="1" applyAlignment="1">
      <alignment horizontal="right" vertical="center"/>
    </xf>
    <xf numFmtId="167" fontId="4" fillId="0" borderId="34" xfId="6" applyNumberFormat="1" applyFont="1" applyFill="1" applyBorder="1" applyAlignment="1">
      <alignment horizontal="center" vertical="center"/>
    </xf>
    <xf numFmtId="167" fontId="11" fillId="0" borderId="34" xfId="6" applyNumberFormat="1" applyFont="1" applyFill="1" applyBorder="1" applyAlignment="1">
      <alignment horizontal="center" vertical="center"/>
    </xf>
    <xf numFmtId="167" fontId="11" fillId="0" borderId="34" xfId="8" applyNumberFormat="1" applyFont="1" applyFill="1" applyBorder="1" applyAlignment="1">
      <alignment horizontal="right" vertical="center" wrapText="1"/>
    </xf>
    <xf numFmtId="167" fontId="11" fillId="0" borderId="34" xfId="8" applyNumberFormat="1" applyFont="1" applyFill="1" applyBorder="1" applyAlignment="1" applyProtection="1">
      <alignment horizontal="right" vertical="center"/>
    </xf>
    <xf numFmtId="167" fontId="4" fillId="0" borderId="34" xfId="8" applyNumberFormat="1" applyFont="1" applyFill="1" applyBorder="1" applyAlignment="1" applyProtection="1">
      <alignment horizontal="right" vertical="center"/>
    </xf>
    <xf numFmtId="167" fontId="4" fillId="0" borderId="34" xfId="8" applyNumberFormat="1" applyFont="1" applyFill="1" applyBorder="1" applyAlignment="1">
      <alignment horizontal="right" vertical="center"/>
    </xf>
    <xf numFmtId="167" fontId="11" fillId="0" borderId="34" xfId="8" applyNumberFormat="1" applyFont="1" applyFill="1" applyBorder="1" applyAlignment="1">
      <alignment vertical="center" wrapText="1"/>
    </xf>
    <xf numFmtId="167" fontId="11" fillId="0" borderId="34" xfId="0" applyNumberFormat="1" applyFont="1" applyFill="1" applyBorder="1" applyAlignment="1" applyProtection="1">
      <alignment horizontal="right" vertical="center"/>
    </xf>
    <xf numFmtId="167" fontId="4" fillId="0" borderId="34" xfId="0" applyNumberFormat="1" applyFont="1" applyFill="1" applyBorder="1" applyAlignment="1" applyProtection="1">
      <alignment horizontal="right" vertical="center"/>
    </xf>
    <xf numFmtId="167" fontId="4" fillId="0" borderId="34" xfId="8" applyNumberFormat="1" applyFont="1" applyFill="1" applyBorder="1" applyAlignment="1">
      <alignment vertical="center"/>
    </xf>
    <xf numFmtId="167" fontId="11" fillId="0" borderId="34" xfId="8" applyNumberFormat="1" applyFont="1" applyFill="1" applyBorder="1" applyAlignment="1">
      <alignment vertical="center"/>
    </xf>
    <xf numFmtId="167" fontId="4" fillId="0" borderId="34" xfId="8" applyNumberFormat="1" applyFont="1" applyFill="1" applyBorder="1" applyAlignment="1">
      <alignment vertical="center" wrapText="1"/>
    </xf>
    <xf numFmtId="167" fontId="11" fillId="0" borderId="34" xfId="0" applyNumberFormat="1" applyFont="1" applyFill="1" applyBorder="1" applyAlignment="1" applyProtection="1">
      <alignment horizontal="right" vertical="center"/>
      <protection locked="0"/>
    </xf>
    <xf numFmtId="167" fontId="4" fillId="0" borderId="34" xfId="0" applyNumberFormat="1" applyFont="1" applyFill="1" applyBorder="1" applyAlignment="1" applyProtection="1">
      <alignment horizontal="right" vertical="center"/>
      <protection locked="0"/>
    </xf>
    <xf numFmtId="167" fontId="11" fillId="0" borderId="34" xfId="1" applyNumberFormat="1" applyFont="1" applyFill="1" applyBorder="1" applyAlignment="1">
      <alignment vertical="center" wrapText="1"/>
    </xf>
    <xf numFmtId="167" fontId="11" fillId="0" borderId="34" xfId="0" applyNumberFormat="1" applyFont="1" applyFill="1" applyBorder="1" applyAlignment="1">
      <alignment horizontal="right" vertical="center" wrapText="1"/>
    </xf>
    <xf numFmtId="167" fontId="11" fillId="0" borderId="34" xfId="11" applyNumberFormat="1" applyFont="1" applyFill="1" applyBorder="1" applyAlignment="1">
      <alignment horizontal="right" vertical="center" wrapText="1"/>
    </xf>
    <xf numFmtId="167" fontId="4" fillId="0" borderId="34" xfId="11" applyNumberFormat="1" applyFont="1" applyFill="1" applyBorder="1" applyAlignment="1">
      <alignment horizontal="right" vertical="center" wrapText="1"/>
    </xf>
    <xf numFmtId="167" fontId="11" fillId="0" borderId="34" xfId="12" applyNumberFormat="1" applyFont="1" applyFill="1" applyBorder="1" applyAlignment="1">
      <alignment horizontal="right" vertical="center" wrapText="1"/>
    </xf>
    <xf numFmtId="167" fontId="4" fillId="0" borderId="34" xfId="12" applyNumberFormat="1" applyFont="1" applyFill="1" applyBorder="1" applyAlignment="1">
      <alignment horizontal="right" vertical="center" wrapText="1"/>
    </xf>
    <xf numFmtId="167" fontId="4" fillId="0" borderId="34" xfId="0" applyNumberFormat="1" applyFont="1" applyFill="1" applyBorder="1" applyAlignment="1">
      <alignment horizontal="right" vertical="center" wrapText="1"/>
    </xf>
    <xf numFmtId="167" fontId="11" fillId="0" borderId="34" xfId="13" applyNumberFormat="1" applyFont="1" applyFill="1" applyBorder="1" applyAlignment="1">
      <alignment horizontal="right" vertical="center" wrapText="1"/>
    </xf>
    <xf numFmtId="167" fontId="4" fillId="0" borderId="34" xfId="13" applyNumberFormat="1" applyFont="1" applyFill="1" applyBorder="1" applyAlignment="1">
      <alignment horizontal="right" vertical="center" wrapText="1"/>
    </xf>
    <xf numFmtId="167" fontId="11" fillId="0" borderId="34" xfId="14" applyNumberFormat="1" applyFont="1" applyFill="1" applyBorder="1" applyAlignment="1">
      <alignment horizontal="right" vertical="center" wrapText="1"/>
    </xf>
    <xf numFmtId="167" fontId="4" fillId="0" borderId="34" xfId="14" applyNumberFormat="1" applyFont="1" applyFill="1" applyBorder="1" applyAlignment="1">
      <alignment horizontal="right" vertical="center" wrapText="1"/>
    </xf>
    <xf numFmtId="167" fontId="11" fillId="0" borderId="34" xfId="15" applyNumberFormat="1" applyFont="1" applyFill="1" applyBorder="1" applyAlignment="1">
      <alignment horizontal="right" vertical="center" wrapText="1"/>
    </xf>
    <xf numFmtId="167" fontId="4" fillId="0" borderId="34" xfId="15" applyNumberFormat="1" applyFont="1" applyFill="1" applyBorder="1" applyAlignment="1">
      <alignment horizontal="right" vertical="center" wrapText="1"/>
    </xf>
    <xf numFmtId="167" fontId="11" fillId="0" borderId="34" xfId="16" applyNumberFormat="1" applyFont="1" applyFill="1" applyBorder="1" applyAlignment="1">
      <alignment horizontal="right" vertical="center" wrapText="1"/>
    </xf>
    <xf numFmtId="167" fontId="4" fillId="0" borderId="34" xfId="16" applyNumberFormat="1" applyFont="1" applyFill="1" applyBorder="1" applyAlignment="1">
      <alignment horizontal="right" vertical="center" wrapText="1"/>
    </xf>
    <xf numFmtId="167" fontId="11" fillId="0" borderId="34" xfId="17" applyNumberFormat="1" applyFont="1" applyFill="1" applyBorder="1" applyAlignment="1">
      <alignment horizontal="right" vertical="center" wrapText="1"/>
    </xf>
    <xf numFmtId="167" fontId="4" fillId="0" borderId="34" xfId="17" applyNumberFormat="1" applyFont="1" applyFill="1" applyBorder="1" applyAlignment="1">
      <alignment horizontal="right" vertical="center" wrapText="1"/>
    </xf>
    <xf numFmtId="167" fontId="11" fillId="0" borderId="34" xfId="18" applyNumberFormat="1" applyFont="1" applyFill="1" applyBorder="1" applyAlignment="1">
      <alignment horizontal="right" vertical="center" wrapText="1"/>
    </xf>
    <xf numFmtId="167" fontId="4" fillId="0" borderId="34" xfId="18" applyNumberFormat="1" applyFont="1" applyFill="1" applyBorder="1" applyAlignment="1">
      <alignment horizontal="right" vertical="center" wrapText="1"/>
    </xf>
    <xf numFmtId="167" fontId="11" fillId="0" borderId="34" xfId="19" applyNumberFormat="1" applyFont="1" applyFill="1" applyBorder="1" applyAlignment="1">
      <alignment horizontal="right" vertical="center" wrapText="1"/>
    </xf>
    <xf numFmtId="167" fontId="4" fillId="0" borderId="34" xfId="19" applyNumberFormat="1" applyFont="1" applyFill="1" applyBorder="1" applyAlignment="1">
      <alignment horizontal="right" vertical="center" wrapText="1"/>
    </xf>
    <xf numFmtId="167" fontId="11" fillId="0" borderId="34" xfId="20" applyNumberFormat="1" applyFont="1" applyFill="1" applyBorder="1" applyAlignment="1">
      <alignment horizontal="right" vertical="center" wrapText="1"/>
    </xf>
    <xf numFmtId="167" fontId="4" fillId="0" borderId="34" xfId="20" applyNumberFormat="1" applyFont="1" applyFill="1" applyBorder="1" applyAlignment="1">
      <alignment horizontal="right" vertical="center" wrapText="1"/>
    </xf>
    <xf numFmtId="167" fontId="11" fillId="0" borderId="34" xfId="21" applyNumberFormat="1" applyFont="1" applyFill="1" applyBorder="1" applyAlignment="1">
      <alignment horizontal="right" vertical="center" wrapText="1"/>
    </xf>
    <xf numFmtId="167" fontId="4" fillId="0" borderId="34" xfId="21" applyNumberFormat="1" applyFont="1" applyFill="1" applyBorder="1" applyAlignment="1">
      <alignment horizontal="right" vertical="center" wrapText="1"/>
    </xf>
    <xf numFmtId="167" fontId="11" fillId="0" borderId="34" xfId="22" applyNumberFormat="1" applyFont="1" applyFill="1" applyBorder="1" applyAlignment="1">
      <alignment horizontal="right" vertical="center" wrapText="1"/>
    </xf>
    <xf numFmtId="167" fontId="4" fillId="0" borderId="34" xfId="22" applyNumberFormat="1" applyFont="1" applyFill="1" applyBorder="1" applyAlignment="1">
      <alignment horizontal="right" vertical="center" wrapText="1"/>
    </xf>
    <xf numFmtId="167" fontId="11" fillId="0" borderId="34" xfId="23" applyNumberFormat="1" applyFont="1" applyFill="1" applyBorder="1" applyAlignment="1">
      <alignment horizontal="right" vertical="center" wrapText="1"/>
    </xf>
    <xf numFmtId="167" fontId="4" fillId="0" borderId="34" xfId="23" applyNumberFormat="1" applyFont="1" applyFill="1" applyBorder="1" applyAlignment="1">
      <alignment horizontal="right" vertical="center" wrapText="1"/>
    </xf>
    <xf numFmtId="167" fontId="11" fillId="0" borderId="34" xfId="24" applyNumberFormat="1" applyFont="1" applyFill="1" applyBorder="1" applyAlignment="1">
      <alignment horizontal="right" vertical="center" wrapText="1"/>
    </xf>
    <xf numFmtId="167" fontId="4" fillId="0" borderId="34" xfId="24" applyNumberFormat="1" applyFont="1" applyFill="1" applyBorder="1" applyAlignment="1">
      <alignment horizontal="right" vertical="center" wrapText="1"/>
    </xf>
    <xf numFmtId="167" fontId="4" fillId="0" borderId="34" xfId="25" applyNumberFormat="1" applyFont="1" applyFill="1" applyBorder="1" applyAlignment="1">
      <alignment horizontal="right" vertical="center" wrapText="1"/>
    </xf>
    <xf numFmtId="167" fontId="11" fillId="0" borderId="34" xfId="26" applyNumberFormat="1" applyFont="1" applyFill="1" applyBorder="1" applyAlignment="1">
      <alignment horizontal="right" vertical="center" wrapText="1"/>
    </xf>
    <xf numFmtId="167" fontId="4" fillId="0" borderId="34" xfId="26" applyNumberFormat="1" applyFont="1" applyFill="1" applyBorder="1" applyAlignment="1">
      <alignment horizontal="right" vertical="center" wrapText="1"/>
    </xf>
    <xf numFmtId="167" fontId="11" fillId="0" borderId="34" xfId="27" applyNumberFormat="1" applyFont="1" applyFill="1" applyBorder="1" applyAlignment="1">
      <alignment horizontal="right" vertical="center" wrapText="1"/>
    </xf>
    <xf numFmtId="167" fontId="4" fillId="0" borderId="34" xfId="27" applyNumberFormat="1" applyFont="1" applyFill="1" applyBorder="1" applyAlignment="1">
      <alignment horizontal="right" vertical="center" wrapText="1"/>
    </xf>
    <xf numFmtId="167" fontId="11" fillId="0" borderId="34" xfId="28" applyNumberFormat="1" applyFont="1" applyFill="1" applyBorder="1" applyAlignment="1">
      <alignment horizontal="right" vertical="center" wrapText="1"/>
    </xf>
    <xf numFmtId="167" fontId="4" fillId="0" borderId="34" xfId="28" applyNumberFormat="1" applyFont="1" applyFill="1" applyBorder="1" applyAlignment="1">
      <alignment horizontal="right" vertical="center" wrapText="1"/>
    </xf>
    <xf numFmtId="167" fontId="11" fillId="0" borderId="34" xfId="29" applyNumberFormat="1" applyFont="1" applyFill="1" applyBorder="1" applyAlignment="1">
      <alignment horizontal="right" vertical="center" wrapText="1"/>
    </xf>
    <xf numFmtId="167" fontId="4" fillId="0" borderId="34" xfId="29" applyNumberFormat="1" applyFont="1" applyFill="1" applyBorder="1" applyAlignment="1">
      <alignment horizontal="right" vertical="center" wrapText="1"/>
    </xf>
    <xf numFmtId="167" fontId="11" fillId="0" borderId="34" xfId="30" applyNumberFormat="1" applyFont="1" applyFill="1" applyBorder="1" applyAlignment="1">
      <alignment horizontal="right" vertical="center" wrapText="1"/>
    </xf>
    <xf numFmtId="167" fontId="4" fillId="0" borderId="34" xfId="30" applyNumberFormat="1" applyFont="1" applyFill="1" applyBorder="1" applyAlignment="1">
      <alignment horizontal="right" vertical="center" wrapText="1"/>
    </xf>
    <xf numFmtId="167" fontId="11" fillId="0" borderId="34" xfId="31" applyNumberFormat="1" applyFont="1" applyFill="1" applyBorder="1" applyAlignment="1">
      <alignment horizontal="right" vertical="center" wrapText="1"/>
    </xf>
    <xf numFmtId="167" fontId="4" fillId="0" borderId="34" xfId="31" applyNumberFormat="1" applyFont="1" applyFill="1" applyBorder="1" applyAlignment="1">
      <alignment horizontal="right" vertical="center" wrapText="1"/>
    </xf>
    <xf numFmtId="167" fontId="11" fillId="0" borderId="34" xfId="2" applyNumberFormat="1" applyFont="1" applyFill="1" applyBorder="1" applyAlignment="1">
      <alignment horizontal="right" vertical="center"/>
    </xf>
    <xf numFmtId="167" fontId="4" fillId="0" borderId="34" xfId="2" applyNumberFormat="1" applyFont="1" applyFill="1" applyBorder="1" applyAlignment="1">
      <alignment horizontal="right" vertical="center"/>
    </xf>
    <xf numFmtId="167" fontId="11" fillId="0" borderId="34" xfId="32" applyNumberFormat="1" applyFont="1" applyFill="1" applyBorder="1" applyAlignment="1">
      <alignment vertical="center"/>
    </xf>
    <xf numFmtId="167" fontId="11" fillId="0" borderId="34" xfId="34" applyNumberFormat="1" applyFont="1" applyFill="1" applyBorder="1" applyAlignment="1">
      <alignment vertical="center"/>
    </xf>
    <xf numFmtId="167" fontId="11" fillId="0" borderId="34" xfId="33" applyNumberFormat="1" applyFont="1" applyFill="1" applyBorder="1" applyAlignment="1">
      <alignment vertical="center"/>
    </xf>
    <xf numFmtId="167" fontId="4" fillId="0" borderId="34" xfId="33" applyNumberFormat="1" applyFont="1" applyFill="1" applyBorder="1" applyAlignment="1">
      <alignment vertical="center"/>
    </xf>
    <xf numFmtId="167" fontId="19" fillId="0" borderId="34" xfId="0" applyNumberFormat="1" applyFont="1" applyFill="1" applyBorder="1" applyAlignment="1">
      <alignment vertical="center" wrapText="1"/>
    </xf>
    <xf numFmtId="167" fontId="11" fillId="0" borderId="34" xfId="7" applyNumberFormat="1" applyFont="1" applyFill="1" applyBorder="1" applyAlignment="1">
      <alignment vertical="center"/>
    </xf>
    <xf numFmtId="167" fontId="4" fillId="0" borderId="34" xfId="7" applyNumberFormat="1" applyFont="1" applyFill="1" applyBorder="1" applyAlignment="1">
      <alignment vertical="center"/>
    </xf>
    <xf numFmtId="167" fontId="11" fillId="0" borderId="34" xfId="0" applyNumberFormat="1" applyFont="1" applyFill="1" applyBorder="1" applyAlignment="1">
      <alignment horizontal="center" vertical="center" wrapText="1"/>
    </xf>
    <xf numFmtId="167" fontId="11" fillId="0" borderId="34" xfId="35" applyNumberFormat="1" applyFont="1" applyFill="1" applyBorder="1" applyAlignment="1">
      <alignment horizontal="right" vertical="center"/>
    </xf>
    <xf numFmtId="167" fontId="4" fillId="0" borderId="34" xfId="35" applyNumberFormat="1" applyFont="1" applyFill="1" applyBorder="1" applyAlignment="1">
      <alignment horizontal="right" vertical="center"/>
    </xf>
    <xf numFmtId="167" fontId="4" fillId="0" borderId="34" xfId="35" applyNumberFormat="1" applyFont="1" applyFill="1" applyBorder="1" applyAlignment="1">
      <alignment vertical="center"/>
    </xf>
    <xf numFmtId="167" fontId="11" fillId="0" borderId="34" xfId="35" applyNumberFormat="1" applyFont="1" applyFill="1" applyBorder="1" applyAlignment="1">
      <alignment horizontal="left" vertical="center"/>
    </xf>
    <xf numFmtId="167" fontId="11" fillId="0" borderId="34" xfId="2" applyNumberFormat="1" applyFont="1" applyFill="1" applyBorder="1" applyAlignment="1" applyProtection="1">
      <alignment horizontal="center" vertical="center"/>
    </xf>
    <xf numFmtId="167" fontId="11" fillId="0" borderId="34" xfId="0" applyNumberFormat="1" applyFont="1" applyFill="1" applyBorder="1" applyAlignment="1" applyProtection="1">
      <alignment horizontal="center" vertical="center"/>
    </xf>
    <xf numFmtId="167" fontId="4" fillId="0" borderId="34" xfId="0" applyNumberFormat="1" applyFont="1" applyFill="1" applyBorder="1" applyAlignment="1" applyProtection="1">
      <alignment horizontal="center" vertical="center"/>
    </xf>
    <xf numFmtId="167" fontId="4" fillId="0" borderId="39" xfId="2" applyNumberFormat="1" applyFont="1" applyFill="1" applyBorder="1" applyAlignment="1" applyProtection="1">
      <alignment horizontal="center" vertical="center" wrapText="1"/>
    </xf>
    <xf numFmtId="167" fontId="11" fillId="0" borderId="26" xfId="2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13" xfId="0" applyFont="1" applyBorder="1" applyAlignment="1">
      <alignment vertical="center" wrapText="1"/>
    </xf>
    <xf numFmtId="0" fontId="0" fillId="0" borderId="14" xfId="0" applyFont="1" applyBorder="1" applyAlignment="1">
      <alignment vertical="center" wrapText="1"/>
    </xf>
    <xf numFmtId="167" fontId="19" fillId="0" borderId="34" xfId="8" applyNumberFormat="1" applyFont="1" applyFill="1" applyBorder="1" applyAlignment="1">
      <alignment vertical="center"/>
    </xf>
    <xf numFmtId="167" fontId="17" fillId="0" borderId="34" xfId="8" applyNumberFormat="1" applyFont="1" applyFill="1" applyBorder="1" applyAlignment="1">
      <alignment vertical="center"/>
    </xf>
    <xf numFmtId="39" fontId="46" fillId="0" borderId="0" xfId="0" applyNumberFormat="1" applyFont="1" applyAlignment="1">
      <alignment vertical="top"/>
    </xf>
    <xf numFmtId="165" fontId="12" fillId="0" borderId="34" xfId="2" applyNumberFormat="1" applyFont="1" applyFill="1" applyBorder="1" applyAlignment="1">
      <alignment vertical="center"/>
    </xf>
    <xf numFmtId="49" fontId="2" fillId="0" borderId="34" xfId="5" applyNumberFormat="1" applyFont="1" applyFill="1" applyBorder="1" applyAlignment="1">
      <alignment horizontal="left" vertical="center" wrapText="1"/>
    </xf>
    <xf numFmtId="0" fontId="9" fillId="0" borderId="34" xfId="0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9" fillId="4" borderId="0" xfId="0" applyNumberFormat="1" applyFont="1" applyFill="1" applyAlignment="1">
      <alignment horizontal="right" vertical="center" wrapText="1"/>
    </xf>
    <xf numFmtId="41" fontId="10" fillId="0" borderId="26" xfId="2" applyFont="1" applyBorder="1" applyAlignment="1">
      <alignment vertical="center"/>
    </xf>
    <xf numFmtId="0" fontId="4" fillId="0" borderId="3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/>
    </xf>
    <xf numFmtId="41" fontId="0" fillId="0" borderId="34" xfId="2" applyFont="1" applyBorder="1" applyAlignment="1">
      <alignment vertical="center"/>
    </xf>
    <xf numFmtId="41" fontId="11" fillId="3" borderId="34" xfId="4" applyFont="1" applyFill="1" applyBorder="1" applyAlignment="1">
      <alignment horizontal="left" vertical="center"/>
    </xf>
    <xf numFmtId="167" fontId="4" fillId="3" borderId="34" xfId="4" applyNumberFormat="1" applyFont="1" applyFill="1" applyBorder="1" applyAlignment="1">
      <alignment horizontal="left" vertical="center"/>
    </xf>
    <xf numFmtId="167" fontId="9" fillId="0" borderId="31" xfId="2" applyNumberFormat="1" applyFont="1" applyBorder="1" applyAlignment="1">
      <alignment vertical="center"/>
    </xf>
    <xf numFmtId="167" fontId="4" fillId="3" borderId="30" xfId="4" applyNumberFormat="1" applyFont="1" applyFill="1" applyBorder="1" applyAlignment="1">
      <alignment horizontal="left" vertical="center"/>
    </xf>
    <xf numFmtId="167" fontId="9" fillId="0" borderId="30" xfId="2" applyNumberFormat="1" applyFont="1" applyBorder="1" applyAlignment="1">
      <alignment vertical="center"/>
    </xf>
    <xf numFmtId="0" fontId="4" fillId="3" borderId="30" xfId="0" applyFont="1" applyFill="1" applyBorder="1" applyAlignment="1">
      <alignment horizontal="left" vertical="center"/>
    </xf>
    <xf numFmtId="0" fontId="9" fillId="3" borderId="29" xfId="0" applyFont="1" applyFill="1" applyBorder="1" applyAlignment="1">
      <alignment horizontal="center" vertical="center"/>
    </xf>
    <xf numFmtId="167" fontId="9" fillId="0" borderId="49" xfId="2" applyNumberFormat="1" applyFont="1" applyBorder="1" applyAlignment="1">
      <alignment vertical="center"/>
    </xf>
    <xf numFmtId="167" fontId="4" fillId="3" borderId="44" xfId="4" applyNumberFormat="1" applyFont="1" applyFill="1" applyBorder="1" applyAlignment="1">
      <alignment horizontal="left" vertical="center"/>
    </xf>
    <xf numFmtId="167" fontId="9" fillId="0" borderId="44" xfId="2" applyNumberFormat="1" applyFont="1" applyBorder="1" applyAlignment="1">
      <alignment vertical="center"/>
    </xf>
    <xf numFmtId="0" fontId="4" fillId="3" borderId="44" xfId="0" applyFont="1" applyFill="1" applyBorder="1" applyAlignment="1">
      <alignment horizontal="left" vertical="center"/>
    </xf>
    <xf numFmtId="0" fontId="9" fillId="3" borderId="50" xfId="0" applyFont="1" applyFill="1" applyBorder="1" applyAlignment="1">
      <alignment horizontal="center" vertical="center"/>
    </xf>
    <xf numFmtId="41" fontId="10" fillId="3" borderId="34" xfId="4" applyFont="1" applyFill="1" applyBorder="1" applyAlignment="1">
      <alignment vertical="center"/>
    </xf>
    <xf numFmtId="167" fontId="48" fillId="0" borderId="51" xfId="2" applyNumberFormat="1" applyFont="1" applyFill="1" applyBorder="1" applyAlignment="1">
      <alignment vertical="center"/>
    </xf>
    <xf numFmtId="0" fontId="9" fillId="0" borderId="3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41" fontId="33" fillId="0" borderId="0" xfId="2" applyFont="1" applyBorder="1" applyAlignment="1">
      <alignment vertical="center"/>
    </xf>
    <xf numFmtId="41" fontId="33" fillId="0" borderId="0" xfId="0" applyNumberFormat="1" applyFont="1" applyAlignment="1">
      <alignment vertical="center"/>
    </xf>
    <xf numFmtId="0" fontId="33" fillId="0" borderId="4" xfId="0" applyFont="1" applyBorder="1" applyAlignment="1">
      <alignment vertical="center"/>
    </xf>
    <xf numFmtId="2" fontId="9" fillId="0" borderId="0" xfId="2" applyNumberFormat="1" applyFont="1" applyFill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41" fontId="9" fillId="0" borderId="0" xfId="2" applyFont="1" applyFill="1" applyAlignment="1">
      <alignment horizontal="left" vertical="center" wrapText="1"/>
    </xf>
    <xf numFmtId="41" fontId="9" fillId="0" borderId="0" xfId="0" applyNumberFormat="1" applyFont="1" applyAlignment="1">
      <alignment horizontal="left" vertical="center" wrapText="1"/>
    </xf>
    <xf numFmtId="43" fontId="9" fillId="0" borderId="0" xfId="0" applyNumberFormat="1" applyFont="1" applyAlignment="1">
      <alignment vertical="center"/>
    </xf>
    <xf numFmtId="41" fontId="12" fillId="0" borderId="0" xfId="2" quotePrefix="1" applyFont="1" applyFill="1" applyAlignment="1">
      <alignment horizontal="left" vertical="center" wrapText="1"/>
    </xf>
    <xf numFmtId="167" fontId="9" fillId="0" borderId="2" xfId="2" applyNumberFormat="1" applyFont="1" applyFill="1" applyBorder="1" applyAlignment="1">
      <alignment vertical="center"/>
    </xf>
    <xf numFmtId="0" fontId="12" fillId="0" borderId="26" xfId="0" applyFont="1" applyBorder="1" applyAlignment="1">
      <alignment vertical="center"/>
    </xf>
    <xf numFmtId="2" fontId="12" fillId="0" borderId="26" xfId="2" applyNumberFormat="1" applyFont="1" applyFill="1" applyBorder="1" applyAlignment="1">
      <alignment vertical="center"/>
    </xf>
    <xf numFmtId="167" fontId="12" fillId="0" borderId="26" xfId="2" applyNumberFormat="1" applyFont="1" applyFill="1" applyBorder="1" applyAlignment="1">
      <alignment vertical="center"/>
    </xf>
    <xf numFmtId="41" fontId="12" fillId="0" borderId="26" xfId="2" applyFont="1" applyFill="1" applyBorder="1" applyAlignment="1">
      <alignment vertical="center"/>
    </xf>
    <xf numFmtId="0" fontId="12" fillId="0" borderId="26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2" fontId="4" fillId="0" borderId="39" xfId="2" applyNumberFormat="1" applyFont="1" applyFill="1" applyBorder="1" applyAlignment="1">
      <alignment horizontal="center" vertical="center"/>
    </xf>
    <xf numFmtId="167" fontId="4" fillId="0" borderId="39" xfId="2" applyNumberFormat="1" applyFont="1" applyFill="1" applyBorder="1" applyAlignment="1">
      <alignment vertical="center"/>
    </xf>
    <xf numFmtId="167" fontId="29" fillId="0" borderId="39" xfId="2" applyNumberFormat="1" applyFont="1" applyFill="1" applyBorder="1" applyAlignment="1">
      <alignment vertical="center"/>
    </xf>
    <xf numFmtId="167" fontId="0" fillId="0" borderId="39" xfId="2" applyNumberFormat="1" applyFont="1" applyFill="1" applyBorder="1" applyAlignment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39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2" fontId="4" fillId="0" borderId="34" xfId="2" applyNumberFormat="1" applyFont="1" applyFill="1" applyBorder="1" applyAlignment="1">
      <alignment horizontal="center" vertical="center"/>
    </xf>
    <xf numFmtId="167" fontId="0" fillId="0" borderId="34" xfId="2" applyNumberFormat="1" applyFont="1" applyFill="1" applyBorder="1" applyAlignment="1">
      <alignment vertical="center"/>
    </xf>
    <xf numFmtId="167" fontId="12" fillId="0" borderId="34" xfId="2" applyNumberFormat="1" applyFont="1" applyFill="1" applyBorder="1" applyAlignment="1">
      <alignment vertical="center"/>
    </xf>
    <xf numFmtId="0" fontId="12" fillId="0" borderId="34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2" fontId="11" fillId="0" borderId="34" xfId="2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left" vertical="center" wrapText="1"/>
    </xf>
    <xf numFmtId="39" fontId="49" fillId="0" borderId="34" xfId="9" applyNumberFormat="1" applyFont="1" applyBorder="1" applyAlignment="1">
      <alignment horizontal="right" vertical="center"/>
    </xf>
    <xf numFmtId="0" fontId="49" fillId="0" borderId="34" xfId="9" applyFont="1" applyBorder="1" applyAlignment="1">
      <alignment horizontal="left" vertical="center" wrapText="1"/>
    </xf>
    <xf numFmtId="0" fontId="49" fillId="0" borderId="34" xfId="9" applyFont="1" applyBorder="1" applyAlignment="1">
      <alignment vertical="center" wrapText="1"/>
    </xf>
    <xf numFmtId="0" fontId="12" fillId="0" borderId="34" xfId="0" applyFont="1" applyBorder="1" applyAlignment="1">
      <alignment vertical="center"/>
    </xf>
    <xf numFmtId="39" fontId="50" fillId="0" borderId="34" xfId="9" applyNumberFormat="1" applyFont="1" applyBorder="1" applyAlignment="1">
      <alignment horizontal="right" vertical="center"/>
    </xf>
    <xf numFmtId="0" fontId="51" fillId="0" borderId="34" xfId="9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/>
    </xf>
    <xf numFmtId="0" fontId="50" fillId="0" borderId="34" xfId="9" applyFont="1" applyBorder="1" applyAlignment="1">
      <alignment vertical="center" wrapText="1"/>
    </xf>
    <xf numFmtId="0" fontId="18" fillId="0" borderId="34" xfId="9" applyBorder="1" applyAlignment="1">
      <alignment vertical="center"/>
    </xf>
    <xf numFmtId="0" fontId="18" fillId="0" borderId="34" xfId="9" applyBorder="1" applyAlignment="1">
      <alignment vertical="center" wrapText="1"/>
    </xf>
    <xf numFmtId="0" fontId="50" fillId="0" borderId="34" xfId="9" applyFont="1" applyBorder="1" applyAlignment="1">
      <alignment horizontal="left" vertical="center" wrapText="1"/>
    </xf>
    <xf numFmtId="166" fontId="18" fillId="0" borderId="34" xfId="9" applyNumberFormat="1" applyBorder="1" applyAlignment="1">
      <alignment vertical="center"/>
    </xf>
    <xf numFmtId="41" fontId="12" fillId="0" borderId="34" xfId="2" applyFont="1" applyFill="1" applyBorder="1" applyAlignment="1">
      <alignment horizontal="right" vertical="center"/>
    </xf>
    <xf numFmtId="39" fontId="9" fillId="0" borderId="34" xfId="9" applyNumberFormat="1" applyFont="1" applyBorder="1" applyAlignment="1">
      <alignment vertical="center"/>
    </xf>
    <xf numFmtId="41" fontId="0" fillId="0" borderId="34" xfId="2" applyFont="1" applyFill="1" applyBorder="1" applyAlignment="1">
      <alignment horizontal="right" vertical="center"/>
    </xf>
    <xf numFmtId="41" fontId="12" fillId="0" borderId="34" xfId="2" applyFont="1" applyFill="1" applyBorder="1" applyAlignment="1">
      <alignment horizontal="center" vertical="center"/>
    </xf>
    <xf numFmtId="2" fontId="0" fillId="0" borderId="34" xfId="2" applyNumberFormat="1" applyFont="1" applyFill="1" applyBorder="1" applyAlignment="1">
      <alignment vertical="center"/>
    </xf>
    <xf numFmtId="41" fontId="12" fillId="0" borderId="34" xfId="4" applyFont="1" applyFill="1" applyBorder="1" applyAlignment="1">
      <alignment horizontal="left" vertical="center" wrapText="1"/>
    </xf>
    <xf numFmtId="49" fontId="0" fillId="0" borderId="34" xfId="0" applyNumberFormat="1" applyBorder="1" applyAlignment="1">
      <alignment horizontal="center" vertical="center"/>
    </xf>
    <xf numFmtId="2" fontId="0" fillId="0" borderId="34" xfId="0" applyNumberFormat="1" applyBorder="1" applyAlignment="1">
      <alignment vertical="center"/>
    </xf>
    <xf numFmtId="167" fontId="0" fillId="0" borderId="34" xfId="5" applyNumberFormat="1" applyFont="1" applyFill="1" applyBorder="1" applyAlignment="1">
      <alignment horizontal="right" vertical="center"/>
    </xf>
    <xf numFmtId="49" fontId="12" fillId="0" borderId="34" xfId="0" applyNumberFormat="1" applyFont="1" applyBorder="1" applyAlignment="1">
      <alignment horizontal="center" vertical="center"/>
    </xf>
    <xf numFmtId="2" fontId="12" fillId="0" borderId="34" xfId="0" applyNumberFormat="1" applyFont="1" applyBorder="1" applyAlignment="1">
      <alignment vertical="center"/>
    </xf>
    <xf numFmtId="167" fontId="12" fillId="0" borderId="34" xfId="5" applyNumberFormat="1" applyFont="1" applyFill="1" applyBorder="1" applyAlignment="1">
      <alignment horizontal="right" vertical="center"/>
    </xf>
    <xf numFmtId="2" fontId="12" fillId="0" borderId="34" xfId="5" applyNumberFormat="1" applyFont="1" applyFill="1" applyBorder="1" applyAlignment="1">
      <alignment vertical="center"/>
    </xf>
    <xf numFmtId="167" fontId="12" fillId="0" borderId="34" xfId="4" applyNumberFormat="1" applyFont="1" applyFill="1" applyBorder="1" applyAlignment="1">
      <alignment horizontal="left" vertical="center"/>
    </xf>
    <xf numFmtId="0" fontId="0" fillId="0" borderId="34" xfId="0" applyBorder="1" applyAlignment="1">
      <alignment vertical="center" wrapText="1"/>
    </xf>
    <xf numFmtId="2" fontId="12" fillId="0" borderId="34" xfId="2" applyNumberFormat="1" applyFont="1" applyFill="1" applyBorder="1" applyAlignment="1">
      <alignment vertical="center"/>
    </xf>
    <xf numFmtId="0" fontId="4" fillId="0" borderId="34" xfId="0" quotePrefix="1" applyFont="1" applyBorder="1" applyAlignment="1">
      <alignment horizontal="left" vertical="center" wrapText="1"/>
    </xf>
    <xf numFmtId="0" fontId="11" fillId="0" borderId="34" xfId="0" applyFont="1" applyBorder="1" applyAlignment="1">
      <alignment vertical="center" wrapText="1"/>
    </xf>
    <xf numFmtId="0" fontId="11" fillId="0" borderId="34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34" xfId="0" applyFont="1" applyBorder="1" applyAlignment="1">
      <alignment vertical="center" wrapText="1"/>
    </xf>
    <xf numFmtId="49" fontId="12" fillId="0" borderId="3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7" fontId="4" fillId="0" borderId="34" xfId="5" quotePrefix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167" fontId="11" fillId="0" borderId="34" xfId="5" quotePrefix="1" applyNumberFormat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vertical="center"/>
    </xf>
    <xf numFmtId="2" fontId="4" fillId="0" borderId="34" xfId="2" applyNumberFormat="1" applyFont="1" applyFill="1" applyBorder="1" applyAlignment="1">
      <alignment vertical="center"/>
    </xf>
    <xf numFmtId="49" fontId="4" fillId="0" borderId="34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vertical="center"/>
    </xf>
    <xf numFmtId="49" fontId="11" fillId="0" borderId="34" xfId="0" applyNumberFormat="1" applyFont="1" applyBorder="1" applyAlignment="1">
      <alignment horizontal="center" vertical="center"/>
    </xf>
    <xf numFmtId="2" fontId="11" fillId="0" borderId="34" xfId="2" applyNumberFormat="1" applyFont="1" applyFill="1" applyBorder="1" applyAlignment="1">
      <alignment vertical="center"/>
    </xf>
    <xf numFmtId="2" fontId="4" fillId="0" borderId="34" xfId="81" quotePrefix="1" applyNumberFormat="1" applyFont="1" applyFill="1" applyBorder="1" applyAlignment="1">
      <alignment horizontal="center" vertical="center" wrapText="1"/>
    </xf>
    <xf numFmtId="166" fontId="4" fillId="0" borderId="34" xfId="35" applyNumberFormat="1" applyFont="1" applyBorder="1" applyAlignment="1">
      <alignment horizontal="right" vertical="center"/>
    </xf>
    <xf numFmtId="166" fontId="11" fillId="0" borderId="34" xfId="35" applyNumberFormat="1" applyFont="1" applyBorder="1" applyAlignment="1">
      <alignment horizontal="right" vertical="center"/>
    </xf>
    <xf numFmtId="166" fontId="53" fillId="0" borderId="34" xfId="35" applyNumberFormat="1" applyFont="1" applyBorder="1" applyAlignment="1">
      <alignment horizontal="right" vertical="center"/>
    </xf>
    <xf numFmtId="166" fontId="11" fillId="0" borderId="34" xfId="50" applyNumberFormat="1" applyFont="1" applyFill="1" applyBorder="1" applyAlignment="1">
      <alignment horizontal="right" vertical="center" wrapText="1"/>
    </xf>
    <xf numFmtId="166" fontId="12" fillId="0" borderId="34" xfId="0" applyNumberFormat="1" applyFont="1" applyBorder="1" applyAlignment="1">
      <alignment horizontal="left" vertical="center" wrapText="1"/>
    </xf>
    <xf numFmtId="41" fontId="9" fillId="0" borderId="34" xfId="5" applyFont="1" applyFill="1" applyBorder="1" applyAlignment="1">
      <alignment vertical="center"/>
    </xf>
    <xf numFmtId="168" fontId="9" fillId="0" borderId="34" xfId="0" applyNumberFormat="1" applyFont="1" applyBorder="1" applyAlignment="1">
      <alignment vertical="center"/>
    </xf>
    <xf numFmtId="0" fontId="9" fillId="0" borderId="34" xfId="0" applyFont="1" applyBorder="1" applyAlignment="1">
      <alignment vertical="center" wrapText="1"/>
    </xf>
    <xf numFmtId="168" fontId="12" fillId="0" borderId="34" xfId="0" applyNumberFormat="1" applyFont="1" applyBorder="1" applyAlignment="1">
      <alignment vertical="center"/>
    </xf>
    <xf numFmtId="168" fontId="11" fillId="0" borderId="34" xfId="0" applyNumberFormat="1" applyFont="1" applyBorder="1" applyAlignment="1">
      <alignment vertical="center"/>
    </xf>
    <xf numFmtId="0" fontId="10" fillId="0" borderId="34" xfId="0" applyFont="1" applyBorder="1" applyAlignment="1">
      <alignment vertical="center" wrapText="1"/>
    </xf>
    <xf numFmtId="168" fontId="0" fillId="0" borderId="34" xfId="0" applyNumberFormat="1" applyBorder="1" applyAlignment="1">
      <alignment vertical="center"/>
    </xf>
    <xf numFmtId="168" fontId="10" fillId="0" borderId="34" xfId="0" applyNumberFormat="1" applyFont="1" applyBorder="1" applyAlignment="1">
      <alignment vertical="center"/>
    </xf>
    <xf numFmtId="168" fontId="4" fillId="0" borderId="34" xfId="0" applyNumberFormat="1" applyFont="1" applyBorder="1" applyAlignment="1">
      <alignment vertical="center"/>
    </xf>
    <xf numFmtId="43" fontId="11" fillId="0" borderId="34" xfId="0" applyNumberFormat="1" applyFont="1" applyBorder="1" applyAlignment="1">
      <alignment vertical="center"/>
    </xf>
    <xf numFmtId="43" fontId="12" fillId="0" borderId="34" xfId="0" applyNumberFormat="1" applyFont="1" applyBorder="1" applyAlignment="1">
      <alignment vertical="center"/>
    </xf>
    <xf numFmtId="0" fontId="0" fillId="0" borderId="34" xfId="33" applyFont="1" applyBorder="1" applyAlignment="1" applyProtection="1">
      <alignment vertical="center" wrapText="1"/>
      <protection locked="0"/>
    </xf>
    <xf numFmtId="0" fontId="54" fillId="0" borderId="34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168" fontId="55" fillId="0" borderId="34" xfId="0" applyNumberFormat="1" applyFont="1" applyBorder="1" applyAlignment="1">
      <alignment vertical="center"/>
    </xf>
    <xf numFmtId="0" fontId="19" fillId="0" borderId="34" xfId="0" applyFont="1" applyBorder="1" applyAlignment="1">
      <alignment vertical="center" wrapText="1"/>
    </xf>
    <xf numFmtId="41" fontId="9" fillId="0" borderId="34" xfId="5" applyFont="1" applyFill="1" applyBorder="1" applyAlignment="1">
      <alignment horizontal="center" vertical="center"/>
    </xf>
    <xf numFmtId="41" fontId="27" fillId="0" borderId="34" xfId="5" applyFont="1" applyFill="1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2" fontId="0" fillId="0" borderId="34" xfId="3" applyNumberFormat="1" applyFont="1" applyFill="1" applyBorder="1" applyAlignment="1">
      <alignment horizontal="left" vertical="center"/>
    </xf>
    <xf numFmtId="2" fontId="12" fillId="0" borderId="34" xfId="3" applyNumberFormat="1" applyFont="1" applyFill="1" applyBorder="1" applyAlignment="1">
      <alignment horizontal="left" vertical="center"/>
    </xf>
    <xf numFmtId="49" fontId="0" fillId="0" borderId="34" xfId="0" applyNumberFormat="1" applyBorder="1" applyAlignment="1">
      <alignment horizontal="left" vertical="center" wrapText="1"/>
    </xf>
    <xf numFmtId="49" fontId="12" fillId="0" borderId="34" xfId="0" applyNumberFormat="1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/>
    </xf>
    <xf numFmtId="2" fontId="2" fillId="0" borderId="34" xfId="3" applyNumberFormat="1" applyFont="1" applyFill="1" applyBorder="1" applyAlignment="1">
      <alignment horizontal="left" vertical="center"/>
    </xf>
    <xf numFmtId="41" fontId="2" fillId="0" borderId="34" xfId="5" applyFont="1" applyFill="1" applyBorder="1" applyAlignment="1">
      <alignment horizontal="left" vertical="center"/>
    </xf>
    <xf numFmtId="2" fontId="4" fillId="0" borderId="34" xfId="5" applyNumberFormat="1" applyFont="1" applyFill="1" applyBorder="1" applyAlignment="1">
      <alignment horizontal="center" vertical="center"/>
    </xf>
    <xf numFmtId="166" fontId="4" fillId="0" borderId="34" xfId="8" applyNumberFormat="1" applyFont="1" applyFill="1" applyBorder="1" applyAlignment="1">
      <alignment horizontal="left" vertical="center"/>
    </xf>
    <xf numFmtId="166" fontId="4" fillId="0" borderId="34" xfId="5" applyNumberFormat="1" applyFont="1" applyFill="1" applyBorder="1" applyAlignment="1">
      <alignment horizontal="left" vertical="center"/>
    </xf>
    <xf numFmtId="2" fontId="11" fillId="0" borderId="34" xfId="5" applyNumberFormat="1" applyFont="1" applyFill="1" applyBorder="1" applyAlignment="1">
      <alignment horizontal="center" vertical="center"/>
    </xf>
    <xf numFmtId="166" fontId="11" fillId="0" borderId="34" xfId="8" applyNumberFormat="1" applyFont="1" applyFill="1" applyBorder="1" applyAlignment="1">
      <alignment horizontal="left" vertical="center"/>
    </xf>
    <xf numFmtId="166" fontId="11" fillId="0" borderId="34" xfId="5" applyNumberFormat="1" applyFont="1" applyFill="1" applyBorder="1" applyAlignment="1">
      <alignment horizontal="left" vertical="center"/>
    </xf>
    <xf numFmtId="49" fontId="4" fillId="0" borderId="34" xfId="0" applyNumberFormat="1" applyFont="1" applyBorder="1" applyAlignment="1">
      <alignment vertical="center" wrapText="1"/>
    </xf>
    <xf numFmtId="49" fontId="11" fillId="0" borderId="34" xfId="0" applyNumberFormat="1" applyFont="1" applyBorder="1" applyAlignment="1">
      <alignment vertical="center" wrapText="1"/>
    </xf>
    <xf numFmtId="166" fontId="4" fillId="0" borderId="34" xfId="0" applyNumberFormat="1" applyFont="1" applyBorder="1" applyAlignment="1">
      <alignment horizontal="left" vertical="center"/>
    </xf>
    <xf numFmtId="166" fontId="11" fillId="0" borderId="34" xfId="0" applyNumberFormat="1" applyFont="1" applyBorder="1" applyAlignment="1">
      <alignment horizontal="left" vertical="center"/>
    </xf>
    <xf numFmtId="166" fontId="11" fillId="0" borderId="34" xfId="5" applyNumberFormat="1" applyFont="1" applyFill="1" applyBorder="1" applyAlignment="1">
      <alignment vertical="center"/>
    </xf>
    <xf numFmtId="41" fontId="4" fillId="0" borderId="34" xfId="5" applyFont="1" applyFill="1" applyBorder="1" applyAlignment="1">
      <alignment vertical="center"/>
    </xf>
    <xf numFmtId="168" fontId="4" fillId="0" borderId="34" xfId="8" applyNumberFormat="1" applyFont="1" applyFill="1" applyBorder="1" applyAlignment="1">
      <alignment vertical="center"/>
    </xf>
    <xf numFmtId="168" fontId="19" fillId="0" borderId="34" xfId="8" applyNumberFormat="1" applyFont="1" applyFill="1" applyBorder="1" applyAlignment="1">
      <alignment vertical="center"/>
    </xf>
    <xf numFmtId="0" fontId="11" fillId="0" borderId="34" xfId="0" quotePrefix="1" applyFont="1" applyBorder="1" applyAlignment="1">
      <alignment horizontal="left" vertical="center" wrapText="1"/>
    </xf>
    <xf numFmtId="41" fontId="11" fillId="0" borderId="34" xfId="5" applyFont="1" applyFill="1" applyBorder="1" applyAlignment="1">
      <alignment vertical="center"/>
    </xf>
    <xf numFmtId="168" fontId="19" fillId="0" borderId="34" xfId="0" applyNumberFormat="1" applyFont="1" applyBorder="1" applyAlignment="1">
      <alignment vertical="center"/>
    </xf>
    <xf numFmtId="168" fontId="11" fillId="0" borderId="34" xfId="8" applyNumberFormat="1" applyFont="1" applyFill="1" applyBorder="1" applyAlignment="1">
      <alignment vertical="center"/>
    </xf>
    <xf numFmtId="167" fontId="11" fillId="0" borderId="34" xfId="0" applyNumberFormat="1" applyFont="1" applyBorder="1" applyAlignment="1">
      <alignment vertical="center"/>
    </xf>
    <xf numFmtId="167" fontId="4" fillId="0" borderId="34" xfId="0" applyNumberFormat="1" applyFont="1" applyBorder="1" applyAlignment="1">
      <alignment vertical="center"/>
    </xf>
    <xf numFmtId="168" fontId="17" fillId="0" borderId="34" xfId="8" applyNumberFormat="1" applyFont="1" applyFill="1" applyBorder="1" applyAlignment="1">
      <alignment vertical="center"/>
    </xf>
    <xf numFmtId="0" fontId="11" fillId="0" borderId="34" xfId="0" quotePrefix="1" applyFont="1" applyBorder="1" applyAlignment="1">
      <alignment vertical="center" wrapText="1"/>
    </xf>
    <xf numFmtId="41" fontId="4" fillId="0" borderId="34" xfId="0" applyNumberFormat="1" applyFont="1" applyBorder="1" applyAlignment="1">
      <alignment vertical="center"/>
    </xf>
    <xf numFmtId="41" fontId="19" fillId="0" borderId="34" xfId="0" applyNumberFormat="1" applyFont="1" applyBorder="1" applyAlignment="1">
      <alignment vertical="center"/>
    </xf>
    <xf numFmtId="168" fontId="11" fillId="0" borderId="34" xfId="5" applyNumberFormat="1" applyFont="1" applyFill="1" applyBorder="1" applyAlignment="1">
      <alignment vertical="center"/>
    </xf>
    <xf numFmtId="41" fontId="11" fillId="0" borderId="34" xfId="0" applyNumberFormat="1" applyFont="1" applyBorder="1" applyAlignment="1">
      <alignment vertical="center"/>
    </xf>
    <xf numFmtId="2" fontId="0" fillId="0" borderId="34" xfId="5" applyNumberFormat="1" applyFont="1" applyFill="1" applyBorder="1" applyAlignment="1">
      <alignment vertical="center"/>
    </xf>
    <xf numFmtId="0" fontId="4" fillId="0" borderId="34" xfId="33" applyFont="1" applyBorder="1" applyAlignment="1">
      <alignment vertical="center" wrapText="1"/>
    </xf>
    <xf numFmtId="167" fontId="4" fillId="0" borderId="34" xfId="0" applyNumberFormat="1" applyFont="1" applyBorder="1" applyAlignment="1">
      <alignment horizontal="left" vertical="center"/>
    </xf>
    <xf numFmtId="167" fontId="11" fillId="0" borderId="34" xfId="0" applyNumberFormat="1" applyFont="1" applyBorder="1" applyAlignment="1">
      <alignment horizontal="left" vertical="center"/>
    </xf>
    <xf numFmtId="0" fontId="11" fillId="0" borderId="34" xfId="33" applyFont="1" applyBorder="1" applyAlignment="1">
      <alignment vertical="center" wrapText="1"/>
    </xf>
    <xf numFmtId="0" fontId="47" fillId="0" borderId="34" xfId="0" applyFont="1" applyBorder="1" applyAlignment="1">
      <alignment vertical="center"/>
    </xf>
    <xf numFmtId="2" fontId="47" fillId="0" borderId="34" xfId="2" applyNumberFormat="1" applyFont="1" applyFill="1" applyBorder="1" applyAlignment="1">
      <alignment vertical="center"/>
    </xf>
    <xf numFmtId="167" fontId="47" fillId="0" borderId="34" xfId="2" applyNumberFormat="1" applyFont="1" applyFill="1" applyBorder="1" applyAlignment="1">
      <alignment vertical="center"/>
    </xf>
    <xf numFmtId="0" fontId="47" fillId="0" borderId="34" xfId="0" applyFont="1" applyBorder="1" applyAlignment="1">
      <alignment horizontal="left" vertical="center" wrapText="1"/>
    </xf>
    <xf numFmtId="49" fontId="47" fillId="0" borderId="34" xfId="0" applyNumberFormat="1" applyFont="1" applyBorder="1" applyAlignment="1">
      <alignment horizontal="center" vertical="center"/>
    </xf>
    <xf numFmtId="167" fontId="11" fillId="0" borderId="34" xfId="2" quotePrefix="1" applyNumberFormat="1" applyFont="1" applyFill="1" applyBorder="1" applyAlignment="1">
      <alignment horizontal="center" vertical="center"/>
    </xf>
    <xf numFmtId="167" fontId="4" fillId="0" borderId="34" xfId="2" quotePrefix="1" applyNumberFormat="1" applyFont="1" applyFill="1" applyBorder="1" applyAlignment="1">
      <alignment horizontal="center" vertical="center"/>
    </xf>
    <xf numFmtId="167" fontId="4" fillId="0" borderId="34" xfId="2" applyNumberFormat="1" applyFont="1" applyFill="1" applyBorder="1" applyAlignment="1">
      <alignment horizontal="right" vertical="center" wrapText="1"/>
    </xf>
    <xf numFmtId="0" fontId="14" fillId="0" borderId="34" xfId="0" applyFont="1" applyBorder="1" applyAlignment="1">
      <alignment vertical="center" wrapText="1"/>
    </xf>
    <xf numFmtId="166" fontId="11" fillId="0" borderId="34" xfId="2" quotePrefix="1" applyNumberFormat="1" applyFont="1" applyFill="1" applyBorder="1" applyAlignment="1">
      <alignment horizontal="center" vertical="center"/>
    </xf>
    <xf numFmtId="166" fontId="12" fillId="0" borderId="34" xfId="0" applyNumberFormat="1" applyFont="1" applyBorder="1" applyAlignment="1">
      <alignment vertical="center" wrapText="1"/>
    </xf>
    <xf numFmtId="0" fontId="14" fillId="0" borderId="0" xfId="0" applyFont="1" applyAlignment="1">
      <alignment vertical="center"/>
    </xf>
    <xf numFmtId="41" fontId="9" fillId="0" borderId="34" xfId="2" applyFont="1" applyFill="1" applyBorder="1" applyAlignment="1">
      <alignment horizontal="center" vertical="center"/>
    </xf>
    <xf numFmtId="0" fontId="9" fillId="0" borderId="34" xfId="0" applyFont="1" applyBorder="1" applyAlignment="1">
      <alignment horizontal="left" vertical="center" wrapText="1"/>
    </xf>
    <xf numFmtId="0" fontId="54" fillId="0" borderId="34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49" fontId="10" fillId="0" borderId="34" xfId="3" applyNumberFormat="1" applyFont="1" applyFill="1" applyBorder="1" applyAlignment="1">
      <alignment vertical="center" wrapText="1"/>
    </xf>
    <xf numFmtId="41" fontId="4" fillId="0" borderId="34" xfId="2" applyFont="1" applyFill="1" applyBorder="1" applyAlignment="1">
      <alignment vertical="center" wrapText="1"/>
    </xf>
    <xf numFmtId="9" fontId="0" fillId="0" borderId="34" xfId="3" applyFont="1" applyFill="1" applyBorder="1" applyAlignment="1">
      <alignment vertical="center"/>
    </xf>
    <xf numFmtId="2" fontId="0" fillId="0" borderId="34" xfId="3" applyNumberFormat="1" applyFont="1" applyFill="1" applyBorder="1" applyAlignment="1">
      <alignment vertical="center"/>
    </xf>
    <xf numFmtId="43" fontId="0" fillId="0" borderId="34" xfId="0" applyNumberFormat="1" applyBorder="1" applyAlignment="1">
      <alignment vertical="center" wrapText="1"/>
    </xf>
    <xf numFmtId="43" fontId="12" fillId="0" borderId="34" xfId="0" applyNumberFormat="1" applyFont="1" applyBorder="1" applyAlignment="1">
      <alignment vertical="center" wrapText="1"/>
    </xf>
    <xf numFmtId="43" fontId="0" fillId="0" borderId="34" xfId="0" applyNumberFormat="1" applyBorder="1" applyAlignment="1">
      <alignment vertical="center"/>
    </xf>
    <xf numFmtId="41" fontId="12" fillId="0" borderId="34" xfId="0" applyNumberFormat="1" applyFont="1" applyBorder="1" applyAlignment="1">
      <alignment vertical="center"/>
    </xf>
    <xf numFmtId="41" fontId="0" fillId="0" borderId="34" xfId="5" applyFont="1" applyFill="1" applyBorder="1" applyAlignment="1" applyProtection="1">
      <alignment vertical="center"/>
      <protection locked="0"/>
    </xf>
    <xf numFmtId="41" fontId="0" fillId="0" borderId="34" xfId="5" applyFont="1" applyFill="1" applyBorder="1" applyAlignment="1" applyProtection="1">
      <alignment horizontal="right" vertical="center"/>
      <protection locked="0"/>
    </xf>
    <xf numFmtId="41" fontId="0" fillId="0" borderId="34" xfId="5" quotePrefix="1" applyFont="1" applyFill="1" applyBorder="1" applyAlignment="1" applyProtection="1">
      <alignment horizontal="center" vertical="center"/>
      <protection locked="0"/>
    </xf>
    <xf numFmtId="41" fontId="12" fillId="0" borderId="34" xfId="5" quotePrefix="1" applyFont="1" applyFill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vertical="center" wrapText="1"/>
      <protection locked="0"/>
    </xf>
    <xf numFmtId="41" fontId="0" fillId="0" borderId="34" xfId="0" quotePrefix="1" applyNumberFormat="1" applyBorder="1" applyAlignment="1">
      <alignment horizontal="center" vertical="center"/>
    </xf>
    <xf numFmtId="41" fontId="0" fillId="0" borderId="34" xfId="0" applyNumberFormat="1" applyBorder="1" applyAlignment="1">
      <alignment vertical="center"/>
    </xf>
    <xf numFmtId="41" fontId="12" fillId="0" borderId="34" xfId="0" quotePrefix="1" applyNumberFormat="1" applyFont="1" applyBorder="1" applyAlignment="1">
      <alignment horizontal="center" vertical="center"/>
    </xf>
    <xf numFmtId="172" fontId="12" fillId="0" borderId="34" xfId="0" applyNumberFormat="1" applyFont="1" applyBorder="1" applyAlignment="1">
      <alignment vertical="center" wrapText="1"/>
    </xf>
    <xf numFmtId="172" fontId="0" fillId="0" borderId="34" xfId="0" applyNumberFormat="1" applyBorder="1" applyAlignment="1">
      <alignment vertical="center" wrapText="1"/>
    </xf>
    <xf numFmtId="41" fontId="4" fillId="0" borderId="34" xfId="0" applyNumberFormat="1" applyFont="1" applyBorder="1" applyAlignment="1">
      <alignment horizontal="left" vertical="center"/>
    </xf>
    <xf numFmtId="39" fontId="4" fillId="0" borderId="34" xfId="0" applyNumberFormat="1" applyFont="1" applyBorder="1" applyAlignment="1">
      <alignment vertical="center"/>
    </xf>
    <xf numFmtId="41" fontId="11" fillId="0" borderId="34" xfId="0" applyNumberFormat="1" applyFont="1" applyBorder="1" applyAlignment="1">
      <alignment horizontal="left" vertical="center"/>
    </xf>
    <xf numFmtId="39" fontId="11" fillId="0" borderId="34" xfId="0" applyNumberFormat="1" applyFont="1" applyBorder="1" applyAlignment="1">
      <alignment vertical="center"/>
    </xf>
    <xf numFmtId="39" fontId="19" fillId="0" borderId="34" xfId="0" applyNumberFormat="1" applyFont="1" applyBorder="1" applyAlignment="1">
      <alignment vertical="center" wrapText="1"/>
    </xf>
    <xf numFmtId="39" fontId="11" fillId="0" borderId="34" xfId="7" applyNumberFormat="1" applyFont="1" applyBorder="1" applyAlignment="1">
      <alignment vertical="center"/>
    </xf>
    <xf numFmtId="39" fontId="4" fillId="0" borderId="34" xfId="7" applyNumberFormat="1" applyFont="1" applyBorder="1" applyAlignment="1">
      <alignment vertical="center"/>
    </xf>
    <xf numFmtId="37" fontId="4" fillId="0" borderId="34" xfId="1" applyNumberFormat="1" applyFont="1" applyFill="1" applyBorder="1" applyAlignment="1">
      <alignment vertical="center"/>
    </xf>
    <xf numFmtId="37" fontId="11" fillId="0" borderId="34" xfId="1" applyNumberFormat="1" applyFont="1" applyFill="1" applyBorder="1" applyAlignment="1">
      <alignment vertical="center"/>
    </xf>
    <xf numFmtId="39" fontId="4" fillId="0" borderId="34" xfId="0" applyNumberFormat="1" applyFont="1" applyBorder="1" applyAlignment="1">
      <alignment vertical="center" wrapText="1"/>
    </xf>
    <xf numFmtId="39" fontId="11" fillId="0" borderId="34" xfId="0" applyNumberFormat="1" applyFont="1" applyBorder="1" applyAlignment="1">
      <alignment vertical="center" wrapText="1"/>
    </xf>
    <xf numFmtId="0" fontId="11" fillId="0" borderId="34" xfId="7" applyFont="1" applyBorder="1" applyAlignment="1">
      <alignment vertical="center" wrapText="1"/>
    </xf>
    <xf numFmtId="41" fontId="11" fillId="0" borderId="34" xfId="33" applyNumberFormat="1" applyFont="1" applyBorder="1" applyAlignment="1">
      <alignment horizontal="left" vertical="center"/>
    </xf>
    <xf numFmtId="0" fontId="11" fillId="0" borderId="34" xfId="33" applyFont="1" applyBorder="1" applyAlignment="1">
      <alignment horizontal="left" vertical="center" wrapText="1"/>
    </xf>
    <xf numFmtId="41" fontId="4" fillId="0" borderId="34" xfId="33" applyNumberFormat="1" applyFont="1" applyBorder="1" applyAlignment="1">
      <alignment horizontal="left" vertical="center"/>
    </xf>
    <xf numFmtId="41" fontId="11" fillId="0" borderId="34" xfId="0" applyNumberFormat="1" applyFont="1" applyBorder="1" applyAlignment="1">
      <alignment vertical="center" wrapText="1"/>
    </xf>
    <xf numFmtId="41" fontId="4" fillId="0" borderId="34" xfId="2" applyFont="1" applyFill="1" applyBorder="1" applyAlignment="1">
      <alignment horizontal="right" vertical="center"/>
    </xf>
    <xf numFmtId="41" fontId="4" fillId="0" borderId="34" xfId="33" applyNumberFormat="1" applyFont="1" applyBorder="1" applyAlignment="1">
      <alignment vertical="center"/>
    </xf>
    <xf numFmtId="41" fontId="11" fillId="0" borderId="34" xfId="33" applyNumberFormat="1" applyFont="1" applyBorder="1" applyAlignment="1">
      <alignment vertical="center"/>
    </xf>
    <xf numFmtId="43" fontId="4" fillId="0" borderId="34" xfId="1" applyFont="1" applyFill="1" applyBorder="1" applyAlignment="1">
      <alignment vertical="center"/>
    </xf>
    <xf numFmtId="41" fontId="4" fillId="0" borderId="34" xfId="1" applyNumberFormat="1" applyFont="1" applyFill="1" applyBorder="1" applyAlignment="1">
      <alignment vertical="center"/>
    </xf>
    <xf numFmtId="167" fontId="4" fillId="0" borderId="34" xfId="33" applyNumberFormat="1" applyFont="1" applyBorder="1" applyAlignment="1">
      <alignment vertical="center"/>
    </xf>
    <xf numFmtId="43" fontId="27" fillId="0" borderId="34" xfId="5" applyNumberFormat="1" applyFont="1" applyFill="1" applyBorder="1" applyAlignment="1">
      <alignment vertical="center" wrapText="1"/>
    </xf>
    <xf numFmtId="43" fontId="0" fillId="0" borderId="34" xfId="8" applyFont="1" applyFill="1" applyBorder="1" applyAlignment="1">
      <alignment horizontal="left" vertical="center"/>
    </xf>
    <xf numFmtId="43" fontId="26" fillId="0" borderId="34" xfId="8" applyFont="1" applyFill="1" applyBorder="1" applyAlignment="1">
      <alignment vertical="center" wrapText="1"/>
    </xf>
    <xf numFmtId="43" fontId="27" fillId="0" borderId="34" xfId="8" applyFont="1" applyFill="1" applyBorder="1" applyAlignment="1">
      <alignment vertical="center" wrapText="1"/>
    </xf>
    <xf numFmtId="43" fontId="26" fillId="0" borderId="34" xfId="5" applyNumberFormat="1" applyFont="1" applyFill="1" applyBorder="1" applyAlignment="1">
      <alignment vertical="center" wrapText="1"/>
    </xf>
    <xf numFmtId="43" fontId="12" fillId="0" borderId="34" xfId="8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66" fontId="11" fillId="0" borderId="0" xfId="0" applyNumberFormat="1" applyFont="1" applyAlignment="1">
      <alignment horizontal="left" vertical="center"/>
    </xf>
    <xf numFmtId="41" fontId="12" fillId="0" borderId="34" xfId="5" applyFont="1" applyFill="1" applyBorder="1" applyAlignment="1">
      <alignment horizontal="left" vertical="center" wrapText="1"/>
    </xf>
    <xf numFmtId="2" fontId="26" fillId="0" borderId="34" xfId="0" applyNumberFormat="1" applyFont="1" applyBorder="1" applyAlignment="1">
      <alignment vertical="center"/>
    </xf>
    <xf numFmtId="2" fontId="26" fillId="0" borderId="34" xfId="3" applyNumberFormat="1" applyFont="1" applyFill="1" applyBorder="1" applyAlignment="1">
      <alignment horizontal="center" vertical="center"/>
    </xf>
    <xf numFmtId="0" fontId="27" fillId="0" borderId="34" xfId="0" applyFont="1" applyBorder="1" applyAlignment="1">
      <alignment horizontal="left" vertical="center" wrapText="1"/>
    </xf>
    <xf numFmtId="0" fontId="26" fillId="0" borderId="34" xfId="0" applyFont="1" applyBorder="1" applyAlignment="1">
      <alignment horizontal="left" vertical="center" wrapText="1"/>
    </xf>
    <xf numFmtId="0" fontId="4" fillId="0" borderId="34" xfId="33" applyFont="1" applyBorder="1" applyAlignment="1">
      <alignment horizontal="left" vertical="center" wrapText="1"/>
    </xf>
    <xf numFmtId="0" fontId="27" fillId="0" borderId="34" xfId="0" applyFont="1" applyBorder="1" applyAlignment="1">
      <alignment vertical="center" wrapText="1"/>
    </xf>
    <xf numFmtId="0" fontId="26" fillId="0" borderId="34" xfId="0" applyFont="1" applyBorder="1" applyAlignment="1">
      <alignment vertical="center" wrapText="1"/>
    </xf>
    <xf numFmtId="174" fontId="0" fillId="0" borderId="34" xfId="0" applyNumberFormat="1" applyBorder="1" applyAlignment="1">
      <alignment horizontal="right" vertical="center"/>
    </xf>
    <xf numFmtId="174" fontId="12" fillId="0" borderId="34" xfId="0" applyNumberFormat="1" applyFont="1" applyBorder="1" applyAlignment="1">
      <alignment horizontal="right" vertical="center"/>
    </xf>
    <xf numFmtId="174" fontId="0" fillId="0" borderId="34" xfId="0" applyNumberFormat="1" applyBorder="1" applyAlignment="1">
      <alignment horizontal="right" vertical="center" wrapText="1"/>
    </xf>
    <xf numFmtId="0" fontId="14" fillId="0" borderId="34" xfId="0" applyFont="1" applyBorder="1" applyAlignment="1">
      <alignment vertical="center"/>
    </xf>
    <xf numFmtId="49" fontId="14" fillId="0" borderId="34" xfId="0" applyNumberFormat="1" applyFont="1" applyBorder="1" applyAlignment="1">
      <alignment horizontal="center" vertical="center"/>
    </xf>
    <xf numFmtId="4" fontId="27" fillId="0" borderId="34" xfId="296" applyNumberFormat="1" applyFont="1" applyBorder="1" applyAlignment="1">
      <alignment vertical="center"/>
    </xf>
    <xf numFmtId="49" fontId="0" fillId="0" borderId="34" xfId="0" applyNumberFormat="1" applyBorder="1" applyAlignment="1">
      <alignment vertical="center" wrapText="1"/>
    </xf>
    <xf numFmtId="10" fontId="4" fillId="0" borderId="34" xfId="3" applyNumberFormat="1" applyFont="1" applyFill="1" applyBorder="1" applyAlignment="1">
      <alignment horizontal="center" vertical="center"/>
    </xf>
    <xf numFmtId="41" fontId="0" fillId="0" borderId="34" xfId="10" applyFont="1" applyBorder="1" applyAlignment="1" applyProtection="1">
      <alignment vertical="center"/>
    </xf>
    <xf numFmtId="41" fontId="12" fillId="0" borderId="34" xfId="10" applyFont="1" applyBorder="1" applyAlignment="1" applyProtection="1">
      <alignment vertical="center"/>
    </xf>
    <xf numFmtId="41" fontId="4" fillId="0" borderId="34" xfId="8" applyNumberFormat="1" applyFont="1" applyFill="1" applyBorder="1" applyAlignment="1">
      <alignment vertical="center"/>
    </xf>
    <xf numFmtId="41" fontId="0" fillId="0" borderId="34" xfId="8" applyNumberFormat="1" applyFont="1" applyFill="1" applyBorder="1" applyAlignment="1">
      <alignment vertical="center"/>
    </xf>
    <xf numFmtId="2" fontId="12" fillId="0" borderId="34" xfId="3" applyNumberFormat="1" applyFont="1" applyFill="1" applyBorder="1" applyAlignment="1">
      <alignment vertical="center"/>
    </xf>
    <xf numFmtId="167" fontId="0" fillId="0" borderId="34" xfId="5" applyNumberFormat="1" applyFont="1" applyFill="1" applyBorder="1" applyAlignment="1">
      <alignment horizontal="left" vertical="center"/>
    </xf>
    <xf numFmtId="0" fontId="0" fillId="0" borderId="34" xfId="0" quotePrefix="1" applyBorder="1" applyAlignment="1">
      <alignment horizontal="left" vertical="center" wrapText="1"/>
    </xf>
    <xf numFmtId="167" fontId="12" fillId="0" borderId="34" xfId="5" applyNumberFormat="1" applyFont="1" applyFill="1" applyBorder="1" applyAlignment="1">
      <alignment horizontal="left" vertical="center"/>
    </xf>
    <xf numFmtId="0" fontId="12" fillId="0" borderId="34" xfId="0" quotePrefix="1" applyFont="1" applyBorder="1" applyAlignment="1">
      <alignment horizontal="left" vertical="center" wrapText="1"/>
    </xf>
    <xf numFmtId="43" fontId="9" fillId="0" borderId="34" xfId="1" applyFont="1" applyFill="1" applyBorder="1" applyAlignment="1">
      <alignment horizontal="right" vertical="center"/>
    </xf>
    <xf numFmtId="0" fontId="9" fillId="0" borderId="34" xfId="9" applyFont="1" applyBorder="1" applyAlignment="1">
      <alignment vertical="center" wrapText="1"/>
    </xf>
    <xf numFmtId="2" fontId="10" fillId="0" borderId="34" xfId="3" applyNumberFormat="1" applyFont="1" applyFill="1" applyBorder="1" applyAlignment="1">
      <alignment horizontal="center" vertical="center"/>
    </xf>
    <xf numFmtId="43" fontId="10" fillId="0" borderId="34" xfId="1" applyFont="1" applyFill="1" applyBorder="1" applyAlignment="1">
      <alignment horizontal="right" vertical="center"/>
    </xf>
    <xf numFmtId="0" fontId="10" fillId="0" borderId="34" xfId="9" applyFont="1" applyBorder="1" applyAlignment="1">
      <alignment vertical="center" wrapText="1"/>
    </xf>
    <xf numFmtId="0" fontId="4" fillId="0" borderId="34" xfId="9" applyFont="1" applyBorder="1" applyAlignment="1">
      <alignment horizontal="left" vertical="center" wrapText="1"/>
    </xf>
    <xf numFmtId="0" fontId="19" fillId="0" borderId="34" xfId="9" applyFont="1" applyBorder="1" applyAlignment="1">
      <alignment horizontal="left" vertical="center" wrapText="1"/>
    </xf>
    <xf numFmtId="0" fontId="11" fillId="0" borderId="34" xfId="9" applyFont="1" applyBorder="1" applyAlignment="1">
      <alignment horizontal="left" vertical="center" wrapText="1"/>
    </xf>
    <xf numFmtId="0" fontId="10" fillId="0" borderId="34" xfId="9" applyFont="1" applyBorder="1" applyAlignment="1">
      <alignment horizontal="left" vertical="center" wrapText="1"/>
    </xf>
    <xf numFmtId="166" fontId="10" fillId="0" borderId="34" xfId="9" applyNumberFormat="1" applyFont="1" applyBorder="1" applyAlignment="1">
      <alignment vertical="center"/>
    </xf>
    <xf numFmtId="0" fontId="9" fillId="0" borderId="34" xfId="9" applyFont="1" applyBorder="1" applyAlignment="1">
      <alignment horizontal="left" vertical="center" wrapText="1"/>
    </xf>
    <xf numFmtId="39" fontId="9" fillId="0" borderId="34" xfId="0" applyNumberFormat="1" applyFont="1" applyBorder="1" applyAlignment="1">
      <alignment vertical="center"/>
    </xf>
    <xf numFmtId="39" fontId="10" fillId="0" borderId="34" xfId="0" applyNumberFormat="1" applyFont="1" applyBorder="1" applyAlignment="1">
      <alignment vertical="center"/>
    </xf>
    <xf numFmtId="4" fontId="0" fillId="0" borderId="34" xfId="5" applyNumberFormat="1" applyFont="1" applyFill="1" applyBorder="1" applyAlignment="1" applyProtection="1">
      <alignment horizontal="right" vertical="center"/>
      <protection locked="0"/>
    </xf>
    <xf numFmtId="4" fontId="0" fillId="0" borderId="34" xfId="0" applyNumberFormat="1" applyBorder="1" applyAlignment="1" applyProtection="1">
      <alignment horizontal="right" vertical="center"/>
      <protection locked="0"/>
    </xf>
    <xf numFmtId="0" fontId="0" fillId="0" borderId="34" xfId="0" applyBorder="1" applyAlignment="1" applyProtection="1">
      <alignment horizontal="left" vertical="center" wrapText="1"/>
      <protection locked="0"/>
    </xf>
    <xf numFmtId="4" fontId="12" fillId="0" borderId="34" xfId="0" applyNumberFormat="1" applyFont="1" applyBorder="1" applyAlignment="1" applyProtection="1">
      <alignment horizontal="right" vertical="center"/>
      <protection locked="0"/>
    </xf>
    <xf numFmtId="0" fontId="12" fillId="0" borderId="34" xfId="0" applyFont="1" applyBorder="1" applyAlignment="1" applyProtection="1">
      <alignment horizontal="left" vertical="center" wrapText="1"/>
      <protection locked="0"/>
    </xf>
    <xf numFmtId="4" fontId="12" fillId="0" borderId="34" xfId="5" applyNumberFormat="1" applyFont="1" applyFill="1" applyBorder="1" applyAlignment="1" applyProtection="1">
      <alignment horizontal="right" vertical="center"/>
      <protection locked="0"/>
    </xf>
    <xf numFmtId="4" fontId="4" fillId="0" borderId="34" xfId="0" applyNumberFormat="1" applyFont="1" applyBorder="1" applyAlignment="1" applyProtection="1">
      <alignment horizontal="right" vertical="center"/>
      <protection locked="0"/>
    </xf>
    <xf numFmtId="0" fontId="4" fillId="0" borderId="34" xfId="0" applyFont="1" applyBorder="1" applyAlignment="1" applyProtection="1">
      <alignment horizontal="left" vertical="center" wrapText="1"/>
      <protection locked="0"/>
    </xf>
    <xf numFmtId="4" fontId="11" fillId="0" borderId="34" xfId="0" applyNumberFormat="1" applyFont="1" applyBorder="1" applyAlignment="1" applyProtection="1">
      <alignment horizontal="right" vertical="center"/>
      <protection locked="0"/>
    </xf>
    <xf numFmtId="0" fontId="11" fillId="0" borderId="34" xfId="0" applyFont="1" applyBorder="1" applyAlignment="1" applyProtection="1">
      <alignment horizontal="left" vertical="center" wrapText="1"/>
      <protection locked="0"/>
    </xf>
    <xf numFmtId="43" fontId="27" fillId="0" borderId="34" xfId="125" applyFont="1" applyBorder="1" applyAlignment="1" applyProtection="1">
      <alignment vertical="center"/>
    </xf>
    <xf numFmtId="4" fontId="4" fillId="0" borderId="34" xfId="0" applyNumberFormat="1" applyFont="1" applyBorder="1" applyAlignment="1">
      <alignment horizontal="right" vertical="center"/>
    </xf>
    <xf numFmtId="43" fontId="26" fillId="0" borderId="34" xfId="125" applyFont="1" applyBorder="1" applyAlignment="1" applyProtection="1">
      <alignment vertical="center"/>
    </xf>
    <xf numFmtId="43" fontId="4" fillId="0" borderId="34" xfId="125" applyFont="1" applyBorder="1" applyAlignment="1" applyProtection="1">
      <alignment horizontal="right" vertical="center"/>
    </xf>
    <xf numFmtId="43" fontId="27" fillId="0" borderId="34" xfId="125" applyFont="1" applyBorder="1" applyAlignment="1" applyProtection="1">
      <alignment horizontal="right" vertical="center"/>
    </xf>
    <xf numFmtId="0" fontId="0" fillId="0" borderId="0" xfId="0" applyAlignment="1">
      <alignment horizontal="left" vertical="center"/>
    </xf>
    <xf numFmtId="49" fontId="0" fillId="0" borderId="34" xfId="0" applyNumberForma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49" fontId="12" fillId="0" borderId="34" xfId="0" applyNumberFormat="1" applyFont="1" applyBorder="1" applyAlignment="1">
      <alignment horizontal="left" vertical="center"/>
    </xf>
    <xf numFmtId="2" fontId="0" fillId="0" borderId="34" xfId="0" applyNumberFormat="1" applyBorder="1" applyAlignment="1">
      <alignment horizontal="left" vertical="center"/>
    </xf>
    <xf numFmtId="43" fontId="26" fillId="0" borderId="34" xfId="125" quotePrefix="1" applyFont="1" applyBorder="1" applyAlignment="1" applyProtection="1">
      <alignment horizontal="center" vertical="center"/>
    </xf>
    <xf numFmtId="0" fontId="26" fillId="0" borderId="34" xfId="0" quotePrefix="1" applyFont="1" applyBorder="1" applyAlignment="1">
      <alignment horizontal="left" vertical="center" wrapText="1"/>
    </xf>
    <xf numFmtId="4" fontId="9" fillId="0" borderId="34" xfId="0" applyNumberFormat="1" applyFont="1" applyBorder="1" applyAlignment="1">
      <alignment vertical="center"/>
    </xf>
    <xf numFmtId="4" fontId="10" fillId="0" borderId="34" xfId="0" applyNumberFormat="1" applyFont="1" applyBorder="1" applyAlignment="1">
      <alignment vertical="center"/>
    </xf>
    <xf numFmtId="49" fontId="12" fillId="0" borderId="34" xfId="0" applyNumberFormat="1" applyFont="1" applyBorder="1" applyAlignment="1">
      <alignment vertical="center" wrapText="1"/>
    </xf>
    <xf numFmtId="41" fontId="0" fillId="0" borderId="34" xfId="2" applyFont="1" applyFill="1" applyBorder="1" applyAlignment="1">
      <alignment vertical="center" wrapText="1"/>
    </xf>
    <xf numFmtId="43" fontId="0" fillId="0" borderId="34" xfId="1" applyFont="1" applyFill="1" applyBorder="1" applyAlignment="1">
      <alignment vertical="center" wrapText="1"/>
    </xf>
    <xf numFmtId="41" fontId="0" fillId="0" borderId="34" xfId="5" applyFont="1" applyFill="1" applyBorder="1" applyAlignment="1">
      <alignment vertical="center" wrapText="1"/>
    </xf>
    <xf numFmtId="43" fontId="12" fillId="0" borderId="34" xfId="1" applyFont="1" applyFill="1" applyBorder="1" applyAlignment="1">
      <alignment vertical="center" wrapText="1"/>
    </xf>
    <xf numFmtId="0" fontId="12" fillId="0" borderId="34" xfId="0" quotePrefix="1" applyFont="1" applyBorder="1" applyAlignment="1">
      <alignment vertical="center" wrapText="1"/>
    </xf>
    <xf numFmtId="41" fontId="12" fillId="0" borderId="34" xfId="0" applyNumberFormat="1" applyFont="1" applyBorder="1" applyAlignment="1">
      <alignment vertical="center" wrapText="1"/>
    </xf>
    <xf numFmtId="168" fontId="0" fillId="0" borderId="34" xfId="1" applyNumberFormat="1" applyFont="1" applyFill="1" applyBorder="1" applyAlignment="1">
      <alignment vertical="center" wrapText="1"/>
    </xf>
    <xf numFmtId="168" fontId="12" fillId="0" borderId="34" xfId="1" applyNumberFormat="1" applyFont="1" applyFill="1" applyBorder="1" applyAlignment="1">
      <alignment vertical="center" wrapText="1"/>
    </xf>
    <xf numFmtId="167" fontId="0" fillId="0" borderId="34" xfId="8" applyNumberFormat="1" applyFont="1" applyFill="1" applyBorder="1" applyAlignment="1">
      <alignment horizontal="right" vertical="center"/>
    </xf>
    <xf numFmtId="170" fontId="0" fillId="0" borderId="34" xfId="6" applyNumberFormat="1" applyFont="1" applyFill="1" applyBorder="1" applyAlignment="1">
      <alignment vertical="center"/>
    </xf>
    <xf numFmtId="43" fontId="4" fillId="0" borderId="34" xfId="132" applyFont="1" applyFill="1" applyBorder="1" applyAlignment="1">
      <alignment horizontal="right" vertical="center"/>
    </xf>
    <xf numFmtId="43" fontId="9" fillId="0" borderId="34" xfId="8" applyFont="1" applyFill="1" applyBorder="1" applyAlignment="1">
      <alignment horizontal="right" vertical="center"/>
    </xf>
    <xf numFmtId="0" fontId="0" fillId="0" borderId="34" xfId="7" applyFont="1" applyBorder="1" applyAlignment="1">
      <alignment vertical="center" wrapText="1"/>
    </xf>
    <xf numFmtId="167" fontId="12" fillId="0" borderId="34" xfId="8" applyNumberFormat="1" applyFont="1" applyFill="1" applyBorder="1" applyAlignment="1">
      <alignment horizontal="right" vertical="center"/>
    </xf>
    <xf numFmtId="170" fontId="12" fillId="0" borderId="34" xfId="6" applyNumberFormat="1" applyFont="1" applyFill="1" applyBorder="1" applyAlignment="1">
      <alignment vertical="center"/>
    </xf>
    <xf numFmtId="43" fontId="11" fillId="0" borderId="34" xfId="8" applyFont="1" applyFill="1" applyBorder="1" applyAlignment="1">
      <alignment horizontal="right" vertical="center"/>
    </xf>
    <xf numFmtId="43" fontId="10" fillId="0" borderId="34" xfId="8" applyFont="1" applyFill="1" applyBorder="1" applyAlignment="1">
      <alignment horizontal="right" vertical="center"/>
    </xf>
    <xf numFmtId="0" fontId="12" fillId="0" borderId="34" xfId="7" applyFont="1" applyBorder="1" applyAlignment="1">
      <alignment vertical="center" wrapText="1"/>
    </xf>
    <xf numFmtId="43" fontId="4" fillId="0" borderId="34" xfId="8" applyFont="1" applyFill="1" applyBorder="1" applyAlignment="1">
      <alignment horizontal="right" vertical="center"/>
    </xf>
    <xf numFmtId="2" fontId="0" fillId="0" borderId="34" xfId="8" applyNumberFormat="1" applyFont="1" applyFill="1" applyBorder="1" applyAlignment="1">
      <alignment horizontal="right" vertical="center"/>
    </xf>
    <xf numFmtId="170" fontId="9" fillId="0" borderId="34" xfId="6" applyNumberFormat="1" applyFont="1" applyFill="1" applyBorder="1" applyAlignment="1">
      <alignment horizontal="right" vertical="center"/>
    </xf>
    <xf numFmtId="2" fontId="12" fillId="0" borderId="34" xfId="8" applyNumberFormat="1" applyFont="1" applyFill="1" applyBorder="1" applyAlignment="1">
      <alignment horizontal="right" vertical="center"/>
    </xf>
    <xf numFmtId="170" fontId="10" fillId="0" borderId="34" xfId="6" applyNumberFormat="1" applyFont="1" applyFill="1" applyBorder="1" applyAlignment="1">
      <alignment horizontal="right" vertical="center"/>
    </xf>
    <xf numFmtId="170" fontId="12" fillId="0" borderId="34" xfId="6" applyNumberFormat="1" applyFont="1" applyFill="1" applyBorder="1" applyAlignment="1">
      <alignment horizontal="right" vertical="center"/>
    </xf>
    <xf numFmtId="2" fontId="10" fillId="0" borderId="34" xfId="36" applyNumberFormat="1" applyFont="1" applyBorder="1" applyAlignment="1">
      <alignment horizontal="right" vertical="center"/>
    </xf>
    <xf numFmtId="39" fontId="10" fillId="0" borderId="34" xfId="36" applyNumberFormat="1" applyFont="1" applyBorder="1" applyAlignment="1">
      <alignment vertical="center"/>
    </xf>
    <xf numFmtId="4" fontId="9" fillId="0" borderId="34" xfId="36" applyNumberFormat="1" applyFont="1" applyBorder="1" applyAlignment="1">
      <alignment vertical="center"/>
    </xf>
    <xf numFmtId="4" fontId="10" fillId="0" borderId="34" xfId="36" applyNumberFormat="1" applyFont="1" applyBorder="1" applyAlignment="1">
      <alignment vertical="center"/>
    </xf>
    <xf numFmtId="4" fontId="9" fillId="0" borderId="34" xfId="36" applyNumberFormat="1" applyFont="1" applyBorder="1" applyAlignment="1">
      <alignment vertical="center" wrapText="1"/>
    </xf>
    <xf numFmtId="4" fontId="10" fillId="0" borderId="34" xfId="36" applyNumberFormat="1" applyFont="1" applyBorder="1" applyAlignment="1">
      <alignment vertical="center" wrapText="1"/>
    </xf>
    <xf numFmtId="2" fontId="9" fillId="0" borderId="34" xfId="36" applyNumberFormat="1" applyFont="1" applyBorder="1" applyAlignment="1">
      <alignment horizontal="right" vertical="center"/>
    </xf>
    <xf numFmtId="39" fontId="9" fillId="0" borderId="34" xfId="0" applyNumberFormat="1" applyFont="1" applyBorder="1" applyAlignment="1">
      <alignment vertical="center" wrapText="1"/>
    </xf>
    <xf numFmtId="39" fontId="10" fillId="0" borderId="34" xfId="0" applyNumberFormat="1" applyFont="1" applyBorder="1" applyAlignment="1">
      <alignment vertical="center" wrapText="1"/>
    </xf>
    <xf numFmtId="39" fontId="9" fillId="0" borderId="34" xfId="36" applyNumberFormat="1" applyFont="1" applyBorder="1" applyAlignment="1">
      <alignment horizontal="right" vertical="center" wrapText="1"/>
    </xf>
    <xf numFmtId="39" fontId="10" fillId="0" borderId="34" xfId="36" applyNumberFormat="1" applyFont="1" applyBorder="1" applyAlignment="1">
      <alignment horizontal="right" vertical="center" wrapText="1"/>
    </xf>
    <xf numFmtId="39" fontId="9" fillId="0" borderId="34" xfId="36" applyNumberFormat="1" applyFont="1" applyBorder="1" applyAlignment="1">
      <alignment vertical="center"/>
    </xf>
    <xf numFmtId="39" fontId="0" fillId="0" borderId="34" xfId="36" applyNumberFormat="1" applyFont="1" applyBorder="1" applyAlignment="1">
      <alignment horizontal="right" vertical="center" wrapText="1"/>
    </xf>
    <xf numFmtId="39" fontId="0" fillId="0" borderId="34" xfId="0" applyNumberFormat="1" applyBorder="1" applyAlignment="1">
      <alignment vertical="center"/>
    </xf>
    <xf numFmtId="0" fontId="10" fillId="0" borderId="34" xfId="36" applyFont="1" applyBorder="1" applyAlignment="1">
      <alignment horizontal="left" vertical="center" wrapText="1"/>
    </xf>
    <xf numFmtId="167" fontId="0" fillId="0" borderId="34" xfId="0" applyNumberFormat="1" applyBorder="1" applyAlignment="1">
      <alignment horizontal="left" vertical="center"/>
    </xf>
    <xf numFmtId="167" fontId="12" fillId="0" borderId="34" xfId="0" applyNumberFormat="1" applyFont="1" applyBorder="1" applyAlignment="1">
      <alignment horizontal="left" vertical="center"/>
    </xf>
    <xf numFmtId="167" fontId="0" fillId="0" borderId="34" xfId="5" applyNumberFormat="1" applyFont="1" applyFill="1" applyBorder="1" applyAlignment="1">
      <alignment horizontal="center" vertical="center"/>
    </xf>
    <xf numFmtId="167" fontId="2" fillId="0" borderId="34" xfId="2" applyNumberFormat="1" applyFont="1" applyFill="1" applyBorder="1" applyAlignment="1">
      <alignment vertical="center"/>
    </xf>
    <xf numFmtId="167" fontId="12" fillId="0" borderId="34" xfId="0" applyNumberFormat="1" applyFont="1" applyBorder="1" applyAlignment="1">
      <alignment horizontal="left" vertical="center" wrapText="1"/>
    </xf>
    <xf numFmtId="0" fontId="0" fillId="0" borderId="34" xfId="5" applyNumberFormat="1" applyFont="1" applyFill="1" applyBorder="1" applyAlignment="1">
      <alignment horizontal="left" vertical="center"/>
    </xf>
    <xf numFmtId="2" fontId="9" fillId="0" borderId="34" xfId="0" applyNumberFormat="1" applyFont="1" applyBorder="1" applyAlignment="1">
      <alignment horizontal="right" vertical="center"/>
    </xf>
    <xf numFmtId="39" fontId="9" fillId="0" borderId="34" xfId="0" applyNumberFormat="1" applyFont="1" applyBorder="1" applyAlignment="1">
      <alignment horizontal="right" vertical="center"/>
    </xf>
    <xf numFmtId="2" fontId="10" fillId="0" borderId="34" xfId="0" applyNumberFormat="1" applyFont="1" applyBorder="1" applyAlignment="1">
      <alignment horizontal="right" vertical="center"/>
    </xf>
    <xf numFmtId="39" fontId="10" fillId="0" borderId="34" xfId="0" applyNumberFormat="1" applyFont="1" applyBorder="1" applyAlignment="1">
      <alignment horizontal="right" vertical="center"/>
    </xf>
    <xf numFmtId="41" fontId="12" fillId="0" borderId="34" xfId="4" applyFont="1" applyFill="1" applyBorder="1" applyAlignment="1">
      <alignment vertical="center"/>
    </xf>
    <xf numFmtId="167" fontId="12" fillId="0" borderId="34" xfId="4" applyNumberFormat="1" applyFont="1" applyFill="1" applyBorder="1" applyAlignment="1">
      <alignment vertical="center"/>
    </xf>
    <xf numFmtId="41" fontId="56" fillId="0" borderId="34" xfId="2" applyFont="1" applyFill="1" applyBorder="1" applyAlignment="1" applyProtection="1">
      <alignment horizontal="center" vertical="center"/>
    </xf>
    <xf numFmtId="0" fontId="56" fillId="0" borderId="34" xfId="0" applyFont="1" applyBorder="1" applyAlignment="1">
      <alignment horizontal="left" vertical="center" wrapText="1"/>
    </xf>
    <xf numFmtId="41" fontId="56" fillId="0" borderId="34" xfId="2" applyFont="1" applyFill="1" applyBorder="1" applyAlignment="1" applyProtection="1">
      <alignment horizontal="center" vertical="center" wrapText="1"/>
    </xf>
    <xf numFmtId="41" fontId="48" fillId="0" borderId="34" xfId="2" applyFont="1" applyFill="1" applyBorder="1" applyAlignment="1" applyProtection="1">
      <alignment horizontal="center" vertical="center" wrapText="1"/>
    </xf>
    <xf numFmtId="0" fontId="48" fillId="0" borderId="34" xfId="0" applyFont="1" applyBorder="1" applyAlignment="1">
      <alignment horizontal="left" vertical="center" wrapText="1"/>
    </xf>
    <xf numFmtId="41" fontId="48" fillId="0" borderId="34" xfId="2" applyFont="1" applyFill="1" applyBorder="1" applyAlignment="1" applyProtection="1">
      <alignment horizontal="center" vertical="center"/>
    </xf>
    <xf numFmtId="0" fontId="51" fillId="0" borderId="34" xfId="9" applyFont="1" applyBorder="1" applyAlignment="1">
      <alignment horizontal="left" vertical="center" wrapText="1"/>
    </xf>
    <xf numFmtId="0" fontId="52" fillId="0" borderId="34" xfId="9" applyFont="1" applyBorder="1" applyAlignment="1">
      <alignment horizontal="left" vertical="center" wrapText="1"/>
    </xf>
    <xf numFmtId="0" fontId="12" fillId="0" borderId="43" xfId="0" applyFont="1" applyBorder="1" applyAlignment="1">
      <alignment vertical="center"/>
    </xf>
    <xf numFmtId="2" fontId="12" fillId="0" borderId="43" xfId="0" applyNumberFormat="1" applyFont="1" applyBorder="1" applyAlignment="1">
      <alignment vertical="center"/>
    </xf>
    <xf numFmtId="167" fontId="28" fillId="0" borderId="43" xfId="2" applyNumberFormat="1" applyFont="1" applyFill="1" applyBorder="1" applyAlignment="1">
      <alignment vertical="center"/>
    </xf>
    <xf numFmtId="167" fontId="12" fillId="0" borderId="43" xfId="2" applyNumberFormat="1" applyFont="1" applyFill="1" applyBorder="1" applyAlignment="1">
      <alignment vertical="center"/>
    </xf>
    <xf numFmtId="0" fontId="12" fillId="0" borderId="43" xfId="0" applyFont="1" applyBorder="1" applyAlignment="1">
      <alignment horizontal="left" vertical="center" wrapText="1"/>
    </xf>
    <xf numFmtId="49" fontId="12" fillId="0" borderId="43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2" fontId="9" fillId="0" borderId="19" xfId="2" applyNumberFormat="1" applyFont="1" applyFill="1" applyBorder="1" applyAlignment="1">
      <alignment vertical="center"/>
    </xf>
    <xf numFmtId="167" fontId="9" fillId="0" borderId="19" xfId="2" applyNumberFormat="1" applyFont="1" applyFill="1" applyBorder="1" applyAlignment="1">
      <alignment vertical="center"/>
    </xf>
    <xf numFmtId="167" fontId="48" fillId="0" borderId="55" xfId="2" applyNumberFormat="1" applyFont="1" applyFill="1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4" xfId="0" quotePrefix="1" applyFont="1" applyBorder="1" applyAlignment="1">
      <alignment horizontal="center" vertical="center"/>
    </xf>
    <xf numFmtId="2" fontId="32" fillId="0" borderId="24" xfId="2" quotePrefix="1" applyNumberFormat="1" applyFont="1" applyFill="1" applyBorder="1" applyAlignment="1">
      <alignment horizontal="center" vertical="center"/>
    </xf>
    <xf numFmtId="167" fontId="32" fillId="0" borderId="24" xfId="2" quotePrefix="1" applyNumberFormat="1" applyFont="1" applyFill="1" applyBorder="1" applyAlignment="1">
      <alignment horizontal="center" vertical="center"/>
    </xf>
    <xf numFmtId="0" fontId="9" fillId="0" borderId="24" xfId="0" quotePrefix="1" applyFont="1" applyBorder="1" applyAlignment="1">
      <alignment horizontal="left" vertical="center" wrapText="1"/>
    </xf>
    <xf numFmtId="2" fontId="10" fillId="0" borderId="26" xfId="0" quotePrefix="1" applyNumberFormat="1" applyFont="1" applyBorder="1" applyAlignment="1">
      <alignment horizontal="center" vertical="center"/>
    </xf>
    <xf numFmtId="49" fontId="11" fillId="0" borderId="26" xfId="2" quotePrefix="1" applyNumberFormat="1" applyFont="1" applyFill="1" applyBorder="1" applyAlignment="1">
      <alignment horizontal="center" vertical="center"/>
    </xf>
    <xf numFmtId="0" fontId="10" fillId="0" borderId="26" xfId="0" quotePrefix="1" applyFont="1" applyBorder="1" applyAlignment="1">
      <alignment horizontal="center" vertical="center" wrapText="1"/>
    </xf>
    <xf numFmtId="2" fontId="10" fillId="0" borderId="26" xfId="2" applyNumberFormat="1" applyFont="1" applyFill="1" applyBorder="1" applyAlignment="1">
      <alignment horizontal="center" vertical="center" wrapText="1"/>
    </xf>
    <xf numFmtId="167" fontId="10" fillId="0" borderId="26" xfId="2" applyNumberFormat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2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vertical="center"/>
    </xf>
    <xf numFmtId="167" fontId="9" fillId="0" borderId="0" xfId="2" applyNumberFormat="1" applyFont="1" applyFill="1" applyAlignment="1">
      <alignment horizontal="center" vertical="center"/>
    </xf>
    <xf numFmtId="41" fontId="10" fillId="0" borderId="0" xfId="0" applyNumberFormat="1" applyFont="1" applyAlignment="1">
      <alignment horizontal="center" vertical="center" wrapText="1"/>
    </xf>
    <xf numFmtId="41" fontId="12" fillId="0" borderId="0" xfId="0" quotePrefix="1" applyNumberFormat="1" applyFont="1" applyAlignment="1">
      <alignment horizontal="left" vertical="center" wrapText="1"/>
    </xf>
    <xf numFmtId="0" fontId="10" fillId="0" borderId="24" xfId="0" applyFont="1" applyBorder="1" applyAlignment="1">
      <alignment vertical="center"/>
    </xf>
    <xf numFmtId="167" fontId="10" fillId="0" borderId="24" xfId="2" applyNumberFormat="1" applyFont="1" applyFill="1" applyBorder="1" applyAlignment="1">
      <alignment horizontal="center" vertical="center"/>
    </xf>
    <xf numFmtId="41" fontId="10" fillId="0" borderId="26" xfId="0" applyNumberFormat="1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167" fontId="10" fillId="0" borderId="39" xfId="2" applyNumberFormat="1" applyFont="1" applyFill="1" applyBorder="1" applyAlignment="1">
      <alignment horizontal="center" vertical="center"/>
    </xf>
    <xf numFmtId="41" fontId="10" fillId="0" borderId="39" xfId="2" applyFont="1" applyFill="1" applyBorder="1" applyAlignment="1">
      <alignment vertical="center"/>
    </xf>
    <xf numFmtId="41" fontId="10" fillId="0" borderId="39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center" vertical="center"/>
    </xf>
    <xf numFmtId="39" fontId="9" fillId="0" borderId="34" xfId="9" applyNumberFormat="1" applyFont="1" applyBorder="1" applyAlignment="1">
      <alignment horizontal="right" vertical="center"/>
    </xf>
    <xf numFmtId="0" fontId="10" fillId="0" borderId="34" xfId="0" applyFont="1" applyBorder="1" applyAlignment="1">
      <alignment horizontal="center" vertical="center"/>
    </xf>
    <xf numFmtId="39" fontId="10" fillId="0" borderId="34" xfId="9" applyNumberFormat="1" applyFont="1" applyBorder="1" applyAlignment="1">
      <alignment horizontal="right" vertical="center"/>
    </xf>
    <xf numFmtId="167" fontId="10" fillId="0" borderId="34" xfId="2" applyNumberFormat="1" applyFont="1" applyFill="1" applyBorder="1" applyAlignment="1">
      <alignment horizontal="center" vertical="center"/>
    </xf>
    <xf numFmtId="41" fontId="10" fillId="0" borderId="34" xfId="0" applyNumberFormat="1" applyFont="1" applyBorder="1" applyAlignment="1">
      <alignment horizontal="center" vertical="center" wrapText="1"/>
    </xf>
    <xf numFmtId="167" fontId="10" fillId="0" borderId="34" xfId="0" applyNumberFormat="1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167" fontId="47" fillId="0" borderId="34" xfId="2" applyNumberFormat="1" applyFont="1" applyFill="1" applyBorder="1" applyAlignment="1">
      <alignment horizontal="center" vertical="center"/>
    </xf>
    <xf numFmtId="41" fontId="47" fillId="0" borderId="34" xfId="2" applyFont="1" applyFill="1" applyBorder="1" applyAlignment="1">
      <alignment vertical="center"/>
    </xf>
    <xf numFmtId="2" fontId="4" fillId="0" borderId="34" xfId="0" applyNumberFormat="1" applyFont="1" applyBorder="1" applyAlignment="1">
      <alignment vertical="center"/>
    </xf>
    <xf numFmtId="2" fontId="0" fillId="0" borderId="34" xfId="5" applyNumberFormat="1" applyFont="1" applyFill="1" applyBorder="1" applyAlignment="1">
      <alignment horizontal="center" vertical="center"/>
    </xf>
    <xf numFmtId="2" fontId="11" fillId="0" borderId="34" xfId="0" applyNumberFormat="1" applyFont="1" applyBorder="1" applyAlignment="1">
      <alignment vertical="center"/>
    </xf>
    <xf numFmtId="2" fontId="12" fillId="0" borderId="34" xfId="5" applyNumberFormat="1" applyFont="1" applyFill="1" applyBorder="1" applyAlignment="1">
      <alignment horizontal="center" vertical="center"/>
    </xf>
    <xf numFmtId="167" fontId="12" fillId="0" borderId="34" xfId="5" applyNumberFormat="1" applyFont="1" applyFill="1" applyBorder="1" applyAlignment="1">
      <alignment horizontal="center" vertical="center"/>
    </xf>
    <xf numFmtId="167" fontId="4" fillId="0" borderId="34" xfId="2" applyNumberFormat="1" applyFont="1" applyFill="1" applyBorder="1" applyAlignment="1">
      <alignment horizontal="center" vertical="center"/>
    </xf>
    <xf numFmtId="167" fontId="4" fillId="0" borderId="34" xfId="81" quotePrefix="1" applyNumberFormat="1" applyFont="1" applyFill="1" applyBorder="1" applyAlignment="1">
      <alignment vertical="center" wrapText="1"/>
    </xf>
    <xf numFmtId="43" fontId="4" fillId="0" borderId="34" xfId="81" applyNumberFormat="1" applyFont="1" applyFill="1" applyBorder="1" applyAlignment="1">
      <alignment horizontal="center" vertical="center"/>
    </xf>
    <xf numFmtId="43" fontId="4" fillId="0" borderId="34" xfId="0" applyNumberFormat="1" applyFont="1" applyBorder="1" applyAlignment="1">
      <alignment horizontal="right" vertical="center"/>
    </xf>
    <xf numFmtId="43" fontId="11" fillId="0" borderId="34" xfId="35" applyNumberFormat="1" applyFont="1" applyBorder="1" applyAlignment="1">
      <alignment horizontal="left" vertical="center"/>
    </xf>
    <xf numFmtId="0" fontId="11" fillId="0" borderId="34" xfId="35" applyFont="1" applyBorder="1" applyAlignment="1">
      <alignment horizontal="left" vertical="center" wrapText="1"/>
    </xf>
    <xf numFmtId="43" fontId="47" fillId="0" borderId="34" xfId="0" applyNumberFormat="1" applyFont="1" applyBorder="1" applyAlignment="1">
      <alignment vertical="center"/>
    </xf>
    <xf numFmtId="43" fontId="11" fillId="0" borderId="34" xfId="81" applyNumberFormat="1" applyFont="1" applyFill="1" applyBorder="1" applyAlignment="1">
      <alignment vertical="center"/>
    </xf>
    <xf numFmtId="43" fontId="11" fillId="0" borderId="34" xfId="81" applyNumberFormat="1" applyFont="1" applyFill="1" applyBorder="1" applyAlignment="1">
      <alignment horizontal="center" vertical="center"/>
    </xf>
    <xf numFmtId="43" fontId="11" fillId="0" borderId="34" xfId="35" applyNumberFormat="1" applyFont="1" applyBorder="1" applyAlignment="1">
      <alignment horizontal="right" vertical="center"/>
    </xf>
    <xf numFmtId="43" fontId="4" fillId="0" borderId="34" xfId="35" applyNumberFormat="1" applyFont="1" applyBorder="1" applyAlignment="1">
      <alignment horizontal="right" vertical="center"/>
    </xf>
    <xf numFmtId="0" fontId="4" fillId="0" borderId="34" xfId="35" applyFont="1" applyBorder="1" applyAlignment="1">
      <alignment horizontal="left" vertical="center" wrapText="1"/>
    </xf>
    <xf numFmtId="2" fontId="4" fillId="0" borderId="34" xfId="81" quotePrefix="1" applyNumberFormat="1" applyFont="1" applyFill="1" applyBorder="1" applyAlignment="1">
      <alignment vertical="center" wrapText="1"/>
    </xf>
    <xf numFmtId="167" fontId="12" fillId="0" borderId="34" xfId="2" applyNumberFormat="1" applyFont="1" applyFill="1" applyBorder="1" applyAlignment="1">
      <alignment horizontal="center" vertical="center"/>
    </xf>
    <xf numFmtId="167" fontId="9" fillId="0" borderId="34" xfId="5" applyNumberFormat="1" applyFont="1" applyFill="1" applyBorder="1" applyAlignment="1">
      <alignment vertical="center"/>
    </xf>
    <xf numFmtId="167" fontId="12" fillId="0" borderId="34" xfId="0" applyNumberFormat="1" applyFont="1" applyBorder="1" applyAlignment="1">
      <alignment vertical="center"/>
    </xf>
    <xf numFmtId="167" fontId="9" fillId="0" borderId="34" xfId="5" applyNumberFormat="1" applyFont="1" applyFill="1" applyBorder="1" applyAlignment="1">
      <alignment horizontal="center" vertical="center"/>
    </xf>
    <xf numFmtId="167" fontId="27" fillId="0" borderId="34" xfId="5" applyNumberFormat="1" applyFont="1" applyFill="1" applyBorder="1" applyAlignment="1">
      <alignment horizontal="center" vertical="center"/>
    </xf>
    <xf numFmtId="2" fontId="0" fillId="0" borderId="34" xfId="3" applyNumberFormat="1" applyFont="1" applyFill="1" applyBorder="1" applyAlignment="1">
      <alignment horizontal="center" vertical="center"/>
    </xf>
    <xf numFmtId="2" fontId="12" fillId="0" borderId="34" xfId="3" applyNumberFormat="1" applyFont="1" applyFill="1" applyBorder="1" applyAlignment="1">
      <alignment horizontal="center" vertical="center"/>
    </xf>
    <xf numFmtId="49" fontId="11" fillId="0" borderId="34" xfId="0" applyNumberFormat="1" applyFont="1" applyBorder="1" applyAlignment="1">
      <alignment horizontal="left" vertical="center" wrapText="1"/>
    </xf>
    <xf numFmtId="2" fontId="4" fillId="0" borderId="34" xfId="5" applyNumberFormat="1" applyFont="1" applyFill="1" applyBorder="1" applyAlignment="1">
      <alignment vertical="center"/>
    </xf>
    <xf numFmtId="2" fontId="11" fillId="0" borderId="34" xfId="5" applyNumberFormat="1" applyFont="1" applyFill="1" applyBorder="1" applyAlignment="1">
      <alignment vertical="center"/>
    </xf>
    <xf numFmtId="167" fontId="4" fillId="0" borderId="34" xfId="5" applyNumberFormat="1" applyFont="1" applyFill="1" applyBorder="1" applyAlignment="1">
      <alignment horizontal="center" vertical="center"/>
    </xf>
    <xf numFmtId="43" fontId="4" fillId="0" borderId="34" xfId="5" applyNumberFormat="1" applyFont="1" applyFill="1" applyBorder="1" applyAlignment="1">
      <alignment vertical="center"/>
    </xf>
    <xf numFmtId="43" fontId="4" fillId="0" borderId="34" xfId="8" applyFont="1" applyFill="1" applyBorder="1" applyAlignment="1">
      <alignment vertical="center"/>
    </xf>
    <xf numFmtId="43" fontId="19" fillId="0" borderId="34" xfId="0" applyNumberFormat="1" applyFont="1" applyBorder="1" applyAlignment="1">
      <alignment vertical="center"/>
    </xf>
    <xf numFmtId="43" fontId="11" fillId="0" borderId="34" xfId="5" applyNumberFormat="1" applyFont="1" applyFill="1" applyBorder="1" applyAlignment="1">
      <alignment vertical="center"/>
    </xf>
    <xf numFmtId="43" fontId="11" fillId="0" borderId="34" xfId="8" applyFont="1" applyFill="1" applyBorder="1" applyAlignment="1">
      <alignment vertical="center"/>
    </xf>
    <xf numFmtId="167" fontId="0" fillId="0" borderId="34" xfId="2" applyNumberFormat="1" applyFont="1" applyFill="1" applyBorder="1" applyAlignment="1">
      <alignment horizontal="center" vertical="center"/>
    </xf>
    <xf numFmtId="167" fontId="19" fillId="0" borderId="34" xfId="0" applyNumberFormat="1" applyFont="1" applyBorder="1" applyAlignment="1">
      <alignment vertical="center"/>
    </xf>
    <xf numFmtId="167" fontId="11" fillId="0" borderId="34" xfId="0" applyNumberFormat="1" applyFont="1" applyBorder="1" applyAlignment="1">
      <alignment horizontal="center" vertical="center"/>
    </xf>
    <xf numFmtId="167" fontId="11" fillId="0" borderId="34" xfId="2" quotePrefix="1" applyNumberFormat="1" applyFont="1" applyFill="1" applyBorder="1" applyAlignment="1">
      <alignment vertical="center"/>
    </xf>
    <xf numFmtId="167" fontId="4" fillId="0" borderId="34" xfId="2" quotePrefix="1" applyNumberFormat="1" applyFont="1" applyFill="1" applyBorder="1" applyAlignment="1">
      <alignment vertical="center"/>
    </xf>
    <xf numFmtId="167" fontId="11" fillId="0" borderId="34" xfId="0" applyNumberFormat="1" applyFont="1" applyBorder="1" applyAlignment="1">
      <alignment horizontal="center" vertical="center" wrapText="1"/>
    </xf>
    <xf numFmtId="43" fontId="0" fillId="0" borderId="34" xfId="8" applyFont="1" applyFill="1" applyBorder="1" applyAlignment="1">
      <alignment horizontal="center" vertical="center" wrapText="1"/>
    </xf>
    <xf numFmtId="43" fontId="12" fillId="0" borderId="34" xfId="8" applyFont="1" applyFill="1" applyBorder="1" applyAlignment="1">
      <alignment horizontal="center" vertical="center" wrapText="1"/>
    </xf>
    <xf numFmtId="167" fontId="0" fillId="0" borderId="34" xfId="0" quotePrefix="1" applyNumberFormat="1" applyBorder="1" applyAlignment="1">
      <alignment horizontal="center" vertical="center"/>
    </xf>
    <xf numFmtId="167" fontId="12" fillId="0" borderId="34" xfId="5" quotePrefix="1" applyNumberFormat="1" applyFont="1" applyFill="1" applyBorder="1" applyAlignment="1">
      <alignment horizontal="center" vertical="center"/>
    </xf>
    <xf numFmtId="167" fontId="0" fillId="0" borderId="34" xfId="5" quotePrefix="1" applyNumberFormat="1" applyFont="1" applyFill="1" applyBorder="1" applyAlignment="1">
      <alignment horizontal="center" vertical="center"/>
    </xf>
    <xf numFmtId="167" fontId="11" fillId="0" borderId="34" xfId="33" applyNumberFormat="1" applyFont="1" applyBorder="1" applyAlignment="1">
      <alignment horizontal="left" vertical="center"/>
    </xf>
    <xf numFmtId="167" fontId="19" fillId="0" borderId="34" xfId="0" applyNumberFormat="1" applyFont="1" applyBorder="1" applyAlignment="1">
      <alignment vertical="center" wrapText="1"/>
    </xf>
    <xf numFmtId="167" fontId="4" fillId="0" borderId="34" xfId="33" applyNumberFormat="1" applyFont="1" applyBorder="1" applyAlignment="1">
      <alignment horizontal="left" vertical="center"/>
    </xf>
    <xf numFmtId="167" fontId="11" fillId="0" borderId="34" xfId="0" applyNumberFormat="1" applyFont="1" applyBorder="1" applyAlignment="1">
      <alignment vertical="center" wrapText="1"/>
    </xf>
    <xf numFmtId="167" fontId="11" fillId="0" borderId="34" xfId="33" applyNumberFormat="1" applyFont="1" applyBorder="1" applyAlignment="1">
      <alignment vertical="center"/>
    </xf>
    <xf numFmtId="43" fontId="0" fillId="0" borderId="34" xfId="8" applyFont="1" applyFill="1" applyBorder="1" applyAlignment="1">
      <alignment horizontal="center" vertical="center"/>
    </xf>
    <xf numFmtId="43" fontId="12" fillId="0" borderId="34" xfId="8" applyFont="1" applyFill="1" applyBorder="1" applyAlignment="1">
      <alignment horizontal="center" vertical="center"/>
    </xf>
    <xf numFmtId="174" fontId="0" fillId="0" borderId="34" xfId="0" applyNumberFormat="1" applyBorder="1" applyAlignment="1">
      <alignment vertical="center"/>
    </xf>
    <xf numFmtId="174" fontId="0" fillId="0" borderId="34" xfId="0" applyNumberFormat="1" applyBorder="1" applyAlignment="1">
      <alignment horizontal="center" vertical="center"/>
    </xf>
    <xf numFmtId="174" fontId="12" fillId="0" borderId="34" xfId="0" applyNumberFormat="1" applyFont="1" applyBorder="1" applyAlignment="1">
      <alignment vertical="center"/>
    </xf>
    <xf numFmtId="174" fontId="12" fillId="0" borderId="34" xfId="0" applyNumberFormat="1" applyFont="1" applyBorder="1" applyAlignment="1">
      <alignment horizontal="center" vertical="center"/>
    </xf>
    <xf numFmtId="41" fontId="11" fillId="0" borderId="34" xfId="0" applyNumberFormat="1" applyFont="1" applyBorder="1" applyAlignment="1">
      <alignment horizontal="center" vertical="center" wrapText="1"/>
    </xf>
    <xf numFmtId="43" fontId="0" fillId="0" borderId="34" xfId="0" applyNumberFormat="1" applyBorder="1" applyAlignment="1">
      <alignment horizontal="right" vertical="center"/>
    </xf>
    <xf numFmtId="43" fontId="12" fillId="0" borderId="34" xfId="0" applyNumberFormat="1" applyFont="1" applyBorder="1" applyAlignment="1">
      <alignment horizontal="right" vertical="center"/>
    </xf>
    <xf numFmtId="43" fontId="10" fillId="0" borderId="34" xfId="0" applyNumberFormat="1" applyFont="1" applyBorder="1" applyAlignment="1">
      <alignment horizontal="center" vertical="center" wrapText="1"/>
    </xf>
    <xf numFmtId="43" fontId="47" fillId="0" borderId="34" xfId="2" applyNumberFormat="1" applyFont="1" applyFill="1" applyBorder="1" applyAlignment="1">
      <alignment vertical="center"/>
    </xf>
    <xf numFmtId="43" fontId="0" fillId="0" borderId="34" xfId="10" applyNumberFormat="1" applyFont="1" applyBorder="1" applyAlignment="1" applyProtection="1">
      <alignment vertical="center"/>
    </xf>
    <xf numFmtId="43" fontId="0" fillId="0" borderId="34" xfId="5" applyNumberFormat="1" applyFont="1" applyFill="1" applyBorder="1" applyAlignment="1">
      <alignment vertical="center"/>
    </xf>
    <xf numFmtId="43" fontId="0" fillId="0" borderId="34" xfId="5" applyNumberFormat="1" applyFont="1" applyFill="1" applyBorder="1" applyAlignment="1">
      <alignment horizontal="left" vertical="center"/>
    </xf>
    <xf numFmtId="43" fontId="12" fillId="0" borderId="34" xfId="5" applyNumberFormat="1" applyFont="1" applyFill="1" applyBorder="1" applyAlignment="1">
      <alignment vertical="center"/>
    </xf>
    <xf numFmtId="43" fontId="12" fillId="0" borderId="34" xfId="5" applyNumberFormat="1" applyFont="1" applyFill="1" applyBorder="1" applyAlignment="1">
      <alignment horizontal="left" vertical="center"/>
    </xf>
    <xf numFmtId="43" fontId="4" fillId="0" borderId="34" xfId="2" applyNumberFormat="1" applyFont="1" applyFill="1" applyBorder="1" applyAlignment="1">
      <alignment vertical="center"/>
    </xf>
    <xf numFmtId="2" fontId="10" fillId="0" borderId="34" xfId="3" applyNumberFormat="1" applyFont="1" applyFill="1" applyBorder="1" applyAlignment="1">
      <alignment vertical="center"/>
    </xf>
    <xf numFmtId="43" fontId="9" fillId="0" borderId="34" xfId="0" applyNumberFormat="1" applyFont="1" applyBorder="1" applyAlignment="1">
      <alignment vertical="center"/>
    </xf>
    <xf numFmtId="43" fontId="10" fillId="0" borderId="34" xfId="0" applyNumberFormat="1" applyFont="1" applyBorder="1" applyAlignment="1">
      <alignment vertical="center"/>
    </xf>
    <xf numFmtId="43" fontId="0" fillId="0" borderId="34" xfId="5" applyNumberFormat="1" applyFont="1" applyFill="1" applyBorder="1" applyAlignment="1" applyProtection="1">
      <alignment horizontal="right" vertical="center"/>
      <protection locked="0"/>
    </xf>
    <xf numFmtId="43" fontId="0" fillId="0" borderId="34" xfId="0" applyNumberFormat="1" applyBorder="1" applyAlignment="1" applyProtection="1">
      <alignment horizontal="right" vertical="center"/>
      <protection locked="0"/>
    </xf>
    <xf numFmtId="43" fontId="12" fillId="0" borderId="34" xfId="5" applyNumberFormat="1" applyFont="1" applyFill="1" applyBorder="1" applyAlignment="1" applyProtection="1">
      <alignment horizontal="right" vertical="center"/>
      <protection locked="0"/>
    </xf>
    <xf numFmtId="43" fontId="12" fillId="0" borderId="34" xfId="0" applyNumberFormat="1" applyFont="1" applyBorder="1" applyAlignment="1" applyProtection="1">
      <alignment horizontal="right" vertical="center"/>
      <protection locked="0"/>
    </xf>
    <xf numFmtId="43" fontId="4" fillId="0" borderId="34" xfId="0" applyNumberFormat="1" applyFont="1" applyBorder="1" applyAlignment="1" applyProtection="1">
      <alignment horizontal="right" vertical="center"/>
      <protection locked="0"/>
    </xf>
    <xf numFmtId="43" fontId="11" fillId="0" borderId="34" xfId="0" applyNumberFormat="1" applyFont="1" applyBorder="1" applyAlignment="1" applyProtection="1">
      <alignment horizontal="right" vertical="center"/>
      <protection locked="0"/>
    </xf>
    <xf numFmtId="43" fontId="11" fillId="0" borderId="34" xfId="2" applyNumberFormat="1" applyFont="1" applyFill="1" applyBorder="1" applyAlignment="1">
      <alignment vertical="center"/>
    </xf>
    <xf numFmtId="43" fontId="0" fillId="0" borderId="34" xfId="1" applyFont="1" applyFill="1" applyBorder="1" applyAlignment="1">
      <alignment horizontal="center" vertical="center" wrapText="1"/>
    </xf>
    <xf numFmtId="43" fontId="0" fillId="0" borderId="34" xfId="5" applyNumberFormat="1" applyFont="1" applyFill="1" applyBorder="1" applyAlignment="1">
      <alignment vertical="center" wrapText="1"/>
    </xf>
    <xf numFmtId="43" fontId="12" fillId="0" borderId="34" xfId="1" applyFont="1" applyFill="1" applyBorder="1" applyAlignment="1">
      <alignment horizontal="center" vertical="center" wrapText="1"/>
    </xf>
    <xf numFmtId="43" fontId="12" fillId="0" borderId="34" xfId="5" applyNumberFormat="1" applyFont="1" applyFill="1" applyBorder="1" applyAlignment="1">
      <alignment vertical="center" wrapText="1"/>
    </xf>
    <xf numFmtId="167" fontId="0" fillId="0" borderId="34" xfId="8" applyNumberFormat="1" applyFont="1" applyFill="1" applyBorder="1" applyAlignment="1">
      <alignment vertical="center"/>
    </xf>
    <xf numFmtId="170" fontId="0" fillId="0" borderId="34" xfId="6" applyNumberFormat="1" applyFont="1" applyFill="1" applyBorder="1" applyAlignment="1">
      <alignment horizontal="center" vertical="center"/>
    </xf>
    <xf numFmtId="167" fontId="12" fillId="0" borderId="34" xfId="8" applyNumberFormat="1" applyFont="1" applyFill="1" applyBorder="1" applyAlignment="1">
      <alignment vertical="center"/>
    </xf>
    <xf numFmtId="170" fontId="12" fillId="0" borderId="34" xfId="6" applyNumberFormat="1" applyFont="1" applyFill="1" applyBorder="1" applyAlignment="1">
      <alignment horizontal="center" vertical="center"/>
    </xf>
    <xf numFmtId="2" fontId="0" fillId="0" borderId="34" xfId="8" applyNumberFormat="1" applyFont="1" applyFill="1" applyBorder="1" applyAlignment="1">
      <alignment vertical="center"/>
    </xf>
    <xf numFmtId="2" fontId="10" fillId="0" borderId="34" xfId="36" applyNumberFormat="1" applyFont="1" applyBorder="1" applyAlignment="1">
      <alignment vertical="center"/>
    </xf>
    <xf numFmtId="39" fontId="10" fillId="0" borderId="34" xfId="36" applyNumberFormat="1" applyFont="1" applyBorder="1" applyAlignment="1">
      <alignment horizontal="center" vertical="center"/>
    </xf>
    <xf numFmtId="167" fontId="9" fillId="0" borderId="34" xfId="0" applyNumberFormat="1" applyFont="1" applyBorder="1" applyAlignment="1">
      <alignment horizontal="center" vertical="center" wrapText="1"/>
    </xf>
    <xf numFmtId="2" fontId="9" fillId="0" borderId="34" xfId="36" applyNumberFormat="1" applyFont="1" applyBorder="1" applyAlignment="1">
      <alignment vertical="center"/>
    </xf>
    <xf numFmtId="41" fontId="9" fillId="0" borderId="34" xfId="0" applyNumberFormat="1" applyFont="1" applyBorder="1" applyAlignment="1">
      <alignment horizontal="center" vertical="center" wrapText="1"/>
    </xf>
    <xf numFmtId="2" fontId="9" fillId="0" borderId="34" xfId="0" applyNumberFormat="1" applyFont="1" applyBorder="1" applyAlignment="1">
      <alignment vertical="center"/>
    </xf>
    <xf numFmtId="39" fontId="9" fillId="0" borderId="34" xfId="0" applyNumberFormat="1" applyFont="1" applyBorder="1" applyAlignment="1">
      <alignment horizontal="center" vertical="center"/>
    </xf>
    <xf numFmtId="2" fontId="10" fillId="0" borderId="34" xfId="0" applyNumberFormat="1" applyFont="1" applyBorder="1" applyAlignment="1">
      <alignment vertical="center"/>
    </xf>
    <xf numFmtId="39" fontId="10" fillId="0" borderId="34" xfId="0" applyNumberFormat="1" applyFont="1" applyBorder="1" applyAlignment="1">
      <alignment horizontal="center" vertical="center"/>
    </xf>
    <xf numFmtId="41" fontId="11" fillId="0" borderId="0" xfId="0" applyNumberFormat="1" applyFont="1" applyAlignment="1">
      <alignment vertical="center"/>
    </xf>
    <xf numFmtId="41" fontId="9" fillId="0" borderId="34" xfId="0" applyNumberFormat="1" applyFont="1" applyBorder="1" applyAlignment="1">
      <alignment vertical="center"/>
    </xf>
    <xf numFmtId="49" fontId="9" fillId="0" borderId="34" xfId="0" applyNumberFormat="1" applyFont="1" applyBorder="1" applyAlignment="1">
      <alignment horizontal="center" vertical="center"/>
    </xf>
    <xf numFmtId="167" fontId="9" fillId="0" borderId="34" xfId="2" applyNumberFormat="1" applyFont="1" applyFill="1" applyBorder="1" applyAlignment="1">
      <alignment horizontal="center" vertical="center"/>
    </xf>
    <xf numFmtId="2" fontId="12" fillId="0" borderId="34" xfId="0" applyNumberFormat="1" applyFont="1" applyBorder="1" applyAlignment="1">
      <alignment horizontal="center" vertical="center"/>
    </xf>
    <xf numFmtId="41" fontId="10" fillId="0" borderId="34" xfId="0" applyNumberFormat="1" applyFont="1" applyBorder="1" applyAlignment="1">
      <alignment vertical="center"/>
    </xf>
    <xf numFmtId="41" fontId="0" fillId="0" borderId="34" xfId="2" applyFont="1" applyFill="1" applyBorder="1" applyAlignment="1" applyProtection="1">
      <alignment horizontal="center" vertical="center"/>
    </xf>
    <xf numFmtId="41" fontId="0" fillId="0" borderId="34" xfId="2" applyFont="1" applyFill="1" applyBorder="1" applyAlignment="1" applyProtection="1">
      <alignment horizontal="center" vertical="center" wrapText="1"/>
    </xf>
    <xf numFmtId="41" fontId="12" fillId="0" borderId="34" xfId="2" applyFont="1" applyFill="1" applyBorder="1" applyAlignment="1" applyProtection="1">
      <alignment horizontal="center" vertical="center" wrapText="1"/>
    </xf>
    <xf numFmtId="167" fontId="0" fillId="0" borderId="34" xfId="0" applyNumberFormat="1" applyBorder="1" applyAlignment="1">
      <alignment vertical="center"/>
    </xf>
    <xf numFmtId="167" fontId="10" fillId="0" borderId="34" xfId="9" applyNumberFormat="1" applyFont="1" applyBorder="1" applyAlignment="1">
      <alignment horizontal="right" vertical="center"/>
    </xf>
    <xf numFmtId="2" fontId="10" fillId="0" borderId="34" xfId="0" applyNumberFormat="1" applyFont="1" applyBorder="1" applyAlignment="1">
      <alignment horizontal="center" vertical="center"/>
    </xf>
    <xf numFmtId="49" fontId="10" fillId="0" borderId="34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vertical="center"/>
    </xf>
    <xf numFmtId="2" fontId="10" fillId="0" borderId="43" xfId="0" applyNumberFormat="1" applyFont="1" applyBorder="1" applyAlignment="1">
      <alignment vertical="center"/>
    </xf>
    <xf numFmtId="2" fontId="10" fillId="0" borderId="43" xfId="0" applyNumberFormat="1" applyFont="1" applyBorder="1" applyAlignment="1">
      <alignment horizontal="center" vertical="center"/>
    </xf>
    <xf numFmtId="167" fontId="10" fillId="0" borderId="43" xfId="0" applyNumberFormat="1" applyFont="1" applyBorder="1" applyAlignment="1">
      <alignment horizontal="center" vertical="center" wrapText="1"/>
    </xf>
    <xf numFmtId="0" fontId="10" fillId="0" borderId="43" xfId="0" applyFont="1" applyBorder="1" applyAlignment="1">
      <alignment horizontal="left" vertical="center" wrapText="1"/>
    </xf>
    <xf numFmtId="49" fontId="10" fillId="0" borderId="43" xfId="0" applyNumberFormat="1" applyFont="1" applyBorder="1" applyAlignment="1">
      <alignment horizontal="center" vertical="center"/>
    </xf>
    <xf numFmtId="0" fontId="10" fillId="6" borderId="19" xfId="0" quotePrefix="1" applyFont="1" applyFill="1" applyBorder="1" applyAlignment="1">
      <alignment horizontal="center" vertical="center"/>
    </xf>
    <xf numFmtId="2" fontId="10" fillId="0" borderId="19" xfId="0" quotePrefix="1" applyNumberFormat="1" applyFont="1" applyBorder="1" applyAlignment="1">
      <alignment vertical="center"/>
    </xf>
    <xf numFmtId="49" fontId="11" fillId="0" borderId="19" xfId="2" quotePrefix="1" applyNumberFormat="1" applyFont="1" applyFill="1" applyBorder="1" applyAlignment="1">
      <alignment horizontal="center" vertical="center"/>
    </xf>
    <xf numFmtId="0" fontId="10" fillId="0" borderId="19" xfId="0" quotePrefix="1" applyFont="1" applyBorder="1" applyAlignment="1">
      <alignment horizontal="center" vertical="center"/>
    </xf>
    <xf numFmtId="49" fontId="11" fillId="6" borderId="19" xfId="2" quotePrefix="1" applyNumberFormat="1" applyFont="1" applyFill="1" applyBorder="1" applyAlignment="1">
      <alignment horizontal="center" vertical="center"/>
    </xf>
    <xf numFmtId="0" fontId="10" fillId="6" borderId="19" xfId="0" quotePrefix="1" applyFont="1" applyFill="1" applyBorder="1" applyAlignment="1">
      <alignment horizontal="center" vertical="center" wrapText="1"/>
    </xf>
    <xf numFmtId="167" fontId="10" fillId="0" borderId="26" xfId="2" applyNumberFormat="1" applyFont="1" applyFill="1" applyBorder="1" applyAlignment="1">
      <alignment vertical="center" wrapText="1"/>
    </xf>
    <xf numFmtId="41" fontId="10" fillId="0" borderId="26" xfId="2" applyFont="1" applyFill="1" applyBorder="1" applyAlignment="1">
      <alignment horizontal="center" vertical="center" wrapText="1"/>
    </xf>
    <xf numFmtId="41" fontId="9" fillId="0" borderId="0" xfId="0" applyNumberFormat="1" applyFont="1" applyAlignment="1">
      <alignment horizontal="left" vertical="center"/>
    </xf>
    <xf numFmtId="41" fontId="9" fillId="0" borderId="0" xfId="0" applyNumberFormat="1" applyFont="1" applyAlignment="1">
      <alignment vertical="center"/>
    </xf>
    <xf numFmtId="41" fontId="9" fillId="0" borderId="0" xfId="0" applyNumberFormat="1" applyFont="1" applyAlignment="1">
      <alignment horizontal="center" vertical="center"/>
    </xf>
    <xf numFmtId="41" fontId="4" fillId="0" borderId="0" xfId="0" applyNumberFormat="1" applyFont="1" applyAlignment="1">
      <alignment horizontal="right" vertical="center"/>
    </xf>
    <xf numFmtId="167" fontId="0" fillId="0" borderId="0" xfId="2" applyNumberFormat="1" applyFont="1" applyFill="1" applyAlignment="1">
      <alignment horizontal="right" vertical="center"/>
    </xf>
    <xf numFmtId="41" fontId="0" fillId="0" borderId="0" xfId="2" applyFont="1" applyFill="1" applyAlignment="1">
      <alignment vertical="center"/>
    </xf>
    <xf numFmtId="0" fontId="0" fillId="0" borderId="0" xfId="0" applyAlignment="1">
      <alignment horizontal="left" vertical="center" wrapText="1"/>
    </xf>
    <xf numFmtId="167" fontId="0" fillId="0" borderId="0" xfId="2" applyNumberFormat="1" applyFont="1" applyFill="1" applyAlignment="1">
      <alignment vertical="center"/>
    </xf>
    <xf numFmtId="0" fontId="12" fillId="0" borderId="0" xfId="0" applyFont="1" applyAlignment="1">
      <alignment horizontal="left" vertical="center" wrapText="1"/>
    </xf>
    <xf numFmtId="41" fontId="0" fillId="0" borderId="0" xfId="0" applyNumberFormat="1" applyAlignment="1">
      <alignment horizontal="left" vertical="center" wrapText="1"/>
    </xf>
    <xf numFmtId="167" fontId="0" fillId="0" borderId="0" xfId="0" applyNumberFormat="1" applyAlignment="1">
      <alignment horizontal="left" vertical="center" wrapText="1"/>
    </xf>
    <xf numFmtId="167" fontId="12" fillId="0" borderId="0" xfId="0" applyNumberFormat="1" applyFont="1" applyAlignment="1">
      <alignment horizontal="center" vertical="center" wrapText="1"/>
    </xf>
    <xf numFmtId="0" fontId="0" fillId="6" borderId="0" xfId="0" applyFill="1" applyAlignment="1">
      <alignment vertical="center"/>
    </xf>
    <xf numFmtId="167" fontId="0" fillId="6" borderId="0" xfId="2" applyNumberFormat="1" applyFont="1" applyFill="1" applyAlignment="1">
      <alignment horizontal="right" vertical="center"/>
    </xf>
    <xf numFmtId="41" fontId="0" fillId="6" borderId="0" xfId="2" applyFont="1" applyFill="1" applyAlignment="1">
      <alignment vertical="center"/>
    </xf>
    <xf numFmtId="41" fontId="0" fillId="6" borderId="2" xfId="2" applyFont="1" applyFill="1" applyBorder="1" applyAlignment="1">
      <alignment vertical="center"/>
    </xf>
    <xf numFmtId="0" fontId="0" fillId="6" borderId="0" xfId="0" applyFill="1" applyAlignment="1">
      <alignment horizontal="left" vertical="center" wrapText="1"/>
    </xf>
    <xf numFmtId="0" fontId="12" fillId="6" borderId="0" xfId="0" applyFont="1" applyFill="1" applyAlignment="1">
      <alignment vertical="center"/>
    </xf>
    <xf numFmtId="0" fontId="12" fillId="6" borderId="26" xfId="0" applyFont="1" applyFill="1" applyBorder="1" applyAlignment="1">
      <alignment vertical="center"/>
    </xf>
    <xf numFmtId="167" fontId="12" fillId="6" borderId="26" xfId="2" applyNumberFormat="1" applyFont="1" applyFill="1" applyBorder="1" applyAlignment="1">
      <alignment horizontal="right" vertical="center"/>
    </xf>
    <xf numFmtId="167" fontId="12" fillId="6" borderId="26" xfId="0" applyNumberFormat="1" applyFont="1" applyFill="1" applyBorder="1" applyAlignment="1">
      <alignment horizontal="center" vertical="center" wrapText="1"/>
    </xf>
    <xf numFmtId="167" fontId="12" fillId="6" borderId="19" xfId="0" applyNumberFormat="1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6" borderId="34" xfId="0" applyFill="1" applyBorder="1" applyAlignment="1">
      <alignment vertical="center"/>
    </xf>
    <xf numFmtId="2" fontId="11" fillId="6" borderId="34" xfId="2" applyNumberFormat="1" applyFont="1" applyFill="1" applyBorder="1" applyAlignment="1">
      <alignment horizontal="right" vertical="center"/>
    </xf>
    <xf numFmtId="167" fontId="11" fillId="6" borderId="34" xfId="2" applyNumberFormat="1" applyFont="1" applyFill="1" applyBorder="1" applyAlignment="1">
      <alignment horizontal="right" vertical="center"/>
    </xf>
    <xf numFmtId="39" fontId="9" fillId="6" borderId="34" xfId="9" applyNumberFormat="1" applyFont="1" applyFill="1" applyBorder="1" applyAlignment="1">
      <alignment horizontal="right" vertical="center"/>
    </xf>
    <xf numFmtId="0" fontId="9" fillId="6" borderId="34" xfId="9" applyFont="1" applyFill="1" applyBorder="1" applyAlignment="1">
      <alignment horizontal="left" vertical="top" wrapText="1"/>
    </xf>
    <xf numFmtId="0" fontId="0" fillId="6" borderId="34" xfId="0" applyFill="1" applyBorder="1" applyAlignment="1">
      <alignment horizontal="center" vertical="center"/>
    </xf>
    <xf numFmtId="0" fontId="12" fillId="5" borderId="0" xfId="0" applyFont="1" applyFill="1" applyAlignment="1">
      <alignment vertical="center"/>
    </xf>
    <xf numFmtId="0" fontId="12" fillId="6" borderId="34" xfId="0" applyFont="1" applyFill="1" applyBorder="1" applyAlignment="1">
      <alignment vertical="center"/>
    </xf>
    <xf numFmtId="0" fontId="12" fillId="6" borderId="34" xfId="0" applyFont="1" applyFill="1" applyBorder="1" applyAlignment="1">
      <alignment horizontal="center" vertical="center"/>
    </xf>
    <xf numFmtId="39" fontId="10" fillId="6" borderId="34" xfId="9" applyNumberFormat="1" applyFont="1" applyFill="1" applyBorder="1" applyAlignment="1">
      <alignment horizontal="right" vertical="center"/>
    </xf>
    <xf numFmtId="0" fontId="10" fillId="6" borderId="34" xfId="9" applyFont="1" applyFill="1" applyBorder="1" applyAlignment="1">
      <alignment vertical="top" wrapText="1"/>
    </xf>
    <xf numFmtId="0" fontId="9" fillId="6" borderId="34" xfId="9" applyFont="1" applyFill="1" applyBorder="1" applyAlignment="1">
      <alignment vertical="top" wrapText="1"/>
    </xf>
    <xf numFmtId="0" fontId="10" fillId="6" borderId="34" xfId="9" applyFont="1" applyFill="1" applyBorder="1" applyAlignment="1">
      <alignment vertical="center" wrapText="1"/>
    </xf>
    <xf numFmtId="0" fontId="9" fillId="6" borderId="34" xfId="9" applyFont="1" applyFill="1" applyBorder="1" applyAlignment="1">
      <alignment vertical="center"/>
    </xf>
    <xf numFmtId="0" fontId="10" fillId="6" borderId="34" xfId="9" applyFont="1" applyFill="1" applyBorder="1" applyAlignment="1">
      <alignment horizontal="left" vertical="top" wrapText="1"/>
    </xf>
    <xf numFmtId="167" fontId="12" fillId="6" borderId="34" xfId="2" applyNumberFormat="1" applyFont="1" applyFill="1" applyBorder="1" applyAlignment="1">
      <alignment horizontal="right" vertical="center"/>
    </xf>
    <xf numFmtId="41" fontId="12" fillId="6" borderId="34" xfId="0" applyNumberFormat="1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left" vertical="center" wrapText="1"/>
    </xf>
    <xf numFmtId="167" fontId="0" fillId="6" borderId="34" xfId="2" applyNumberFormat="1" applyFont="1" applyFill="1" applyBorder="1" applyAlignment="1">
      <alignment horizontal="right" vertical="center"/>
    </xf>
    <xf numFmtId="41" fontId="0" fillId="6" borderId="34" xfId="2" applyFont="1" applyFill="1" applyBorder="1" applyAlignment="1">
      <alignment vertical="center"/>
    </xf>
    <xf numFmtId="0" fontId="0" fillId="6" borderId="34" xfId="0" applyFill="1" applyBorder="1" applyAlignment="1">
      <alignment horizontal="left" vertical="center" wrapText="1"/>
    </xf>
    <xf numFmtId="49" fontId="0" fillId="6" borderId="34" xfId="0" applyNumberFormat="1" applyFill="1" applyBorder="1" applyAlignment="1">
      <alignment horizontal="center" vertical="center"/>
    </xf>
    <xf numFmtId="2" fontId="0" fillId="6" borderId="34" xfId="0" applyNumberFormat="1" applyFill="1" applyBorder="1" applyAlignment="1">
      <alignment horizontal="right" vertical="center"/>
    </xf>
    <xf numFmtId="167" fontId="0" fillId="6" borderId="34" xfId="5" applyNumberFormat="1" applyFont="1" applyFill="1" applyBorder="1" applyAlignment="1">
      <alignment horizontal="right" vertical="center"/>
    </xf>
    <xf numFmtId="41" fontId="0" fillId="6" borderId="34" xfId="5" applyFont="1" applyFill="1" applyBorder="1" applyAlignment="1">
      <alignment horizontal="right" vertical="center"/>
    </xf>
    <xf numFmtId="2" fontId="11" fillId="6" borderId="34" xfId="0" applyNumberFormat="1" applyFont="1" applyFill="1" applyBorder="1" applyAlignment="1">
      <alignment horizontal="right" vertical="center"/>
    </xf>
    <xf numFmtId="2" fontId="12" fillId="6" borderId="34" xfId="5" applyNumberFormat="1" applyFont="1" applyFill="1" applyBorder="1" applyAlignment="1">
      <alignment horizontal="right" vertical="center"/>
    </xf>
    <xf numFmtId="41" fontId="12" fillId="6" borderId="34" xfId="5" applyFont="1" applyFill="1" applyBorder="1" applyAlignment="1">
      <alignment horizontal="right" vertical="center"/>
    </xf>
    <xf numFmtId="49" fontId="12" fillId="6" borderId="34" xfId="0" applyNumberFormat="1" applyFont="1" applyFill="1" applyBorder="1" applyAlignment="1">
      <alignment horizontal="center" vertical="center"/>
    </xf>
    <xf numFmtId="2" fontId="12" fillId="6" borderId="34" xfId="0" applyNumberFormat="1" applyFont="1" applyFill="1" applyBorder="1" applyAlignment="1">
      <alignment horizontal="right" vertical="center"/>
    </xf>
    <xf numFmtId="167" fontId="12" fillId="6" borderId="34" xfId="5" applyNumberFormat="1" applyFont="1" applyFill="1" applyBorder="1" applyAlignment="1">
      <alignment horizontal="right" vertical="center"/>
    </xf>
    <xf numFmtId="41" fontId="12" fillId="6" borderId="34" xfId="5" applyFont="1" applyFill="1" applyBorder="1" applyAlignment="1">
      <alignment vertical="center"/>
    </xf>
    <xf numFmtId="2" fontId="12" fillId="6" borderId="34" xfId="2" applyNumberFormat="1" applyFont="1" applyFill="1" applyBorder="1" applyAlignment="1">
      <alignment horizontal="right" vertical="center"/>
    </xf>
    <xf numFmtId="167" fontId="4" fillId="6" borderId="34" xfId="5" quotePrefix="1" applyNumberFormat="1" applyFont="1" applyFill="1" applyBorder="1" applyAlignment="1">
      <alignment horizontal="right" vertical="center"/>
    </xf>
    <xf numFmtId="167" fontId="4" fillId="6" borderId="34" xfId="5" applyNumberFormat="1" applyFont="1" applyFill="1" applyBorder="1" applyAlignment="1">
      <alignment vertical="center" wrapText="1"/>
    </xf>
    <xf numFmtId="167" fontId="4" fillId="6" borderId="34" xfId="5" applyNumberFormat="1" applyFont="1" applyFill="1" applyBorder="1" applyAlignment="1">
      <alignment vertical="center"/>
    </xf>
    <xf numFmtId="0" fontId="4" fillId="6" borderId="34" xfId="0" quotePrefix="1" applyFont="1" applyFill="1" applyBorder="1" applyAlignment="1">
      <alignment horizontal="left" vertical="center" wrapText="1"/>
    </xf>
    <xf numFmtId="167" fontId="11" fillId="6" borderId="34" xfId="5" quotePrefix="1" applyNumberFormat="1" applyFont="1" applyFill="1" applyBorder="1" applyAlignment="1">
      <alignment horizontal="right" vertical="center"/>
    </xf>
    <xf numFmtId="167" fontId="11" fillId="6" borderId="34" xfId="5" applyNumberFormat="1" applyFont="1" applyFill="1" applyBorder="1" applyAlignment="1">
      <alignment vertical="center" wrapText="1"/>
    </xf>
    <xf numFmtId="167" fontId="11" fillId="6" borderId="34" xfId="5" applyNumberFormat="1" applyFont="1" applyFill="1" applyBorder="1" applyAlignment="1">
      <alignment vertical="center"/>
    </xf>
    <xf numFmtId="0" fontId="11" fillId="6" borderId="34" xfId="0" applyFont="1" applyFill="1" applyBorder="1" applyAlignment="1">
      <alignment vertical="center" wrapText="1"/>
    </xf>
    <xf numFmtId="167" fontId="4" fillId="6" borderId="34" xfId="5" applyNumberFormat="1" applyFont="1" applyFill="1" applyBorder="1" applyAlignment="1">
      <alignment horizontal="right" vertical="center"/>
    </xf>
    <xf numFmtId="167" fontId="4" fillId="6" borderId="34" xfId="2" applyNumberFormat="1" applyFont="1" applyFill="1" applyBorder="1" applyAlignment="1">
      <alignment vertical="center"/>
    </xf>
    <xf numFmtId="0" fontId="4" fillId="6" borderId="34" xfId="0" applyFont="1" applyFill="1" applyBorder="1" applyAlignment="1">
      <alignment horizontal="left" vertical="center" wrapText="1"/>
    </xf>
    <xf numFmtId="167" fontId="11" fillId="6" borderId="34" xfId="2" applyNumberFormat="1" applyFont="1" applyFill="1" applyBorder="1" applyAlignment="1">
      <alignment vertical="center"/>
    </xf>
    <xf numFmtId="0" fontId="11" fillId="6" borderId="34" xfId="0" applyFont="1" applyFill="1" applyBorder="1" applyAlignment="1">
      <alignment horizontal="left" vertical="center" wrapText="1"/>
    </xf>
    <xf numFmtId="166" fontId="11" fillId="6" borderId="34" xfId="35" applyNumberFormat="1" applyFont="1" applyFill="1" applyBorder="1" applyAlignment="1">
      <alignment horizontal="right" vertical="center"/>
    </xf>
    <xf numFmtId="2" fontId="4" fillId="6" borderId="34" xfId="2" applyNumberFormat="1" applyFont="1" applyFill="1" applyBorder="1" applyAlignment="1">
      <alignment horizontal="right" vertical="center"/>
    </xf>
    <xf numFmtId="2" fontId="4" fillId="6" borderId="34" xfId="81" quotePrefix="1" applyNumberFormat="1" applyFont="1" applyFill="1" applyBorder="1" applyAlignment="1">
      <alignment horizontal="right" vertical="center" wrapText="1"/>
    </xf>
    <xf numFmtId="166" fontId="4" fillId="6" borderId="34" xfId="35" applyNumberFormat="1" applyFont="1" applyFill="1" applyBorder="1" applyAlignment="1">
      <alignment horizontal="right" vertical="center"/>
    </xf>
    <xf numFmtId="167" fontId="12" fillId="6" borderId="34" xfId="2" applyNumberFormat="1" applyFont="1" applyFill="1" applyBorder="1" applyAlignment="1">
      <alignment vertical="center"/>
    </xf>
    <xf numFmtId="167" fontId="12" fillId="6" borderId="34" xfId="0" applyNumberFormat="1" applyFont="1" applyFill="1" applyBorder="1" applyAlignment="1">
      <alignment horizontal="center" vertical="center" wrapText="1"/>
    </xf>
    <xf numFmtId="167" fontId="0" fillId="6" borderId="34" xfId="2" applyNumberFormat="1" applyFont="1" applyFill="1" applyBorder="1" applyAlignment="1">
      <alignment vertical="center"/>
    </xf>
    <xf numFmtId="167" fontId="9" fillId="6" borderId="34" xfId="5" applyNumberFormat="1" applyFont="1" applyFill="1" applyBorder="1" applyAlignment="1">
      <alignment vertical="center"/>
    </xf>
    <xf numFmtId="167" fontId="0" fillId="6" borderId="34" xfId="0" applyNumberFormat="1" applyFill="1" applyBorder="1" applyAlignment="1">
      <alignment vertical="center"/>
    </xf>
    <xf numFmtId="0" fontId="4" fillId="6" borderId="34" xfId="0" applyFont="1" applyFill="1" applyBorder="1" applyAlignment="1">
      <alignment vertical="center" wrapText="1"/>
    </xf>
    <xf numFmtId="167" fontId="12" fillId="6" borderId="34" xfId="0" applyNumberFormat="1" applyFont="1" applyFill="1" applyBorder="1" applyAlignment="1">
      <alignment vertical="center"/>
    </xf>
    <xf numFmtId="167" fontId="11" fillId="6" borderId="34" xfId="0" applyNumberFormat="1" applyFont="1" applyFill="1" applyBorder="1" applyAlignment="1">
      <alignment vertical="center"/>
    </xf>
    <xf numFmtId="0" fontId="10" fillId="6" borderId="34" xfId="0" applyFont="1" applyFill="1" applyBorder="1" applyAlignment="1">
      <alignment vertical="center" wrapText="1"/>
    </xf>
    <xf numFmtId="167" fontId="12" fillId="6" borderId="34" xfId="5" applyNumberFormat="1" applyFont="1" applyFill="1" applyBorder="1" applyAlignment="1">
      <alignment vertical="center"/>
    </xf>
    <xf numFmtId="167" fontId="0" fillId="6" borderId="34" xfId="5" applyNumberFormat="1" applyFont="1" applyFill="1" applyBorder="1" applyAlignment="1">
      <alignment vertical="center"/>
    </xf>
    <xf numFmtId="0" fontId="12" fillId="6" borderId="34" xfId="0" applyFont="1" applyFill="1" applyBorder="1" applyAlignment="1">
      <alignment vertical="center" wrapText="1"/>
    </xf>
    <xf numFmtId="167" fontId="4" fillId="6" borderId="34" xfId="0" applyNumberFormat="1" applyFont="1" applyFill="1" applyBorder="1" applyAlignment="1">
      <alignment vertical="center"/>
    </xf>
    <xf numFmtId="0" fontId="9" fillId="6" borderId="34" xfId="0" applyFont="1" applyFill="1" applyBorder="1" applyAlignment="1">
      <alignment vertical="center" wrapText="1"/>
    </xf>
    <xf numFmtId="2" fontId="12" fillId="6" borderId="34" xfId="3" applyNumberFormat="1" applyFont="1" applyFill="1" applyBorder="1" applyAlignment="1">
      <alignment horizontal="right" vertical="center"/>
    </xf>
    <xf numFmtId="2" fontId="0" fillId="6" borderId="34" xfId="3" applyNumberFormat="1" applyFont="1" applyFill="1" applyBorder="1" applyAlignment="1">
      <alignment horizontal="right" vertical="center"/>
    </xf>
    <xf numFmtId="167" fontId="0" fillId="6" borderId="34" xfId="5" applyNumberFormat="1" applyFont="1" applyFill="1" applyBorder="1" applyAlignment="1">
      <alignment horizontal="left" vertical="center"/>
    </xf>
    <xf numFmtId="167" fontId="12" fillId="6" borderId="34" xfId="5" applyNumberFormat="1" applyFont="1" applyFill="1" applyBorder="1" applyAlignment="1">
      <alignment horizontal="left" vertical="center"/>
    </xf>
    <xf numFmtId="2" fontId="4" fillId="6" borderId="34" xfId="5" applyNumberFormat="1" applyFont="1" applyFill="1" applyBorder="1" applyAlignment="1">
      <alignment horizontal="right" vertical="center"/>
    </xf>
    <xf numFmtId="167" fontId="4" fillId="6" borderId="34" xfId="8" applyNumberFormat="1" applyFont="1" applyFill="1" applyBorder="1" applyAlignment="1">
      <alignment horizontal="left" vertical="center"/>
    </xf>
    <xf numFmtId="167" fontId="4" fillId="6" borderId="34" xfId="5" applyNumberFormat="1" applyFont="1" applyFill="1" applyBorder="1" applyAlignment="1">
      <alignment horizontal="left" vertical="center"/>
    </xf>
    <xf numFmtId="2" fontId="11" fillId="6" borderId="34" xfId="5" applyNumberFormat="1" applyFont="1" applyFill="1" applyBorder="1" applyAlignment="1">
      <alignment horizontal="right" vertical="center"/>
    </xf>
    <xf numFmtId="167" fontId="11" fillId="6" borderId="34" xfId="8" applyNumberFormat="1" applyFont="1" applyFill="1" applyBorder="1" applyAlignment="1">
      <alignment horizontal="left" vertical="center"/>
    </xf>
    <xf numFmtId="167" fontId="11" fillId="6" borderId="34" xfId="5" applyNumberFormat="1" applyFont="1" applyFill="1" applyBorder="1" applyAlignment="1">
      <alignment horizontal="left" vertical="center"/>
    </xf>
    <xf numFmtId="49" fontId="11" fillId="6" borderId="34" xfId="0" applyNumberFormat="1" applyFont="1" applyFill="1" applyBorder="1" applyAlignment="1">
      <alignment vertical="center" wrapText="1"/>
    </xf>
    <xf numFmtId="167" fontId="4" fillId="6" borderId="34" xfId="0" applyNumberFormat="1" applyFont="1" applyFill="1" applyBorder="1" applyAlignment="1">
      <alignment horizontal="right" vertical="center"/>
    </xf>
    <xf numFmtId="167" fontId="4" fillId="6" borderId="34" xfId="8" applyNumberFormat="1" applyFont="1" applyFill="1" applyBorder="1" applyAlignment="1">
      <alignment vertical="center"/>
    </xf>
    <xf numFmtId="0" fontId="4" fillId="6" borderId="34" xfId="0" applyFont="1" applyFill="1" applyBorder="1" applyAlignment="1">
      <alignment vertical="top" wrapText="1"/>
    </xf>
    <xf numFmtId="167" fontId="11" fillId="6" borderId="34" xfId="0" applyNumberFormat="1" applyFont="1" applyFill="1" applyBorder="1" applyAlignment="1">
      <alignment horizontal="right" vertical="center"/>
    </xf>
    <xf numFmtId="167" fontId="11" fillId="6" borderId="34" xfId="5" applyNumberFormat="1" applyFont="1" applyFill="1" applyBorder="1" applyAlignment="1">
      <alignment horizontal="right" vertical="center"/>
    </xf>
    <xf numFmtId="167" fontId="19" fillId="6" borderId="34" xfId="8" applyNumberFormat="1" applyFont="1" applyFill="1" applyBorder="1" applyAlignment="1">
      <alignment vertical="center"/>
    </xf>
    <xf numFmtId="0" fontId="11" fillId="6" borderId="34" xfId="0" applyFont="1" applyFill="1" applyBorder="1" applyAlignment="1">
      <alignment horizontal="left" vertical="top" wrapText="1"/>
    </xf>
    <xf numFmtId="0" fontId="11" fillId="6" borderId="34" xfId="0" applyFont="1" applyFill="1" applyBorder="1" applyAlignment="1">
      <alignment vertical="top" wrapText="1"/>
    </xf>
    <xf numFmtId="167" fontId="11" fillId="6" borderId="34" xfId="8" applyNumberFormat="1" applyFont="1" applyFill="1" applyBorder="1" applyAlignment="1">
      <alignment horizontal="right" vertical="center"/>
    </xf>
    <xf numFmtId="167" fontId="11" fillId="6" borderId="34" xfId="8" applyNumberFormat="1" applyFont="1" applyFill="1" applyBorder="1" applyAlignment="1">
      <alignment vertical="center"/>
    </xf>
    <xf numFmtId="0" fontId="0" fillId="6" borderId="34" xfId="0" applyFill="1" applyBorder="1" applyAlignment="1">
      <alignment vertical="center" wrapText="1"/>
    </xf>
    <xf numFmtId="2" fontId="0" fillId="6" borderId="34" xfId="5" applyNumberFormat="1" applyFont="1" applyFill="1" applyBorder="1" applyAlignment="1">
      <alignment horizontal="right" vertical="center"/>
    </xf>
    <xf numFmtId="0" fontId="11" fillId="6" borderId="34" xfId="0" applyFont="1" applyFill="1" applyBorder="1" applyAlignment="1">
      <alignment wrapText="1"/>
    </xf>
    <xf numFmtId="0" fontId="4" fillId="6" borderId="0" xfId="0" applyFont="1" applyFill="1" applyAlignment="1">
      <alignment vertical="center"/>
    </xf>
    <xf numFmtId="0" fontId="4" fillId="6" borderId="34" xfId="0" applyFont="1" applyFill="1" applyBorder="1" applyAlignment="1">
      <alignment vertical="center"/>
    </xf>
    <xf numFmtId="167" fontId="4" fillId="6" borderId="34" xfId="2" quotePrefix="1" applyNumberFormat="1" applyFont="1" applyFill="1" applyBorder="1" applyAlignment="1">
      <alignment horizontal="right" vertical="center"/>
    </xf>
    <xf numFmtId="167" fontId="4" fillId="6" borderId="34" xfId="2" applyNumberFormat="1" applyFont="1" applyFill="1" applyBorder="1" applyAlignment="1">
      <alignment horizontal="right" vertical="center" wrapText="1"/>
    </xf>
    <xf numFmtId="49" fontId="4" fillId="6" borderId="34" xfId="0" applyNumberFormat="1" applyFont="1" applyFill="1" applyBorder="1" applyAlignment="1">
      <alignment horizontal="center" vertical="center"/>
    </xf>
    <xf numFmtId="167" fontId="11" fillId="6" borderId="34" xfId="2" quotePrefix="1" applyNumberFormat="1" applyFont="1" applyFill="1" applyBorder="1" applyAlignment="1">
      <alignment horizontal="right" vertical="center"/>
    </xf>
    <xf numFmtId="0" fontId="11" fillId="6" borderId="0" xfId="0" applyFont="1" applyFill="1" applyAlignment="1">
      <alignment vertical="center"/>
    </xf>
    <xf numFmtId="0" fontId="11" fillId="6" borderId="34" xfId="0" applyFont="1" applyFill="1" applyBorder="1" applyAlignment="1">
      <alignment vertical="center"/>
    </xf>
    <xf numFmtId="167" fontId="11" fillId="6" borderId="34" xfId="0" applyNumberFormat="1" applyFont="1" applyFill="1" applyBorder="1" applyAlignment="1">
      <alignment horizontal="center" vertical="center" wrapText="1"/>
    </xf>
    <xf numFmtId="49" fontId="11" fillId="6" borderId="34" xfId="0" applyNumberFormat="1" applyFont="1" applyFill="1" applyBorder="1" applyAlignment="1">
      <alignment horizontal="center" vertical="center"/>
    </xf>
    <xf numFmtId="167" fontId="9" fillId="6" borderId="34" xfId="2" applyNumberFormat="1" applyFont="1" applyFill="1" applyBorder="1" applyAlignment="1">
      <alignment vertical="center"/>
    </xf>
    <xf numFmtId="0" fontId="9" fillId="6" borderId="34" xfId="0" applyFont="1" applyFill="1" applyBorder="1" applyAlignment="1">
      <alignment vertical="top" wrapText="1"/>
    </xf>
    <xf numFmtId="167" fontId="10" fillId="6" borderId="34" xfId="2" applyNumberFormat="1" applyFont="1" applyFill="1" applyBorder="1" applyAlignment="1">
      <alignment vertical="center"/>
    </xf>
    <xf numFmtId="0" fontId="10" fillId="6" borderId="34" xfId="0" applyFont="1" applyFill="1" applyBorder="1" applyAlignment="1">
      <alignment vertical="top" wrapText="1"/>
    </xf>
    <xf numFmtId="0" fontId="9" fillId="6" borderId="34" xfId="0" applyFont="1" applyFill="1" applyBorder="1" applyAlignment="1">
      <alignment horizontal="left" vertical="top" wrapText="1"/>
    </xf>
    <xf numFmtId="0" fontId="9" fillId="6" borderId="34" xfId="0" applyFont="1" applyFill="1" applyBorder="1" applyAlignment="1">
      <alignment horizontal="center" wrapText="1"/>
    </xf>
    <xf numFmtId="43" fontId="0" fillId="6" borderId="34" xfId="8" applyFont="1" applyFill="1" applyBorder="1" applyAlignment="1">
      <alignment horizontal="right" vertical="center" wrapText="1"/>
    </xf>
    <xf numFmtId="167" fontId="0" fillId="6" borderId="34" xfId="8" applyNumberFormat="1" applyFont="1" applyFill="1" applyBorder="1" applyAlignment="1">
      <alignment vertical="center"/>
    </xf>
    <xf numFmtId="43" fontId="12" fillId="6" borderId="34" xfId="8" applyFont="1" applyFill="1" applyBorder="1" applyAlignment="1">
      <alignment horizontal="right" vertical="center" wrapText="1"/>
    </xf>
    <xf numFmtId="167" fontId="12" fillId="6" borderId="34" xfId="8" applyNumberFormat="1" applyFont="1" applyFill="1" applyBorder="1" applyAlignment="1">
      <alignment vertical="center"/>
    </xf>
    <xf numFmtId="167" fontId="0" fillId="6" borderId="34" xfId="5" quotePrefix="1" applyNumberFormat="1" applyFont="1" applyFill="1" applyBorder="1" applyAlignment="1">
      <alignment horizontal="center" vertical="center"/>
    </xf>
    <xf numFmtId="167" fontId="12" fillId="6" borderId="34" xfId="5" quotePrefix="1" applyNumberFormat="1" applyFont="1" applyFill="1" applyBorder="1" applyAlignment="1">
      <alignment horizontal="center" vertical="center"/>
    </xf>
    <xf numFmtId="167" fontId="0" fillId="6" borderId="34" xfId="0" quotePrefix="1" applyNumberFormat="1" applyFill="1" applyBorder="1" applyAlignment="1">
      <alignment horizontal="center" vertical="center"/>
    </xf>
    <xf numFmtId="167" fontId="4" fillId="6" borderId="34" xfId="33" applyNumberFormat="1" applyFont="1" applyFill="1" applyBorder="1" applyAlignment="1">
      <alignment horizontal="left" vertical="center"/>
    </xf>
    <xf numFmtId="167" fontId="4" fillId="6" borderId="34" xfId="0" applyNumberFormat="1" applyFont="1" applyFill="1" applyBorder="1" applyAlignment="1">
      <alignment vertical="center" wrapText="1"/>
    </xf>
    <xf numFmtId="167" fontId="11" fillId="6" borderId="34" xfId="33" applyNumberFormat="1" applyFont="1" applyFill="1" applyBorder="1" applyAlignment="1">
      <alignment horizontal="left" vertical="center"/>
    </xf>
    <xf numFmtId="167" fontId="19" fillId="6" borderId="34" xfId="0" applyNumberFormat="1" applyFont="1" applyFill="1" applyBorder="1" applyAlignment="1">
      <alignment vertical="center" wrapText="1"/>
    </xf>
    <xf numFmtId="39" fontId="4" fillId="6" borderId="34" xfId="0" applyNumberFormat="1" applyFont="1" applyFill="1" applyBorder="1" applyAlignment="1">
      <alignment vertical="center" wrapText="1"/>
    </xf>
    <xf numFmtId="167" fontId="11" fillId="6" borderId="34" xfId="0" applyNumberFormat="1" applyFont="1" applyFill="1" applyBorder="1" applyAlignment="1">
      <alignment vertical="center" wrapText="1"/>
    </xf>
    <xf numFmtId="167" fontId="4" fillId="6" borderId="34" xfId="2" applyNumberFormat="1" applyFont="1" applyFill="1" applyBorder="1" applyAlignment="1">
      <alignment horizontal="right" vertical="center"/>
    </xf>
    <xf numFmtId="167" fontId="4" fillId="6" borderId="34" xfId="33" applyNumberFormat="1" applyFont="1" applyFill="1" applyBorder="1" applyAlignment="1">
      <alignment vertical="center"/>
    </xf>
    <xf numFmtId="167" fontId="11" fillId="6" borderId="34" xfId="33" applyNumberFormat="1" applyFont="1" applyFill="1" applyBorder="1" applyAlignment="1">
      <alignment vertical="center"/>
    </xf>
    <xf numFmtId="0" fontId="11" fillId="7" borderId="34" xfId="0" applyFont="1" applyFill="1" applyBorder="1" applyAlignment="1">
      <alignment horizontal="left" vertical="center" wrapText="1"/>
    </xf>
    <xf numFmtId="43" fontId="27" fillId="6" borderId="34" xfId="5" applyNumberFormat="1" applyFont="1" applyFill="1" applyBorder="1" applyAlignment="1">
      <alignment horizontal="right" vertical="center" wrapText="1"/>
    </xf>
    <xf numFmtId="43" fontId="12" fillId="6" borderId="34" xfId="8" applyFont="1" applyFill="1" applyBorder="1" applyAlignment="1">
      <alignment horizontal="right" vertical="center"/>
    </xf>
    <xf numFmtId="167" fontId="26" fillId="6" borderId="34" xfId="8" applyNumberFormat="1" applyFont="1" applyFill="1" applyBorder="1" applyAlignment="1">
      <alignment vertical="center" wrapText="1"/>
    </xf>
    <xf numFmtId="167" fontId="27" fillId="6" borderId="34" xfId="8" applyNumberFormat="1" applyFont="1" applyFill="1" applyBorder="1" applyAlignment="1">
      <alignment vertical="center" wrapText="1"/>
    </xf>
    <xf numFmtId="41" fontId="27" fillId="6" borderId="34" xfId="5" applyFont="1" applyFill="1" applyBorder="1" applyAlignment="1">
      <alignment vertical="center" wrapText="1"/>
    </xf>
    <xf numFmtId="43" fontId="26" fillId="6" borderId="34" xfId="5" applyNumberFormat="1" applyFont="1" applyFill="1" applyBorder="1" applyAlignment="1">
      <alignment horizontal="right" vertical="center" wrapText="1"/>
    </xf>
    <xf numFmtId="41" fontId="26" fillId="6" borderId="34" xfId="5" applyFont="1" applyFill="1" applyBorder="1" applyAlignment="1">
      <alignment vertical="center" wrapText="1"/>
    </xf>
    <xf numFmtId="43" fontId="0" fillId="6" borderId="34" xfId="8" applyFont="1" applyFill="1" applyBorder="1" applyAlignment="1">
      <alignment horizontal="right" vertical="center"/>
    </xf>
    <xf numFmtId="2" fontId="26" fillId="6" borderId="34" xfId="0" applyNumberFormat="1" applyFont="1" applyFill="1" applyBorder="1" applyAlignment="1">
      <alignment horizontal="right" vertical="center"/>
    </xf>
    <xf numFmtId="2" fontId="26" fillId="6" borderId="34" xfId="3" applyNumberFormat="1" applyFont="1" applyFill="1" applyBorder="1" applyAlignment="1">
      <alignment horizontal="right" vertical="center"/>
    </xf>
    <xf numFmtId="167" fontId="27" fillId="6" borderId="34" xfId="2" applyNumberFormat="1" applyFont="1" applyFill="1" applyBorder="1" applyAlignment="1">
      <alignment horizontal="right" vertical="center"/>
    </xf>
    <xf numFmtId="0" fontId="27" fillId="6" borderId="34" xfId="0" applyFont="1" applyFill="1" applyBorder="1" applyAlignment="1">
      <alignment vertical="center" wrapText="1"/>
    </xf>
    <xf numFmtId="0" fontId="26" fillId="6" borderId="34" xfId="0" applyFont="1" applyFill="1" applyBorder="1" applyAlignment="1">
      <alignment vertical="center" wrapText="1"/>
    </xf>
    <xf numFmtId="167" fontId="26" fillId="6" borderId="34" xfId="2" applyNumberFormat="1" applyFont="1" applyFill="1" applyBorder="1" applyAlignment="1">
      <alignment horizontal="right" vertical="center"/>
    </xf>
    <xf numFmtId="0" fontId="26" fillId="6" borderId="34" xfId="0" applyFont="1" applyFill="1" applyBorder="1" applyAlignment="1">
      <alignment horizontal="left" vertical="center" wrapText="1"/>
    </xf>
    <xf numFmtId="0" fontId="4" fillId="6" borderId="34" xfId="0" applyFont="1" applyFill="1" applyBorder="1" applyAlignment="1">
      <alignment horizontal="left" vertical="top" wrapText="1"/>
    </xf>
    <xf numFmtId="174" fontId="0" fillId="6" borderId="34" xfId="0" applyNumberFormat="1" applyFill="1" applyBorder="1" applyAlignment="1">
      <alignment horizontal="right" vertical="center"/>
    </xf>
    <xf numFmtId="167" fontId="0" fillId="6" borderId="34" xfId="0" applyNumberFormat="1" applyFill="1" applyBorder="1" applyAlignment="1">
      <alignment horizontal="right" vertical="center"/>
    </xf>
    <xf numFmtId="0" fontId="0" fillId="6" borderId="34" xfId="0" applyFill="1" applyBorder="1" applyAlignment="1">
      <alignment vertical="top" wrapText="1"/>
    </xf>
    <xf numFmtId="174" fontId="12" fillId="6" borderId="34" xfId="0" applyNumberFormat="1" applyFont="1" applyFill="1" applyBorder="1" applyAlignment="1">
      <alignment horizontal="right" vertical="center"/>
    </xf>
    <xf numFmtId="167" fontId="12" fillId="6" borderId="34" xfId="0" applyNumberFormat="1" applyFont="1" applyFill="1" applyBorder="1" applyAlignment="1">
      <alignment horizontal="right" vertical="center"/>
    </xf>
    <xf numFmtId="0" fontId="12" fillId="6" borderId="34" xfId="0" applyFont="1" applyFill="1" applyBorder="1" applyAlignment="1">
      <alignment vertical="top" wrapText="1"/>
    </xf>
    <xf numFmtId="167" fontId="0" fillId="6" borderId="34" xfId="10" applyNumberFormat="1" applyFont="1" applyFill="1" applyBorder="1" applyAlignment="1" applyProtection="1">
      <alignment vertical="center"/>
    </xf>
    <xf numFmtId="0" fontId="0" fillId="6" borderId="34" xfId="0" quotePrefix="1" applyFill="1" applyBorder="1" applyAlignment="1">
      <alignment horizontal="left" vertical="center" wrapText="1"/>
    </xf>
    <xf numFmtId="0" fontId="12" fillId="6" borderId="34" xfId="0" quotePrefix="1" applyFont="1" applyFill="1" applyBorder="1" applyAlignment="1">
      <alignment horizontal="left" vertical="center" wrapText="1"/>
    </xf>
    <xf numFmtId="2" fontId="10" fillId="6" borderId="34" xfId="3" applyNumberFormat="1" applyFont="1" applyFill="1" applyBorder="1" applyAlignment="1">
      <alignment horizontal="right" vertical="center"/>
    </xf>
    <xf numFmtId="167" fontId="9" fillId="6" borderId="34" xfId="1" applyNumberFormat="1" applyFont="1" applyFill="1" applyBorder="1" applyAlignment="1">
      <alignment horizontal="right" vertical="center"/>
    </xf>
    <xf numFmtId="167" fontId="9" fillId="6" borderId="34" xfId="1" applyNumberFormat="1" applyFont="1" applyFill="1" applyBorder="1" applyAlignment="1">
      <alignment vertical="center"/>
    </xf>
    <xf numFmtId="0" fontId="9" fillId="6" borderId="34" xfId="9" applyFont="1" applyFill="1" applyBorder="1" applyAlignment="1">
      <alignment vertical="center" wrapText="1"/>
    </xf>
    <xf numFmtId="167" fontId="10" fillId="6" borderId="34" xfId="1" applyNumberFormat="1" applyFont="1" applyFill="1" applyBorder="1" applyAlignment="1">
      <alignment horizontal="right" vertical="center"/>
    </xf>
    <xf numFmtId="167" fontId="10" fillId="6" borderId="34" xfId="1" applyNumberFormat="1" applyFont="1" applyFill="1" applyBorder="1" applyAlignment="1">
      <alignment vertical="center"/>
    </xf>
    <xf numFmtId="0" fontId="10" fillId="6" borderId="34" xfId="9" applyFont="1" applyFill="1" applyBorder="1" applyAlignment="1">
      <alignment horizontal="left" vertical="center" wrapText="1"/>
    </xf>
    <xf numFmtId="167" fontId="10" fillId="6" borderId="34" xfId="9" applyNumberFormat="1" applyFont="1" applyFill="1" applyBorder="1" applyAlignment="1">
      <alignment vertical="center"/>
    </xf>
    <xf numFmtId="167" fontId="0" fillId="6" borderId="34" xfId="5" applyNumberFormat="1" applyFont="1" applyFill="1" applyBorder="1" applyAlignment="1" applyProtection="1">
      <alignment horizontal="right" vertical="center"/>
      <protection locked="0"/>
    </xf>
    <xf numFmtId="167" fontId="0" fillId="6" borderId="34" xfId="0" applyNumberFormat="1" applyFill="1" applyBorder="1" applyAlignment="1" applyProtection="1">
      <alignment horizontal="right" vertical="center"/>
      <protection locked="0"/>
    </xf>
    <xf numFmtId="0" fontId="0" fillId="6" borderId="34" xfId="0" applyFill="1" applyBorder="1" applyAlignment="1" applyProtection="1">
      <alignment horizontal="left" vertical="center" wrapText="1"/>
      <protection locked="0"/>
    </xf>
    <xf numFmtId="167" fontId="12" fillId="6" borderId="34" xfId="5" applyNumberFormat="1" applyFont="1" applyFill="1" applyBorder="1" applyAlignment="1" applyProtection="1">
      <alignment horizontal="right" vertical="center"/>
      <protection locked="0"/>
    </xf>
    <xf numFmtId="167" fontId="12" fillId="6" borderId="34" xfId="0" applyNumberFormat="1" applyFont="1" applyFill="1" applyBorder="1" applyAlignment="1" applyProtection="1">
      <alignment horizontal="right" vertical="center"/>
      <protection locked="0"/>
    </xf>
    <xf numFmtId="0" fontId="12" fillId="6" borderId="34" xfId="0" applyFont="1" applyFill="1" applyBorder="1" applyAlignment="1" applyProtection="1">
      <alignment horizontal="left" vertical="center" wrapText="1"/>
      <protection locked="0"/>
    </xf>
    <xf numFmtId="167" fontId="27" fillId="6" borderId="34" xfId="125" applyNumberFormat="1" applyFont="1" applyFill="1" applyBorder="1" applyAlignment="1" applyProtection="1">
      <alignment vertical="center"/>
    </xf>
    <xf numFmtId="167" fontId="26" fillId="6" borderId="34" xfId="125" applyNumberFormat="1" applyFont="1" applyFill="1" applyBorder="1" applyAlignment="1" applyProtection="1">
      <alignment vertical="center"/>
    </xf>
    <xf numFmtId="9" fontId="0" fillId="6" borderId="34" xfId="3" applyFont="1" applyFill="1" applyBorder="1" applyAlignment="1">
      <alignment horizontal="right" vertical="center"/>
    </xf>
    <xf numFmtId="167" fontId="9" fillId="6" borderId="34" xfId="0" applyNumberFormat="1" applyFont="1" applyFill="1" applyBorder="1" applyAlignment="1">
      <alignment vertical="center"/>
    </xf>
    <xf numFmtId="167" fontId="10" fillId="6" borderId="34" xfId="0" applyNumberFormat="1" applyFont="1" applyFill="1" applyBorder="1" applyAlignment="1">
      <alignment vertical="center"/>
    </xf>
    <xf numFmtId="49" fontId="0" fillId="6" borderId="34" xfId="0" applyNumberFormat="1" applyFill="1" applyBorder="1" applyAlignment="1">
      <alignment horizontal="left" vertical="center" wrapText="1"/>
    </xf>
    <xf numFmtId="49" fontId="12" fillId="6" borderId="34" xfId="0" applyNumberFormat="1" applyFont="1" applyFill="1" applyBorder="1" applyAlignment="1">
      <alignment horizontal="left" vertical="center" wrapText="1"/>
    </xf>
    <xf numFmtId="49" fontId="12" fillId="6" borderId="34" xfId="0" applyNumberFormat="1" applyFont="1" applyFill="1" applyBorder="1" applyAlignment="1">
      <alignment vertical="center" wrapText="1"/>
    </xf>
    <xf numFmtId="43" fontId="0" fillId="6" borderId="34" xfId="1" applyFont="1" applyFill="1" applyBorder="1" applyAlignment="1">
      <alignment horizontal="right" vertical="center" wrapText="1"/>
    </xf>
    <xf numFmtId="167" fontId="0" fillId="6" borderId="34" xfId="5" applyNumberFormat="1" applyFont="1" applyFill="1" applyBorder="1" applyAlignment="1">
      <alignment vertical="center" wrapText="1"/>
    </xf>
    <xf numFmtId="43" fontId="12" fillId="6" borderId="34" xfId="1" applyFont="1" applyFill="1" applyBorder="1" applyAlignment="1">
      <alignment horizontal="right" vertical="center" wrapText="1"/>
    </xf>
    <xf numFmtId="167" fontId="12" fillId="6" borderId="34" xfId="5" applyNumberFormat="1" applyFont="1" applyFill="1" applyBorder="1" applyAlignment="1">
      <alignment vertical="center" wrapText="1"/>
    </xf>
    <xf numFmtId="0" fontId="12" fillId="6" borderId="34" xfId="0" quotePrefix="1" applyFont="1" applyFill="1" applyBorder="1" applyAlignment="1">
      <alignment vertical="center" wrapText="1"/>
    </xf>
    <xf numFmtId="167" fontId="0" fillId="6" borderId="34" xfId="8" applyNumberFormat="1" applyFont="1" applyFill="1" applyBorder="1" applyAlignment="1">
      <alignment horizontal="right" vertical="center"/>
    </xf>
    <xf numFmtId="170" fontId="0" fillId="6" borderId="34" xfId="6" applyNumberFormat="1" applyFont="1" applyFill="1" applyBorder="1" applyAlignment="1">
      <alignment horizontal="right" vertical="center"/>
    </xf>
    <xf numFmtId="43" fontId="4" fillId="6" borderId="34" xfId="8" applyFont="1" applyFill="1" applyBorder="1" applyAlignment="1">
      <alignment horizontal="right" vertical="center"/>
    </xf>
    <xf numFmtId="43" fontId="9" fillId="6" borderId="34" xfId="8" applyFont="1" applyFill="1" applyBorder="1" applyAlignment="1">
      <alignment horizontal="right" vertical="center"/>
    </xf>
    <xf numFmtId="0" fontId="0" fillId="6" borderId="34" xfId="7" applyFont="1" applyFill="1" applyBorder="1" applyAlignment="1">
      <alignment vertical="center" wrapText="1"/>
    </xf>
    <xf numFmtId="167" fontId="12" fillId="6" borderId="34" xfId="8" applyNumberFormat="1" applyFont="1" applyFill="1" applyBorder="1" applyAlignment="1">
      <alignment horizontal="right" vertical="center"/>
    </xf>
    <xf numFmtId="170" fontId="12" fillId="6" borderId="34" xfId="6" applyNumberFormat="1" applyFont="1" applyFill="1" applyBorder="1" applyAlignment="1">
      <alignment horizontal="right" vertical="center"/>
    </xf>
    <xf numFmtId="43" fontId="11" fillId="6" borderId="34" xfId="8" applyFont="1" applyFill="1" applyBorder="1" applyAlignment="1">
      <alignment horizontal="right" vertical="center"/>
    </xf>
    <xf numFmtId="43" fontId="10" fillId="6" borderId="34" xfId="8" applyFont="1" applyFill="1" applyBorder="1" applyAlignment="1">
      <alignment horizontal="right" vertical="center"/>
    </xf>
    <xf numFmtId="0" fontId="12" fillId="6" borderId="34" xfId="7" applyFont="1" applyFill="1" applyBorder="1" applyAlignment="1">
      <alignment vertical="center" wrapText="1"/>
    </xf>
    <xf numFmtId="2" fontId="0" fillId="6" borderId="34" xfId="8" applyNumberFormat="1" applyFont="1" applyFill="1" applyBorder="1" applyAlignment="1">
      <alignment horizontal="right" vertical="center"/>
    </xf>
    <xf numFmtId="170" fontId="4" fillId="6" borderId="34" xfId="6" applyNumberFormat="1" applyFont="1" applyFill="1" applyBorder="1" applyAlignment="1">
      <alignment horizontal="right" vertical="center"/>
    </xf>
    <xf numFmtId="170" fontId="9" fillId="6" borderId="34" xfId="6" applyNumberFormat="1" applyFont="1" applyFill="1" applyBorder="1" applyAlignment="1">
      <alignment horizontal="right" vertical="center"/>
    </xf>
    <xf numFmtId="2" fontId="12" fillId="6" borderId="34" xfId="8" applyNumberFormat="1" applyFont="1" applyFill="1" applyBorder="1" applyAlignment="1">
      <alignment horizontal="right" vertical="center"/>
    </xf>
    <xf numFmtId="170" fontId="11" fillId="6" borderId="34" xfId="6" applyNumberFormat="1" applyFont="1" applyFill="1" applyBorder="1" applyAlignment="1">
      <alignment horizontal="right" vertical="center"/>
    </xf>
    <xf numFmtId="170" fontId="10" fillId="6" borderId="34" xfId="6" applyNumberFormat="1" applyFont="1" applyFill="1" applyBorder="1" applyAlignment="1">
      <alignment horizontal="right" vertical="center"/>
    </xf>
    <xf numFmtId="41" fontId="12" fillId="6" borderId="34" xfId="2" applyFont="1" applyFill="1" applyBorder="1" applyAlignment="1">
      <alignment vertical="center"/>
    </xf>
    <xf numFmtId="167" fontId="12" fillId="6" borderId="34" xfId="0" applyNumberFormat="1" applyFont="1" applyFill="1" applyBorder="1" applyAlignment="1">
      <alignment horizontal="right" vertical="center" wrapText="1"/>
    </xf>
    <xf numFmtId="2" fontId="10" fillId="6" borderId="34" xfId="36" applyNumberFormat="1" applyFont="1" applyFill="1" applyBorder="1" applyAlignment="1">
      <alignment horizontal="right" vertical="center"/>
    </xf>
    <xf numFmtId="39" fontId="10" fillId="6" borderId="34" xfId="36" applyNumberFormat="1" applyFont="1" applyFill="1" applyBorder="1" applyAlignment="1">
      <alignment horizontal="right" vertical="center"/>
    </xf>
    <xf numFmtId="4" fontId="9" fillId="6" borderId="34" xfId="36" applyNumberFormat="1" applyFont="1" applyFill="1" applyBorder="1" applyAlignment="1">
      <alignment vertical="center"/>
    </xf>
    <xf numFmtId="39" fontId="9" fillId="6" borderId="34" xfId="0" applyNumberFormat="1" applyFont="1" applyFill="1" applyBorder="1" applyAlignment="1">
      <alignment vertical="center"/>
    </xf>
    <xf numFmtId="4" fontId="10" fillId="6" borderId="34" xfId="36" applyNumberFormat="1" applyFont="1" applyFill="1" applyBorder="1" applyAlignment="1">
      <alignment vertical="center"/>
    </xf>
    <xf numFmtId="39" fontId="10" fillId="6" borderId="34" xfId="0" applyNumberFormat="1" applyFont="1" applyFill="1" applyBorder="1" applyAlignment="1">
      <alignment vertical="center"/>
    </xf>
    <xf numFmtId="167" fontId="12" fillId="6" borderId="34" xfId="0" applyNumberFormat="1" applyFont="1" applyFill="1" applyBorder="1" applyAlignment="1">
      <alignment horizontal="left" vertical="center"/>
    </xf>
    <xf numFmtId="167" fontId="0" fillId="6" borderId="34" xfId="5" applyNumberFormat="1" applyFont="1" applyFill="1" applyBorder="1" applyAlignment="1">
      <alignment horizontal="center" vertical="center"/>
    </xf>
    <xf numFmtId="0" fontId="0" fillId="6" borderId="34" xfId="0" applyFill="1" applyBorder="1" applyAlignment="1">
      <alignment wrapText="1"/>
    </xf>
    <xf numFmtId="0" fontId="12" fillId="6" borderId="34" xfId="0" applyFont="1" applyFill="1" applyBorder="1" applyAlignment="1">
      <alignment wrapText="1"/>
    </xf>
    <xf numFmtId="167" fontId="12" fillId="6" borderId="34" xfId="4" applyNumberFormat="1" applyFont="1" applyFill="1" applyBorder="1" applyAlignment="1">
      <alignment horizontal="left" vertical="center"/>
    </xf>
    <xf numFmtId="2" fontId="9" fillId="6" borderId="34" xfId="0" applyNumberFormat="1" applyFont="1" applyFill="1" applyBorder="1" applyAlignment="1">
      <alignment horizontal="right" vertical="center"/>
    </xf>
    <xf numFmtId="39" fontId="9" fillId="6" borderId="34" xfId="0" applyNumberFormat="1" applyFont="1" applyFill="1" applyBorder="1" applyAlignment="1">
      <alignment horizontal="right" vertical="center"/>
    </xf>
    <xf numFmtId="2" fontId="10" fillId="6" borderId="34" xfId="0" applyNumberFormat="1" applyFont="1" applyFill="1" applyBorder="1" applyAlignment="1">
      <alignment horizontal="right" vertical="center"/>
    </xf>
    <xf numFmtId="39" fontId="10" fillId="6" borderId="34" xfId="0" applyNumberFormat="1" applyFont="1" applyFill="1" applyBorder="1" applyAlignment="1">
      <alignment horizontal="right" vertical="center"/>
    </xf>
    <xf numFmtId="0" fontId="10" fillId="6" borderId="34" xfId="0" applyFont="1" applyFill="1" applyBorder="1" applyAlignment="1">
      <alignment horizontal="left" vertical="center" wrapText="1"/>
    </xf>
    <xf numFmtId="170" fontId="9" fillId="6" borderId="34" xfId="2" applyNumberFormat="1" applyFont="1" applyFill="1" applyBorder="1" applyAlignment="1">
      <alignment vertical="center"/>
    </xf>
    <xf numFmtId="41" fontId="12" fillId="6" borderId="0" xfId="0" applyNumberFormat="1" applyFont="1" applyFill="1" applyAlignment="1">
      <alignment vertical="center"/>
    </xf>
    <xf numFmtId="0" fontId="0" fillId="6" borderId="34" xfId="0" applyFill="1" applyBorder="1" applyAlignment="1">
      <alignment horizontal="right" vertical="center"/>
    </xf>
    <xf numFmtId="41" fontId="0" fillId="6" borderId="34" xfId="0" applyNumberFormat="1" applyFill="1" applyBorder="1" applyAlignment="1">
      <alignment vertical="center"/>
    </xf>
    <xf numFmtId="41" fontId="0" fillId="0" borderId="0" xfId="0" applyNumberFormat="1" applyAlignment="1">
      <alignment vertical="center"/>
    </xf>
    <xf numFmtId="0" fontId="0" fillId="0" borderId="43" xfId="0" applyBorder="1" applyAlignment="1">
      <alignment vertical="center"/>
    </xf>
    <xf numFmtId="167" fontId="12" fillId="0" borderId="43" xfId="0" applyNumberFormat="1" applyFont="1" applyBorder="1" applyAlignment="1">
      <alignment horizontal="right" vertical="center"/>
    </xf>
    <xf numFmtId="167" fontId="12" fillId="0" borderId="43" xfId="0" applyNumberFormat="1" applyFont="1" applyBorder="1" applyAlignment="1">
      <alignment vertical="center"/>
    </xf>
    <xf numFmtId="167" fontId="12" fillId="0" borderId="43" xfId="0" applyNumberFormat="1" applyFont="1" applyBorder="1" applyAlignment="1">
      <alignment horizontal="center" vertical="center" wrapText="1"/>
    </xf>
    <xf numFmtId="2" fontId="10" fillId="0" borderId="19" xfId="0" quotePrefix="1" applyNumberFormat="1" applyFont="1" applyBorder="1" applyAlignment="1">
      <alignment horizontal="center" vertical="center"/>
    </xf>
    <xf numFmtId="167" fontId="12" fillId="0" borderId="26" xfId="2" applyNumberFormat="1" applyFont="1" applyFill="1" applyBorder="1" applyAlignment="1">
      <alignment horizontal="center" vertical="center" wrapText="1"/>
    </xf>
    <xf numFmtId="41" fontId="12" fillId="0" borderId="26" xfId="2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1" fontId="0" fillId="0" borderId="0" xfId="0" applyNumberFormat="1" applyAlignment="1">
      <alignment horizontal="left" vertical="center"/>
    </xf>
    <xf numFmtId="0" fontId="60" fillId="0" borderId="0" xfId="0" applyFont="1" applyAlignment="1">
      <alignment vertical="center"/>
    </xf>
    <xf numFmtId="41" fontId="0" fillId="0" borderId="0" xfId="0" applyNumberFormat="1" applyAlignment="1">
      <alignment horizontal="center" vertical="center"/>
    </xf>
    <xf numFmtId="0" fontId="12" fillId="0" borderId="0" xfId="0" applyFont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37" fontId="9" fillId="0" borderId="0" xfId="0" applyNumberFormat="1" applyFont="1" applyAlignment="1">
      <alignment vertical="center"/>
    </xf>
    <xf numFmtId="37" fontId="9" fillId="0" borderId="0" xfId="0" applyNumberFormat="1" applyFont="1" applyAlignment="1">
      <alignment horizontal="right" vertical="center"/>
    </xf>
    <xf numFmtId="166" fontId="34" fillId="0" borderId="0" xfId="0" applyNumberFormat="1" applyFont="1" applyAlignment="1">
      <alignment vertical="center" wrapText="1"/>
    </xf>
    <xf numFmtId="37" fontId="4" fillId="0" borderId="0" xfId="35" applyNumberFormat="1" applyFont="1" applyAlignment="1">
      <alignment vertical="center"/>
    </xf>
    <xf numFmtId="3" fontId="34" fillId="0" borderId="0" xfId="0" applyNumberFormat="1" applyFont="1" applyAlignment="1">
      <alignment vertical="center" wrapText="1"/>
    </xf>
    <xf numFmtId="3" fontId="34" fillId="0" borderId="0" xfId="0" applyNumberFormat="1" applyFont="1" applyAlignment="1">
      <alignment horizontal="center" vertical="center"/>
    </xf>
    <xf numFmtId="41" fontId="34" fillId="0" borderId="0" xfId="2" applyFont="1" applyFill="1" applyAlignment="1">
      <alignment vertical="center" wrapText="1"/>
    </xf>
    <xf numFmtId="37" fontId="34" fillId="0" borderId="0" xfId="0" applyNumberFormat="1" applyFont="1" applyAlignment="1">
      <alignment horizontal="left" vertical="center"/>
    </xf>
    <xf numFmtId="3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0" fontId="10" fillId="0" borderId="26" xfId="0" applyFont="1" applyBorder="1" applyAlignment="1">
      <alignment vertical="center"/>
    </xf>
    <xf numFmtId="2" fontId="10" fillId="0" borderId="26" xfId="0" applyNumberFormat="1" applyFont="1" applyBorder="1" applyAlignment="1">
      <alignment vertical="center"/>
    </xf>
    <xf numFmtId="37" fontId="10" fillId="0" borderId="26" xfId="0" applyNumberFormat="1" applyFont="1" applyBorder="1" applyAlignment="1">
      <alignment horizontal="right" vertical="center" wrapText="1"/>
    </xf>
    <xf numFmtId="0" fontId="10" fillId="0" borderId="26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1" fillId="0" borderId="39" xfId="0" applyFont="1" applyBorder="1" applyAlignment="1">
      <alignment vertical="center"/>
    </xf>
    <xf numFmtId="2" fontId="61" fillId="0" borderId="34" xfId="0" applyNumberFormat="1" applyFont="1" applyBorder="1" applyAlignment="1">
      <alignment vertical="center"/>
    </xf>
    <xf numFmtId="37" fontId="9" fillId="0" borderId="39" xfId="0" applyNumberFormat="1" applyFont="1" applyBorder="1" applyAlignment="1">
      <alignment vertical="center"/>
    </xf>
    <xf numFmtId="37" fontId="9" fillId="0" borderId="39" xfId="0" applyNumberFormat="1" applyFont="1" applyBorder="1" applyAlignment="1">
      <alignment horizontal="right" vertical="center" wrapText="1"/>
    </xf>
    <xf numFmtId="0" fontId="61" fillId="0" borderId="39" xfId="0" applyFont="1" applyBorder="1" applyAlignment="1">
      <alignment vertical="center" wrapText="1"/>
    </xf>
    <xf numFmtId="0" fontId="61" fillId="0" borderId="39" xfId="0" applyFont="1" applyBorder="1" applyAlignment="1">
      <alignment horizontal="center" vertical="center"/>
    </xf>
    <xf numFmtId="0" fontId="62" fillId="0" borderId="0" xfId="0" applyFont="1" applyAlignment="1">
      <alignment vertical="center"/>
    </xf>
    <xf numFmtId="0" fontId="62" fillId="0" borderId="34" xfId="0" applyFont="1" applyBorder="1" applyAlignment="1">
      <alignment vertical="center"/>
    </xf>
    <xf numFmtId="2" fontId="62" fillId="0" borderId="34" xfId="0" applyNumberFormat="1" applyFont="1" applyBorder="1" applyAlignment="1">
      <alignment vertical="center"/>
    </xf>
    <xf numFmtId="37" fontId="10" fillId="0" borderId="34" xfId="0" applyNumberFormat="1" applyFont="1" applyBorder="1" applyAlignment="1">
      <alignment vertical="center"/>
    </xf>
    <xf numFmtId="37" fontId="10" fillId="0" borderId="34" xfId="0" applyNumberFormat="1" applyFont="1" applyBorder="1" applyAlignment="1">
      <alignment horizontal="right" vertical="center" wrapText="1"/>
    </xf>
    <xf numFmtId="0" fontId="62" fillId="0" borderId="34" xfId="0" applyFont="1" applyBorder="1" applyAlignment="1">
      <alignment vertical="center" wrapText="1"/>
    </xf>
    <xf numFmtId="0" fontId="62" fillId="0" borderId="34" xfId="0" applyFont="1" applyBorder="1" applyAlignment="1">
      <alignment horizontal="center" vertical="center"/>
    </xf>
    <xf numFmtId="37" fontId="10" fillId="0" borderId="34" xfId="1" applyNumberFormat="1" applyFont="1" applyFill="1" applyBorder="1" applyAlignment="1">
      <alignment vertical="center"/>
    </xf>
    <xf numFmtId="37" fontId="10" fillId="0" borderId="34" xfId="1" applyNumberFormat="1" applyFont="1" applyFill="1" applyBorder="1" applyAlignment="1">
      <alignment horizontal="right" vertical="center" wrapText="1"/>
    </xf>
    <xf numFmtId="0" fontId="61" fillId="0" borderId="34" xfId="0" applyFont="1" applyBorder="1" applyAlignment="1">
      <alignment vertical="center"/>
    </xf>
    <xf numFmtId="37" fontId="9" fillId="0" borderId="34" xfId="0" applyNumberFormat="1" applyFont="1" applyBorder="1" applyAlignment="1">
      <alignment vertical="center"/>
    </xf>
    <xf numFmtId="0" fontId="61" fillId="0" borderId="34" xfId="0" applyFont="1" applyBorder="1" applyAlignment="1">
      <alignment vertical="center" wrapText="1"/>
    </xf>
    <xf numFmtId="37" fontId="9" fillId="0" borderId="34" xfId="9" applyNumberFormat="1" applyFont="1" applyBorder="1" applyAlignment="1">
      <alignment horizontal="right" vertical="center"/>
    </xf>
    <xf numFmtId="0" fontId="49" fillId="0" borderId="34" xfId="9" applyFont="1" applyBorder="1" applyAlignment="1">
      <alignment horizontal="left" vertical="center"/>
    </xf>
    <xf numFmtId="37" fontId="10" fillId="0" borderId="34" xfId="9" applyNumberFormat="1" applyFont="1" applyBorder="1" applyAlignment="1">
      <alignment horizontal="right" vertical="center"/>
    </xf>
    <xf numFmtId="0" fontId="50" fillId="0" borderId="34" xfId="9" applyFont="1" applyBorder="1" applyAlignment="1">
      <alignment vertical="center"/>
    </xf>
    <xf numFmtId="37" fontId="9" fillId="0" borderId="34" xfId="9" applyNumberFormat="1" applyFont="1" applyBorder="1" applyAlignment="1">
      <alignment vertical="center"/>
    </xf>
    <xf numFmtId="0" fontId="61" fillId="0" borderId="34" xfId="0" applyFont="1" applyBorder="1" applyAlignment="1">
      <alignment horizontal="center" vertical="center"/>
    </xf>
    <xf numFmtId="0" fontId="49" fillId="0" borderId="34" xfId="9" applyFont="1" applyBorder="1" applyAlignment="1">
      <alignment vertical="center"/>
    </xf>
    <xf numFmtId="37" fontId="61" fillId="0" borderId="0" xfId="0" applyNumberFormat="1" applyFont="1" applyAlignment="1">
      <alignment vertical="center"/>
    </xf>
    <xf numFmtId="167" fontId="62" fillId="0" borderId="0" xfId="0" applyNumberFormat="1" applyFont="1" applyAlignment="1">
      <alignment vertical="center"/>
    </xf>
    <xf numFmtId="41" fontId="62" fillId="0" borderId="0" xfId="2" applyFont="1" applyFill="1" applyAlignment="1">
      <alignment vertical="center"/>
    </xf>
    <xf numFmtId="0" fontId="62" fillId="0" borderId="34" xfId="0" applyFont="1" applyBorder="1" applyAlignment="1">
      <alignment horizontal="left" vertical="center" wrapText="1"/>
    </xf>
    <xf numFmtId="0" fontId="34" fillId="0" borderId="19" xfId="0" applyFont="1" applyBorder="1" applyAlignment="1">
      <alignment vertical="center"/>
    </xf>
    <xf numFmtId="37" fontId="9" fillId="0" borderId="19" xfId="0" applyNumberFormat="1" applyFont="1" applyBorder="1" applyAlignment="1">
      <alignment vertical="center"/>
    </xf>
    <xf numFmtId="37" fontId="9" fillId="0" borderId="19" xfId="0" applyNumberFormat="1" applyFont="1" applyBorder="1" applyAlignment="1">
      <alignment horizontal="right" vertical="center"/>
    </xf>
    <xf numFmtId="0" fontId="35" fillId="0" borderId="19" xfId="0" quotePrefix="1" applyFont="1" applyBorder="1" applyAlignment="1">
      <alignment horizontal="center" vertical="center" wrapText="1"/>
    </xf>
    <xf numFmtId="0" fontId="34" fillId="0" borderId="19" xfId="0" quotePrefix="1" applyFont="1" applyBorder="1" applyAlignment="1">
      <alignment horizontal="center" vertical="center"/>
    </xf>
    <xf numFmtId="0" fontId="62" fillId="6" borderId="26" xfId="0" quotePrefix="1" applyFont="1" applyFill="1" applyBorder="1" applyAlignment="1">
      <alignment horizontal="center" vertical="center"/>
    </xf>
    <xf numFmtId="2" fontId="62" fillId="0" borderId="26" xfId="0" quotePrefix="1" applyNumberFormat="1" applyFont="1" applyBorder="1" applyAlignment="1">
      <alignment horizontal="center" vertical="center"/>
    </xf>
    <xf numFmtId="49" fontId="63" fillId="0" borderId="26" xfId="2" quotePrefix="1" applyNumberFormat="1" applyFont="1" applyFill="1" applyBorder="1" applyAlignment="1">
      <alignment horizontal="center" vertical="center"/>
    </xf>
    <xf numFmtId="37" fontId="10" fillId="0" borderId="26" xfId="0" quotePrefix="1" applyNumberFormat="1" applyFont="1" applyBorder="1" applyAlignment="1">
      <alignment horizontal="center" vertical="center"/>
    </xf>
    <xf numFmtId="37" fontId="11" fillId="6" borderId="26" xfId="2" quotePrefix="1" applyNumberFormat="1" applyFont="1" applyFill="1" applyBorder="1" applyAlignment="1">
      <alignment horizontal="center" vertical="center"/>
    </xf>
    <xf numFmtId="167" fontId="35" fillId="0" borderId="26" xfId="2" applyNumberFormat="1" applyFont="1" applyFill="1" applyBorder="1" applyAlignment="1">
      <alignment horizontal="center" vertical="center" wrapText="1"/>
    </xf>
    <xf numFmtId="37" fontId="35" fillId="0" borderId="26" xfId="2" applyNumberFormat="1" applyFont="1" applyFill="1" applyBorder="1" applyAlignment="1">
      <alignment horizontal="center" vertical="center" wrapText="1"/>
    </xf>
    <xf numFmtId="37" fontId="9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37" fontId="10" fillId="0" borderId="0" xfId="0" applyNumberFormat="1" applyFont="1" applyAlignment="1">
      <alignment horizontal="center" vertical="center"/>
    </xf>
    <xf numFmtId="37" fontId="10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vertical="center"/>
    </xf>
    <xf numFmtId="167" fontId="4" fillId="0" borderId="0" xfId="2" applyNumberFormat="1" applyFont="1" applyFill="1" applyBorder="1" applyAlignment="1">
      <alignment horizontal="center" vertical="center"/>
    </xf>
    <xf numFmtId="167" fontId="4" fillId="0" borderId="0" xfId="2" applyNumberFormat="1" applyFont="1" applyFill="1" applyBorder="1" applyAlignment="1" applyProtection="1">
      <alignment horizontal="center" vertical="center" wrapText="1"/>
    </xf>
    <xf numFmtId="167" fontId="11" fillId="0" borderId="26" xfId="2" applyNumberFormat="1" applyFont="1" applyFill="1" applyBorder="1" applyAlignment="1">
      <alignment horizontal="center" vertical="center" wrapText="1"/>
    </xf>
    <xf numFmtId="167" fontId="4" fillId="0" borderId="24" xfId="2" quotePrefix="1" applyNumberFormat="1" applyFont="1" applyFill="1" applyBorder="1" applyAlignment="1">
      <alignment horizontal="center" vertical="center"/>
    </xf>
    <xf numFmtId="167" fontId="12" fillId="0" borderId="26" xfId="1" applyNumberFormat="1" applyFont="1" applyFill="1" applyBorder="1" applyAlignment="1">
      <alignment vertical="center"/>
    </xf>
    <xf numFmtId="167" fontId="0" fillId="0" borderId="19" xfId="1" applyNumberFormat="1" applyFont="1" applyFill="1" applyBorder="1" applyAlignment="1">
      <alignment vertical="center"/>
    </xf>
    <xf numFmtId="167" fontId="0" fillId="0" borderId="26" xfId="1" applyNumberFormat="1" applyFont="1" applyFill="1" applyBorder="1" applyAlignment="1">
      <alignment vertical="center"/>
    </xf>
    <xf numFmtId="167" fontId="0" fillId="0" borderId="10" xfId="1" applyNumberFormat="1" applyFont="1" applyFill="1" applyBorder="1" applyAlignment="1">
      <alignment vertical="center"/>
    </xf>
    <xf numFmtId="167" fontId="44" fillId="0" borderId="20" xfId="1" applyNumberFormat="1" applyFont="1" applyFill="1" applyBorder="1" applyAlignment="1">
      <alignment vertical="center"/>
    </xf>
    <xf numFmtId="167" fontId="45" fillId="0" borderId="26" xfId="1" applyNumberFormat="1" applyFont="1" applyFill="1" applyBorder="1" applyAlignment="1">
      <alignment vertical="center"/>
    </xf>
    <xf numFmtId="167" fontId="45" fillId="0" borderId="10" xfId="1" applyNumberFormat="1" applyFont="1" applyFill="1" applyBorder="1" applyAlignment="1">
      <alignment vertical="center"/>
    </xf>
    <xf numFmtId="167" fontId="4" fillId="0" borderId="0" xfId="2" applyNumberFormat="1" applyFont="1" applyFill="1" applyAlignment="1">
      <alignment horizontal="center" vertical="center"/>
    </xf>
    <xf numFmtId="167" fontId="4" fillId="0" borderId="0" xfId="2" applyNumberFormat="1" applyFont="1" applyFill="1" applyBorder="1" applyAlignment="1" applyProtection="1">
      <alignment horizontal="center" vertical="center"/>
    </xf>
    <xf numFmtId="167" fontId="11" fillId="0" borderId="0" xfId="2" quotePrefix="1" applyNumberFormat="1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 applyProtection="1">
      <alignment vertical="center"/>
    </xf>
    <xf numFmtId="0" fontId="0" fillId="0" borderId="26" xfId="0" applyBorder="1"/>
    <xf numFmtId="0" fontId="0" fillId="0" borderId="20" xfId="0" applyBorder="1"/>
    <xf numFmtId="0" fontId="7" fillId="3" borderId="26" xfId="0" applyFont="1" applyFill="1" applyBorder="1" applyAlignment="1">
      <alignment horizontal="left" vertical="center"/>
    </xf>
    <xf numFmtId="0" fontId="5" fillId="3" borderId="26" xfId="0" applyFont="1" applyFill="1" applyBorder="1" applyAlignment="1">
      <alignment horizontal="left" vertical="center"/>
    </xf>
    <xf numFmtId="0" fontId="5" fillId="3" borderId="24" xfId="0" applyFont="1" applyFill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64" fillId="0" borderId="19" xfId="0" applyFont="1" applyBorder="1" applyAlignment="1">
      <alignment horizontal="center"/>
    </xf>
    <xf numFmtId="0" fontId="64" fillId="0" borderId="20" xfId="0" applyFont="1" applyBorder="1" applyAlignment="1">
      <alignment horizontal="center"/>
    </xf>
    <xf numFmtId="43" fontId="11" fillId="0" borderId="34" xfId="1" quotePrefix="1" applyNumberFormat="1" applyFont="1" applyFill="1" applyBorder="1" applyAlignment="1">
      <alignment horizontal="right" vertical="center" wrapText="1"/>
    </xf>
    <xf numFmtId="49" fontId="12" fillId="5" borderId="34" xfId="0" applyNumberFormat="1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vertical="center" wrapText="1"/>
    </xf>
    <xf numFmtId="167" fontId="12" fillId="5" borderId="34" xfId="4" applyNumberFormat="1" applyFont="1" applyFill="1" applyBorder="1" applyAlignment="1">
      <alignment horizontal="left" vertical="center"/>
    </xf>
    <xf numFmtId="167" fontId="12" fillId="5" borderId="34" xfId="0" applyNumberFormat="1" applyFont="1" applyFill="1" applyBorder="1" applyAlignment="1">
      <alignment horizontal="left" vertical="center"/>
    </xf>
    <xf numFmtId="167" fontId="12" fillId="5" borderId="34" xfId="2" applyNumberFormat="1" applyFont="1" applyFill="1" applyBorder="1" applyAlignment="1">
      <alignment vertical="center"/>
    </xf>
    <xf numFmtId="2" fontId="12" fillId="5" borderId="34" xfId="2" applyNumberFormat="1" applyFont="1" applyFill="1" applyBorder="1" applyAlignment="1">
      <alignment vertical="center"/>
    </xf>
    <xf numFmtId="0" fontId="12" fillId="5" borderId="34" xfId="0" applyFont="1" applyFill="1" applyBorder="1" applyAlignment="1">
      <alignment vertical="center"/>
    </xf>
    <xf numFmtId="0" fontId="12" fillId="5" borderId="34" xfId="0" applyFont="1" applyFill="1" applyBorder="1" applyAlignment="1">
      <alignment horizontal="left" vertical="center" wrapText="1"/>
    </xf>
    <xf numFmtId="2" fontId="26" fillId="5" borderId="34" xfId="3" applyNumberFormat="1" applyFont="1" applyFill="1" applyBorder="1" applyAlignment="1">
      <alignment horizontal="center" vertical="center"/>
    </xf>
    <xf numFmtId="2" fontId="26" fillId="5" borderId="34" xfId="0" applyNumberFormat="1" applyFont="1" applyFill="1" applyBorder="1" applyAlignment="1">
      <alignment vertical="center"/>
    </xf>
    <xf numFmtId="49" fontId="11" fillId="5" borderId="34" xfId="0" applyNumberFormat="1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left" vertical="center" wrapText="1"/>
    </xf>
    <xf numFmtId="167" fontId="11" fillId="5" borderId="34" xfId="4" applyNumberFormat="1" applyFont="1" applyFill="1" applyBorder="1" applyAlignment="1">
      <alignment horizontal="left" vertical="center"/>
    </xf>
    <xf numFmtId="167" fontId="11" fillId="5" borderId="34" xfId="2" applyNumberFormat="1" applyFont="1" applyFill="1" applyBorder="1" applyAlignment="1">
      <alignment vertical="center"/>
    </xf>
    <xf numFmtId="2" fontId="11" fillId="5" borderId="34" xfId="2" applyNumberFormat="1" applyFont="1" applyFill="1" applyBorder="1" applyAlignment="1">
      <alignment vertical="center"/>
    </xf>
    <xf numFmtId="0" fontId="11" fillId="5" borderId="34" xfId="0" applyFont="1" applyFill="1" applyBorder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167" fontId="10" fillId="0" borderId="11" xfId="2" applyNumberFormat="1" applyFont="1" applyBorder="1" applyAlignment="1">
      <alignment horizontal="center" vertical="center" wrapText="1"/>
    </xf>
    <xf numFmtId="167" fontId="10" fillId="0" borderId="12" xfId="2" applyNumberFormat="1" applyFont="1" applyBorder="1" applyAlignment="1">
      <alignment horizontal="center" vertical="center" wrapText="1"/>
    </xf>
    <xf numFmtId="167" fontId="10" fillId="0" borderId="13" xfId="2" applyNumberFormat="1" applyFont="1" applyBorder="1" applyAlignment="1">
      <alignment horizontal="center" vertical="center" wrapText="1"/>
    </xf>
    <xf numFmtId="167" fontId="10" fillId="0" borderId="19" xfId="2" applyNumberFormat="1" applyFont="1" applyBorder="1" applyAlignment="1">
      <alignment horizontal="center" vertical="center" wrapText="1"/>
    </xf>
    <xf numFmtId="167" fontId="10" fillId="0" borderId="24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3" fillId="0" borderId="4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167" fontId="10" fillId="0" borderId="20" xfId="2" applyNumberFormat="1" applyFont="1" applyBorder="1" applyAlignment="1">
      <alignment horizontal="center" vertical="center" wrapText="1"/>
    </xf>
    <xf numFmtId="167" fontId="10" fillId="0" borderId="0" xfId="2" applyNumberFormat="1" applyFont="1" applyBorder="1" applyAlignment="1">
      <alignment horizontal="center" vertical="center" wrapText="1"/>
    </xf>
    <xf numFmtId="167" fontId="10" fillId="0" borderId="7" xfId="2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167" fontId="11" fillId="0" borderId="17" xfId="2" applyNumberFormat="1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6" xfId="0" applyFont="1" applyBorder="1" applyAlignment="1">
      <alignment horizontal="left" vertical="center" wrapText="1"/>
    </xf>
    <xf numFmtId="167" fontId="10" fillId="0" borderId="26" xfId="2" applyNumberFormat="1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8" fillId="0" borderId="2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67" fontId="16" fillId="0" borderId="11" xfId="2" applyNumberFormat="1" applyFont="1" applyBorder="1" applyAlignment="1">
      <alignment horizontal="center" vertical="center" wrapText="1"/>
    </xf>
    <xf numFmtId="167" fontId="16" fillId="0" borderId="12" xfId="2" applyNumberFormat="1" applyFont="1" applyBorder="1" applyAlignment="1">
      <alignment horizontal="center" vertical="center" wrapText="1"/>
    </xf>
    <xf numFmtId="167" fontId="16" fillId="0" borderId="13" xfId="2" applyNumberFormat="1" applyFont="1" applyBorder="1" applyAlignment="1">
      <alignment horizontal="center" vertical="center" wrapText="1"/>
    </xf>
    <xf numFmtId="167" fontId="16" fillId="0" borderId="26" xfId="2" applyNumberFormat="1" applyFont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167" fontId="10" fillId="0" borderId="11" xfId="2" applyNumberFormat="1" applyFont="1" applyFill="1" applyBorder="1" applyAlignment="1">
      <alignment horizontal="center" vertical="center" wrapText="1"/>
    </xf>
    <xf numFmtId="167" fontId="10" fillId="0" borderId="12" xfId="2" applyNumberFormat="1" applyFont="1" applyFill="1" applyBorder="1" applyAlignment="1">
      <alignment horizontal="center" vertical="center" wrapText="1"/>
    </xf>
    <xf numFmtId="167" fontId="10" fillId="0" borderId="13" xfId="2" applyNumberFormat="1" applyFont="1" applyFill="1" applyBorder="1" applyAlignment="1">
      <alignment horizontal="center" vertical="center" wrapText="1"/>
    </xf>
    <xf numFmtId="167" fontId="10" fillId="0" borderId="19" xfId="2" applyNumberFormat="1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167" fontId="12" fillId="0" borderId="26" xfId="2" applyNumberFormat="1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167" fontId="10" fillId="0" borderId="19" xfId="2" applyNumberFormat="1" applyFont="1" applyFill="1" applyBorder="1" applyAlignment="1">
      <alignment horizontal="center" vertical="center" wrapText="1"/>
    </xf>
    <xf numFmtId="167" fontId="35" fillId="0" borderId="26" xfId="2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67" fontId="35" fillId="0" borderId="19" xfId="2" applyNumberFormat="1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44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right" vertical="center"/>
    </xf>
    <xf numFmtId="41" fontId="34" fillId="0" borderId="0" xfId="0" applyNumberFormat="1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41" fontId="34" fillId="0" borderId="0" xfId="2" applyFont="1" applyAlignment="1">
      <alignment horizontal="left" vertical="center"/>
    </xf>
    <xf numFmtId="0" fontId="35" fillId="0" borderId="19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 wrapText="1"/>
    </xf>
    <xf numFmtId="167" fontId="35" fillId="0" borderId="11" xfId="2" applyNumberFormat="1" applyFont="1" applyBorder="1" applyAlignment="1">
      <alignment horizontal="center" vertical="center" wrapText="1"/>
    </xf>
    <xf numFmtId="167" fontId="35" fillId="0" borderId="12" xfId="2" applyNumberFormat="1" applyFont="1" applyBorder="1" applyAlignment="1">
      <alignment horizontal="center" vertical="center" wrapText="1"/>
    </xf>
    <xf numFmtId="167" fontId="35" fillId="0" borderId="13" xfId="2" applyNumberFormat="1" applyFont="1" applyBorder="1" applyAlignment="1">
      <alignment horizontal="center" vertical="center" wrapText="1"/>
    </xf>
  </cellXfs>
  <cellStyles count="392">
    <cellStyle name="Bad 2" xfId="50"/>
    <cellStyle name="Comma" xfId="1" builtinId="3"/>
    <cellStyle name="Comma [0]" xfId="2" builtinId="6"/>
    <cellStyle name="Comma [0] 10 10" xfId="38"/>
    <cellStyle name="Comma [0] 10 10 2" xfId="51"/>
    <cellStyle name="Comma [0] 10 2" xfId="4"/>
    <cellStyle name="Comma [0] 10 2 2" xfId="52"/>
    <cellStyle name="Comma [0] 10 2 8" xfId="53"/>
    <cellStyle name="Comma [0] 11" xfId="54"/>
    <cellStyle name="Comma [0] 13" xfId="55"/>
    <cellStyle name="Comma [0] 13 2" xfId="56"/>
    <cellStyle name="Comma [0] 13 2 2" xfId="57"/>
    <cellStyle name="Comma [0] 13 2 3" xfId="58"/>
    <cellStyle name="Comma [0] 13 2 4" xfId="59"/>
    <cellStyle name="Comma [0] 13 2 4 2" xfId="60"/>
    <cellStyle name="Comma [0] 13 3" xfId="61"/>
    <cellStyle name="Comma [0] 13 4" xfId="62"/>
    <cellStyle name="Comma [0] 13 5" xfId="63"/>
    <cellStyle name="Comma [0] 13 5 2" xfId="64"/>
    <cellStyle name="Comma [0] 14 2" xfId="65"/>
    <cellStyle name="Comma [0] 14 2 2" xfId="66"/>
    <cellStyle name="Comma [0] 14 2 3" xfId="67"/>
    <cellStyle name="Comma [0] 14 2 4" xfId="68"/>
    <cellStyle name="Comma [0] 14 2 4 2" xfId="69"/>
    <cellStyle name="Comma [0] 15" xfId="70"/>
    <cellStyle name="Comma [0] 15 2" xfId="71"/>
    <cellStyle name="Comma [0] 15 3" xfId="72"/>
    <cellStyle name="Comma [0] 15 4" xfId="73"/>
    <cellStyle name="Comma [0] 15 4 2" xfId="74"/>
    <cellStyle name="Comma [0] 17" xfId="75"/>
    <cellStyle name="Comma [0] 17 2" xfId="76"/>
    <cellStyle name="Comma [0] 17 3" xfId="77"/>
    <cellStyle name="Comma [0] 17 4" xfId="78"/>
    <cellStyle name="Comma [0] 17 4 2" xfId="79"/>
    <cellStyle name="Comma [0] 19 14" xfId="80"/>
    <cellStyle name="Comma [0] 2" xfId="34"/>
    <cellStyle name="Comma [0] 2 10" xfId="81"/>
    <cellStyle name="Comma [0] 2 12" xfId="82"/>
    <cellStyle name="Comma [0] 2 12 2" xfId="83"/>
    <cellStyle name="Comma [0] 2 12 3" xfId="84"/>
    <cellStyle name="Comma [0] 2 12 4" xfId="85"/>
    <cellStyle name="Comma [0] 2 12 4 2" xfId="86"/>
    <cellStyle name="Comma [0] 2 2" xfId="10"/>
    <cellStyle name="Comma [0] 2 2 2" xfId="87"/>
    <cellStyle name="Comma [0] 2 20 2 2" xfId="88"/>
    <cellStyle name="Comma [0] 2 20 2 2 2" xfId="89"/>
    <cellStyle name="Comma [0] 2 3" xfId="90"/>
    <cellStyle name="Comma [0] 2 4 7" xfId="91"/>
    <cellStyle name="Comma [0] 20" xfId="92"/>
    <cellStyle name="Comma [0] 21" xfId="93"/>
    <cellStyle name="Comma [0] 22" xfId="94"/>
    <cellStyle name="Comma [0] 24 6" xfId="95"/>
    <cellStyle name="Comma [0] 25 6" xfId="96"/>
    <cellStyle name="Comma [0] 26 6" xfId="97"/>
    <cellStyle name="Comma [0] 3" xfId="98"/>
    <cellStyle name="Comma [0] 3 2" xfId="99"/>
    <cellStyle name="Comma [0] 3 3" xfId="100"/>
    <cellStyle name="Comma [0] 3 4" xfId="6"/>
    <cellStyle name="Comma [0] 3 8" xfId="101"/>
    <cellStyle name="Comma [0] 34" xfId="102"/>
    <cellStyle name="Comma [0] 34 2" xfId="103"/>
    <cellStyle name="Comma [0] 34 3" xfId="104"/>
    <cellStyle name="Comma [0] 34 4" xfId="105"/>
    <cellStyle name="Comma [0] 34 4 2" xfId="106"/>
    <cellStyle name="Comma [0] 36" xfId="107"/>
    <cellStyle name="Comma [0] 36 2" xfId="108"/>
    <cellStyle name="Comma [0] 36 3" xfId="109"/>
    <cellStyle name="Comma [0] 36 4" xfId="110"/>
    <cellStyle name="Comma [0] 36 4 2" xfId="111"/>
    <cellStyle name="Comma [0] 4" xfId="5"/>
    <cellStyle name="Comma [0] 4 29" xfId="112"/>
    <cellStyle name="Comma [0] 4 3" xfId="113"/>
    <cellStyle name="Comma [0] 4 9" xfId="114"/>
    <cellStyle name="Comma [0] 48 2 2 4 7" xfId="115"/>
    <cellStyle name="Comma [0] 5" xfId="116"/>
    <cellStyle name="Comma [0] 5 10" xfId="117"/>
    <cellStyle name="Comma [0] 5 12" xfId="118"/>
    <cellStyle name="Comma [0] 6" xfId="40"/>
    <cellStyle name="Comma [0] 6 11" xfId="119"/>
    <cellStyle name="Comma [0] 7" xfId="120"/>
    <cellStyle name="Comma [0] 8 12" xfId="121"/>
    <cellStyle name="Comma [0] 9 13" xfId="122"/>
    <cellStyle name="Comma [0] 9 2" xfId="123"/>
    <cellStyle name="Comma 10" xfId="124"/>
    <cellStyle name="Comma 10 2" xfId="125"/>
    <cellStyle name="Comma 11" xfId="126"/>
    <cellStyle name="Comma 11 2 10" xfId="127"/>
    <cellStyle name="Comma 12" xfId="128"/>
    <cellStyle name="Comma 13" xfId="41"/>
    <cellStyle name="Comma 14" xfId="129"/>
    <cellStyle name="Comma 15" xfId="49"/>
    <cellStyle name="Comma 16" xfId="48"/>
    <cellStyle name="Comma 17" xfId="47"/>
    <cellStyle name="Comma 18" xfId="46"/>
    <cellStyle name="Comma 2" xfId="130"/>
    <cellStyle name="Comma 2 2" xfId="8"/>
    <cellStyle name="Comma 2 2 2" xfId="131"/>
    <cellStyle name="Comma 20" xfId="45"/>
    <cellStyle name="Comma 21" xfId="44"/>
    <cellStyle name="Comma 3" xfId="132"/>
    <cellStyle name="Comma 3 2" xfId="133"/>
    <cellStyle name="Comma 4" xfId="134"/>
    <cellStyle name="Comma 4 2" xfId="135"/>
    <cellStyle name="Comma 4 4" xfId="136"/>
    <cellStyle name="Comma 5" xfId="137"/>
    <cellStyle name="Comma 5 2" xfId="138"/>
    <cellStyle name="Comma 5 3" xfId="139"/>
    <cellStyle name="Comma 6" xfId="140"/>
    <cellStyle name="Comma 6 2" xfId="141"/>
    <cellStyle name="Comma 7" xfId="142"/>
    <cellStyle name="Comma 7 2" xfId="143"/>
    <cellStyle name="Comma 8" xfId="144"/>
    <cellStyle name="Comma 8 2" xfId="145"/>
    <cellStyle name="Comma 9" xfId="146"/>
    <cellStyle name="Comma 9 2" xfId="147"/>
    <cellStyle name="Currency [0] 2" xfId="36"/>
    <cellStyle name="Currency [0] 3" xfId="148"/>
    <cellStyle name="Normal" xfId="0" builtinId="0"/>
    <cellStyle name="Normal 10" xfId="149"/>
    <cellStyle name="Normal 10 10" xfId="150"/>
    <cellStyle name="Normal 10 2" xfId="151"/>
    <cellStyle name="Normal 10 3" xfId="152"/>
    <cellStyle name="Normal 10 3 2" xfId="37"/>
    <cellStyle name="Normal 10 4" xfId="153"/>
    <cellStyle name="Normal 10 47 2" xfId="154"/>
    <cellStyle name="Normal 10 5" xfId="155"/>
    <cellStyle name="Normal 10 6" xfId="156"/>
    <cellStyle name="Normal 10 7" xfId="157"/>
    <cellStyle name="Normal 10 8" xfId="158"/>
    <cellStyle name="Normal 10 9" xfId="159"/>
    <cellStyle name="Normal 100" xfId="160"/>
    <cellStyle name="Normal 101" xfId="161"/>
    <cellStyle name="Normal 102" xfId="162"/>
    <cellStyle name="Normal 103" xfId="163"/>
    <cellStyle name="Normal 104" xfId="164"/>
    <cellStyle name="Normal 105" xfId="165"/>
    <cellStyle name="Normal 106" xfId="166"/>
    <cellStyle name="Normal 107" xfId="167"/>
    <cellStyle name="Normal 108" xfId="168"/>
    <cellStyle name="Normal 109" xfId="169"/>
    <cellStyle name="Normal 11" xfId="170"/>
    <cellStyle name="Normal 110" xfId="171"/>
    <cellStyle name="Normal 111" xfId="172"/>
    <cellStyle name="Normal 112" xfId="173"/>
    <cellStyle name="Normal 113" xfId="174"/>
    <cellStyle name="Normal 114" xfId="175"/>
    <cellStyle name="Normal 115" xfId="176"/>
    <cellStyle name="Normal 116" xfId="177"/>
    <cellStyle name="Normal 117" xfId="178"/>
    <cellStyle name="Normal 118" xfId="179"/>
    <cellStyle name="Normal 119" xfId="180"/>
    <cellStyle name="Normal 12" xfId="181"/>
    <cellStyle name="Normal 120" xfId="182"/>
    <cellStyle name="Normal 121" xfId="183"/>
    <cellStyle name="Normal 122" xfId="184"/>
    <cellStyle name="Normal 123" xfId="185"/>
    <cellStyle name="Normal 124" xfId="186"/>
    <cellStyle name="Normal 125" xfId="187"/>
    <cellStyle name="Normal 126" xfId="188"/>
    <cellStyle name="Normal 127" xfId="189"/>
    <cellStyle name="Normal 128" xfId="190"/>
    <cellStyle name="Normal 129" xfId="191"/>
    <cellStyle name="Normal 13" xfId="192"/>
    <cellStyle name="Normal 130" xfId="193"/>
    <cellStyle name="Normal 131" xfId="194"/>
    <cellStyle name="Normal 132" xfId="195"/>
    <cellStyle name="Normal 133" xfId="196"/>
    <cellStyle name="Normal 135" xfId="197"/>
    <cellStyle name="Normal 136" xfId="198"/>
    <cellStyle name="Normal 136 2" xfId="199"/>
    <cellStyle name="Normal 137" xfId="200"/>
    <cellStyle name="Normal 138" xfId="201"/>
    <cellStyle name="Normal 14" xfId="202"/>
    <cellStyle name="Normal 140" xfId="203"/>
    <cellStyle name="Normal 141" xfId="204"/>
    <cellStyle name="Normal 141 10" xfId="205"/>
    <cellStyle name="Normal 141 11" xfId="206"/>
    <cellStyle name="Normal 141 12" xfId="207"/>
    <cellStyle name="Normal 141 12 2" xfId="208"/>
    <cellStyle name="Normal 141 2" xfId="209"/>
    <cellStyle name="Normal 141 2 2" xfId="42"/>
    <cellStyle name="Normal 141 3" xfId="210"/>
    <cellStyle name="Normal 141 4" xfId="211"/>
    <cellStyle name="Normal 141 5" xfId="212"/>
    <cellStyle name="Normal 141 6" xfId="213"/>
    <cellStyle name="Normal 141 7" xfId="214"/>
    <cellStyle name="Normal 141 8" xfId="215"/>
    <cellStyle name="Normal 141 9" xfId="216"/>
    <cellStyle name="Normal 142" xfId="217"/>
    <cellStyle name="Normal 142 2" xfId="218"/>
    <cellStyle name="Normal 142 2 2" xfId="43"/>
    <cellStyle name="Normal 142 3" xfId="219"/>
    <cellStyle name="Normal 142 4" xfId="220"/>
    <cellStyle name="Normal 142 5" xfId="221"/>
    <cellStyle name="Normal 142 6" xfId="222"/>
    <cellStyle name="Normal 142 7" xfId="223"/>
    <cellStyle name="Normal 142 7 2" xfId="224"/>
    <cellStyle name="Normal 143" xfId="225"/>
    <cellStyle name="Normal 144" xfId="226"/>
    <cellStyle name="Normal 145" xfId="227"/>
    <cellStyle name="Normal 146" xfId="228"/>
    <cellStyle name="Normal 147" xfId="229"/>
    <cellStyle name="Normal 148" xfId="230"/>
    <cellStyle name="Normal 149" xfId="231"/>
    <cellStyle name="Normal 15" xfId="232"/>
    <cellStyle name="Normal 150" xfId="233"/>
    <cellStyle name="Normal 151" xfId="234"/>
    <cellStyle name="Normal 152" xfId="235"/>
    <cellStyle name="Normal 153" xfId="236"/>
    <cellStyle name="Normal 154" xfId="237"/>
    <cellStyle name="Normal 16" xfId="238"/>
    <cellStyle name="Normal 16 2 4" xfId="239"/>
    <cellStyle name="Normal 161" xfId="240"/>
    <cellStyle name="Normal 162" xfId="241"/>
    <cellStyle name="Normal 163" xfId="242"/>
    <cellStyle name="Normal 164" xfId="243"/>
    <cellStyle name="Normal 165" xfId="244"/>
    <cellStyle name="Normal 166" xfId="245"/>
    <cellStyle name="Normal 167" xfId="246"/>
    <cellStyle name="Normal 168" xfId="247"/>
    <cellStyle name="Normal 169" xfId="248"/>
    <cellStyle name="Normal 17" xfId="249"/>
    <cellStyle name="Normal 170" xfId="250"/>
    <cellStyle name="Normal 171" xfId="251"/>
    <cellStyle name="Normal 172" xfId="252"/>
    <cellStyle name="Normal 173" xfId="253"/>
    <cellStyle name="Normal 177" xfId="254"/>
    <cellStyle name="Normal 179" xfId="255"/>
    <cellStyle name="Normal 18" xfId="256"/>
    <cellStyle name="Normal 18 3 4 2 3" xfId="257"/>
    <cellStyle name="Normal 18 3 4 2 3 33" xfId="258"/>
    <cellStyle name="Normal 19" xfId="259"/>
    <cellStyle name="Normal 192" xfId="260"/>
    <cellStyle name="Normal 195" xfId="261"/>
    <cellStyle name="Normal 196" xfId="262"/>
    <cellStyle name="Normal 197" xfId="263"/>
    <cellStyle name="Normal 198" xfId="264"/>
    <cellStyle name="Normal 199" xfId="265"/>
    <cellStyle name="Normal 2" xfId="33"/>
    <cellStyle name="Normal 2 11" xfId="266"/>
    <cellStyle name="Normal 2 2" xfId="9"/>
    <cellStyle name="Normal 2 2 10" xfId="35"/>
    <cellStyle name="Normal 2 2 2" xfId="267"/>
    <cellStyle name="Normal 2 2 2 2" xfId="268"/>
    <cellStyle name="Normal 2 2 3" xfId="269"/>
    <cellStyle name="Normal 2 2 40" xfId="270"/>
    <cellStyle name="Normal 2 3" xfId="271"/>
    <cellStyle name="Normal 2 3 2" xfId="272"/>
    <cellStyle name="Normal 2 9" xfId="273"/>
    <cellStyle name="Normal 20" xfId="274"/>
    <cellStyle name="Normal 200" xfId="275"/>
    <cellStyle name="Normal 201" xfId="276"/>
    <cellStyle name="Normal 202" xfId="277"/>
    <cellStyle name="Normal 203" xfId="278"/>
    <cellStyle name="Normal 204" xfId="279"/>
    <cellStyle name="Normal 205" xfId="280"/>
    <cellStyle name="Normal 206" xfId="281"/>
    <cellStyle name="Normal 207" xfId="282"/>
    <cellStyle name="Normal 208" xfId="283"/>
    <cellStyle name="Normal 209" xfId="284"/>
    <cellStyle name="Normal 21" xfId="285"/>
    <cellStyle name="Normal 210" xfId="286"/>
    <cellStyle name="Normal 211" xfId="287"/>
    <cellStyle name="Normal 212" xfId="288"/>
    <cellStyle name="Normal 213" xfId="289"/>
    <cellStyle name="Normal 214" xfId="290"/>
    <cellStyle name="Normal 215" xfId="291"/>
    <cellStyle name="Normal 216" xfId="292"/>
    <cellStyle name="Normal 22" xfId="293"/>
    <cellStyle name="Normal 23" xfId="294"/>
    <cellStyle name="Normal 24" xfId="295"/>
    <cellStyle name="Normal 27" xfId="296"/>
    <cellStyle name="Normal 28 3" xfId="297"/>
    <cellStyle name="Normal 28 3 2" xfId="298"/>
    <cellStyle name="Normal 29" xfId="299"/>
    <cellStyle name="Normal 3" xfId="7"/>
    <cellStyle name="Normal 3 113" xfId="300"/>
    <cellStyle name="Normal 3 2" xfId="301"/>
    <cellStyle name="Normal 3 3" xfId="302"/>
    <cellStyle name="Normal 30 3" xfId="303"/>
    <cellStyle name="Normal 30 3 2" xfId="304"/>
    <cellStyle name="Normal 4" xfId="305"/>
    <cellStyle name="Normal 4 2" xfId="306"/>
    <cellStyle name="Normal 4 2 2" xfId="39"/>
    <cellStyle name="Normal 4 3" xfId="307"/>
    <cellStyle name="Normal 4 4" xfId="308"/>
    <cellStyle name="Normal 4 5" xfId="309"/>
    <cellStyle name="Normal 4 6" xfId="310"/>
    <cellStyle name="Normal 4 7" xfId="311"/>
    <cellStyle name="Normal 4 8" xfId="312"/>
    <cellStyle name="Normal 4 9" xfId="313"/>
    <cellStyle name="Normal 41" xfId="314"/>
    <cellStyle name="Normal 41 2" xfId="315"/>
    <cellStyle name="Normal 41 3" xfId="316"/>
    <cellStyle name="Normal 47" xfId="317"/>
    <cellStyle name="Normal 47 2" xfId="318"/>
    <cellStyle name="Normal 47 3" xfId="319"/>
    <cellStyle name="Normal 47 4" xfId="320"/>
    <cellStyle name="Normal 47 4 2" xfId="321"/>
    <cellStyle name="Normal 49" xfId="322"/>
    <cellStyle name="Normal 49 2" xfId="323"/>
    <cellStyle name="Normal 49 3" xfId="324"/>
    <cellStyle name="Normal 49 4" xfId="325"/>
    <cellStyle name="Normal 49 4 2" xfId="326"/>
    <cellStyle name="Normal 5" xfId="327"/>
    <cellStyle name="Normal 5 2" xfId="328"/>
    <cellStyle name="Normal 5 2 2 5 2" xfId="329"/>
    <cellStyle name="Normal 5 3" xfId="330"/>
    <cellStyle name="Normal 50" xfId="331"/>
    <cellStyle name="Normal 50 2" xfId="332"/>
    <cellStyle name="Normal 50 3" xfId="333"/>
    <cellStyle name="Normal 50 4" xfId="334"/>
    <cellStyle name="Normal 50 4 2" xfId="335"/>
    <cellStyle name="Normal 51" xfId="336"/>
    <cellStyle name="Normal 51 2" xfId="337"/>
    <cellStyle name="Normal 51 3" xfId="338"/>
    <cellStyle name="Normal 51 4" xfId="339"/>
    <cellStyle name="Normal 51 4 2" xfId="340"/>
    <cellStyle name="Normal 52" xfId="341"/>
    <cellStyle name="Normal 52 2" xfId="342"/>
    <cellStyle name="Normal 52 3" xfId="343"/>
    <cellStyle name="Normal 52 4" xfId="344"/>
    <cellStyle name="Normal 52 4 2" xfId="345"/>
    <cellStyle name="Normal 53" xfId="346"/>
    <cellStyle name="Normal 53 2" xfId="347"/>
    <cellStyle name="Normal 53 3" xfId="348"/>
    <cellStyle name="Normal 53 4" xfId="349"/>
    <cellStyle name="Normal 53 4 2" xfId="350"/>
    <cellStyle name="Normal 54" xfId="11"/>
    <cellStyle name="Normal 55" xfId="351"/>
    <cellStyle name="Normal 56" xfId="352"/>
    <cellStyle name="Normal 57" xfId="353"/>
    <cellStyle name="Normal 58" xfId="354"/>
    <cellStyle name="Normal 59" xfId="355"/>
    <cellStyle name="Normal 6" xfId="356"/>
    <cellStyle name="Normal 6 2" xfId="357"/>
    <cellStyle name="Normal 60" xfId="358"/>
    <cellStyle name="Normal 60 2" xfId="359"/>
    <cellStyle name="Normal 60 3" xfId="360"/>
    <cellStyle name="Normal 60 4" xfId="361"/>
    <cellStyle name="Normal 60 4 2" xfId="362"/>
    <cellStyle name="Normal 61" xfId="363"/>
    <cellStyle name="Normal 61 2" xfId="364"/>
    <cellStyle name="Normal 61 3" xfId="365"/>
    <cellStyle name="Normal 61 4" xfId="366"/>
    <cellStyle name="Normal 61 4 2" xfId="367"/>
    <cellStyle name="Normal 62" xfId="368"/>
    <cellStyle name="Normal 62 2" xfId="369"/>
    <cellStyle name="Normal 62 3" xfId="370"/>
    <cellStyle name="Normal 62 4" xfId="371"/>
    <cellStyle name="Normal 62 4 2" xfId="372"/>
    <cellStyle name="Normal 63" xfId="12"/>
    <cellStyle name="Normal 64" xfId="373"/>
    <cellStyle name="Normal 64 2" xfId="374"/>
    <cellStyle name="Normal 64 3" xfId="375"/>
    <cellStyle name="Normal 64 4" xfId="376"/>
    <cellStyle name="Normal 64 4 2" xfId="377"/>
    <cellStyle name="Normal 65" xfId="13"/>
    <cellStyle name="Normal 66" xfId="14"/>
    <cellStyle name="Normal 67" xfId="16"/>
    <cellStyle name="Normal 68" xfId="17"/>
    <cellStyle name="Normal 69" xfId="18"/>
    <cellStyle name="Normal 7" xfId="378"/>
    <cellStyle name="Normal 7 29" xfId="379"/>
    <cellStyle name="Normal 70" xfId="21"/>
    <cellStyle name="Normal 71" xfId="22"/>
    <cellStyle name="Normal 72" xfId="23"/>
    <cellStyle name="Normal 73" xfId="24"/>
    <cellStyle name="Normal 74" xfId="26"/>
    <cellStyle name="Normal 75" xfId="25"/>
    <cellStyle name="Normal 76" xfId="28"/>
    <cellStyle name="Normal 77" xfId="29"/>
    <cellStyle name="Normal 78" xfId="31"/>
    <cellStyle name="Normal 79" xfId="30"/>
    <cellStyle name="Normal 8" xfId="380"/>
    <cellStyle name="Normal 80" xfId="27"/>
    <cellStyle name="Normal 81" xfId="15"/>
    <cellStyle name="Normal 82" xfId="19"/>
    <cellStyle name="Normal 83" xfId="20"/>
    <cellStyle name="Normal 84" xfId="381"/>
    <cellStyle name="Normal 9" xfId="382"/>
    <cellStyle name="Normal 9 2" xfId="383"/>
    <cellStyle name="Normal 94" xfId="384"/>
    <cellStyle name="Normal 95" xfId="385"/>
    <cellStyle name="Normal 96" xfId="386"/>
    <cellStyle name="Normal 97" xfId="387"/>
    <cellStyle name="Normal 98" xfId="388"/>
    <cellStyle name="Normal 99" xfId="389"/>
    <cellStyle name="Percent" xfId="3" builtinId="5"/>
    <cellStyle name="Percent 2" xfId="32"/>
    <cellStyle name="Percent 3" xfId="390"/>
    <cellStyle name="Percent 3 3" xfId="3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1801906</xdr:colOff>
      <xdr:row>69</xdr:row>
      <xdr:rowOff>125506</xdr:rowOff>
    </xdr:from>
    <xdr:to>
      <xdr:col>13</xdr:col>
      <xdr:colOff>872462</xdr:colOff>
      <xdr:row>76</xdr:row>
      <xdr:rowOff>224118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45D57D8-0C5E-4888-8884-8FE00A6F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4188" y="22895859"/>
          <a:ext cx="4045968" cy="2106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60</xdr:row>
      <xdr:rowOff>68580</xdr:rowOff>
    </xdr:from>
    <xdr:to>
      <xdr:col>13</xdr:col>
      <xdr:colOff>342648</xdr:colOff>
      <xdr:row>67</xdr:row>
      <xdr:rowOff>163606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4B191F4-BADD-4C2B-BFAA-FD1956A4C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8140" y="21450300"/>
          <a:ext cx="4045968" cy="2106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591670</xdr:colOff>
      <xdr:row>3713</xdr:row>
      <xdr:rowOff>107575</xdr:rowOff>
    </xdr:from>
    <xdr:to>
      <xdr:col>8</xdr:col>
      <xdr:colOff>197223</xdr:colOff>
      <xdr:row>3722</xdr:row>
      <xdr:rowOff>170330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34FE1A6-2B5D-4D72-84BC-E80D3387F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9764" y="987489246"/>
          <a:ext cx="3917577" cy="1864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594360</xdr:colOff>
      <xdr:row>3793</xdr:row>
      <xdr:rowOff>60960</xdr:rowOff>
    </xdr:from>
    <xdr:to>
      <xdr:col>14</xdr:col>
      <xdr:colOff>510540</xdr:colOff>
      <xdr:row>3802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EF829D-32D0-43A9-A346-6A798EACC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9460" y="1117137720"/>
          <a:ext cx="3657600" cy="176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924</xdr:row>
      <xdr:rowOff>126999</xdr:rowOff>
    </xdr:from>
    <xdr:to>
      <xdr:col>7</xdr:col>
      <xdr:colOff>609600</xdr:colOff>
      <xdr:row>933</xdr:row>
      <xdr:rowOff>84665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06869F4-2B91-48FC-A88D-4F70CAA07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263177866"/>
          <a:ext cx="3979333" cy="1811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367553</xdr:colOff>
      <xdr:row>769</xdr:row>
      <xdr:rowOff>89647</xdr:rowOff>
    </xdr:from>
    <xdr:to>
      <xdr:col>12</xdr:col>
      <xdr:colOff>433192</xdr:colOff>
      <xdr:row>781</xdr:row>
      <xdr:rowOff>44824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84E54E-286F-426E-8B9C-13CFF55E0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6777" y="225489247"/>
          <a:ext cx="4045968" cy="2106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188259</xdr:colOff>
      <xdr:row>832</xdr:row>
      <xdr:rowOff>134472</xdr:rowOff>
    </xdr:from>
    <xdr:to>
      <xdr:col>8</xdr:col>
      <xdr:colOff>2886</xdr:colOff>
      <xdr:row>843</xdr:row>
      <xdr:rowOff>80684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AC24BF6-5A84-436B-94D9-B38C3C32A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0494" y="224521060"/>
          <a:ext cx="4045968" cy="2106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170329</xdr:colOff>
      <xdr:row>819</xdr:row>
      <xdr:rowOff>125505</xdr:rowOff>
    </xdr:from>
    <xdr:to>
      <xdr:col>13</xdr:col>
      <xdr:colOff>433191</xdr:colOff>
      <xdr:row>831</xdr:row>
      <xdr:rowOff>80682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E5182D-F99C-45BB-9224-FA496AEFB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5741" y="245946705"/>
          <a:ext cx="4045968" cy="2106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4770120</xdr:colOff>
      <xdr:row>218</xdr:row>
      <xdr:rowOff>0</xdr:rowOff>
    </xdr:from>
    <xdr:to>
      <xdr:col>6</xdr:col>
      <xdr:colOff>571248</xdr:colOff>
      <xdr:row>224</xdr:row>
      <xdr:rowOff>175260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ADAD046-60FE-4F51-A859-77AB4829C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58315860"/>
          <a:ext cx="4045968" cy="19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488830</xdr:colOff>
      <xdr:row>163</xdr:row>
      <xdr:rowOff>277906</xdr:rowOff>
    </xdr:from>
    <xdr:to>
      <xdr:col>13</xdr:col>
      <xdr:colOff>348280</xdr:colOff>
      <xdr:row>167</xdr:row>
      <xdr:rowOff>367553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53723D3-A49C-472D-85EC-0FBB769A4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7512" y="49781012"/>
          <a:ext cx="4045968" cy="1918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N76"/>
  <sheetViews>
    <sheetView view="pageBreakPreview" topLeftCell="A57" zoomScale="85" zoomScaleNormal="80" zoomScaleSheetLayoutView="85" workbookViewId="0">
      <selection activeCell="D15" sqref="D15:D45"/>
    </sheetView>
  </sheetViews>
  <sheetFormatPr defaultColWidth="8.85546875" defaultRowHeight="20.100000000000001" customHeight="1"/>
  <cols>
    <col min="1" max="1" width="18.140625" style="802" customWidth="1"/>
    <col min="2" max="2" width="2.28515625" style="802" customWidth="1"/>
    <col min="3" max="3" width="8.140625" style="803" customWidth="1"/>
    <col min="4" max="4" width="48.140625" style="802" customWidth="1"/>
    <col min="5" max="5" width="17.85546875" style="83" hidden="1" customWidth="1"/>
    <col min="6" max="6" width="24.7109375" style="83" hidden="1" customWidth="1"/>
    <col min="7" max="7" width="8" style="83" hidden="1" customWidth="1"/>
    <col min="8" max="8" width="19.140625" style="83" hidden="1" customWidth="1"/>
    <col min="9" max="9" width="20" style="83" hidden="1" customWidth="1"/>
    <col min="10" max="10" width="8.7109375" style="83" hidden="1" customWidth="1"/>
    <col min="11" max="11" width="28.140625" style="83" customWidth="1"/>
    <col min="12" max="12" width="26.28515625" style="83" customWidth="1"/>
    <col min="13" max="13" width="18.140625" style="83" customWidth="1"/>
    <col min="14" max="14" width="18.28515625" style="802" customWidth="1"/>
    <col min="15" max="15" width="2.42578125" style="802" customWidth="1"/>
    <col min="16" max="256" width="8.85546875" style="802"/>
    <col min="257" max="257" width="18.140625" style="802" customWidth="1"/>
    <col min="258" max="258" width="2.28515625" style="802" customWidth="1"/>
    <col min="259" max="259" width="8.140625" style="802" customWidth="1"/>
    <col min="260" max="260" width="42.5703125" style="802" customWidth="1"/>
    <col min="261" max="261" width="24.85546875" style="802" customWidth="1"/>
    <col min="262" max="262" width="24.7109375" style="802" customWidth="1"/>
    <col min="263" max="263" width="10" style="802" customWidth="1"/>
    <col min="264" max="268" width="12.42578125" style="802" customWidth="1"/>
    <col min="269" max="269" width="10.5703125" style="802" customWidth="1"/>
    <col min="270" max="270" width="15.28515625" style="802" customWidth="1"/>
    <col min="271" max="271" width="2.42578125" style="802" customWidth="1"/>
    <col min="272" max="512" width="8.85546875" style="802"/>
    <col min="513" max="513" width="18.140625" style="802" customWidth="1"/>
    <col min="514" max="514" width="2.28515625" style="802" customWidth="1"/>
    <col min="515" max="515" width="8.140625" style="802" customWidth="1"/>
    <col min="516" max="516" width="42.5703125" style="802" customWidth="1"/>
    <col min="517" max="517" width="24.85546875" style="802" customWidth="1"/>
    <col min="518" max="518" width="24.7109375" style="802" customWidth="1"/>
    <col min="519" max="519" width="10" style="802" customWidth="1"/>
    <col min="520" max="524" width="12.42578125" style="802" customWidth="1"/>
    <col min="525" max="525" width="10.5703125" style="802" customWidth="1"/>
    <col min="526" max="526" width="15.28515625" style="802" customWidth="1"/>
    <col min="527" max="527" width="2.42578125" style="802" customWidth="1"/>
    <col min="528" max="768" width="8.85546875" style="802"/>
    <col min="769" max="769" width="18.140625" style="802" customWidth="1"/>
    <col min="770" max="770" width="2.28515625" style="802" customWidth="1"/>
    <col min="771" max="771" width="8.140625" style="802" customWidth="1"/>
    <col min="772" max="772" width="42.5703125" style="802" customWidth="1"/>
    <col min="773" max="773" width="24.85546875" style="802" customWidth="1"/>
    <col min="774" max="774" width="24.7109375" style="802" customWidth="1"/>
    <col min="775" max="775" width="10" style="802" customWidth="1"/>
    <col min="776" max="780" width="12.42578125" style="802" customWidth="1"/>
    <col min="781" max="781" width="10.5703125" style="802" customWidth="1"/>
    <col min="782" max="782" width="15.28515625" style="802" customWidth="1"/>
    <col min="783" max="783" width="2.42578125" style="802" customWidth="1"/>
    <col min="784" max="1024" width="8.85546875" style="802"/>
    <col min="1025" max="1025" width="18.140625" style="802" customWidth="1"/>
    <col min="1026" max="1026" width="2.28515625" style="802" customWidth="1"/>
    <col min="1027" max="1027" width="8.140625" style="802" customWidth="1"/>
    <col min="1028" max="1028" width="42.5703125" style="802" customWidth="1"/>
    <col min="1029" max="1029" width="24.85546875" style="802" customWidth="1"/>
    <col min="1030" max="1030" width="24.7109375" style="802" customWidth="1"/>
    <col min="1031" max="1031" width="10" style="802" customWidth="1"/>
    <col min="1032" max="1036" width="12.42578125" style="802" customWidth="1"/>
    <col min="1037" max="1037" width="10.5703125" style="802" customWidth="1"/>
    <col min="1038" max="1038" width="15.28515625" style="802" customWidth="1"/>
    <col min="1039" max="1039" width="2.42578125" style="802" customWidth="1"/>
    <col min="1040" max="1280" width="8.85546875" style="802"/>
    <col min="1281" max="1281" width="18.140625" style="802" customWidth="1"/>
    <col min="1282" max="1282" width="2.28515625" style="802" customWidth="1"/>
    <col min="1283" max="1283" width="8.140625" style="802" customWidth="1"/>
    <col min="1284" max="1284" width="42.5703125" style="802" customWidth="1"/>
    <col min="1285" max="1285" width="24.85546875" style="802" customWidth="1"/>
    <col min="1286" max="1286" width="24.7109375" style="802" customWidth="1"/>
    <col min="1287" max="1287" width="10" style="802" customWidth="1"/>
    <col min="1288" max="1292" width="12.42578125" style="802" customWidth="1"/>
    <col min="1293" max="1293" width="10.5703125" style="802" customWidth="1"/>
    <col min="1294" max="1294" width="15.28515625" style="802" customWidth="1"/>
    <col min="1295" max="1295" width="2.42578125" style="802" customWidth="1"/>
    <col min="1296" max="1536" width="8.85546875" style="802"/>
    <col min="1537" max="1537" width="18.140625" style="802" customWidth="1"/>
    <col min="1538" max="1538" width="2.28515625" style="802" customWidth="1"/>
    <col min="1539" max="1539" width="8.140625" style="802" customWidth="1"/>
    <col min="1540" max="1540" width="42.5703125" style="802" customWidth="1"/>
    <col min="1541" max="1541" width="24.85546875" style="802" customWidth="1"/>
    <col min="1542" max="1542" width="24.7109375" style="802" customWidth="1"/>
    <col min="1543" max="1543" width="10" style="802" customWidth="1"/>
    <col min="1544" max="1548" width="12.42578125" style="802" customWidth="1"/>
    <col min="1549" max="1549" width="10.5703125" style="802" customWidth="1"/>
    <col min="1550" max="1550" width="15.28515625" style="802" customWidth="1"/>
    <col min="1551" max="1551" width="2.42578125" style="802" customWidth="1"/>
    <col min="1552" max="1792" width="8.85546875" style="802"/>
    <col min="1793" max="1793" width="18.140625" style="802" customWidth="1"/>
    <col min="1794" max="1794" width="2.28515625" style="802" customWidth="1"/>
    <col min="1795" max="1795" width="8.140625" style="802" customWidth="1"/>
    <col min="1796" max="1796" width="42.5703125" style="802" customWidth="1"/>
    <col min="1797" max="1797" width="24.85546875" style="802" customWidth="1"/>
    <col min="1798" max="1798" width="24.7109375" style="802" customWidth="1"/>
    <col min="1799" max="1799" width="10" style="802" customWidth="1"/>
    <col min="1800" max="1804" width="12.42578125" style="802" customWidth="1"/>
    <col min="1805" max="1805" width="10.5703125" style="802" customWidth="1"/>
    <col min="1806" max="1806" width="15.28515625" style="802" customWidth="1"/>
    <col min="1807" max="1807" width="2.42578125" style="802" customWidth="1"/>
    <col min="1808" max="2048" width="8.85546875" style="802"/>
    <col min="2049" max="2049" width="18.140625" style="802" customWidth="1"/>
    <col min="2050" max="2050" width="2.28515625" style="802" customWidth="1"/>
    <col min="2051" max="2051" width="8.140625" style="802" customWidth="1"/>
    <col min="2052" max="2052" width="42.5703125" style="802" customWidth="1"/>
    <col min="2053" max="2053" width="24.85546875" style="802" customWidth="1"/>
    <col min="2054" max="2054" width="24.7109375" style="802" customWidth="1"/>
    <col min="2055" max="2055" width="10" style="802" customWidth="1"/>
    <col min="2056" max="2060" width="12.42578125" style="802" customWidth="1"/>
    <col min="2061" max="2061" width="10.5703125" style="802" customWidth="1"/>
    <col min="2062" max="2062" width="15.28515625" style="802" customWidth="1"/>
    <col min="2063" max="2063" width="2.42578125" style="802" customWidth="1"/>
    <col min="2064" max="2304" width="8.85546875" style="802"/>
    <col min="2305" max="2305" width="18.140625" style="802" customWidth="1"/>
    <col min="2306" max="2306" width="2.28515625" style="802" customWidth="1"/>
    <col min="2307" max="2307" width="8.140625" style="802" customWidth="1"/>
    <col min="2308" max="2308" width="42.5703125" style="802" customWidth="1"/>
    <col min="2309" max="2309" width="24.85546875" style="802" customWidth="1"/>
    <col min="2310" max="2310" width="24.7109375" style="802" customWidth="1"/>
    <col min="2311" max="2311" width="10" style="802" customWidth="1"/>
    <col min="2312" max="2316" width="12.42578125" style="802" customWidth="1"/>
    <col min="2317" max="2317" width="10.5703125" style="802" customWidth="1"/>
    <col min="2318" max="2318" width="15.28515625" style="802" customWidth="1"/>
    <col min="2319" max="2319" width="2.42578125" style="802" customWidth="1"/>
    <col min="2320" max="2560" width="8.85546875" style="802"/>
    <col min="2561" max="2561" width="18.140625" style="802" customWidth="1"/>
    <col min="2562" max="2562" width="2.28515625" style="802" customWidth="1"/>
    <col min="2563" max="2563" width="8.140625" style="802" customWidth="1"/>
    <col min="2564" max="2564" width="42.5703125" style="802" customWidth="1"/>
    <col min="2565" max="2565" width="24.85546875" style="802" customWidth="1"/>
    <col min="2566" max="2566" width="24.7109375" style="802" customWidth="1"/>
    <col min="2567" max="2567" width="10" style="802" customWidth="1"/>
    <col min="2568" max="2572" width="12.42578125" style="802" customWidth="1"/>
    <col min="2573" max="2573" width="10.5703125" style="802" customWidth="1"/>
    <col min="2574" max="2574" width="15.28515625" style="802" customWidth="1"/>
    <col min="2575" max="2575" width="2.42578125" style="802" customWidth="1"/>
    <col min="2576" max="2816" width="8.85546875" style="802"/>
    <col min="2817" max="2817" width="18.140625" style="802" customWidth="1"/>
    <col min="2818" max="2818" width="2.28515625" style="802" customWidth="1"/>
    <col min="2819" max="2819" width="8.140625" style="802" customWidth="1"/>
    <col min="2820" max="2820" width="42.5703125" style="802" customWidth="1"/>
    <col min="2821" max="2821" width="24.85546875" style="802" customWidth="1"/>
    <col min="2822" max="2822" width="24.7109375" style="802" customWidth="1"/>
    <col min="2823" max="2823" width="10" style="802" customWidth="1"/>
    <col min="2824" max="2828" width="12.42578125" style="802" customWidth="1"/>
    <col min="2829" max="2829" width="10.5703125" style="802" customWidth="1"/>
    <col min="2830" max="2830" width="15.28515625" style="802" customWidth="1"/>
    <col min="2831" max="2831" width="2.42578125" style="802" customWidth="1"/>
    <col min="2832" max="3072" width="8.85546875" style="802"/>
    <col min="3073" max="3073" width="18.140625" style="802" customWidth="1"/>
    <col min="3074" max="3074" width="2.28515625" style="802" customWidth="1"/>
    <col min="3075" max="3075" width="8.140625" style="802" customWidth="1"/>
    <col min="3076" max="3076" width="42.5703125" style="802" customWidth="1"/>
    <col min="3077" max="3077" width="24.85546875" style="802" customWidth="1"/>
    <col min="3078" max="3078" width="24.7109375" style="802" customWidth="1"/>
    <col min="3079" max="3079" width="10" style="802" customWidth="1"/>
    <col min="3080" max="3084" width="12.42578125" style="802" customWidth="1"/>
    <col min="3085" max="3085" width="10.5703125" style="802" customWidth="1"/>
    <col min="3086" max="3086" width="15.28515625" style="802" customWidth="1"/>
    <col min="3087" max="3087" width="2.42578125" style="802" customWidth="1"/>
    <col min="3088" max="3328" width="8.85546875" style="802"/>
    <col min="3329" max="3329" width="18.140625" style="802" customWidth="1"/>
    <col min="3330" max="3330" width="2.28515625" style="802" customWidth="1"/>
    <col min="3331" max="3331" width="8.140625" style="802" customWidth="1"/>
    <col min="3332" max="3332" width="42.5703125" style="802" customWidth="1"/>
    <col min="3333" max="3333" width="24.85546875" style="802" customWidth="1"/>
    <col min="3334" max="3334" width="24.7109375" style="802" customWidth="1"/>
    <col min="3335" max="3335" width="10" style="802" customWidth="1"/>
    <col min="3336" max="3340" width="12.42578125" style="802" customWidth="1"/>
    <col min="3341" max="3341" width="10.5703125" style="802" customWidth="1"/>
    <col min="3342" max="3342" width="15.28515625" style="802" customWidth="1"/>
    <col min="3343" max="3343" width="2.42578125" style="802" customWidth="1"/>
    <col min="3344" max="3584" width="8.85546875" style="802"/>
    <col min="3585" max="3585" width="18.140625" style="802" customWidth="1"/>
    <col min="3586" max="3586" width="2.28515625" style="802" customWidth="1"/>
    <col min="3587" max="3587" width="8.140625" style="802" customWidth="1"/>
    <col min="3588" max="3588" width="42.5703125" style="802" customWidth="1"/>
    <col min="3589" max="3589" width="24.85546875" style="802" customWidth="1"/>
    <col min="3590" max="3590" width="24.7109375" style="802" customWidth="1"/>
    <col min="3591" max="3591" width="10" style="802" customWidth="1"/>
    <col min="3592" max="3596" width="12.42578125" style="802" customWidth="1"/>
    <col min="3597" max="3597" width="10.5703125" style="802" customWidth="1"/>
    <col min="3598" max="3598" width="15.28515625" style="802" customWidth="1"/>
    <col min="3599" max="3599" width="2.42578125" style="802" customWidth="1"/>
    <col min="3600" max="3840" width="8.85546875" style="802"/>
    <col min="3841" max="3841" width="18.140625" style="802" customWidth="1"/>
    <col min="3842" max="3842" width="2.28515625" style="802" customWidth="1"/>
    <col min="3843" max="3843" width="8.140625" style="802" customWidth="1"/>
    <col min="3844" max="3844" width="42.5703125" style="802" customWidth="1"/>
    <col min="3845" max="3845" width="24.85546875" style="802" customWidth="1"/>
    <col min="3846" max="3846" width="24.7109375" style="802" customWidth="1"/>
    <col min="3847" max="3847" width="10" style="802" customWidth="1"/>
    <col min="3848" max="3852" width="12.42578125" style="802" customWidth="1"/>
    <col min="3853" max="3853" width="10.5703125" style="802" customWidth="1"/>
    <col min="3854" max="3854" width="15.28515625" style="802" customWidth="1"/>
    <col min="3855" max="3855" width="2.42578125" style="802" customWidth="1"/>
    <col min="3856" max="4096" width="8.85546875" style="802"/>
    <col min="4097" max="4097" width="18.140625" style="802" customWidth="1"/>
    <col min="4098" max="4098" width="2.28515625" style="802" customWidth="1"/>
    <col min="4099" max="4099" width="8.140625" style="802" customWidth="1"/>
    <col min="4100" max="4100" width="42.5703125" style="802" customWidth="1"/>
    <col min="4101" max="4101" width="24.85546875" style="802" customWidth="1"/>
    <col min="4102" max="4102" width="24.7109375" style="802" customWidth="1"/>
    <col min="4103" max="4103" width="10" style="802" customWidth="1"/>
    <col min="4104" max="4108" width="12.42578125" style="802" customWidth="1"/>
    <col min="4109" max="4109" width="10.5703125" style="802" customWidth="1"/>
    <col min="4110" max="4110" width="15.28515625" style="802" customWidth="1"/>
    <col min="4111" max="4111" width="2.42578125" style="802" customWidth="1"/>
    <col min="4112" max="4352" width="8.85546875" style="802"/>
    <col min="4353" max="4353" width="18.140625" style="802" customWidth="1"/>
    <col min="4354" max="4354" width="2.28515625" style="802" customWidth="1"/>
    <col min="4355" max="4355" width="8.140625" style="802" customWidth="1"/>
    <col min="4356" max="4356" width="42.5703125" style="802" customWidth="1"/>
    <col min="4357" max="4357" width="24.85546875" style="802" customWidth="1"/>
    <col min="4358" max="4358" width="24.7109375" style="802" customWidth="1"/>
    <col min="4359" max="4359" width="10" style="802" customWidth="1"/>
    <col min="4360" max="4364" width="12.42578125" style="802" customWidth="1"/>
    <col min="4365" max="4365" width="10.5703125" style="802" customWidth="1"/>
    <col min="4366" max="4366" width="15.28515625" style="802" customWidth="1"/>
    <col min="4367" max="4367" width="2.42578125" style="802" customWidth="1"/>
    <col min="4368" max="4608" width="8.85546875" style="802"/>
    <col min="4609" max="4609" width="18.140625" style="802" customWidth="1"/>
    <col min="4610" max="4610" width="2.28515625" style="802" customWidth="1"/>
    <col min="4611" max="4611" width="8.140625" style="802" customWidth="1"/>
    <col min="4612" max="4612" width="42.5703125" style="802" customWidth="1"/>
    <col min="4613" max="4613" width="24.85546875" style="802" customWidth="1"/>
    <col min="4614" max="4614" width="24.7109375" style="802" customWidth="1"/>
    <col min="4615" max="4615" width="10" style="802" customWidth="1"/>
    <col min="4616" max="4620" width="12.42578125" style="802" customWidth="1"/>
    <col min="4621" max="4621" width="10.5703125" style="802" customWidth="1"/>
    <col min="4622" max="4622" width="15.28515625" style="802" customWidth="1"/>
    <col min="4623" max="4623" width="2.42578125" style="802" customWidth="1"/>
    <col min="4624" max="4864" width="8.85546875" style="802"/>
    <col min="4865" max="4865" width="18.140625" style="802" customWidth="1"/>
    <col min="4866" max="4866" width="2.28515625" style="802" customWidth="1"/>
    <col min="4867" max="4867" width="8.140625" style="802" customWidth="1"/>
    <col min="4868" max="4868" width="42.5703125" style="802" customWidth="1"/>
    <col min="4869" max="4869" width="24.85546875" style="802" customWidth="1"/>
    <col min="4870" max="4870" width="24.7109375" style="802" customWidth="1"/>
    <col min="4871" max="4871" width="10" style="802" customWidth="1"/>
    <col min="4872" max="4876" width="12.42578125" style="802" customWidth="1"/>
    <col min="4877" max="4877" width="10.5703125" style="802" customWidth="1"/>
    <col min="4878" max="4878" width="15.28515625" style="802" customWidth="1"/>
    <col min="4879" max="4879" width="2.42578125" style="802" customWidth="1"/>
    <col min="4880" max="5120" width="8.85546875" style="802"/>
    <col min="5121" max="5121" width="18.140625" style="802" customWidth="1"/>
    <col min="5122" max="5122" width="2.28515625" style="802" customWidth="1"/>
    <col min="5123" max="5123" width="8.140625" style="802" customWidth="1"/>
    <col min="5124" max="5124" width="42.5703125" style="802" customWidth="1"/>
    <col min="5125" max="5125" width="24.85546875" style="802" customWidth="1"/>
    <col min="5126" max="5126" width="24.7109375" style="802" customWidth="1"/>
    <col min="5127" max="5127" width="10" style="802" customWidth="1"/>
    <col min="5128" max="5132" width="12.42578125" style="802" customWidth="1"/>
    <col min="5133" max="5133" width="10.5703125" style="802" customWidth="1"/>
    <col min="5134" max="5134" width="15.28515625" style="802" customWidth="1"/>
    <col min="5135" max="5135" width="2.42578125" style="802" customWidth="1"/>
    <col min="5136" max="5376" width="8.85546875" style="802"/>
    <col min="5377" max="5377" width="18.140625" style="802" customWidth="1"/>
    <col min="5378" max="5378" width="2.28515625" style="802" customWidth="1"/>
    <col min="5379" max="5379" width="8.140625" style="802" customWidth="1"/>
    <col min="5380" max="5380" width="42.5703125" style="802" customWidth="1"/>
    <col min="5381" max="5381" width="24.85546875" style="802" customWidth="1"/>
    <col min="5382" max="5382" width="24.7109375" style="802" customWidth="1"/>
    <col min="5383" max="5383" width="10" style="802" customWidth="1"/>
    <col min="5384" max="5388" width="12.42578125" style="802" customWidth="1"/>
    <col min="5389" max="5389" width="10.5703125" style="802" customWidth="1"/>
    <col min="5390" max="5390" width="15.28515625" style="802" customWidth="1"/>
    <col min="5391" max="5391" width="2.42578125" style="802" customWidth="1"/>
    <col min="5392" max="5632" width="8.85546875" style="802"/>
    <col min="5633" max="5633" width="18.140625" style="802" customWidth="1"/>
    <col min="5634" max="5634" width="2.28515625" style="802" customWidth="1"/>
    <col min="5635" max="5635" width="8.140625" style="802" customWidth="1"/>
    <col min="5636" max="5636" width="42.5703125" style="802" customWidth="1"/>
    <col min="5637" max="5637" width="24.85546875" style="802" customWidth="1"/>
    <col min="5638" max="5638" width="24.7109375" style="802" customWidth="1"/>
    <col min="5639" max="5639" width="10" style="802" customWidth="1"/>
    <col min="5640" max="5644" width="12.42578125" style="802" customWidth="1"/>
    <col min="5645" max="5645" width="10.5703125" style="802" customWidth="1"/>
    <col min="5646" max="5646" width="15.28515625" style="802" customWidth="1"/>
    <col min="5647" max="5647" width="2.42578125" style="802" customWidth="1"/>
    <col min="5648" max="5888" width="8.85546875" style="802"/>
    <col min="5889" max="5889" width="18.140625" style="802" customWidth="1"/>
    <col min="5890" max="5890" width="2.28515625" style="802" customWidth="1"/>
    <col min="5891" max="5891" width="8.140625" style="802" customWidth="1"/>
    <col min="5892" max="5892" width="42.5703125" style="802" customWidth="1"/>
    <col min="5893" max="5893" width="24.85546875" style="802" customWidth="1"/>
    <col min="5894" max="5894" width="24.7109375" style="802" customWidth="1"/>
    <col min="5895" max="5895" width="10" style="802" customWidth="1"/>
    <col min="5896" max="5900" width="12.42578125" style="802" customWidth="1"/>
    <col min="5901" max="5901" width="10.5703125" style="802" customWidth="1"/>
    <col min="5902" max="5902" width="15.28515625" style="802" customWidth="1"/>
    <col min="5903" max="5903" width="2.42578125" style="802" customWidth="1"/>
    <col min="5904" max="6144" width="8.85546875" style="802"/>
    <col min="6145" max="6145" width="18.140625" style="802" customWidth="1"/>
    <col min="6146" max="6146" width="2.28515625" style="802" customWidth="1"/>
    <col min="6147" max="6147" width="8.140625" style="802" customWidth="1"/>
    <col min="6148" max="6148" width="42.5703125" style="802" customWidth="1"/>
    <col min="6149" max="6149" width="24.85546875" style="802" customWidth="1"/>
    <col min="6150" max="6150" width="24.7109375" style="802" customWidth="1"/>
    <col min="6151" max="6151" width="10" style="802" customWidth="1"/>
    <col min="6152" max="6156" width="12.42578125" style="802" customWidth="1"/>
    <col min="6157" max="6157" width="10.5703125" style="802" customWidth="1"/>
    <col min="6158" max="6158" width="15.28515625" style="802" customWidth="1"/>
    <col min="6159" max="6159" width="2.42578125" style="802" customWidth="1"/>
    <col min="6160" max="6400" width="8.85546875" style="802"/>
    <col min="6401" max="6401" width="18.140625" style="802" customWidth="1"/>
    <col min="6402" max="6402" width="2.28515625" style="802" customWidth="1"/>
    <col min="6403" max="6403" width="8.140625" style="802" customWidth="1"/>
    <col min="6404" max="6404" width="42.5703125" style="802" customWidth="1"/>
    <col min="6405" max="6405" width="24.85546875" style="802" customWidth="1"/>
    <col min="6406" max="6406" width="24.7109375" style="802" customWidth="1"/>
    <col min="6407" max="6407" width="10" style="802" customWidth="1"/>
    <col min="6408" max="6412" width="12.42578125" style="802" customWidth="1"/>
    <col min="6413" max="6413" width="10.5703125" style="802" customWidth="1"/>
    <col min="6414" max="6414" width="15.28515625" style="802" customWidth="1"/>
    <col min="6415" max="6415" width="2.42578125" style="802" customWidth="1"/>
    <col min="6416" max="6656" width="8.85546875" style="802"/>
    <col min="6657" max="6657" width="18.140625" style="802" customWidth="1"/>
    <col min="6658" max="6658" width="2.28515625" style="802" customWidth="1"/>
    <col min="6659" max="6659" width="8.140625" style="802" customWidth="1"/>
    <col min="6660" max="6660" width="42.5703125" style="802" customWidth="1"/>
    <col min="6661" max="6661" width="24.85546875" style="802" customWidth="1"/>
    <col min="6662" max="6662" width="24.7109375" style="802" customWidth="1"/>
    <col min="6663" max="6663" width="10" style="802" customWidth="1"/>
    <col min="6664" max="6668" width="12.42578125" style="802" customWidth="1"/>
    <col min="6669" max="6669" width="10.5703125" style="802" customWidth="1"/>
    <col min="6670" max="6670" width="15.28515625" style="802" customWidth="1"/>
    <col min="6671" max="6671" width="2.42578125" style="802" customWidth="1"/>
    <col min="6672" max="6912" width="8.85546875" style="802"/>
    <col min="6913" max="6913" width="18.140625" style="802" customWidth="1"/>
    <col min="6914" max="6914" width="2.28515625" style="802" customWidth="1"/>
    <col min="6915" max="6915" width="8.140625" style="802" customWidth="1"/>
    <col min="6916" max="6916" width="42.5703125" style="802" customWidth="1"/>
    <col min="6917" max="6917" width="24.85546875" style="802" customWidth="1"/>
    <col min="6918" max="6918" width="24.7109375" style="802" customWidth="1"/>
    <col min="6919" max="6919" width="10" style="802" customWidth="1"/>
    <col min="6920" max="6924" width="12.42578125" style="802" customWidth="1"/>
    <col min="6925" max="6925" width="10.5703125" style="802" customWidth="1"/>
    <col min="6926" max="6926" width="15.28515625" style="802" customWidth="1"/>
    <col min="6927" max="6927" width="2.42578125" style="802" customWidth="1"/>
    <col min="6928" max="7168" width="8.85546875" style="802"/>
    <col min="7169" max="7169" width="18.140625" style="802" customWidth="1"/>
    <col min="7170" max="7170" width="2.28515625" style="802" customWidth="1"/>
    <col min="7171" max="7171" width="8.140625" style="802" customWidth="1"/>
    <col min="7172" max="7172" width="42.5703125" style="802" customWidth="1"/>
    <col min="7173" max="7173" width="24.85546875" style="802" customWidth="1"/>
    <col min="7174" max="7174" width="24.7109375" style="802" customWidth="1"/>
    <col min="7175" max="7175" width="10" style="802" customWidth="1"/>
    <col min="7176" max="7180" width="12.42578125" style="802" customWidth="1"/>
    <col min="7181" max="7181" width="10.5703125" style="802" customWidth="1"/>
    <col min="7182" max="7182" width="15.28515625" style="802" customWidth="1"/>
    <col min="7183" max="7183" width="2.42578125" style="802" customWidth="1"/>
    <col min="7184" max="7424" width="8.85546875" style="802"/>
    <col min="7425" max="7425" width="18.140625" style="802" customWidth="1"/>
    <col min="7426" max="7426" width="2.28515625" style="802" customWidth="1"/>
    <col min="7427" max="7427" width="8.140625" style="802" customWidth="1"/>
    <col min="7428" max="7428" width="42.5703125" style="802" customWidth="1"/>
    <col min="7429" max="7429" width="24.85546875" style="802" customWidth="1"/>
    <col min="7430" max="7430" width="24.7109375" style="802" customWidth="1"/>
    <col min="7431" max="7431" width="10" style="802" customWidth="1"/>
    <col min="7432" max="7436" width="12.42578125" style="802" customWidth="1"/>
    <col min="7437" max="7437" width="10.5703125" style="802" customWidth="1"/>
    <col min="7438" max="7438" width="15.28515625" style="802" customWidth="1"/>
    <col min="7439" max="7439" width="2.42578125" style="802" customWidth="1"/>
    <col min="7440" max="7680" width="8.85546875" style="802"/>
    <col min="7681" max="7681" width="18.140625" style="802" customWidth="1"/>
    <col min="7682" max="7682" width="2.28515625" style="802" customWidth="1"/>
    <col min="7683" max="7683" width="8.140625" style="802" customWidth="1"/>
    <col min="7684" max="7684" width="42.5703125" style="802" customWidth="1"/>
    <col min="7685" max="7685" width="24.85546875" style="802" customWidth="1"/>
    <col min="7686" max="7686" width="24.7109375" style="802" customWidth="1"/>
    <col min="7687" max="7687" width="10" style="802" customWidth="1"/>
    <col min="7688" max="7692" width="12.42578125" style="802" customWidth="1"/>
    <col min="7693" max="7693" width="10.5703125" style="802" customWidth="1"/>
    <col min="7694" max="7694" width="15.28515625" style="802" customWidth="1"/>
    <col min="7695" max="7695" width="2.42578125" style="802" customWidth="1"/>
    <col min="7696" max="7936" width="8.85546875" style="802"/>
    <col min="7937" max="7937" width="18.140625" style="802" customWidth="1"/>
    <col min="7938" max="7938" width="2.28515625" style="802" customWidth="1"/>
    <col min="7939" max="7939" width="8.140625" style="802" customWidth="1"/>
    <col min="7940" max="7940" width="42.5703125" style="802" customWidth="1"/>
    <col min="7941" max="7941" width="24.85546875" style="802" customWidth="1"/>
    <col min="7942" max="7942" width="24.7109375" style="802" customWidth="1"/>
    <col min="7943" max="7943" width="10" style="802" customWidth="1"/>
    <col min="7944" max="7948" width="12.42578125" style="802" customWidth="1"/>
    <col min="7949" max="7949" width="10.5703125" style="802" customWidth="1"/>
    <col min="7950" max="7950" width="15.28515625" style="802" customWidth="1"/>
    <col min="7951" max="7951" width="2.42578125" style="802" customWidth="1"/>
    <col min="7952" max="8192" width="8.85546875" style="802"/>
    <col min="8193" max="8193" width="18.140625" style="802" customWidth="1"/>
    <col min="8194" max="8194" width="2.28515625" style="802" customWidth="1"/>
    <col min="8195" max="8195" width="8.140625" style="802" customWidth="1"/>
    <col min="8196" max="8196" width="42.5703125" style="802" customWidth="1"/>
    <col min="8197" max="8197" width="24.85546875" style="802" customWidth="1"/>
    <col min="8198" max="8198" width="24.7109375" style="802" customWidth="1"/>
    <col min="8199" max="8199" width="10" style="802" customWidth="1"/>
    <col min="8200" max="8204" width="12.42578125" style="802" customWidth="1"/>
    <col min="8205" max="8205" width="10.5703125" style="802" customWidth="1"/>
    <col min="8206" max="8206" width="15.28515625" style="802" customWidth="1"/>
    <col min="8207" max="8207" width="2.42578125" style="802" customWidth="1"/>
    <col min="8208" max="8448" width="8.85546875" style="802"/>
    <col min="8449" max="8449" width="18.140625" style="802" customWidth="1"/>
    <col min="8450" max="8450" width="2.28515625" style="802" customWidth="1"/>
    <col min="8451" max="8451" width="8.140625" style="802" customWidth="1"/>
    <col min="8452" max="8452" width="42.5703125" style="802" customWidth="1"/>
    <col min="8453" max="8453" width="24.85546875" style="802" customWidth="1"/>
    <col min="8454" max="8454" width="24.7109375" style="802" customWidth="1"/>
    <col min="8455" max="8455" width="10" style="802" customWidth="1"/>
    <col min="8456" max="8460" width="12.42578125" style="802" customWidth="1"/>
    <col min="8461" max="8461" width="10.5703125" style="802" customWidth="1"/>
    <col min="8462" max="8462" width="15.28515625" style="802" customWidth="1"/>
    <col min="8463" max="8463" width="2.42578125" style="802" customWidth="1"/>
    <col min="8464" max="8704" width="8.85546875" style="802"/>
    <col min="8705" max="8705" width="18.140625" style="802" customWidth="1"/>
    <col min="8706" max="8706" width="2.28515625" style="802" customWidth="1"/>
    <col min="8707" max="8707" width="8.140625" style="802" customWidth="1"/>
    <col min="8708" max="8708" width="42.5703125" style="802" customWidth="1"/>
    <col min="8709" max="8709" width="24.85546875" style="802" customWidth="1"/>
    <col min="8710" max="8710" width="24.7109375" style="802" customWidth="1"/>
    <col min="8711" max="8711" width="10" style="802" customWidth="1"/>
    <col min="8712" max="8716" width="12.42578125" style="802" customWidth="1"/>
    <col min="8717" max="8717" width="10.5703125" style="802" customWidth="1"/>
    <col min="8718" max="8718" width="15.28515625" style="802" customWidth="1"/>
    <col min="8719" max="8719" width="2.42578125" style="802" customWidth="1"/>
    <col min="8720" max="8960" width="8.85546875" style="802"/>
    <col min="8961" max="8961" width="18.140625" style="802" customWidth="1"/>
    <col min="8962" max="8962" width="2.28515625" style="802" customWidth="1"/>
    <col min="8963" max="8963" width="8.140625" style="802" customWidth="1"/>
    <col min="8964" max="8964" width="42.5703125" style="802" customWidth="1"/>
    <col min="8965" max="8965" width="24.85546875" style="802" customWidth="1"/>
    <col min="8966" max="8966" width="24.7109375" style="802" customWidth="1"/>
    <col min="8967" max="8967" width="10" style="802" customWidth="1"/>
    <col min="8968" max="8972" width="12.42578125" style="802" customWidth="1"/>
    <col min="8973" max="8973" width="10.5703125" style="802" customWidth="1"/>
    <col min="8974" max="8974" width="15.28515625" style="802" customWidth="1"/>
    <col min="8975" max="8975" width="2.42578125" style="802" customWidth="1"/>
    <col min="8976" max="9216" width="8.85546875" style="802"/>
    <col min="9217" max="9217" width="18.140625" style="802" customWidth="1"/>
    <col min="9218" max="9218" width="2.28515625" style="802" customWidth="1"/>
    <col min="9219" max="9219" width="8.140625" style="802" customWidth="1"/>
    <col min="9220" max="9220" width="42.5703125" style="802" customWidth="1"/>
    <col min="9221" max="9221" width="24.85546875" style="802" customWidth="1"/>
    <col min="9222" max="9222" width="24.7109375" style="802" customWidth="1"/>
    <col min="9223" max="9223" width="10" style="802" customWidth="1"/>
    <col min="9224" max="9228" width="12.42578125" style="802" customWidth="1"/>
    <col min="9229" max="9229" width="10.5703125" style="802" customWidth="1"/>
    <col min="9230" max="9230" width="15.28515625" style="802" customWidth="1"/>
    <col min="9231" max="9231" width="2.42578125" style="802" customWidth="1"/>
    <col min="9232" max="9472" width="8.85546875" style="802"/>
    <col min="9473" max="9473" width="18.140625" style="802" customWidth="1"/>
    <col min="9474" max="9474" width="2.28515625" style="802" customWidth="1"/>
    <col min="9475" max="9475" width="8.140625" style="802" customWidth="1"/>
    <col min="9476" max="9476" width="42.5703125" style="802" customWidth="1"/>
    <col min="9477" max="9477" width="24.85546875" style="802" customWidth="1"/>
    <col min="9478" max="9478" width="24.7109375" style="802" customWidth="1"/>
    <col min="9479" max="9479" width="10" style="802" customWidth="1"/>
    <col min="9480" max="9484" width="12.42578125" style="802" customWidth="1"/>
    <col min="9485" max="9485" width="10.5703125" style="802" customWidth="1"/>
    <col min="9486" max="9486" width="15.28515625" style="802" customWidth="1"/>
    <col min="9487" max="9487" width="2.42578125" style="802" customWidth="1"/>
    <col min="9488" max="9728" width="8.85546875" style="802"/>
    <col min="9729" max="9729" width="18.140625" style="802" customWidth="1"/>
    <col min="9730" max="9730" width="2.28515625" style="802" customWidth="1"/>
    <col min="9731" max="9731" width="8.140625" style="802" customWidth="1"/>
    <col min="9732" max="9732" width="42.5703125" style="802" customWidth="1"/>
    <col min="9733" max="9733" width="24.85546875" style="802" customWidth="1"/>
    <col min="9734" max="9734" width="24.7109375" style="802" customWidth="1"/>
    <col min="9735" max="9735" width="10" style="802" customWidth="1"/>
    <col min="9736" max="9740" width="12.42578125" style="802" customWidth="1"/>
    <col min="9741" max="9741" width="10.5703125" style="802" customWidth="1"/>
    <col min="9742" max="9742" width="15.28515625" style="802" customWidth="1"/>
    <col min="9743" max="9743" width="2.42578125" style="802" customWidth="1"/>
    <col min="9744" max="9984" width="8.85546875" style="802"/>
    <col min="9985" max="9985" width="18.140625" style="802" customWidth="1"/>
    <col min="9986" max="9986" width="2.28515625" style="802" customWidth="1"/>
    <col min="9987" max="9987" width="8.140625" style="802" customWidth="1"/>
    <col min="9988" max="9988" width="42.5703125" style="802" customWidth="1"/>
    <col min="9989" max="9989" width="24.85546875" style="802" customWidth="1"/>
    <col min="9990" max="9990" width="24.7109375" style="802" customWidth="1"/>
    <col min="9991" max="9991" width="10" style="802" customWidth="1"/>
    <col min="9992" max="9996" width="12.42578125" style="802" customWidth="1"/>
    <col min="9997" max="9997" width="10.5703125" style="802" customWidth="1"/>
    <col min="9998" max="9998" width="15.28515625" style="802" customWidth="1"/>
    <col min="9999" max="9999" width="2.42578125" style="802" customWidth="1"/>
    <col min="10000" max="10240" width="8.85546875" style="802"/>
    <col min="10241" max="10241" width="18.140625" style="802" customWidth="1"/>
    <col min="10242" max="10242" width="2.28515625" style="802" customWidth="1"/>
    <col min="10243" max="10243" width="8.140625" style="802" customWidth="1"/>
    <col min="10244" max="10244" width="42.5703125" style="802" customWidth="1"/>
    <col min="10245" max="10245" width="24.85546875" style="802" customWidth="1"/>
    <col min="10246" max="10246" width="24.7109375" style="802" customWidth="1"/>
    <col min="10247" max="10247" width="10" style="802" customWidth="1"/>
    <col min="10248" max="10252" width="12.42578125" style="802" customWidth="1"/>
    <col min="10253" max="10253" width="10.5703125" style="802" customWidth="1"/>
    <col min="10254" max="10254" width="15.28515625" style="802" customWidth="1"/>
    <col min="10255" max="10255" width="2.42578125" style="802" customWidth="1"/>
    <col min="10256" max="10496" width="8.85546875" style="802"/>
    <col min="10497" max="10497" width="18.140625" style="802" customWidth="1"/>
    <col min="10498" max="10498" width="2.28515625" style="802" customWidth="1"/>
    <col min="10499" max="10499" width="8.140625" style="802" customWidth="1"/>
    <col min="10500" max="10500" width="42.5703125" style="802" customWidth="1"/>
    <col min="10501" max="10501" width="24.85546875" style="802" customWidth="1"/>
    <col min="10502" max="10502" width="24.7109375" style="802" customWidth="1"/>
    <col min="10503" max="10503" width="10" style="802" customWidth="1"/>
    <col min="10504" max="10508" width="12.42578125" style="802" customWidth="1"/>
    <col min="10509" max="10509" width="10.5703125" style="802" customWidth="1"/>
    <col min="10510" max="10510" width="15.28515625" style="802" customWidth="1"/>
    <col min="10511" max="10511" width="2.42578125" style="802" customWidth="1"/>
    <col min="10512" max="10752" width="8.85546875" style="802"/>
    <col min="10753" max="10753" width="18.140625" style="802" customWidth="1"/>
    <col min="10754" max="10754" width="2.28515625" style="802" customWidth="1"/>
    <col min="10755" max="10755" width="8.140625" style="802" customWidth="1"/>
    <col min="10756" max="10756" width="42.5703125" style="802" customWidth="1"/>
    <col min="10757" max="10757" width="24.85546875" style="802" customWidth="1"/>
    <col min="10758" max="10758" width="24.7109375" style="802" customWidth="1"/>
    <col min="10759" max="10759" width="10" style="802" customWidth="1"/>
    <col min="10760" max="10764" width="12.42578125" style="802" customWidth="1"/>
    <col min="10765" max="10765" width="10.5703125" style="802" customWidth="1"/>
    <col min="10766" max="10766" width="15.28515625" style="802" customWidth="1"/>
    <col min="10767" max="10767" width="2.42578125" style="802" customWidth="1"/>
    <col min="10768" max="11008" width="8.85546875" style="802"/>
    <col min="11009" max="11009" width="18.140625" style="802" customWidth="1"/>
    <col min="11010" max="11010" width="2.28515625" style="802" customWidth="1"/>
    <col min="11011" max="11011" width="8.140625" style="802" customWidth="1"/>
    <col min="11012" max="11012" width="42.5703125" style="802" customWidth="1"/>
    <col min="11013" max="11013" width="24.85546875" style="802" customWidth="1"/>
    <col min="11014" max="11014" width="24.7109375" style="802" customWidth="1"/>
    <col min="11015" max="11015" width="10" style="802" customWidth="1"/>
    <col min="11016" max="11020" width="12.42578125" style="802" customWidth="1"/>
    <col min="11021" max="11021" width="10.5703125" style="802" customWidth="1"/>
    <col min="11022" max="11022" width="15.28515625" style="802" customWidth="1"/>
    <col min="11023" max="11023" width="2.42578125" style="802" customWidth="1"/>
    <col min="11024" max="11264" width="8.85546875" style="802"/>
    <col min="11265" max="11265" width="18.140625" style="802" customWidth="1"/>
    <col min="11266" max="11266" width="2.28515625" style="802" customWidth="1"/>
    <col min="11267" max="11267" width="8.140625" style="802" customWidth="1"/>
    <col min="11268" max="11268" width="42.5703125" style="802" customWidth="1"/>
    <col min="11269" max="11269" width="24.85546875" style="802" customWidth="1"/>
    <col min="11270" max="11270" width="24.7109375" style="802" customWidth="1"/>
    <col min="11271" max="11271" width="10" style="802" customWidth="1"/>
    <col min="11272" max="11276" width="12.42578125" style="802" customWidth="1"/>
    <col min="11277" max="11277" width="10.5703125" style="802" customWidth="1"/>
    <col min="11278" max="11278" width="15.28515625" style="802" customWidth="1"/>
    <col min="11279" max="11279" width="2.42578125" style="802" customWidth="1"/>
    <col min="11280" max="11520" width="8.85546875" style="802"/>
    <col min="11521" max="11521" width="18.140625" style="802" customWidth="1"/>
    <col min="11522" max="11522" width="2.28515625" style="802" customWidth="1"/>
    <col min="11523" max="11523" width="8.140625" style="802" customWidth="1"/>
    <col min="11524" max="11524" width="42.5703125" style="802" customWidth="1"/>
    <col min="11525" max="11525" width="24.85546875" style="802" customWidth="1"/>
    <col min="11526" max="11526" width="24.7109375" style="802" customWidth="1"/>
    <col min="11527" max="11527" width="10" style="802" customWidth="1"/>
    <col min="11528" max="11532" width="12.42578125" style="802" customWidth="1"/>
    <col min="11533" max="11533" width="10.5703125" style="802" customWidth="1"/>
    <col min="11534" max="11534" width="15.28515625" style="802" customWidth="1"/>
    <col min="11535" max="11535" width="2.42578125" style="802" customWidth="1"/>
    <col min="11536" max="11776" width="8.85546875" style="802"/>
    <col min="11777" max="11777" width="18.140625" style="802" customWidth="1"/>
    <col min="11778" max="11778" width="2.28515625" style="802" customWidth="1"/>
    <col min="11779" max="11779" width="8.140625" style="802" customWidth="1"/>
    <col min="11780" max="11780" width="42.5703125" style="802" customWidth="1"/>
    <col min="11781" max="11781" width="24.85546875" style="802" customWidth="1"/>
    <col min="11782" max="11782" width="24.7109375" style="802" customWidth="1"/>
    <col min="11783" max="11783" width="10" style="802" customWidth="1"/>
    <col min="11784" max="11788" width="12.42578125" style="802" customWidth="1"/>
    <col min="11789" max="11789" width="10.5703125" style="802" customWidth="1"/>
    <col min="11790" max="11790" width="15.28515625" style="802" customWidth="1"/>
    <col min="11791" max="11791" width="2.42578125" style="802" customWidth="1"/>
    <col min="11792" max="12032" width="8.85546875" style="802"/>
    <col min="12033" max="12033" width="18.140625" style="802" customWidth="1"/>
    <col min="12034" max="12034" width="2.28515625" style="802" customWidth="1"/>
    <col min="12035" max="12035" width="8.140625" style="802" customWidth="1"/>
    <col min="12036" max="12036" width="42.5703125" style="802" customWidth="1"/>
    <col min="12037" max="12037" width="24.85546875" style="802" customWidth="1"/>
    <col min="12038" max="12038" width="24.7109375" style="802" customWidth="1"/>
    <col min="12039" max="12039" width="10" style="802" customWidth="1"/>
    <col min="12040" max="12044" width="12.42578125" style="802" customWidth="1"/>
    <col min="12045" max="12045" width="10.5703125" style="802" customWidth="1"/>
    <col min="12046" max="12046" width="15.28515625" style="802" customWidth="1"/>
    <col min="12047" max="12047" width="2.42578125" style="802" customWidth="1"/>
    <col min="12048" max="12288" width="8.85546875" style="802"/>
    <col min="12289" max="12289" width="18.140625" style="802" customWidth="1"/>
    <col min="12290" max="12290" width="2.28515625" style="802" customWidth="1"/>
    <col min="12291" max="12291" width="8.140625" style="802" customWidth="1"/>
    <col min="12292" max="12292" width="42.5703125" style="802" customWidth="1"/>
    <col min="12293" max="12293" width="24.85546875" style="802" customWidth="1"/>
    <col min="12294" max="12294" width="24.7109375" style="802" customWidth="1"/>
    <col min="12295" max="12295" width="10" style="802" customWidth="1"/>
    <col min="12296" max="12300" width="12.42578125" style="802" customWidth="1"/>
    <col min="12301" max="12301" width="10.5703125" style="802" customWidth="1"/>
    <col min="12302" max="12302" width="15.28515625" style="802" customWidth="1"/>
    <col min="12303" max="12303" width="2.42578125" style="802" customWidth="1"/>
    <col min="12304" max="12544" width="8.85546875" style="802"/>
    <col min="12545" max="12545" width="18.140625" style="802" customWidth="1"/>
    <col min="12546" max="12546" width="2.28515625" style="802" customWidth="1"/>
    <col min="12547" max="12547" width="8.140625" style="802" customWidth="1"/>
    <col min="12548" max="12548" width="42.5703125" style="802" customWidth="1"/>
    <col min="12549" max="12549" width="24.85546875" style="802" customWidth="1"/>
    <col min="12550" max="12550" width="24.7109375" style="802" customWidth="1"/>
    <col min="12551" max="12551" width="10" style="802" customWidth="1"/>
    <col min="12552" max="12556" width="12.42578125" style="802" customWidth="1"/>
    <col min="12557" max="12557" width="10.5703125" style="802" customWidth="1"/>
    <col min="12558" max="12558" width="15.28515625" style="802" customWidth="1"/>
    <col min="12559" max="12559" width="2.42578125" style="802" customWidth="1"/>
    <col min="12560" max="12800" width="8.85546875" style="802"/>
    <col min="12801" max="12801" width="18.140625" style="802" customWidth="1"/>
    <col min="12802" max="12802" width="2.28515625" style="802" customWidth="1"/>
    <col min="12803" max="12803" width="8.140625" style="802" customWidth="1"/>
    <col min="12804" max="12804" width="42.5703125" style="802" customWidth="1"/>
    <col min="12805" max="12805" width="24.85546875" style="802" customWidth="1"/>
    <col min="12806" max="12806" width="24.7109375" style="802" customWidth="1"/>
    <col min="12807" max="12807" width="10" style="802" customWidth="1"/>
    <col min="12808" max="12812" width="12.42578125" style="802" customWidth="1"/>
    <col min="12813" max="12813" width="10.5703125" style="802" customWidth="1"/>
    <col min="12814" max="12814" width="15.28515625" style="802" customWidth="1"/>
    <col min="12815" max="12815" width="2.42578125" style="802" customWidth="1"/>
    <col min="12816" max="13056" width="8.85546875" style="802"/>
    <col min="13057" max="13057" width="18.140625" style="802" customWidth="1"/>
    <col min="13058" max="13058" width="2.28515625" style="802" customWidth="1"/>
    <col min="13059" max="13059" width="8.140625" style="802" customWidth="1"/>
    <col min="13060" max="13060" width="42.5703125" style="802" customWidth="1"/>
    <col min="13061" max="13061" width="24.85546875" style="802" customWidth="1"/>
    <col min="13062" max="13062" width="24.7109375" style="802" customWidth="1"/>
    <col min="13063" max="13063" width="10" style="802" customWidth="1"/>
    <col min="13064" max="13068" width="12.42578125" style="802" customWidth="1"/>
    <col min="13069" max="13069" width="10.5703125" style="802" customWidth="1"/>
    <col min="13070" max="13070" width="15.28515625" style="802" customWidth="1"/>
    <col min="13071" max="13071" width="2.42578125" style="802" customWidth="1"/>
    <col min="13072" max="13312" width="8.85546875" style="802"/>
    <col min="13313" max="13313" width="18.140625" style="802" customWidth="1"/>
    <col min="13314" max="13314" width="2.28515625" style="802" customWidth="1"/>
    <col min="13315" max="13315" width="8.140625" style="802" customWidth="1"/>
    <col min="13316" max="13316" width="42.5703125" style="802" customWidth="1"/>
    <col min="13317" max="13317" width="24.85546875" style="802" customWidth="1"/>
    <col min="13318" max="13318" width="24.7109375" style="802" customWidth="1"/>
    <col min="13319" max="13319" width="10" style="802" customWidth="1"/>
    <col min="13320" max="13324" width="12.42578125" style="802" customWidth="1"/>
    <col min="13325" max="13325" width="10.5703125" style="802" customWidth="1"/>
    <col min="13326" max="13326" width="15.28515625" style="802" customWidth="1"/>
    <col min="13327" max="13327" width="2.42578125" style="802" customWidth="1"/>
    <col min="13328" max="13568" width="8.85546875" style="802"/>
    <col min="13569" max="13569" width="18.140625" style="802" customWidth="1"/>
    <col min="13570" max="13570" width="2.28515625" style="802" customWidth="1"/>
    <col min="13571" max="13571" width="8.140625" style="802" customWidth="1"/>
    <col min="13572" max="13572" width="42.5703125" style="802" customWidth="1"/>
    <col min="13573" max="13573" width="24.85546875" style="802" customWidth="1"/>
    <col min="13574" max="13574" width="24.7109375" style="802" customWidth="1"/>
    <col min="13575" max="13575" width="10" style="802" customWidth="1"/>
    <col min="13576" max="13580" width="12.42578125" style="802" customWidth="1"/>
    <col min="13581" max="13581" width="10.5703125" style="802" customWidth="1"/>
    <col min="13582" max="13582" width="15.28515625" style="802" customWidth="1"/>
    <col min="13583" max="13583" width="2.42578125" style="802" customWidth="1"/>
    <col min="13584" max="13824" width="8.85546875" style="802"/>
    <col min="13825" max="13825" width="18.140625" style="802" customWidth="1"/>
    <col min="13826" max="13826" width="2.28515625" style="802" customWidth="1"/>
    <col min="13827" max="13827" width="8.140625" style="802" customWidth="1"/>
    <col min="13828" max="13828" width="42.5703125" style="802" customWidth="1"/>
    <col min="13829" max="13829" width="24.85546875" style="802" customWidth="1"/>
    <col min="13830" max="13830" width="24.7109375" style="802" customWidth="1"/>
    <col min="13831" max="13831" width="10" style="802" customWidth="1"/>
    <col min="13832" max="13836" width="12.42578125" style="802" customWidth="1"/>
    <col min="13837" max="13837" width="10.5703125" style="802" customWidth="1"/>
    <col min="13838" max="13838" width="15.28515625" style="802" customWidth="1"/>
    <col min="13839" max="13839" width="2.42578125" style="802" customWidth="1"/>
    <col min="13840" max="14080" width="8.85546875" style="802"/>
    <col min="14081" max="14081" width="18.140625" style="802" customWidth="1"/>
    <col min="14082" max="14082" width="2.28515625" style="802" customWidth="1"/>
    <col min="14083" max="14083" width="8.140625" style="802" customWidth="1"/>
    <col min="14084" max="14084" width="42.5703125" style="802" customWidth="1"/>
    <col min="14085" max="14085" width="24.85546875" style="802" customWidth="1"/>
    <col min="14086" max="14086" width="24.7109375" style="802" customWidth="1"/>
    <col min="14087" max="14087" width="10" style="802" customWidth="1"/>
    <col min="14088" max="14092" width="12.42578125" style="802" customWidth="1"/>
    <col min="14093" max="14093" width="10.5703125" style="802" customWidth="1"/>
    <col min="14094" max="14094" width="15.28515625" style="802" customWidth="1"/>
    <col min="14095" max="14095" width="2.42578125" style="802" customWidth="1"/>
    <col min="14096" max="14336" width="8.85546875" style="802"/>
    <col min="14337" max="14337" width="18.140625" style="802" customWidth="1"/>
    <col min="14338" max="14338" width="2.28515625" style="802" customWidth="1"/>
    <col min="14339" max="14339" width="8.140625" style="802" customWidth="1"/>
    <col min="14340" max="14340" width="42.5703125" style="802" customWidth="1"/>
    <col min="14341" max="14341" width="24.85546875" style="802" customWidth="1"/>
    <col min="14342" max="14342" width="24.7109375" style="802" customWidth="1"/>
    <col min="14343" max="14343" width="10" style="802" customWidth="1"/>
    <col min="14344" max="14348" width="12.42578125" style="802" customWidth="1"/>
    <col min="14349" max="14349" width="10.5703125" style="802" customWidth="1"/>
    <col min="14350" max="14350" width="15.28515625" style="802" customWidth="1"/>
    <col min="14351" max="14351" width="2.42578125" style="802" customWidth="1"/>
    <col min="14352" max="14592" width="8.85546875" style="802"/>
    <col min="14593" max="14593" width="18.140625" style="802" customWidth="1"/>
    <col min="14594" max="14594" width="2.28515625" style="802" customWidth="1"/>
    <col min="14595" max="14595" width="8.140625" style="802" customWidth="1"/>
    <col min="14596" max="14596" width="42.5703125" style="802" customWidth="1"/>
    <col min="14597" max="14597" width="24.85546875" style="802" customWidth="1"/>
    <col min="14598" max="14598" width="24.7109375" style="802" customWidth="1"/>
    <col min="14599" max="14599" width="10" style="802" customWidth="1"/>
    <col min="14600" max="14604" width="12.42578125" style="802" customWidth="1"/>
    <col min="14605" max="14605" width="10.5703125" style="802" customWidth="1"/>
    <col min="14606" max="14606" width="15.28515625" style="802" customWidth="1"/>
    <col min="14607" max="14607" width="2.42578125" style="802" customWidth="1"/>
    <col min="14608" max="14848" width="8.85546875" style="802"/>
    <col min="14849" max="14849" width="18.140625" style="802" customWidth="1"/>
    <col min="14850" max="14850" width="2.28515625" style="802" customWidth="1"/>
    <col min="14851" max="14851" width="8.140625" style="802" customWidth="1"/>
    <col min="14852" max="14852" width="42.5703125" style="802" customWidth="1"/>
    <col min="14853" max="14853" width="24.85546875" style="802" customWidth="1"/>
    <col min="14854" max="14854" width="24.7109375" style="802" customWidth="1"/>
    <col min="14855" max="14855" width="10" style="802" customWidth="1"/>
    <col min="14856" max="14860" width="12.42578125" style="802" customWidth="1"/>
    <col min="14861" max="14861" width="10.5703125" style="802" customWidth="1"/>
    <col min="14862" max="14862" width="15.28515625" style="802" customWidth="1"/>
    <col min="14863" max="14863" width="2.42578125" style="802" customWidth="1"/>
    <col min="14864" max="15104" width="8.85546875" style="802"/>
    <col min="15105" max="15105" width="18.140625" style="802" customWidth="1"/>
    <col min="15106" max="15106" width="2.28515625" style="802" customWidth="1"/>
    <col min="15107" max="15107" width="8.140625" style="802" customWidth="1"/>
    <col min="15108" max="15108" width="42.5703125" style="802" customWidth="1"/>
    <col min="15109" max="15109" width="24.85546875" style="802" customWidth="1"/>
    <col min="15110" max="15110" width="24.7109375" style="802" customWidth="1"/>
    <col min="15111" max="15111" width="10" style="802" customWidth="1"/>
    <col min="15112" max="15116" width="12.42578125" style="802" customWidth="1"/>
    <col min="15117" max="15117" width="10.5703125" style="802" customWidth="1"/>
    <col min="15118" max="15118" width="15.28515625" style="802" customWidth="1"/>
    <col min="15119" max="15119" width="2.42578125" style="802" customWidth="1"/>
    <col min="15120" max="15360" width="8.85546875" style="802"/>
    <col min="15361" max="15361" width="18.140625" style="802" customWidth="1"/>
    <col min="15362" max="15362" width="2.28515625" style="802" customWidth="1"/>
    <col min="15363" max="15363" width="8.140625" style="802" customWidth="1"/>
    <col min="15364" max="15364" width="42.5703125" style="802" customWidth="1"/>
    <col min="15365" max="15365" width="24.85546875" style="802" customWidth="1"/>
    <col min="15366" max="15366" width="24.7109375" style="802" customWidth="1"/>
    <col min="15367" max="15367" width="10" style="802" customWidth="1"/>
    <col min="15368" max="15372" width="12.42578125" style="802" customWidth="1"/>
    <col min="15373" max="15373" width="10.5703125" style="802" customWidth="1"/>
    <col min="15374" max="15374" width="15.28515625" style="802" customWidth="1"/>
    <col min="15375" max="15375" width="2.42578125" style="802" customWidth="1"/>
    <col min="15376" max="15616" width="8.85546875" style="802"/>
    <col min="15617" max="15617" width="18.140625" style="802" customWidth="1"/>
    <col min="15618" max="15618" width="2.28515625" style="802" customWidth="1"/>
    <col min="15619" max="15619" width="8.140625" style="802" customWidth="1"/>
    <col min="15620" max="15620" width="42.5703125" style="802" customWidth="1"/>
    <col min="15621" max="15621" width="24.85546875" style="802" customWidth="1"/>
    <col min="15622" max="15622" width="24.7109375" style="802" customWidth="1"/>
    <col min="15623" max="15623" width="10" style="802" customWidth="1"/>
    <col min="15624" max="15628" width="12.42578125" style="802" customWidth="1"/>
    <col min="15629" max="15629" width="10.5703125" style="802" customWidth="1"/>
    <col min="15630" max="15630" width="15.28515625" style="802" customWidth="1"/>
    <col min="15631" max="15631" width="2.42578125" style="802" customWidth="1"/>
    <col min="15632" max="15872" width="8.85546875" style="802"/>
    <col min="15873" max="15873" width="18.140625" style="802" customWidth="1"/>
    <col min="15874" max="15874" width="2.28515625" style="802" customWidth="1"/>
    <col min="15875" max="15875" width="8.140625" style="802" customWidth="1"/>
    <col min="15876" max="15876" width="42.5703125" style="802" customWidth="1"/>
    <col min="15877" max="15877" width="24.85546875" style="802" customWidth="1"/>
    <col min="15878" max="15878" width="24.7109375" style="802" customWidth="1"/>
    <col min="15879" max="15879" width="10" style="802" customWidth="1"/>
    <col min="15880" max="15884" width="12.42578125" style="802" customWidth="1"/>
    <col min="15885" max="15885" width="10.5703125" style="802" customWidth="1"/>
    <col min="15886" max="15886" width="15.28515625" style="802" customWidth="1"/>
    <col min="15887" max="15887" width="2.42578125" style="802" customWidth="1"/>
    <col min="15888" max="16128" width="8.85546875" style="802"/>
    <col min="16129" max="16129" width="18.140625" style="802" customWidth="1"/>
    <col min="16130" max="16130" width="2.28515625" style="802" customWidth="1"/>
    <col min="16131" max="16131" width="8.140625" style="802" customWidth="1"/>
    <col min="16132" max="16132" width="42.5703125" style="802" customWidth="1"/>
    <col min="16133" max="16133" width="24.85546875" style="802" customWidth="1"/>
    <col min="16134" max="16134" width="24.7109375" style="802" customWidth="1"/>
    <col min="16135" max="16135" width="10" style="802" customWidth="1"/>
    <col min="16136" max="16140" width="12.42578125" style="802" customWidth="1"/>
    <col min="16141" max="16141" width="10.5703125" style="802" customWidth="1"/>
    <col min="16142" max="16142" width="15.28515625" style="802" customWidth="1"/>
    <col min="16143" max="16143" width="2.42578125" style="802" customWidth="1"/>
    <col min="16144" max="16384" width="8.85546875" style="802"/>
  </cols>
  <sheetData>
    <row r="2" spans="3:14" ht="20.100000000000001" customHeight="1">
      <c r="C2" s="1698" t="s">
        <v>0</v>
      </c>
      <c r="D2" s="1699"/>
      <c r="E2" s="1699"/>
      <c r="F2" s="1699"/>
      <c r="G2" s="1699"/>
      <c r="H2" s="1699"/>
      <c r="I2" s="1699"/>
      <c r="J2" s="1699"/>
      <c r="K2" s="1699"/>
      <c r="L2" s="1699"/>
      <c r="M2" s="1699"/>
      <c r="N2" s="1700"/>
    </row>
    <row r="3" spans="3:14" ht="20.100000000000001" customHeight="1">
      <c r="C3" s="1701" t="s">
        <v>1</v>
      </c>
      <c r="D3" s="1702"/>
      <c r="E3" s="1702"/>
      <c r="F3" s="1702"/>
      <c r="G3" s="1702"/>
      <c r="H3" s="1702"/>
      <c r="I3" s="1702"/>
      <c r="J3" s="1702"/>
      <c r="K3" s="1702"/>
      <c r="L3" s="1702"/>
      <c r="M3" s="1702"/>
      <c r="N3" s="1703"/>
    </row>
    <row r="4" spans="3:14" ht="20.100000000000001" customHeight="1">
      <c r="C4" s="1701" t="s">
        <v>2782</v>
      </c>
      <c r="D4" s="1702"/>
      <c r="E4" s="1702"/>
      <c r="F4" s="1702"/>
      <c r="G4" s="1702"/>
      <c r="H4" s="1702"/>
      <c r="I4" s="1702"/>
      <c r="J4" s="1702"/>
      <c r="K4" s="1702"/>
      <c r="L4" s="1702"/>
      <c r="M4" s="1702"/>
      <c r="N4" s="1703"/>
    </row>
    <row r="5" spans="3:14" ht="18.75">
      <c r="C5" s="1704" t="s">
        <v>3</v>
      </c>
      <c r="D5" s="1705"/>
      <c r="E5" s="1705"/>
      <c r="F5" s="1705"/>
      <c r="G5" s="1705"/>
      <c r="H5" s="1705"/>
      <c r="I5" s="1705"/>
      <c r="J5" s="1705"/>
      <c r="K5" s="1705"/>
      <c r="L5" s="1705"/>
      <c r="M5" s="1705"/>
      <c r="N5" s="1706"/>
    </row>
    <row r="6" spans="3:14" ht="18.75" customHeight="1">
      <c r="C6" s="829" t="s">
        <v>2781</v>
      </c>
      <c r="D6" s="826"/>
      <c r="E6" s="826"/>
      <c r="F6" s="828"/>
      <c r="G6" s="826"/>
      <c r="H6" s="827"/>
      <c r="I6" s="826"/>
      <c r="J6" s="826"/>
      <c r="K6" s="826"/>
      <c r="L6" s="826"/>
      <c r="M6" s="1694" t="s">
        <v>2780</v>
      </c>
      <c r="N6" s="1695"/>
    </row>
    <row r="7" spans="3:14" ht="18.75">
      <c r="C7" s="7"/>
      <c r="D7" s="8"/>
      <c r="E7" s="8"/>
      <c r="F7" s="8"/>
      <c r="G7" s="8"/>
      <c r="H7" s="8"/>
      <c r="I7" s="8"/>
      <c r="J7" s="8"/>
      <c r="K7" s="8"/>
      <c r="L7" s="8"/>
      <c r="M7" s="1696"/>
      <c r="N7" s="1697"/>
    </row>
    <row r="8" spans="3:14" ht="12.95" customHeight="1">
      <c r="C8" s="10"/>
      <c r="D8" s="825"/>
      <c r="E8" s="13"/>
      <c r="F8" s="13"/>
      <c r="G8" s="13"/>
      <c r="H8" s="13"/>
      <c r="I8" s="13"/>
      <c r="J8" s="13"/>
      <c r="K8" s="13"/>
      <c r="L8" s="13"/>
      <c r="M8" s="13"/>
      <c r="N8" s="14"/>
    </row>
    <row r="9" spans="3:14" ht="25.5" customHeight="1" thickBot="1">
      <c r="C9" s="1683" t="s">
        <v>6</v>
      </c>
      <c r="D9" s="1686" t="s">
        <v>7</v>
      </c>
      <c r="E9" s="1689" t="s">
        <v>8</v>
      </c>
      <c r="F9" s="1690"/>
      <c r="G9" s="1691"/>
      <c r="H9" s="1689" t="s">
        <v>9</v>
      </c>
      <c r="I9" s="1690"/>
      <c r="J9" s="1691"/>
      <c r="K9" s="1690" t="s">
        <v>8</v>
      </c>
      <c r="L9" s="1690"/>
      <c r="M9" s="1691"/>
      <c r="N9" s="1707" t="s">
        <v>11</v>
      </c>
    </row>
    <row r="10" spans="3:14" s="18" customFormat="1" ht="63" customHeight="1" thickBot="1">
      <c r="C10" s="1684"/>
      <c r="D10" s="1687"/>
      <c r="E10" s="1692" t="s">
        <v>12</v>
      </c>
      <c r="F10" s="704"/>
      <c r="G10" s="1692" t="s">
        <v>13</v>
      </c>
      <c r="H10" s="1692" t="s">
        <v>14</v>
      </c>
      <c r="I10" s="1692" t="s">
        <v>15</v>
      </c>
      <c r="J10" s="1692" t="s">
        <v>16</v>
      </c>
      <c r="K10" s="1710" t="s">
        <v>17</v>
      </c>
      <c r="L10" s="1711" t="s">
        <v>15</v>
      </c>
      <c r="M10" s="1710" t="s">
        <v>16</v>
      </c>
      <c r="N10" s="1708"/>
    </row>
    <row r="11" spans="3:14" s="18" customFormat="1" ht="39" customHeight="1">
      <c r="C11" s="1685"/>
      <c r="D11" s="1688"/>
      <c r="E11" s="1693"/>
      <c r="F11" s="705"/>
      <c r="G11" s="1693"/>
      <c r="H11" s="1693"/>
      <c r="I11" s="1693"/>
      <c r="J11" s="1693"/>
      <c r="K11" s="1693"/>
      <c r="L11" s="1712"/>
      <c r="M11" s="1693"/>
      <c r="N11" s="1709"/>
    </row>
    <row r="12" spans="3:14" s="803" customFormat="1" ht="20.100000000000001" customHeight="1">
      <c r="C12" s="20" t="s">
        <v>18</v>
      </c>
      <c r="D12" s="21" t="s">
        <v>19</v>
      </c>
      <c r="E12" s="24" t="s">
        <v>20</v>
      </c>
      <c r="F12" s="24"/>
      <c r="G12" s="24" t="s">
        <v>21</v>
      </c>
      <c r="H12" s="25" t="s">
        <v>22</v>
      </c>
      <c r="I12" s="24" t="s">
        <v>23</v>
      </c>
      <c r="J12" s="25" t="s">
        <v>24</v>
      </c>
      <c r="K12" s="24" t="s">
        <v>20</v>
      </c>
      <c r="L12" s="25" t="s">
        <v>21</v>
      </c>
      <c r="M12" s="24" t="s">
        <v>22</v>
      </c>
      <c r="N12" s="26" t="s">
        <v>23</v>
      </c>
    </row>
    <row r="13" spans="3:14" ht="4.5" customHeight="1">
      <c r="C13" s="28"/>
      <c r="D13" s="29"/>
      <c r="E13" s="32"/>
      <c r="F13" s="32"/>
      <c r="G13" s="32"/>
      <c r="H13" s="33"/>
      <c r="I13" s="32"/>
      <c r="J13" s="33"/>
      <c r="K13" s="32"/>
      <c r="L13" s="33"/>
      <c r="M13" s="32"/>
      <c r="N13" s="34"/>
    </row>
    <row r="14" spans="3:14" ht="17.100000000000001" customHeight="1" thickBot="1">
      <c r="C14" s="61"/>
      <c r="D14" s="824"/>
      <c r="E14" s="48"/>
      <c r="F14" s="819"/>
      <c r="G14" s="48"/>
      <c r="H14" s="49"/>
      <c r="I14" s="48"/>
      <c r="J14" s="49"/>
      <c r="K14" s="48"/>
      <c r="L14" s="49"/>
      <c r="M14" s="48"/>
      <c r="N14" s="50"/>
    </row>
    <row r="15" spans="3:14" s="44" customFormat="1" ht="27" customHeight="1" thickTop="1">
      <c r="C15" s="36" t="s">
        <v>29</v>
      </c>
      <c r="D15" s="37" t="s">
        <v>30</v>
      </c>
      <c r="E15" s="823">
        <v>389351314600</v>
      </c>
      <c r="F15" s="40">
        <v>5850230158000</v>
      </c>
      <c r="G15" s="40">
        <f t="shared" ref="G15:G45" si="0">E15/F15*100</f>
        <v>6.6553161855961287</v>
      </c>
      <c r="H15" s="822">
        <f>+E15</f>
        <v>389351314600</v>
      </c>
      <c r="I15" s="40">
        <f t="shared" ref="I15:I46" si="1">0.3*E15</f>
        <v>116805394380</v>
      </c>
      <c r="J15" s="42">
        <f t="shared" ref="J15:J46" si="2">+I15/H15*100</f>
        <v>30</v>
      </c>
      <c r="K15" s="40">
        <f t="shared" ref="K15:K45" si="3">H15</f>
        <v>389351314600</v>
      </c>
      <c r="L15" s="42">
        <f t="shared" ref="L15:L46" si="4">+K15</f>
        <v>389351314600</v>
      </c>
      <c r="M15" s="40">
        <f t="shared" ref="M15:M46" si="5">L15/K15*100</f>
        <v>100</v>
      </c>
      <c r="N15" s="43"/>
    </row>
    <row r="16" spans="3:14" s="44" customFormat="1" ht="27" customHeight="1">
      <c r="C16" s="36" t="s">
        <v>31</v>
      </c>
      <c r="D16" s="37" t="s">
        <v>32</v>
      </c>
      <c r="E16" s="822">
        <f>SUM(E17:E45)</f>
        <v>1557405258400.0002</v>
      </c>
      <c r="F16" s="40">
        <v>5850230158000</v>
      </c>
      <c r="G16" s="40">
        <f t="shared" si="0"/>
        <v>26.621264742384522</v>
      </c>
      <c r="H16" s="822">
        <f>SUM(H17:H45)</f>
        <v>1557405258400.0002</v>
      </c>
      <c r="I16" s="40">
        <f t="shared" si="1"/>
        <v>467221577520.00006</v>
      </c>
      <c r="J16" s="42">
        <f t="shared" si="2"/>
        <v>30</v>
      </c>
      <c r="K16" s="40">
        <f t="shared" si="3"/>
        <v>1557405258400.0002</v>
      </c>
      <c r="L16" s="42">
        <f t="shared" si="4"/>
        <v>1557405258400.0002</v>
      </c>
      <c r="M16" s="40">
        <f t="shared" si="5"/>
        <v>100</v>
      </c>
      <c r="N16" s="43"/>
    </row>
    <row r="17" spans="3:14" ht="27" customHeight="1">
      <c r="C17" s="45"/>
      <c r="D17" s="46" t="s">
        <v>33</v>
      </c>
      <c r="E17" s="811">
        <v>48495887123.160004</v>
      </c>
      <c r="F17" s="40">
        <v>5850230158000</v>
      </c>
      <c r="G17" s="48">
        <f t="shared" si="0"/>
        <v>0.8289569096156576</v>
      </c>
      <c r="H17" s="811">
        <v>48495887123.160004</v>
      </c>
      <c r="I17" s="40">
        <f t="shared" si="1"/>
        <v>14548766136.948</v>
      </c>
      <c r="J17" s="42">
        <f t="shared" si="2"/>
        <v>30</v>
      </c>
      <c r="K17" s="40">
        <f t="shared" si="3"/>
        <v>48495887123.160004</v>
      </c>
      <c r="L17" s="42">
        <f t="shared" si="4"/>
        <v>48495887123.160004</v>
      </c>
      <c r="M17" s="40">
        <f t="shared" si="5"/>
        <v>100</v>
      </c>
      <c r="N17" s="50"/>
    </row>
    <row r="18" spans="3:14" ht="27" customHeight="1">
      <c r="C18" s="45"/>
      <c r="D18" s="46" t="s">
        <v>34</v>
      </c>
      <c r="E18" s="811">
        <v>51356987511.629997</v>
      </c>
      <c r="F18" s="40">
        <v>5850230158000</v>
      </c>
      <c r="G18" s="48">
        <f t="shared" si="0"/>
        <v>0.87786268445184135</v>
      </c>
      <c r="H18" s="811">
        <v>51356987511.629997</v>
      </c>
      <c r="I18" s="40">
        <f t="shared" si="1"/>
        <v>15407096253.488998</v>
      </c>
      <c r="J18" s="42">
        <f t="shared" si="2"/>
        <v>30</v>
      </c>
      <c r="K18" s="40">
        <f t="shared" si="3"/>
        <v>51356987511.629997</v>
      </c>
      <c r="L18" s="42">
        <f t="shared" si="4"/>
        <v>51356987511.629997</v>
      </c>
      <c r="M18" s="40">
        <f t="shared" si="5"/>
        <v>100</v>
      </c>
      <c r="N18" s="50"/>
    </row>
    <row r="19" spans="3:14" ht="27" customHeight="1">
      <c r="C19" s="45"/>
      <c r="D19" s="46" t="s">
        <v>35</v>
      </c>
      <c r="E19" s="811">
        <v>46073463891.389999</v>
      </c>
      <c r="F19" s="40">
        <v>5850230158000</v>
      </c>
      <c r="G19" s="48">
        <f t="shared" si="0"/>
        <v>0.78754959458109575</v>
      </c>
      <c r="H19" s="811">
        <v>46073463891.389999</v>
      </c>
      <c r="I19" s="40">
        <f t="shared" si="1"/>
        <v>13822039167.417</v>
      </c>
      <c r="J19" s="42">
        <f t="shared" si="2"/>
        <v>30</v>
      </c>
      <c r="K19" s="40">
        <f t="shared" si="3"/>
        <v>46073463891.389999</v>
      </c>
      <c r="L19" s="42">
        <f t="shared" si="4"/>
        <v>46073463891.389999</v>
      </c>
      <c r="M19" s="40">
        <f t="shared" si="5"/>
        <v>100</v>
      </c>
      <c r="N19" s="50"/>
    </row>
    <row r="20" spans="3:14" ht="27" customHeight="1">
      <c r="C20" s="45"/>
      <c r="D20" s="46" t="s">
        <v>36</v>
      </c>
      <c r="E20" s="811">
        <v>45756973242.93</v>
      </c>
      <c r="F20" s="40">
        <v>5850230158000</v>
      </c>
      <c r="G20" s="48">
        <f t="shared" si="0"/>
        <v>0.78213971086861978</v>
      </c>
      <c r="H20" s="811">
        <v>45756973242.93</v>
      </c>
      <c r="I20" s="40">
        <f t="shared" si="1"/>
        <v>13727091972.879</v>
      </c>
      <c r="J20" s="42">
        <f t="shared" si="2"/>
        <v>30</v>
      </c>
      <c r="K20" s="40">
        <f t="shared" si="3"/>
        <v>45756973242.93</v>
      </c>
      <c r="L20" s="42">
        <f t="shared" si="4"/>
        <v>45756973242.93</v>
      </c>
      <c r="M20" s="40">
        <f t="shared" si="5"/>
        <v>100</v>
      </c>
      <c r="N20" s="50"/>
    </row>
    <row r="21" spans="3:14" ht="27" customHeight="1">
      <c r="C21" s="45"/>
      <c r="D21" s="46" t="s">
        <v>37</v>
      </c>
      <c r="E21" s="811">
        <v>45992775230.57</v>
      </c>
      <c r="F21" s="40">
        <v>5850230158000</v>
      </c>
      <c r="G21" s="48">
        <f t="shared" si="0"/>
        <v>0.78617035549749059</v>
      </c>
      <c r="H21" s="811">
        <v>45992775230.57</v>
      </c>
      <c r="I21" s="40">
        <f t="shared" si="1"/>
        <v>13797832569.171</v>
      </c>
      <c r="J21" s="42">
        <f t="shared" si="2"/>
        <v>30</v>
      </c>
      <c r="K21" s="40">
        <f t="shared" si="3"/>
        <v>45992775230.57</v>
      </c>
      <c r="L21" s="42">
        <f t="shared" si="4"/>
        <v>45992775230.57</v>
      </c>
      <c r="M21" s="40">
        <f t="shared" si="5"/>
        <v>100</v>
      </c>
      <c r="N21" s="50"/>
    </row>
    <row r="22" spans="3:14" ht="27" customHeight="1">
      <c r="C22" s="45"/>
      <c r="D22" s="46" t="s">
        <v>38</v>
      </c>
      <c r="E22" s="811">
        <v>32258636567.290001</v>
      </c>
      <c r="F22" s="40">
        <v>5850230158000</v>
      </c>
      <c r="G22" s="48">
        <f t="shared" si="0"/>
        <v>0.55140799072968716</v>
      </c>
      <c r="H22" s="811">
        <v>32258636567.290001</v>
      </c>
      <c r="I22" s="40">
        <f t="shared" si="1"/>
        <v>9677590970.1870003</v>
      </c>
      <c r="J22" s="42">
        <f t="shared" si="2"/>
        <v>30</v>
      </c>
      <c r="K22" s="40">
        <f t="shared" si="3"/>
        <v>32258636567.290001</v>
      </c>
      <c r="L22" s="42">
        <f t="shared" si="4"/>
        <v>32258636567.290001</v>
      </c>
      <c r="M22" s="40">
        <f t="shared" si="5"/>
        <v>100</v>
      </c>
      <c r="N22" s="50"/>
    </row>
    <row r="23" spans="3:14" ht="27" customHeight="1">
      <c r="C23" s="45"/>
      <c r="D23" s="46" t="s">
        <v>39</v>
      </c>
      <c r="E23" s="811">
        <v>64189783336.760002</v>
      </c>
      <c r="F23" s="40">
        <v>5850230158000</v>
      </c>
      <c r="G23" s="48">
        <f t="shared" si="0"/>
        <v>1.0972180854967313</v>
      </c>
      <c r="H23" s="811">
        <v>64189783336.760002</v>
      </c>
      <c r="I23" s="40">
        <f t="shared" si="1"/>
        <v>19256935001.028</v>
      </c>
      <c r="J23" s="42">
        <f t="shared" si="2"/>
        <v>30</v>
      </c>
      <c r="K23" s="40">
        <f t="shared" si="3"/>
        <v>64189783336.760002</v>
      </c>
      <c r="L23" s="42">
        <f t="shared" si="4"/>
        <v>64189783336.760002</v>
      </c>
      <c r="M23" s="40">
        <f t="shared" si="5"/>
        <v>100</v>
      </c>
      <c r="N23" s="50"/>
    </row>
    <row r="24" spans="3:14" ht="27" customHeight="1">
      <c r="C24" s="61"/>
      <c r="D24" s="806" t="s">
        <v>40</v>
      </c>
      <c r="E24" s="125">
        <v>64622624148.519997</v>
      </c>
      <c r="F24" s="40">
        <v>5850230158000</v>
      </c>
      <c r="G24" s="48">
        <f t="shared" si="0"/>
        <v>1.1046167826431692</v>
      </c>
      <c r="H24" s="125">
        <v>64622624148.519997</v>
      </c>
      <c r="I24" s="40">
        <f t="shared" si="1"/>
        <v>19386787244.556</v>
      </c>
      <c r="J24" s="42">
        <f t="shared" si="2"/>
        <v>30</v>
      </c>
      <c r="K24" s="40">
        <f t="shared" si="3"/>
        <v>64622624148.519997</v>
      </c>
      <c r="L24" s="42">
        <f t="shared" si="4"/>
        <v>64622624148.519997</v>
      </c>
      <c r="M24" s="40">
        <f t="shared" si="5"/>
        <v>100</v>
      </c>
      <c r="N24" s="50"/>
    </row>
    <row r="25" spans="3:14" ht="27" customHeight="1">
      <c r="C25" s="45"/>
      <c r="D25" s="46" t="s">
        <v>41</v>
      </c>
      <c r="E25" s="811">
        <v>31309836558.849998</v>
      </c>
      <c r="F25" s="40">
        <v>5850230158000</v>
      </c>
      <c r="G25" s="48">
        <f t="shared" si="0"/>
        <v>0.53518982524191483</v>
      </c>
      <c r="H25" s="811">
        <v>31309836558.849998</v>
      </c>
      <c r="I25" s="40">
        <f t="shared" si="1"/>
        <v>9392950967.6549988</v>
      </c>
      <c r="J25" s="42">
        <f t="shared" si="2"/>
        <v>30</v>
      </c>
      <c r="K25" s="40">
        <f t="shared" si="3"/>
        <v>31309836558.849998</v>
      </c>
      <c r="L25" s="42">
        <f t="shared" si="4"/>
        <v>31309836558.849998</v>
      </c>
      <c r="M25" s="40">
        <f t="shared" si="5"/>
        <v>100</v>
      </c>
      <c r="N25" s="50"/>
    </row>
    <row r="26" spans="3:14" ht="27" customHeight="1">
      <c r="C26" s="45"/>
      <c r="D26" s="46" t="s">
        <v>42</v>
      </c>
      <c r="E26" s="811">
        <v>59981998273.220001</v>
      </c>
      <c r="F26" s="40">
        <v>5850230158000</v>
      </c>
      <c r="G26" s="48">
        <f t="shared" si="0"/>
        <v>1.0252929654604539</v>
      </c>
      <c r="H26" s="811">
        <v>59981998273.220001</v>
      </c>
      <c r="I26" s="40">
        <f t="shared" si="1"/>
        <v>17994599481.966</v>
      </c>
      <c r="J26" s="42">
        <f t="shared" si="2"/>
        <v>30</v>
      </c>
      <c r="K26" s="40">
        <f t="shared" si="3"/>
        <v>59981998273.220001</v>
      </c>
      <c r="L26" s="42">
        <f t="shared" si="4"/>
        <v>59981998273.220001</v>
      </c>
      <c r="M26" s="40">
        <f t="shared" si="5"/>
        <v>100</v>
      </c>
      <c r="N26" s="50"/>
    </row>
    <row r="27" spans="3:14" ht="27" customHeight="1">
      <c r="C27" s="45"/>
      <c r="D27" s="46" t="s">
        <v>43</v>
      </c>
      <c r="E27" s="811">
        <v>61685777431.099998</v>
      </c>
      <c r="F27" s="40">
        <v>5850230158000</v>
      </c>
      <c r="G27" s="48">
        <f t="shared" si="0"/>
        <v>1.0544162497050942</v>
      </c>
      <c r="H27" s="811">
        <v>61685777431.099998</v>
      </c>
      <c r="I27" s="40">
        <f t="shared" si="1"/>
        <v>18505733229.329998</v>
      </c>
      <c r="J27" s="42">
        <f t="shared" si="2"/>
        <v>30</v>
      </c>
      <c r="K27" s="40">
        <f t="shared" si="3"/>
        <v>61685777431.099998</v>
      </c>
      <c r="L27" s="42">
        <f t="shared" si="4"/>
        <v>61685777431.099998</v>
      </c>
      <c r="M27" s="40">
        <f t="shared" si="5"/>
        <v>100</v>
      </c>
      <c r="N27" s="50"/>
    </row>
    <row r="28" spans="3:14" ht="27" customHeight="1">
      <c r="C28" s="45"/>
      <c r="D28" s="46" t="s">
        <v>44</v>
      </c>
      <c r="E28" s="811">
        <v>61939361529.599998</v>
      </c>
      <c r="F28" s="40">
        <v>5850230158000</v>
      </c>
      <c r="G28" s="48">
        <f t="shared" si="0"/>
        <v>1.058750850082367</v>
      </c>
      <c r="H28" s="811">
        <v>61939361529.599998</v>
      </c>
      <c r="I28" s="40">
        <f t="shared" si="1"/>
        <v>18581808458.879997</v>
      </c>
      <c r="J28" s="42">
        <f t="shared" si="2"/>
        <v>30</v>
      </c>
      <c r="K28" s="40">
        <f t="shared" si="3"/>
        <v>61939361529.599998</v>
      </c>
      <c r="L28" s="42">
        <f t="shared" si="4"/>
        <v>61939361529.599998</v>
      </c>
      <c r="M28" s="40">
        <f t="shared" si="5"/>
        <v>100</v>
      </c>
      <c r="N28" s="50"/>
    </row>
    <row r="29" spans="3:14" ht="27" customHeight="1">
      <c r="C29" s="45"/>
      <c r="D29" s="46" t="s">
        <v>45</v>
      </c>
      <c r="E29" s="811">
        <v>65595198072.370003</v>
      </c>
      <c r="F29" s="40">
        <v>5850230158000</v>
      </c>
      <c r="G29" s="48">
        <f t="shared" si="0"/>
        <v>1.1212413238592109</v>
      </c>
      <c r="H29" s="811">
        <v>65595198072.370003</v>
      </c>
      <c r="I29" s="40">
        <f t="shared" si="1"/>
        <v>19678559421.710999</v>
      </c>
      <c r="J29" s="42">
        <f t="shared" si="2"/>
        <v>30</v>
      </c>
      <c r="K29" s="40">
        <f t="shared" si="3"/>
        <v>65595198072.370003</v>
      </c>
      <c r="L29" s="42">
        <f t="shared" si="4"/>
        <v>65595198072.370003</v>
      </c>
      <c r="M29" s="40">
        <f t="shared" si="5"/>
        <v>100</v>
      </c>
      <c r="N29" s="50"/>
    </row>
    <row r="30" spans="3:14" ht="27" customHeight="1">
      <c r="C30" s="45"/>
      <c r="D30" s="46" t="s">
        <v>46</v>
      </c>
      <c r="E30" s="811">
        <v>62592857239.279999</v>
      </c>
      <c r="F30" s="40">
        <v>5850230158000</v>
      </c>
      <c r="G30" s="48">
        <f t="shared" si="0"/>
        <v>1.0699212774336118</v>
      </c>
      <c r="H30" s="811">
        <v>62592857239.279999</v>
      </c>
      <c r="I30" s="40">
        <f t="shared" si="1"/>
        <v>18777857171.784</v>
      </c>
      <c r="J30" s="42">
        <f t="shared" si="2"/>
        <v>30</v>
      </c>
      <c r="K30" s="40">
        <f t="shared" si="3"/>
        <v>62592857239.279999</v>
      </c>
      <c r="L30" s="42">
        <f t="shared" si="4"/>
        <v>62592857239.279999</v>
      </c>
      <c r="M30" s="40">
        <f t="shared" si="5"/>
        <v>100</v>
      </c>
      <c r="N30" s="50"/>
    </row>
    <row r="31" spans="3:14" ht="27" customHeight="1">
      <c r="C31" s="45"/>
      <c r="D31" s="46" t="s">
        <v>47</v>
      </c>
      <c r="E31" s="811">
        <v>64759842666.910004</v>
      </c>
      <c r="F31" s="40">
        <v>5850230158000</v>
      </c>
      <c r="G31" s="48">
        <f t="shared" si="0"/>
        <v>1.1069623060616345</v>
      </c>
      <c r="H31" s="811">
        <v>64759842666.910004</v>
      </c>
      <c r="I31" s="40">
        <f t="shared" si="1"/>
        <v>19427952800.073002</v>
      </c>
      <c r="J31" s="42">
        <f t="shared" si="2"/>
        <v>30</v>
      </c>
      <c r="K31" s="40">
        <f t="shared" si="3"/>
        <v>64759842666.910004</v>
      </c>
      <c r="L31" s="42">
        <f t="shared" si="4"/>
        <v>64759842666.910004</v>
      </c>
      <c r="M31" s="40">
        <f t="shared" si="5"/>
        <v>100</v>
      </c>
      <c r="N31" s="50"/>
    </row>
    <row r="32" spans="3:14" ht="27" customHeight="1">
      <c r="C32" s="45"/>
      <c r="D32" s="46" t="s">
        <v>48</v>
      </c>
      <c r="E32" s="811">
        <v>44404979591.989998</v>
      </c>
      <c r="F32" s="40">
        <v>5850230158000</v>
      </c>
      <c r="G32" s="48">
        <f t="shared" si="0"/>
        <v>0.75902961751457976</v>
      </c>
      <c r="H32" s="811">
        <v>44404979591.989998</v>
      </c>
      <c r="I32" s="40">
        <f t="shared" si="1"/>
        <v>13321493877.596998</v>
      </c>
      <c r="J32" s="42">
        <f t="shared" si="2"/>
        <v>30</v>
      </c>
      <c r="K32" s="40">
        <f t="shared" si="3"/>
        <v>44404979591.989998</v>
      </c>
      <c r="L32" s="42">
        <f t="shared" si="4"/>
        <v>44404979591.989998</v>
      </c>
      <c r="M32" s="40">
        <f t="shared" si="5"/>
        <v>100</v>
      </c>
      <c r="N32" s="50"/>
    </row>
    <row r="33" spans="3:14" ht="27" customHeight="1">
      <c r="C33" s="45"/>
      <c r="D33" s="46" t="s">
        <v>49</v>
      </c>
      <c r="E33" s="811">
        <v>29015053505.560001</v>
      </c>
      <c r="F33" s="40">
        <v>5850230158000</v>
      </c>
      <c r="G33" s="48">
        <f t="shared" si="0"/>
        <v>0.49596430776117173</v>
      </c>
      <c r="H33" s="811">
        <v>29015053505.560001</v>
      </c>
      <c r="I33" s="40">
        <f t="shared" si="1"/>
        <v>8704516051.6679993</v>
      </c>
      <c r="J33" s="42">
        <f t="shared" si="2"/>
        <v>29.999999999999993</v>
      </c>
      <c r="K33" s="40">
        <f t="shared" si="3"/>
        <v>29015053505.560001</v>
      </c>
      <c r="L33" s="42">
        <f t="shared" si="4"/>
        <v>29015053505.560001</v>
      </c>
      <c r="M33" s="40">
        <f t="shared" si="5"/>
        <v>100</v>
      </c>
      <c r="N33" s="50"/>
    </row>
    <row r="34" spans="3:14" ht="27" customHeight="1">
      <c r="C34" s="45"/>
      <c r="D34" s="46" t="s">
        <v>50</v>
      </c>
      <c r="E34" s="811">
        <v>43827566023.510002</v>
      </c>
      <c r="F34" s="40">
        <v>5850230158000</v>
      </c>
      <c r="G34" s="48">
        <f t="shared" si="0"/>
        <v>0.74915968841973213</v>
      </c>
      <c r="H34" s="811">
        <v>43827566023.510002</v>
      </c>
      <c r="I34" s="40">
        <f t="shared" si="1"/>
        <v>13148269807.052999</v>
      </c>
      <c r="J34" s="42">
        <f t="shared" si="2"/>
        <v>30</v>
      </c>
      <c r="K34" s="40">
        <f t="shared" si="3"/>
        <v>43827566023.510002</v>
      </c>
      <c r="L34" s="42">
        <f t="shared" si="4"/>
        <v>43827566023.510002</v>
      </c>
      <c r="M34" s="40">
        <f t="shared" si="5"/>
        <v>100</v>
      </c>
      <c r="N34" s="50"/>
    </row>
    <row r="35" spans="3:14" ht="27" customHeight="1">
      <c r="C35" s="821"/>
      <c r="D35" s="820" t="s">
        <v>51</v>
      </c>
      <c r="E35" s="818">
        <v>43402635532.330002</v>
      </c>
      <c r="F35" s="40">
        <v>5850230158000</v>
      </c>
      <c r="G35" s="819">
        <f t="shared" si="0"/>
        <v>0.74189620510875631</v>
      </c>
      <c r="H35" s="818">
        <v>43402635532.330002</v>
      </c>
      <c r="I35" s="40">
        <f t="shared" si="1"/>
        <v>13020790659.698999</v>
      </c>
      <c r="J35" s="42">
        <f t="shared" si="2"/>
        <v>30</v>
      </c>
      <c r="K35" s="40">
        <f t="shared" si="3"/>
        <v>43402635532.330002</v>
      </c>
      <c r="L35" s="42">
        <f t="shared" si="4"/>
        <v>43402635532.330002</v>
      </c>
      <c r="M35" s="40">
        <f t="shared" si="5"/>
        <v>100</v>
      </c>
      <c r="N35" s="817"/>
    </row>
    <row r="36" spans="3:14" ht="27" customHeight="1">
      <c r="C36" s="45"/>
      <c r="D36" s="46" t="s">
        <v>52</v>
      </c>
      <c r="E36" s="811">
        <v>59066221758.910004</v>
      </c>
      <c r="F36" s="40">
        <v>5850230158000</v>
      </c>
      <c r="G36" s="48">
        <f t="shared" si="0"/>
        <v>1.0096392819372904</v>
      </c>
      <c r="H36" s="811">
        <v>59066221758.910004</v>
      </c>
      <c r="I36" s="40">
        <f t="shared" si="1"/>
        <v>17719866527.673</v>
      </c>
      <c r="J36" s="42">
        <f t="shared" si="2"/>
        <v>30</v>
      </c>
      <c r="K36" s="40">
        <f t="shared" si="3"/>
        <v>59066221758.910004</v>
      </c>
      <c r="L36" s="42">
        <f t="shared" si="4"/>
        <v>59066221758.910004</v>
      </c>
      <c r="M36" s="40">
        <f t="shared" si="5"/>
        <v>100</v>
      </c>
      <c r="N36" s="50"/>
    </row>
    <row r="37" spans="3:14" ht="27" customHeight="1">
      <c r="C37" s="816"/>
      <c r="D37" s="815" t="s">
        <v>53</v>
      </c>
      <c r="E37" s="813">
        <v>62185842294.059998</v>
      </c>
      <c r="F37" s="40">
        <v>5850230158000</v>
      </c>
      <c r="G37" s="814">
        <f t="shared" si="0"/>
        <v>1.0629640307231822</v>
      </c>
      <c r="H37" s="813">
        <v>62185842294.059998</v>
      </c>
      <c r="I37" s="40">
        <f t="shared" si="1"/>
        <v>18655752688.217999</v>
      </c>
      <c r="J37" s="42">
        <f t="shared" si="2"/>
        <v>30</v>
      </c>
      <c r="K37" s="40">
        <f t="shared" si="3"/>
        <v>62185842294.059998</v>
      </c>
      <c r="L37" s="42">
        <f t="shared" si="4"/>
        <v>62185842294.059998</v>
      </c>
      <c r="M37" s="40">
        <f t="shared" si="5"/>
        <v>100</v>
      </c>
      <c r="N37" s="812"/>
    </row>
    <row r="38" spans="3:14" ht="27" customHeight="1">
      <c r="C38" s="45"/>
      <c r="D38" s="46" t="s">
        <v>54</v>
      </c>
      <c r="E38" s="811">
        <v>65793806208.360001</v>
      </c>
      <c r="F38" s="40">
        <v>5850230158000</v>
      </c>
      <c r="G38" s="48">
        <f t="shared" si="0"/>
        <v>1.1246362011653355</v>
      </c>
      <c r="H38" s="811">
        <v>65793806208.360001</v>
      </c>
      <c r="I38" s="40">
        <f t="shared" si="1"/>
        <v>19738141862.507999</v>
      </c>
      <c r="J38" s="42">
        <f t="shared" si="2"/>
        <v>30</v>
      </c>
      <c r="K38" s="40">
        <f t="shared" si="3"/>
        <v>65793806208.360001</v>
      </c>
      <c r="L38" s="42">
        <f t="shared" si="4"/>
        <v>65793806208.360001</v>
      </c>
      <c r="M38" s="40">
        <f t="shared" si="5"/>
        <v>100</v>
      </c>
      <c r="N38" s="50"/>
    </row>
    <row r="39" spans="3:14" ht="27" customHeight="1">
      <c r="C39" s="45"/>
      <c r="D39" s="46" t="s">
        <v>55</v>
      </c>
      <c r="E39" s="811">
        <v>61543588793.150002</v>
      </c>
      <c r="F39" s="40">
        <v>5850230158000</v>
      </c>
      <c r="G39" s="48">
        <f t="shared" si="0"/>
        <v>1.0519857703203546</v>
      </c>
      <c r="H39" s="811">
        <v>61543588793.150002</v>
      </c>
      <c r="I39" s="40">
        <f t="shared" si="1"/>
        <v>18463076637.945</v>
      </c>
      <c r="J39" s="42">
        <f t="shared" si="2"/>
        <v>30</v>
      </c>
      <c r="K39" s="40">
        <f t="shared" si="3"/>
        <v>61543588793.150002</v>
      </c>
      <c r="L39" s="42">
        <f t="shared" si="4"/>
        <v>61543588793.150002</v>
      </c>
      <c r="M39" s="40">
        <f t="shared" si="5"/>
        <v>100</v>
      </c>
      <c r="N39" s="50"/>
    </row>
    <row r="40" spans="3:14" ht="27" customHeight="1">
      <c r="C40" s="61"/>
      <c r="D40" s="806" t="s">
        <v>56</v>
      </c>
      <c r="E40" s="125">
        <v>61544586915.559998</v>
      </c>
      <c r="F40" s="40">
        <v>5850230158000</v>
      </c>
      <c r="G40" s="48">
        <f t="shared" si="0"/>
        <v>1.052002831570648</v>
      </c>
      <c r="H40" s="125">
        <v>61544586915.559998</v>
      </c>
      <c r="I40" s="40">
        <f t="shared" si="1"/>
        <v>18463376074.667999</v>
      </c>
      <c r="J40" s="42">
        <f t="shared" si="2"/>
        <v>30</v>
      </c>
      <c r="K40" s="40">
        <f t="shared" si="3"/>
        <v>61544586915.559998</v>
      </c>
      <c r="L40" s="42">
        <f t="shared" si="4"/>
        <v>61544586915.559998</v>
      </c>
      <c r="M40" s="40">
        <f t="shared" si="5"/>
        <v>100</v>
      </c>
      <c r="N40" s="50"/>
    </row>
    <row r="41" spans="3:14" ht="27" customHeight="1">
      <c r="C41" s="45"/>
      <c r="D41" s="46" t="s">
        <v>57</v>
      </c>
      <c r="E41" s="811">
        <v>64316106423.529999</v>
      </c>
      <c r="F41" s="40">
        <v>5850230158000</v>
      </c>
      <c r="G41" s="48">
        <f t="shared" si="0"/>
        <v>1.0993773695480991</v>
      </c>
      <c r="H41" s="811">
        <v>64316106423.529999</v>
      </c>
      <c r="I41" s="40">
        <f t="shared" si="1"/>
        <v>19294831927.058998</v>
      </c>
      <c r="J41" s="42">
        <f t="shared" si="2"/>
        <v>30</v>
      </c>
      <c r="K41" s="40">
        <f t="shared" si="3"/>
        <v>64316106423.529999</v>
      </c>
      <c r="L41" s="42">
        <f t="shared" si="4"/>
        <v>64316106423.529999</v>
      </c>
      <c r="M41" s="40">
        <f t="shared" si="5"/>
        <v>100</v>
      </c>
      <c r="N41" s="50"/>
    </row>
    <row r="42" spans="3:14" ht="27" customHeight="1">
      <c r="C42" s="45"/>
      <c r="D42" s="46" t="s">
        <v>58</v>
      </c>
      <c r="E42" s="811">
        <v>61730319464.800003</v>
      </c>
      <c r="F42" s="40">
        <v>5850230158000</v>
      </c>
      <c r="G42" s="48">
        <f t="shared" si="0"/>
        <v>1.0551776220357039</v>
      </c>
      <c r="H42" s="811">
        <v>61730319464.800003</v>
      </c>
      <c r="I42" s="40">
        <f t="shared" si="1"/>
        <v>18519095839.439999</v>
      </c>
      <c r="J42" s="42">
        <f t="shared" si="2"/>
        <v>30</v>
      </c>
      <c r="K42" s="40">
        <f t="shared" si="3"/>
        <v>61730319464.800003</v>
      </c>
      <c r="L42" s="42">
        <f t="shared" si="4"/>
        <v>61730319464.800003</v>
      </c>
      <c r="M42" s="40">
        <f t="shared" si="5"/>
        <v>100</v>
      </c>
      <c r="N42" s="50"/>
    </row>
    <row r="43" spans="3:14" ht="27" customHeight="1">
      <c r="C43" s="45"/>
      <c r="D43" s="46" t="s">
        <v>59</v>
      </c>
      <c r="E43" s="811">
        <v>61756420382.300003</v>
      </c>
      <c r="F43" s="40">
        <v>5850230158000</v>
      </c>
      <c r="G43" s="48">
        <f t="shared" si="0"/>
        <v>1.0556237740125505</v>
      </c>
      <c r="H43" s="811">
        <v>61756420382.300003</v>
      </c>
      <c r="I43" s="40">
        <f t="shared" si="1"/>
        <v>18526926114.689999</v>
      </c>
      <c r="J43" s="42">
        <f t="shared" si="2"/>
        <v>30</v>
      </c>
      <c r="K43" s="40">
        <f t="shared" si="3"/>
        <v>61756420382.300003</v>
      </c>
      <c r="L43" s="42">
        <f t="shared" si="4"/>
        <v>61756420382.300003</v>
      </c>
      <c r="M43" s="40">
        <f t="shared" si="5"/>
        <v>100</v>
      </c>
      <c r="N43" s="50"/>
    </row>
    <row r="44" spans="3:14" ht="27" customHeight="1">
      <c r="C44" s="45"/>
      <c r="D44" s="46" t="s">
        <v>60</v>
      </c>
      <c r="E44" s="811">
        <v>60339107583.360001</v>
      </c>
      <c r="F44" s="40">
        <v>5850230158000</v>
      </c>
      <c r="G44" s="48">
        <f t="shared" si="0"/>
        <v>1.0313971579536614</v>
      </c>
      <c r="H44" s="811">
        <v>60339107583.360001</v>
      </c>
      <c r="I44" s="40">
        <f t="shared" si="1"/>
        <v>18101732275.007999</v>
      </c>
      <c r="J44" s="42">
        <f t="shared" si="2"/>
        <v>30</v>
      </c>
      <c r="K44" s="40">
        <f t="shared" si="3"/>
        <v>60339107583.360001</v>
      </c>
      <c r="L44" s="42">
        <f t="shared" si="4"/>
        <v>60339107583.360001</v>
      </c>
      <c r="M44" s="40">
        <f t="shared" si="5"/>
        <v>100</v>
      </c>
      <c r="N44" s="50"/>
    </row>
    <row r="45" spans="3:14" ht="27" customHeight="1">
      <c r="C45" s="45"/>
      <c r="D45" s="46" t="s">
        <v>61</v>
      </c>
      <c r="E45" s="811">
        <v>31867021099</v>
      </c>
      <c r="F45" s="40">
        <v>5850230158000</v>
      </c>
      <c r="G45" s="48">
        <f t="shared" si="0"/>
        <v>0.54471397258487142</v>
      </c>
      <c r="H45" s="811">
        <v>31867021099</v>
      </c>
      <c r="I45" s="40">
        <f t="shared" si="1"/>
        <v>9560106329.6999989</v>
      </c>
      <c r="J45" s="42">
        <f t="shared" si="2"/>
        <v>30</v>
      </c>
      <c r="K45" s="40">
        <f t="shared" si="3"/>
        <v>31867021099</v>
      </c>
      <c r="L45" s="42">
        <f t="shared" si="4"/>
        <v>31867021099</v>
      </c>
      <c r="M45" s="40">
        <f t="shared" si="5"/>
        <v>100</v>
      </c>
      <c r="N45" s="50"/>
    </row>
    <row r="46" spans="3:14" s="44" customFormat="1" ht="27" customHeight="1">
      <c r="C46" s="36" t="s">
        <v>62</v>
      </c>
      <c r="D46" s="55" t="s">
        <v>63</v>
      </c>
      <c r="E46" s="810">
        <f>SUM(E47:E67)</f>
        <v>3861473585000</v>
      </c>
      <c r="F46" s="40">
        <v>5850230158000</v>
      </c>
      <c r="G46" s="40">
        <f>+E46/F46*100</f>
        <v>66.005498599393746</v>
      </c>
      <c r="H46" s="810">
        <f>SUM(H47:H67)</f>
        <v>3861473585000</v>
      </c>
      <c r="I46" s="40">
        <f t="shared" si="1"/>
        <v>1158442075500</v>
      </c>
      <c r="J46" s="42">
        <f t="shared" si="2"/>
        <v>30</v>
      </c>
      <c r="K46" s="40">
        <f>SUM(K47:K67)</f>
        <v>3903473585000</v>
      </c>
      <c r="L46" s="42">
        <f t="shared" si="4"/>
        <v>3903473585000</v>
      </c>
      <c r="M46" s="40">
        <f t="shared" si="5"/>
        <v>100</v>
      </c>
      <c r="N46" s="43"/>
    </row>
    <row r="47" spans="3:14" ht="27" customHeight="1">
      <c r="C47" s="45"/>
      <c r="D47" s="808" t="s">
        <v>64</v>
      </c>
      <c r="E47" s="58">
        <v>1033246526900</v>
      </c>
      <c r="F47" s="48">
        <v>5850230158000</v>
      </c>
      <c r="G47" s="48">
        <f t="shared" ref="G47:G67" si="6">E47/F47*100</f>
        <v>17.661638926924418</v>
      </c>
      <c r="H47" s="58">
        <v>1033246526900</v>
      </c>
      <c r="I47" s="40">
        <f t="shared" ref="I47:I67" si="7">0.3*E47</f>
        <v>309973958070</v>
      </c>
      <c r="J47" s="42">
        <f t="shared" ref="J47:J67" si="8">+I47/H47*100</f>
        <v>30</v>
      </c>
      <c r="K47" s="40">
        <f>H47+42000000000</f>
        <v>1075246526900</v>
      </c>
      <c r="L47" s="42">
        <f t="shared" ref="L47:L67" si="9">+K47</f>
        <v>1075246526900</v>
      </c>
      <c r="M47" s="40">
        <f t="shared" ref="M47:M68" si="10">L47/K47*100</f>
        <v>100</v>
      </c>
      <c r="N47" s="50"/>
    </row>
    <row r="48" spans="3:14" ht="27" customHeight="1">
      <c r="C48" s="45"/>
      <c r="D48" s="808" t="s">
        <v>65</v>
      </c>
      <c r="E48" s="809">
        <v>156991000000</v>
      </c>
      <c r="F48" s="48">
        <v>5850230158000</v>
      </c>
      <c r="G48" s="48">
        <f t="shared" si="6"/>
        <v>2.6835012599516261</v>
      </c>
      <c r="H48" s="809">
        <v>156991000000</v>
      </c>
      <c r="I48" s="40">
        <f t="shared" si="7"/>
        <v>47097300000</v>
      </c>
      <c r="J48" s="42">
        <f t="shared" si="8"/>
        <v>30</v>
      </c>
      <c r="K48" s="40">
        <f t="shared" ref="K48:K67" si="11">H48</f>
        <v>156991000000</v>
      </c>
      <c r="L48" s="42">
        <f t="shared" si="9"/>
        <v>156991000000</v>
      </c>
      <c r="M48" s="40">
        <f t="shared" si="10"/>
        <v>100</v>
      </c>
      <c r="N48" s="50"/>
    </row>
    <row r="49" spans="3:14" ht="27" customHeight="1">
      <c r="C49" s="45"/>
      <c r="D49" s="808" t="s">
        <v>66</v>
      </c>
      <c r="E49" s="809">
        <v>291000000000</v>
      </c>
      <c r="F49" s="48">
        <v>5850230158000</v>
      </c>
      <c r="G49" s="48">
        <f t="shared" si="6"/>
        <v>4.9741632746203486</v>
      </c>
      <c r="H49" s="809">
        <v>291000000000</v>
      </c>
      <c r="I49" s="40">
        <f t="shared" si="7"/>
        <v>87300000000</v>
      </c>
      <c r="J49" s="42">
        <f t="shared" si="8"/>
        <v>30</v>
      </c>
      <c r="K49" s="40">
        <f t="shared" si="11"/>
        <v>291000000000</v>
      </c>
      <c r="L49" s="42">
        <f t="shared" si="9"/>
        <v>291000000000</v>
      </c>
      <c r="M49" s="40">
        <f t="shared" si="10"/>
        <v>100</v>
      </c>
      <c r="N49" s="50"/>
    </row>
    <row r="50" spans="3:14" ht="27" customHeight="1">
      <c r="C50" s="45"/>
      <c r="D50" s="808" t="s">
        <v>67</v>
      </c>
      <c r="E50" s="809">
        <v>140000000000</v>
      </c>
      <c r="F50" s="48">
        <v>5850230158000</v>
      </c>
      <c r="G50" s="48">
        <f t="shared" si="6"/>
        <v>2.3930682420853913</v>
      </c>
      <c r="H50" s="809">
        <v>140000000000</v>
      </c>
      <c r="I50" s="40">
        <f t="shared" si="7"/>
        <v>42000000000</v>
      </c>
      <c r="J50" s="42">
        <f t="shared" si="8"/>
        <v>30</v>
      </c>
      <c r="K50" s="40">
        <f t="shared" si="11"/>
        <v>140000000000</v>
      </c>
      <c r="L50" s="42">
        <f t="shared" si="9"/>
        <v>140000000000</v>
      </c>
      <c r="M50" s="40">
        <f t="shared" si="10"/>
        <v>100</v>
      </c>
      <c r="N50" s="50"/>
    </row>
    <row r="51" spans="3:14" ht="27" customHeight="1">
      <c r="C51" s="45"/>
      <c r="D51" s="806" t="s">
        <v>68</v>
      </c>
      <c r="E51" s="809">
        <v>50000000000</v>
      </c>
      <c r="F51" s="48">
        <v>5850230158000</v>
      </c>
      <c r="G51" s="48">
        <f t="shared" si="6"/>
        <v>0.85466722931621109</v>
      </c>
      <c r="H51" s="809">
        <v>50000000000</v>
      </c>
      <c r="I51" s="40">
        <f t="shared" si="7"/>
        <v>15000000000</v>
      </c>
      <c r="J51" s="42">
        <f t="shared" si="8"/>
        <v>30</v>
      </c>
      <c r="K51" s="40">
        <f t="shared" si="11"/>
        <v>50000000000</v>
      </c>
      <c r="L51" s="42">
        <f t="shared" si="9"/>
        <v>50000000000</v>
      </c>
      <c r="M51" s="40">
        <f t="shared" si="10"/>
        <v>100</v>
      </c>
      <c r="N51" s="50"/>
    </row>
    <row r="52" spans="3:14" ht="27" customHeight="1">
      <c r="C52" s="61"/>
      <c r="D52" s="808" t="s">
        <v>2779</v>
      </c>
      <c r="E52" s="809">
        <v>10000000000</v>
      </c>
      <c r="F52" s="48">
        <v>5850230158000</v>
      </c>
      <c r="G52" s="48">
        <f t="shared" si="6"/>
        <v>0.17093344586324222</v>
      </c>
      <c r="H52" s="809">
        <v>10000000000</v>
      </c>
      <c r="I52" s="40">
        <f t="shared" si="7"/>
        <v>3000000000</v>
      </c>
      <c r="J52" s="42">
        <f t="shared" si="8"/>
        <v>30</v>
      </c>
      <c r="K52" s="40">
        <f t="shared" si="11"/>
        <v>10000000000</v>
      </c>
      <c r="L52" s="42">
        <f t="shared" si="9"/>
        <v>10000000000</v>
      </c>
      <c r="M52" s="40">
        <f t="shared" si="10"/>
        <v>100</v>
      </c>
      <c r="N52" s="50"/>
    </row>
    <row r="53" spans="3:14" ht="39" customHeight="1">
      <c r="C53" s="807"/>
      <c r="D53" s="808" t="s">
        <v>2778</v>
      </c>
      <c r="E53" s="809">
        <v>1000000000</v>
      </c>
      <c r="F53" s="48">
        <v>5850230158000</v>
      </c>
      <c r="G53" s="48">
        <f t="shared" si="6"/>
        <v>1.7093344586324222E-2</v>
      </c>
      <c r="H53" s="809">
        <v>1000000000</v>
      </c>
      <c r="I53" s="40">
        <f t="shared" si="7"/>
        <v>300000000</v>
      </c>
      <c r="J53" s="42">
        <f t="shared" si="8"/>
        <v>30</v>
      </c>
      <c r="K53" s="40">
        <f t="shared" si="11"/>
        <v>1000000000</v>
      </c>
      <c r="L53" s="42">
        <f t="shared" si="9"/>
        <v>1000000000</v>
      </c>
      <c r="M53" s="40">
        <f t="shared" si="10"/>
        <v>100</v>
      </c>
      <c r="N53" s="50"/>
    </row>
    <row r="54" spans="3:14" ht="27" customHeight="1">
      <c r="C54" s="807"/>
      <c r="D54" s="808" t="s">
        <v>2108</v>
      </c>
      <c r="E54" s="809">
        <v>6328812000</v>
      </c>
      <c r="F54" s="48">
        <v>5850230158000</v>
      </c>
      <c r="G54" s="48">
        <f t="shared" si="6"/>
        <v>0.10818056433806378</v>
      </c>
      <c r="H54" s="809">
        <v>6328812000</v>
      </c>
      <c r="I54" s="40">
        <f t="shared" si="7"/>
        <v>1898643600</v>
      </c>
      <c r="J54" s="42">
        <f t="shared" si="8"/>
        <v>30</v>
      </c>
      <c r="K54" s="40">
        <f t="shared" si="11"/>
        <v>6328812000</v>
      </c>
      <c r="L54" s="42">
        <f t="shared" si="9"/>
        <v>6328812000</v>
      </c>
      <c r="M54" s="40">
        <f t="shared" si="10"/>
        <v>100</v>
      </c>
      <c r="N54" s="50"/>
    </row>
    <row r="55" spans="3:14" ht="39" customHeight="1">
      <c r="C55" s="807"/>
      <c r="D55" s="808" t="s">
        <v>2777</v>
      </c>
      <c r="E55" s="809">
        <v>5000000000</v>
      </c>
      <c r="F55" s="48">
        <v>5850230158000</v>
      </c>
      <c r="G55" s="48">
        <f t="shared" si="6"/>
        <v>8.5466722931621109E-2</v>
      </c>
      <c r="H55" s="809">
        <v>5000000000</v>
      </c>
      <c r="I55" s="40">
        <f t="shared" si="7"/>
        <v>1500000000</v>
      </c>
      <c r="J55" s="42">
        <f t="shared" si="8"/>
        <v>30</v>
      </c>
      <c r="K55" s="40">
        <f t="shared" si="11"/>
        <v>5000000000</v>
      </c>
      <c r="L55" s="42">
        <f t="shared" si="9"/>
        <v>5000000000</v>
      </c>
      <c r="M55" s="40">
        <f t="shared" si="10"/>
        <v>100</v>
      </c>
      <c r="N55" s="50"/>
    </row>
    <row r="56" spans="3:14" ht="27" customHeight="1">
      <c r="C56" s="807"/>
      <c r="D56" s="806" t="s">
        <v>2776</v>
      </c>
      <c r="E56" s="58">
        <v>665934875510</v>
      </c>
      <c r="F56" s="48">
        <v>5850230158000</v>
      </c>
      <c r="G56" s="48">
        <f t="shared" si="6"/>
        <v>11.383054299143353</v>
      </c>
      <c r="H56" s="58">
        <v>665934875510</v>
      </c>
      <c r="I56" s="40">
        <f t="shared" si="7"/>
        <v>199780462653</v>
      </c>
      <c r="J56" s="42">
        <f t="shared" si="8"/>
        <v>30</v>
      </c>
      <c r="K56" s="40">
        <f t="shared" si="11"/>
        <v>665934875510</v>
      </c>
      <c r="L56" s="42">
        <f t="shared" si="9"/>
        <v>665934875510</v>
      </c>
      <c r="M56" s="40">
        <f t="shared" si="10"/>
        <v>100</v>
      </c>
      <c r="N56" s="50"/>
    </row>
    <row r="57" spans="3:14" ht="27" customHeight="1">
      <c r="C57" s="807"/>
      <c r="D57" s="806" t="s">
        <v>2775</v>
      </c>
      <c r="E57" s="58">
        <v>8000000000</v>
      </c>
      <c r="F57" s="48">
        <v>5850230158000</v>
      </c>
      <c r="G57" s="48">
        <f t="shared" si="6"/>
        <v>0.13674675669059377</v>
      </c>
      <c r="H57" s="58">
        <v>8000000000</v>
      </c>
      <c r="I57" s="40">
        <f t="shared" si="7"/>
        <v>2400000000</v>
      </c>
      <c r="J57" s="42">
        <f t="shared" si="8"/>
        <v>30</v>
      </c>
      <c r="K57" s="40">
        <f t="shared" si="11"/>
        <v>8000000000</v>
      </c>
      <c r="L57" s="42">
        <f t="shared" si="9"/>
        <v>8000000000</v>
      </c>
      <c r="M57" s="40">
        <f t="shared" si="10"/>
        <v>100</v>
      </c>
      <c r="N57" s="50"/>
    </row>
    <row r="58" spans="3:14" ht="27" customHeight="1">
      <c r="C58" s="807"/>
      <c r="D58" s="806" t="s">
        <v>2774</v>
      </c>
      <c r="E58" s="58">
        <v>5000000000</v>
      </c>
      <c r="F58" s="48">
        <v>5850230158000</v>
      </c>
      <c r="G58" s="48">
        <f t="shared" si="6"/>
        <v>8.5466722931621109E-2</v>
      </c>
      <c r="H58" s="58">
        <v>5000000000</v>
      </c>
      <c r="I58" s="40">
        <f t="shared" si="7"/>
        <v>1500000000</v>
      </c>
      <c r="J58" s="42">
        <f t="shared" si="8"/>
        <v>30</v>
      </c>
      <c r="K58" s="40">
        <f t="shared" si="11"/>
        <v>5000000000</v>
      </c>
      <c r="L58" s="42">
        <f t="shared" si="9"/>
        <v>5000000000</v>
      </c>
      <c r="M58" s="40">
        <f t="shared" si="10"/>
        <v>100</v>
      </c>
      <c r="N58" s="50"/>
    </row>
    <row r="59" spans="3:14" ht="27" customHeight="1">
      <c r="C59" s="807"/>
      <c r="D59" s="808" t="s">
        <v>2773</v>
      </c>
      <c r="E59" s="58">
        <v>10000000000</v>
      </c>
      <c r="F59" s="48">
        <v>5850230158000</v>
      </c>
      <c r="G59" s="48">
        <f t="shared" si="6"/>
        <v>0.17093344586324222</v>
      </c>
      <c r="H59" s="58">
        <v>10000000000</v>
      </c>
      <c r="I59" s="40">
        <f t="shared" si="7"/>
        <v>3000000000</v>
      </c>
      <c r="J59" s="42">
        <f t="shared" si="8"/>
        <v>30</v>
      </c>
      <c r="K59" s="40">
        <f t="shared" si="11"/>
        <v>10000000000</v>
      </c>
      <c r="L59" s="42">
        <f t="shared" si="9"/>
        <v>10000000000</v>
      </c>
      <c r="M59" s="40">
        <f t="shared" si="10"/>
        <v>100</v>
      </c>
      <c r="N59" s="50"/>
    </row>
    <row r="60" spans="3:14" ht="27" customHeight="1">
      <c r="C60" s="807"/>
      <c r="D60" s="806" t="s">
        <v>2772</v>
      </c>
      <c r="E60" s="58">
        <v>6000000000</v>
      </c>
      <c r="F60" s="48">
        <v>5850230158000</v>
      </c>
      <c r="G60" s="48">
        <f t="shared" si="6"/>
        <v>0.10256006751794533</v>
      </c>
      <c r="H60" s="58">
        <v>6000000000</v>
      </c>
      <c r="I60" s="40">
        <f t="shared" si="7"/>
        <v>1800000000</v>
      </c>
      <c r="J60" s="42">
        <f t="shared" si="8"/>
        <v>30</v>
      </c>
      <c r="K60" s="40">
        <f t="shared" si="11"/>
        <v>6000000000</v>
      </c>
      <c r="L60" s="42">
        <f t="shared" si="9"/>
        <v>6000000000</v>
      </c>
      <c r="M60" s="40">
        <f t="shared" si="10"/>
        <v>100</v>
      </c>
      <c r="N60" s="50"/>
    </row>
    <row r="61" spans="3:14" ht="27" customHeight="1">
      <c r="C61" s="807"/>
      <c r="D61" s="808" t="s">
        <v>2771</v>
      </c>
      <c r="E61" s="58">
        <v>6000000000</v>
      </c>
      <c r="F61" s="48">
        <v>5850230158000</v>
      </c>
      <c r="G61" s="48">
        <f t="shared" si="6"/>
        <v>0.10256006751794533</v>
      </c>
      <c r="H61" s="58">
        <v>6000000000</v>
      </c>
      <c r="I61" s="40">
        <f t="shared" si="7"/>
        <v>1800000000</v>
      </c>
      <c r="J61" s="42">
        <f t="shared" si="8"/>
        <v>30</v>
      </c>
      <c r="K61" s="40">
        <f t="shared" si="11"/>
        <v>6000000000</v>
      </c>
      <c r="L61" s="42">
        <f t="shared" si="9"/>
        <v>6000000000</v>
      </c>
      <c r="M61" s="40">
        <f t="shared" si="10"/>
        <v>100</v>
      </c>
      <c r="N61" s="50"/>
    </row>
    <row r="62" spans="3:14" ht="27" customHeight="1">
      <c r="C62" s="807"/>
      <c r="D62" s="806" t="s">
        <v>2770</v>
      </c>
      <c r="E62" s="58">
        <v>8000000000</v>
      </c>
      <c r="F62" s="48">
        <v>5850230158000</v>
      </c>
      <c r="G62" s="48">
        <f t="shared" si="6"/>
        <v>0.13674675669059377</v>
      </c>
      <c r="H62" s="58">
        <v>8000000000</v>
      </c>
      <c r="I62" s="40">
        <f t="shared" si="7"/>
        <v>2400000000</v>
      </c>
      <c r="J62" s="42">
        <f t="shared" si="8"/>
        <v>30</v>
      </c>
      <c r="K62" s="40">
        <f t="shared" si="11"/>
        <v>8000000000</v>
      </c>
      <c r="L62" s="42">
        <f t="shared" si="9"/>
        <v>8000000000</v>
      </c>
      <c r="M62" s="40">
        <f t="shared" si="10"/>
        <v>100</v>
      </c>
      <c r="N62" s="50"/>
    </row>
    <row r="63" spans="3:14" ht="27" customHeight="1">
      <c r="C63" s="807"/>
      <c r="D63" s="808" t="s">
        <v>1159</v>
      </c>
      <c r="E63" s="58">
        <v>5000000000</v>
      </c>
      <c r="F63" s="48">
        <v>5850230158000</v>
      </c>
      <c r="G63" s="48">
        <f t="shared" si="6"/>
        <v>8.5466722931621109E-2</v>
      </c>
      <c r="H63" s="58">
        <v>5000000000</v>
      </c>
      <c r="I63" s="40">
        <f t="shared" si="7"/>
        <v>1500000000</v>
      </c>
      <c r="J63" s="42">
        <f t="shared" si="8"/>
        <v>30</v>
      </c>
      <c r="K63" s="40">
        <f t="shared" si="11"/>
        <v>5000000000</v>
      </c>
      <c r="L63" s="42">
        <f t="shared" si="9"/>
        <v>5000000000</v>
      </c>
      <c r="M63" s="40">
        <f t="shared" si="10"/>
        <v>100</v>
      </c>
      <c r="N63" s="50"/>
    </row>
    <row r="64" spans="3:14" ht="27" customHeight="1">
      <c r="C64" s="807"/>
      <c r="D64" s="806" t="s">
        <v>2769</v>
      </c>
      <c r="E64" s="58">
        <v>65268836000</v>
      </c>
      <c r="F64" s="48">
        <v>5850230158000</v>
      </c>
      <c r="G64" s="48">
        <f t="shared" si="6"/>
        <v>1.1156627044962835</v>
      </c>
      <c r="H64" s="58">
        <v>65268836000</v>
      </c>
      <c r="I64" s="40">
        <f t="shared" si="7"/>
        <v>19580650800</v>
      </c>
      <c r="J64" s="42">
        <f t="shared" si="8"/>
        <v>30</v>
      </c>
      <c r="K64" s="40">
        <f t="shared" si="11"/>
        <v>65268836000</v>
      </c>
      <c r="L64" s="42">
        <f t="shared" si="9"/>
        <v>65268836000</v>
      </c>
      <c r="M64" s="40">
        <f t="shared" si="10"/>
        <v>100</v>
      </c>
      <c r="N64" s="50"/>
    </row>
    <row r="65" spans="2:14" ht="27" customHeight="1">
      <c r="C65" s="807"/>
      <c r="D65" s="808" t="s">
        <v>2768</v>
      </c>
      <c r="E65" s="58">
        <v>250000000000</v>
      </c>
      <c r="F65" s="48">
        <v>5850230158000</v>
      </c>
      <c r="G65" s="48">
        <f t="shared" si="6"/>
        <v>4.2733361465810553</v>
      </c>
      <c r="H65" s="58">
        <v>250000000000</v>
      </c>
      <c r="I65" s="40">
        <f t="shared" si="7"/>
        <v>75000000000</v>
      </c>
      <c r="J65" s="42">
        <f t="shared" si="8"/>
        <v>30</v>
      </c>
      <c r="K65" s="40">
        <f t="shared" si="11"/>
        <v>250000000000</v>
      </c>
      <c r="L65" s="42">
        <f t="shared" si="9"/>
        <v>250000000000</v>
      </c>
      <c r="M65" s="40">
        <f t="shared" si="10"/>
        <v>100</v>
      </c>
      <c r="N65" s="50"/>
    </row>
    <row r="66" spans="2:14" ht="27" customHeight="1">
      <c r="C66" s="807"/>
      <c r="D66" s="806" t="s">
        <v>1747</v>
      </c>
      <c r="E66" s="58">
        <v>9500000000</v>
      </c>
      <c r="F66" s="48">
        <v>5850230158000</v>
      </c>
      <c r="G66" s="48">
        <f t="shared" si="6"/>
        <v>0.16238677357008011</v>
      </c>
      <c r="H66" s="58">
        <v>9500000000</v>
      </c>
      <c r="I66" s="40">
        <f t="shared" si="7"/>
        <v>2850000000</v>
      </c>
      <c r="J66" s="42">
        <f t="shared" si="8"/>
        <v>30</v>
      </c>
      <c r="K66" s="40">
        <f t="shared" si="11"/>
        <v>9500000000</v>
      </c>
      <c r="L66" s="42">
        <f t="shared" si="9"/>
        <v>9500000000</v>
      </c>
      <c r="M66" s="40">
        <f t="shared" si="10"/>
        <v>100</v>
      </c>
      <c r="N66" s="50"/>
    </row>
    <row r="67" spans="2:14" ht="27" customHeight="1">
      <c r="C67" s="807"/>
      <c r="D67" s="806" t="s">
        <v>2767</v>
      </c>
      <c r="E67" s="58">
        <v>1129203534590</v>
      </c>
      <c r="F67" s="48">
        <v>5850230158000</v>
      </c>
      <c r="G67" s="48">
        <f t="shared" si="6"/>
        <v>19.301865124842152</v>
      </c>
      <c r="H67" s="58">
        <v>1129203534590</v>
      </c>
      <c r="I67" s="40">
        <f t="shared" si="7"/>
        <v>338761060377</v>
      </c>
      <c r="J67" s="42">
        <f t="shared" si="8"/>
        <v>30</v>
      </c>
      <c r="K67" s="40">
        <f t="shared" si="11"/>
        <v>1129203534590</v>
      </c>
      <c r="L67" s="42">
        <f t="shared" si="9"/>
        <v>1129203534590</v>
      </c>
      <c r="M67" s="40">
        <f t="shared" si="10"/>
        <v>100</v>
      </c>
      <c r="N67" s="50"/>
    </row>
    <row r="68" spans="2:14" s="44" customFormat="1" ht="20.100000000000001" customHeight="1">
      <c r="C68" s="70"/>
      <c r="D68" s="71" t="s">
        <v>76</v>
      </c>
      <c r="E68" s="805">
        <f>+E46+E16+E15</f>
        <v>5808230158000</v>
      </c>
      <c r="F68" s="74">
        <v>5580152407000</v>
      </c>
      <c r="G68" s="74">
        <f>E68/E68*100</f>
        <v>100</v>
      </c>
      <c r="H68" s="805">
        <f>+H15+H16+H46</f>
        <v>5808230158000</v>
      </c>
      <c r="I68" s="805">
        <f>+I15+I16+I46</f>
        <v>1742469047400</v>
      </c>
      <c r="J68" s="75">
        <f>I68/H68*100</f>
        <v>30</v>
      </c>
      <c r="K68" s="805">
        <f>+K15+K16+K46</f>
        <v>5850230158000</v>
      </c>
      <c r="L68" s="805">
        <f>+L15+L16+L46</f>
        <v>5850230158000</v>
      </c>
      <c r="M68" s="74">
        <f t="shared" si="10"/>
        <v>100</v>
      </c>
      <c r="N68" s="76"/>
    </row>
    <row r="69" spans="2:14" ht="12.75" customHeight="1">
      <c r="C69" s="77"/>
      <c r="D69" s="78"/>
      <c r="E69" s="80"/>
      <c r="F69" s="80"/>
      <c r="G69" s="80"/>
      <c r="H69" s="80"/>
      <c r="I69" s="80"/>
      <c r="J69" s="80"/>
      <c r="K69" s="80"/>
      <c r="L69" s="80"/>
      <c r="M69" s="80"/>
      <c r="N69" s="80"/>
    </row>
    <row r="71" spans="2:14" ht="39.75" customHeight="1">
      <c r="C71" s="1682"/>
      <c r="D71" s="1682"/>
      <c r="E71" s="1682"/>
      <c r="F71" s="1682"/>
      <c r="G71" s="1682"/>
      <c r="H71" s="1682"/>
    </row>
    <row r="73" spans="2:14" s="83" customFormat="1" ht="20.100000000000001" customHeight="1">
      <c r="B73" s="802"/>
      <c r="C73" s="803"/>
      <c r="D73" s="84"/>
      <c r="N73" s="802"/>
    </row>
    <row r="74" spans="2:14" s="83" customFormat="1" ht="20.100000000000001" customHeight="1">
      <c r="B74" s="802"/>
      <c r="C74" s="803"/>
      <c r="D74" s="85"/>
      <c r="E74" s="804"/>
      <c r="N74" s="802"/>
    </row>
    <row r="76" spans="2:14" s="83" customFormat="1" ht="20.100000000000001" customHeight="1">
      <c r="B76" s="802"/>
      <c r="C76" s="803"/>
      <c r="D76" s="802"/>
      <c r="N76" s="802"/>
    </row>
  </sheetData>
  <mergeCells count="20">
    <mergeCell ref="N9:N11"/>
    <mergeCell ref="K10:K11"/>
    <mergeCell ref="L10:L11"/>
    <mergeCell ref="M10:M11"/>
    <mergeCell ref="K9:M9"/>
    <mergeCell ref="M6:N7"/>
    <mergeCell ref="C2:N2"/>
    <mergeCell ref="C3:N3"/>
    <mergeCell ref="C4:N4"/>
    <mergeCell ref="C5:N5"/>
    <mergeCell ref="C71:H71"/>
    <mergeCell ref="C9:C11"/>
    <mergeCell ref="D9:D11"/>
    <mergeCell ref="E9:G9"/>
    <mergeCell ref="H9:J9"/>
    <mergeCell ref="J10:J11"/>
    <mergeCell ref="I10:I11"/>
    <mergeCell ref="H10:H11"/>
    <mergeCell ref="G10:G11"/>
    <mergeCell ref="E10:E11"/>
  </mergeCells>
  <printOptions horizontalCentered="1"/>
  <pageMargins left="0.59055118110236227" right="0" top="1.1417322834645669" bottom="0.19685039370078741" header="0.31496062992125984" footer="0.31496062992125984"/>
  <pageSetup paperSize="258" scale="92" orientation="landscape" horizontalDpi="4294967293" verticalDpi="1200" r:id="rId1"/>
  <rowBreaks count="4" manualBreakCount="4">
    <brk id="21" min="1" max="14" man="1"/>
    <brk id="34" min="1" max="14" man="1"/>
    <brk id="47" min="1" max="14" man="1"/>
    <brk id="61" min="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B35"/>
  <sheetViews>
    <sheetView workbookViewId="0">
      <selection activeCell="G9" sqref="G9"/>
    </sheetView>
  </sheetViews>
  <sheetFormatPr defaultRowHeight="15"/>
  <cols>
    <col min="2" max="2" width="54.28515625" customWidth="1"/>
  </cols>
  <sheetData>
    <row r="3" spans="2:2" ht="15.75">
      <c r="B3" s="1663" t="s">
        <v>4235</v>
      </c>
    </row>
    <row r="4" spans="2:2" ht="15.75">
      <c r="B4" s="1664" t="s">
        <v>4236</v>
      </c>
    </row>
    <row r="5" spans="2:2">
      <c r="B5" s="1658"/>
    </row>
    <row r="6" spans="2:2" ht="18.75">
      <c r="B6" s="1659" t="s">
        <v>30</v>
      </c>
    </row>
    <row r="7" spans="2:2" ht="18.75">
      <c r="B7" s="1660" t="s">
        <v>33</v>
      </c>
    </row>
    <row r="8" spans="2:2" ht="18.75">
      <c r="B8" s="1661" t="s">
        <v>34</v>
      </c>
    </row>
    <row r="9" spans="2:2" ht="18.75">
      <c r="B9" s="1660" t="s">
        <v>35</v>
      </c>
    </row>
    <row r="10" spans="2:2" ht="18.75">
      <c r="B10" s="1660" t="s">
        <v>36</v>
      </c>
    </row>
    <row r="11" spans="2:2" ht="18.75">
      <c r="B11" s="1660" t="s">
        <v>37</v>
      </c>
    </row>
    <row r="12" spans="2:2" ht="18.75">
      <c r="B12" s="1660" t="s">
        <v>38</v>
      </c>
    </row>
    <row r="13" spans="2:2" ht="18.75">
      <c r="B13" s="1660" t="s">
        <v>39</v>
      </c>
    </row>
    <row r="14" spans="2:2" ht="18.75">
      <c r="B14" s="1662" t="s">
        <v>40</v>
      </c>
    </row>
    <row r="15" spans="2:2" ht="18.75">
      <c r="B15" s="1660" t="s">
        <v>41</v>
      </c>
    </row>
    <row r="16" spans="2:2" ht="18.75">
      <c r="B16" s="1660" t="s">
        <v>42</v>
      </c>
    </row>
    <row r="17" spans="2:2" ht="18.75">
      <c r="B17" s="1660" t="s">
        <v>43</v>
      </c>
    </row>
    <row r="18" spans="2:2" ht="18.75">
      <c r="B18" s="1660" t="s">
        <v>44</v>
      </c>
    </row>
    <row r="19" spans="2:2" ht="18.75">
      <c r="B19" s="1660" t="s">
        <v>45</v>
      </c>
    </row>
    <row r="20" spans="2:2" ht="18.75">
      <c r="B20" s="1660" t="s">
        <v>46</v>
      </c>
    </row>
    <row r="21" spans="2:2" ht="18.75">
      <c r="B21" s="1660" t="s">
        <v>47</v>
      </c>
    </row>
    <row r="22" spans="2:2" ht="18.75">
      <c r="B22" s="1660" t="s">
        <v>48</v>
      </c>
    </row>
    <row r="23" spans="2:2" ht="18.75">
      <c r="B23" s="1660" t="s">
        <v>49</v>
      </c>
    </row>
    <row r="24" spans="2:2" ht="18.75">
      <c r="B24" s="1660" t="s">
        <v>50</v>
      </c>
    </row>
    <row r="25" spans="2:2" ht="18.75">
      <c r="B25" s="1660" t="s">
        <v>51</v>
      </c>
    </row>
    <row r="26" spans="2:2" ht="18.75">
      <c r="B26" s="1660" t="s">
        <v>52</v>
      </c>
    </row>
    <row r="27" spans="2:2" ht="18.75">
      <c r="B27" s="1660" t="s">
        <v>53</v>
      </c>
    </row>
    <row r="28" spans="2:2" ht="18.75">
      <c r="B28" s="1660" t="s">
        <v>54</v>
      </c>
    </row>
    <row r="29" spans="2:2" ht="18.75">
      <c r="B29" s="1660" t="s">
        <v>55</v>
      </c>
    </row>
    <row r="30" spans="2:2" ht="18.75">
      <c r="B30" s="1662" t="s">
        <v>56</v>
      </c>
    </row>
    <row r="31" spans="2:2" ht="18.75">
      <c r="B31" s="1660" t="s">
        <v>57</v>
      </c>
    </row>
    <row r="32" spans="2:2" ht="18.75">
      <c r="B32" s="1660" t="s">
        <v>58</v>
      </c>
    </row>
    <row r="33" spans="2:2" ht="18.75">
      <c r="B33" s="1660" t="s">
        <v>59</v>
      </c>
    </row>
    <row r="34" spans="2:2" ht="18.75">
      <c r="B34" s="1660" t="s">
        <v>60</v>
      </c>
    </row>
    <row r="35" spans="2:2" ht="18.75">
      <c r="B35" s="1660" t="s">
        <v>61</v>
      </c>
    </row>
  </sheetData>
  <printOptions horizontalCentered="1"/>
  <pageMargins left="0.70866141732283472" right="0.70866141732283472" top="1.1417322834645669" bottom="0.74803149606299213" header="0.31496062992125984" footer="0.31496062992125984"/>
  <pageSetup paperSize="258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67"/>
  <sheetViews>
    <sheetView view="pageBreakPreview" topLeftCell="B50" zoomScaleNormal="80" zoomScaleSheetLayoutView="100" workbookViewId="0">
      <selection activeCell="E58" sqref="E58"/>
    </sheetView>
  </sheetViews>
  <sheetFormatPr defaultColWidth="8.85546875" defaultRowHeight="20.100000000000001" customHeight="1"/>
  <cols>
    <col min="1" max="1" width="18.140625" style="1" customWidth="1"/>
    <col min="2" max="2" width="2.28515625" style="1" customWidth="1"/>
    <col min="3" max="3" width="8.140625" style="27" customWidth="1"/>
    <col min="4" max="4" width="40.28515625" style="1" customWidth="1"/>
    <col min="5" max="5" width="23" style="82" customWidth="1"/>
    <col min="6" max="6" width="1.85546875" style="82" hidden="1" customWidth="1"/>
    <col min="7" max="7" width="8" style="83" customWidth="1"/>
    <col min="8" max="8" width="12.42578125" style="83" customWidth="1"/>
    <col min="9" max="9" width="13.42578125" style="83" customWidth="1"/>
    <col min="10" max="11" width="12.42578125" style="83" customWidth="1"/>
    <col min="12" max="12" width="9.140625" style="83" customWidth="1"/>
    <col min="13" max="13" width="10.5703125" style="83" customWidth="1"/>
    <col min="14" max="14" width="11" style="1" customWidth="1"/>
    <col min="15" max="15" width="2.42578125" style="1" customWidth="1"/>
    <col min="16" max="256" width="8.85546875" style="1"/>
    <col min="257" max="257" width="18.140625" style="1" customWidth="1"/>
    <col min="258" max="258" width="2.28515625" style="1" customWidth="1"/>
    <col min="259" max="259" width="8.140625" style="1" customWidth="1"/>
    <col min="260" max="260" width="42.5703125" style="1" customWidth="1"/>
    <col min="261" max="261" width="24.85546875" style="1" customWidth="1"/>
    <col min="262" max="262" width="24.7109375" style="1" customWidth="1"/>
    <col min="263" max="263" width="10" style="1" customWidth="1"/>
    <col min="264" max="268" width="12.42578125" style="1" customWidth="1"/>
    <col min="269" max="269" width="10.5703125" style="1" customWidth="1"/>
    <col min="270" max="270" width="15.28515625" style="1" customWidth="1"/>
    <col min="271" max="271" width="2.42578125" style="1" customWidth="1"/>
    <col min="272" max="512" width="8.85546875" style="1"/>
    <col min="513" max="513" width="18.140625" style="1" customWidth="1"/>
    <col min="514" max="514" width="2.28515625" style="1" customWidth="1"/>
    <col min="515" max="515" width="8.140625" style="1" customWidth="1"/>
    <col min="516" max="516" width="42.5703125" style="1" customWidth="1"/>
    <col min="517" max="517" width="24.85546875" style="1" customWidth="1"/>
    <col min="518" max="518" width="24.7109375" style="1" customWidth="1"/>
    <col min="519" max="519" width="10" style="1" customWidth="1"/>
    <col min="520" max="524" width="12.42578125" style="1" customWidth="1"/>
    <col min="525" max="525" width="10.5703125" style="1" customWidth="1"/>
    <col min="526" max="526" width="15.28515625" style="1" customWidth="1"/>
    <col min="527" max="527" width="2.42578125" style="1" customWidth="1"/>
    <col min="528" max="768" width="8.85546875" style="1"/>
    <col min="769" max="769" width="18.140625" style="1" customWidth="1"/>
    <col min="770" max="770" width="2.28515625" style="1" customWidth="1"/>
    <col min="771" max="771" width="8.140625" style="1" customWidth="1"/>
    <col min="772" max="772" width="42.5703125" style="1" customWidth="1"/>
    <col min="773" max="773" width="24.85546875" style="1" customWidth="1"/>
    <col min="774" max="774" width="24.7109375" style="1" customWidth="1"/>
    <col min="775" max="775" width="10" style="1" customWidth="1"/>
    <col min="776" max="780" width="12.42578125" style="1" customWidth="1"/>
    <col min="781" max="781" width="10.5703125" style="1" customWidth="1"/>
    <col min="782" max="782" width="15.28515625" style="1" customWidth="1"/>
    <col min="783" max="783" width="2.42578125" style="1" customWidth="1"/>
    <col min="784" max="1024" width="8.85546875" style="1"/>
    <col min="1025" max="1025" width="18.140625" style="1" customWidth="1"/>
    <col min="1026" max="1026" width="2.28515625" style="1" customWidth="1"/>
    <col min="1027" max="1027" width="8.140625" style="1" customWidth="1"/>
    <col min="1028" max="1028" width="42.5703125" style="1" customWidth="1"/>
    <col min="1029" max="1029" width="24.85546875" style="1" customWidth="1"/>
    <col min="1030" max="1030" width="24.7109375" style="1" customWidth="1"/>
    <col min="1031" max="1031" width="10" style="1" customWidth="1"/>
    <col min="1032" max="1036" width="12.42578125" style="1" customWidth="1"/>
    <col min="1037" max="1037" width="10.5703125" style="1" customWidth="1"/>
    <col min="1038" max="1038" width="15.28515625" style="1" customWidth="1"/>
    <col min="1039" max="1039" width="2.42578125" style="1" customWidth="1"/>
    <col min="1040" max="1280" width="8.85546875" style="1"/>
    <col min="1281" max="1281" width="18.140625" style="1" customWidth="1"/>
    <col min="1282" max="1282" width="2.28515625" style="1" customWidth="1"/>
    <col min="1283" max="1283" width="8.140625" style="1" customWidth="1"/>
    <col min="1284" max="1284" width="42.5703125" style="1" customWidth="1"/>
    <col min="1285" max="1285" width="24.85546875" style="1" customWidth="1"/>
    <col min="1286" max="1286" width="24.7109375" style="1" customWidth="1"/>
    <col min="1287" max="1287" width="10" style="1" customWidth="1"/>
    <col min="1288" max="1292" width="12.42578125" style="1" customWidth="1"/>
    <col min="1293" max="1293" width="10.5703125" style="1" customWidth="1"/>
    <col min="1294" max="1294" width="15.28515625" style="1" customWidth="1"/>
    <col min="1295" max="1295" width="2.42578125" style="1" customWidth="1"/>
    <col min="1296" max="1536" width="8.85546875" style="1"/>
    <col min="1537" max="1537" width="18.140625" style="1" customWidth="1"/>
    <col min="1538" max="1538" width="2.28515625" style="1" customWidth="1"/>
    <col min="1539" max="1539" width="8.140625" style="1" customWidth="1"/>
    <col min="1540" max="1540" width="42.5703125" style="1" customWidth="1"/>
    <col min="1541" max="1541" width="24.85546875" style="1" customWidth="1"/>
    <col min="1542" max="1542" width="24.7109375" style="1" customWidth="1"/>
    <col min="1543" max="1543" width="10" style="1" customWidth="1"/>
    <col min="1544" max="1548" width="12.42578125" style="1" customWidth="1"/>
    <col min="1549" max="1549" width="10.5703125" style="1" customWidth="1"/>
    <col min="1550" max="1550" width="15.28515625" style="1" customWidth="1"/>
    <col min="1551" max="1551" width="2.42578125" style="1" customWidth="1"/>
    <col min="1552" max="1792" width="8.85546875" style="1"/>
    <col min="1793" max="1793" width="18.140625" style="1" customWidth="1"/>
    <col min="1794" max="1794" width="2.28515625" style="1" customWidth="1"/>
    <col min="1795" max="1795" width="8.140625" style="1" customWidth="1"/>
    <col min="1796" max="1796" width="42.5703125" style="1" customWidth="1"/>
    <col min="1797" max="1797" width="24.85546875" style="1" customWidth="1"/>
    <col min="1798" max="1798" width="24.7109375" style="1" customWidth="1"/>
    <col min="1799" max="1799" width="10" style="1" customWidth="1"/>
    <col min="1800" max="1804" width="12.42578125" style="1" customWidth="1"/>
    <col min="1805" max="1805" width="10.5703125" style="1" customWidth="1"/>
    <col min="1806" max="1806" width="15.28515625" style="1" customWidth="1"/>
    <col min="1807" max="1807" width="2.42578125" style="1" customWidth="1"/>
    <col min="1808" max="2048" width="8.85546875" style="1"/>
    <col min="2049" max="2049" width="18.140625" style="1" customWidth="1"/>
    <col min="2050" max="2050" width="2.28515625" style="1" customWidth="1"/>
    <col min="2051" max="2051" width="8.140625" style="1" customWidth="1"/>
    <col min="2052" max="2052" width="42.5703125" style="1" customWidth="1"/>
    <col min="2053" max="2053" width="24.85546875" style="1" customWidth="1"/>
    <col min="2054" max="2054" width="24.7109375" style="1" customWidth="1"/>
    <col min="2055" max="2055" width="10" style="1" customWidth="1"/>
    <col min="2056" max="2060" width="12.42578125" style="1" customWidth="1"/>
    <col min="2061" max="2061" width="10.5703125" style="1" customWidth="1"/>
    <col min="2062" max="2062" width="15.28515625" style="1" customWidth="1"/>
    <col min="2063" max="2063" width="2.42578125" style="1" customWidth="1"/>
    <col min="2064" max="2304" width="8.85546875" style="1"/>
    <col min="2305" max="2305" width="18.140625" style="1" customWidth="1"/>
    <col min="2306" max="2306" width="2.28515625" style="1" customWidth="1"/>
    <col min="2307" max="2307" width="8.140625" style="1" customWidth="1"/>
    <col min="2308" max="2308" width="42.5703125" style="1" customWidth="1"/>
    <col min="2309" max="2309" width="24.85546875" style="1" customWidth="1"/>
    <col min="2310" max="2310" width="24.7109375" style="1" customWidth="1"/>
    <col min="2311" max="2311" width="10" style="1" customWidth="1"/>
    <col min="2312" max="2316" width="12.42578125" style="1" customWidth="1"/>
    <col min="2317" max="2317" width="10.5703125" style="1" customWidth="1"/>
    <col min="2318" max="2318" width="15.28515625" style="1" customWidth="1"/>
    <col min="2319" max="2319" width="2.42578125" style="1" customWidth="1"/>
    <col min="2320" max="2560" width="8.85546875" style="1"/>
    <col min="2561" max="2561" width="18.140625" style="1" customWidth="1"/>
    <col min="2562" max="2562" width="2.28515625" style="1" customWidth="1"/>
    <col min="2563" max="2563" width="8.140625" style="1" customWidth="1"/>
    <col min="2564" max="2564" width="42.5703125" style="1" customWidth="1"/>
    <col min="2565" max="2565" width="24.85546875" style="1" customWidth="1"/>
    <col min="2566" max="2566" width="24.7109375" style="1" customWidth="1"/>
    <col min="2567" max="2567" width="10" style="1" customWidth="1"/>
    <col min="2568" max="2572" width="12.42578125" style="1" customWidth="1"/>
    <col min="2573" max="2573" width="10.5703125" style="1" customWidth="1"/>
    <col min="2574" max="2574" width="15.28515625" style="1" customWidth="1"/>
    <col min="2575" max="2575" width="2.42578125" style="1" customWidth="1"/>
    <col min="2576" max="2816" width="8.85546875" style="1"/>
    <col min="2817" max="2817" width="18.140625" style="1" customWidth="1"/>
    <col min="2818" max="2818" width="2.28515625" style="1" customWidth="1"/>
    <col min="2819" max="2819" width="8.140625" style="1" customWidth="1"/>
    <col min="2820" max="2820" width="42.5703125" style="1" customWidth="1"/>
    <col min="2821" max="2821" width="24.85546875" style="1" customWidth="1"/>
    <col min="2822" max="2822" width="24.7109375" style="1" customWidth="1"/>
    <col min="2823" max="2823" width="10" style="1" customWidth="1"/>
    <col min="2824" max="2828" width="12.42578125" style="1" customWidth="1"/>
    <col min="2829" max="2829" width="10.5703125" style="1" customWidth="1"/>
    <col min="2830" max="2830" width="15.28515625" style="1" customWidth="1"/>
    <col min="2831" max="2831" width="2.42578125" style="1" customWidth="1"/>
    <col min="2832" max="3072" width="8.85546875" style="1"/>
    <col min="3073" max="3073" width="18.140625" style="1" customWidth="1"/>
    <col min="3074" max="3074" width="2.28515625" style="1" customWidth="1"/>
    <col min="3075" max="3075" width="8.140625" style="1" customWidth="1"/>
    <col min="3076" max="3076" width="42.5703125" style="1" customWidth="1"/>
    <col min="3077" max="3077" width="24.85546875" style="1" customWidth="1"/>
    <col min="3078" max="3078" width="24.7109375" style="1" customWidth="1"/>
    <col min="3079" max="3079" width="10" style="1" customWidth="1"/>
    <col min="3080" max="3084" width="12.42578125" style="1" customWidth="1"/>
    <col min="3085" max="3085" width="10.5703125" style="1" customWidth="1"/>
    <col min="3086" max="3086" width="15.28515625" style="1" customWidth="1"/>
    <col min="3087" max="3087" width="2.42578125" style="1" customWidth="1"/>
    <col min="3088" max="3328" width="8.85546875" style="1"/>
    <col min="3329" max="3329" width="18.140625" style="1" customWidth="1"/>
    <col min="3330" max="3330" width="2.28515625" style="1" customWidth="1"/>
    <col min="3331" max="3331" width="8.140625" style="1" customWidth="1"/>
    <col min="3332" max="3332" width="42.5703125" style="1" customWidth="1"/>
    <col min="3333" max="3333" width="24.85546875" style="1" customWidth="1"/>
    <col min="3334" max="3334" width="24.7109375" style="1" customWidth="1"/>
    <col min="3335" max="3335" width="10" style="1" customWidth="1"/>
    <col min="3336" max="3340" width="12.42578125" style="1" customWidth="1"/>
    <col min="3341" max="3341" width="10.5703125" style="1" customWidth="1"/>
    <col min="3342" max="3342" width="15.28515625" style="1" customWidth="1"/>
    <col min="3343" max="3343" width="2.42578125" style="1" customWidth="1"/>
    <col min="3344" max="3584" width="8.85546875" style="1"/>
    <col min="3585" max="3585" width="18.140625" style="1" customWidth="1"/>
    <col min="3586" max="3586" width="2.28515625" style="1" customWidth="1"/>
    <col min="3587" max="3587" width="8.140625" style="1" customWidth="1"/>
    <col min="3588" max="3588" width="42.5703125" style="1" customWidth="1"/>
    <col min="3589" max="3589" width="24.85546875" style="1" customWidth="1"/>
    <col min="3590" max="3590" width="24.7109375" style="1" customWidth="1"/>
    <col min="3591" max="3591" width="10" style="1" customWidth="1"/>
    <col min="3592" max="3596" width="12.42578125" style="1" customWidth="1"/>
    <col min="3597" max="3597" width="10.5703125" style="1" customWidth="1"/>
    <col min="3598" max="3598" width="15.28515625" style="1" customWidth="1"/>
    <col min="3599" max="3599" width="2.42578125" style="1" customWidth="1"/>
    <col min="3600" max="3840" width="8.85546875" style="1"/>
    <col min="3841" max="3841" width="18.140625" style="1" customWidth="1"/>
    <col min="3842" max="3842" width="2.28515625" style="1" customWidth="1"/>
    <col min="3843" max="3843" width="8.140625" style="1" customWidth="1"/>
    <col min="3844" max="3844" width="42.5703125" style="1" customWidth="1"/>
    <col min="3845" max="3845" width="24.85546875" style="1" customWidth="1"/>
    <col min="3846" max="3846" width="24.7109375" style="1" customWidth="1"/>
    <col min="3847" max="3847" width="10" style="1" customWidth="1"/>
    <col min="3848" max="3852" width="12.42578125" style="1" customWidth="1"/>
    <col min="3853" max="3853" width="10.5703125" style="1" customWidth="1"/>
    <col min="3854" max="3854" width="15.28515625" style="1" customWidth="1"/>
    <col min="3855" max="3855" width="2.42578125" style="1" customWidth="1"/>
    <col min="3856" max="4096" width="8.85546875" style="1"/>
    <col min="4097" max="4097" width="18.140625" style="1" customWidth="1"/>
    <col min="4098" max="4098" width="2.28515625" style="1" customWidth="1"/>
    <col min="4099" max="4099" width="8.140625" style="1" customWidth="1"/>
    <col min="4100" max="4100" width="42.5703125" style="1" customWidth="1"/>
    <col min="4101" max="4101" width="24.85546875" style="1" customWidth="1"/>
    <col min="4102" max="4102" width="24.7109375" style="1" customWidth="1"/>
    <col min="4103" max="4103" width="10" style="1" customWidth="1"/>
    <col min="4104" max="4108" width="12.42578125" style="1" customWidth="1"/>
    <col min="4109" max="4109" width="10.5703125" style="1" customWidth="1"/>
    <col min="4110" max="4110" width="15.28515625" style="1" customWidth="1"/>
    <col min="4111" max="4111" width="2.42578125" style="1" customWidth="1"/>
    <col min="4112" max="4352" width="8.85546875" style="1"/>
    <col min="4353" max="4353" width="18.140625" style="1" customWidth="1"/>
    <col min="4354" max="4354" width="2.28515625" style="1" customWidth="1"/>
    <col min="4355" max="4355" width="8.140625" style="1" customWidth="1"/>
    <col min="4356" max="4356" width="42.5703125" style="1" customWidth="1"/>
    <col min="4357" max="4357" width="24.85546875" style="1" customWidth="1"/>
    <col min="4358" max="4358" width="24.7109375" style="1" customWidth="1"/>
    <col min="4359" max="4359" width="10" style="1" customWidth="1"/>
    <col min="4360" max="4364" width="12.42578125" style="1" customWidth="1"/>
    <col min="4365" max="4365" width="10.5703125" style="1" customWidth="1"/>
    <col min="4366" max="4366" width="15.28515625" style="1" customWidth="1"/>
    <col min="4367" max="4367" width="2.42578125" style="1" customWidth="1"/>
    <col min="4368" max="4608" width="8.85546875" style="1"/>
    <col min="4609" max="4609" width="18.140625" style="1" customWidth="1"/>
    <col min="4610" max="4610" width="2.28515625" style="1" customWidth="1"/>
    <col min="4611" max="4611" width="8.140625" style="1" customWidth="1"/>
    <col min="4612" max="4612" width="42.5703125" style="1" customWidth="1"/>
    <col min="4613" max="4613" width="24.85546875" style="1" customWidth="1"/>
    <col min="4614" max="4614" width="24.7109375" style="1" customWidth="1"/>
    <col min="4615" max="4615" width="10" style="1" customWidth="1"/>
    <col min="4616" max="4620" width="12.42578125" style="1" customWidth="1"/>
    <col min="4621" max="4621" width="10.5703125" style="1" customWidth="1"/>
    <col min="4622" max="4622" width="15.28515625" style="1" customWidth="1"/>
    <col min="4623" max="4623" width="2.42578125" style="1" customWidth="1"/>
    <col min="4624" max="4864" width="8.85546875" style="1"/>
    <col min="4865" max="4865" width="18.140625" style="1" customWidth="1"/>
    <col min="4866" max="4866" width="2.28515625" style="1" customWidth="1"/>
    <col min="4867" max="4867" width="8.140625" style="1" customWidth="1"/>
    <col min="4868" max="4868" width="42.5703125" style="1" customWidth="1"/>
    <col min="4869" max="4869" width="24.85546875" style="1" customWidth="1"/>
    <col min="4870" max="4870" width="24.7109375" style="1" customWidth="1"/>
    <col min="4871" max="4871" width="10" style="1" customWidth="1"/>
    <col min="4872" max="4876" width="12.42578125" style="1" customWidth="1"/>
    <col min="4877" max="4877" width="10.5703125" style="1" customWidth="1"/>
    <col min="4878" max="4878" width="15.28515625" style="1" customWidth="1"/>
    <col min="4879" max="4879" width="2.42578125" style="1" customWidth="1"/>
    <col min="4880" max="5120" width="8.85546875" style="1"/>
    <col min="5121" max="5121" width="18.140625" style="1" customWidth="1"/>
    <col min="5122" max="5122" width="2.28515625" style="1" customWidth="1"/>
    <col min="5123" max="5123" width="8.140625" style="1" customWidth="1"/>
    <col min="5124" max="5124" width="42.5703125" style="1" customWidth="1"/>
    <col min="5125" max="5125" width="24.85546875" style="1" customWidth="1"/>
    <col min="5126" max="5126" width="24.7109375" style="1" customWidth="1"/>
    <col min="5127" max="5127" width="10" style="1" customWidth="1"/>
    <col min="5128" max="5132" width="12.42578125" style="1" customWidth="1"/>
    <col min="5133" max="5133" width="10.5703125" style="1" customWidth="1"/>
    <col min="5134" max="5134" width="15.28515625" style="1" customWidth="1"/>
    <col min="5135" max="5135" width="2.42578125" style="1" customWidth="1"/>
    <col min="5136" max="5376" width="8.85546875" style="1"/>
    <col min="5377" max="5377" width="18.140625" style="1" customWidth="1"/>
    <col min="5378" max="5378" width="2.28515625" style="1" customWidth="1"/>
    <col min="5379" max="5379" width="8.140625" style="1" customWidth="1"/>
    <col min="5380" max="5380" width="42.5703125" style="1" customWidth="1"/>
    <col min="5381" max="5381" width="24.85546875" style="1" customWidth="1"/>
    <col min="5382" max="5382" width="24.7109375" style="1" customWidth="1"/>
    <col min="5383" max="5383" width="10" style="1" customWidth="1"/>
    <col min="5384" max="5388" width="12.42578125" style="1" customWidth="1"/>
    <col min="5389" max="5389" width="10.5703125" style="1" customWidth="1"/>
    <col min="5390" max="5390" width="15.28515625" style="1" customWidth="1"/>
    <col min="5391" max="5391" width="2.42578125" style="1" customWidth="1"/>
    <col min="5392" max="5632" width="8.85546875" style="1"/>
    <col min="5633" max="5633" width="18.140625" style="1" customWidth="1"/>
    <col min="5634" max="5634" width="2.28515625" style="1" customWidth="1"/>
    <col min="5635" max="5635" width="8.140625" style="1" customWidth="1"/>
    <col min="5636" max="5636" width="42.5703125" style="1" customWidth="1"/>
    <col min="5637" max="5637" width="24.85546875" style="1" customWidth="1"/>
    <col min="5638" max="5638" width="24.7109375" style="1" customWidth="1"/>
    <col min="5639" max="5639" width="10" style="1" customWidth="1"/>
    <col min="5640" max="5644" width="12.42578125" style="1" customWidth="1"/>
    <col min="5645" max="5645" width="10.5703125" style="1" customWidth="1"/>
    <col min="5646" max="5646" width="15.28515625" style="1" customWidth="1"/>
    <col min="5647" max="5647" width="2.42578125" style="1" customWidth="1"/>
    <col min="5648" max="5888" width="8.85546875" style="1"/>
    <col min="5889" max="5889" width="18.140625" style="1" customWidth="1"/>
    <col min="5890" max="5890" width="2.28515625" style="1" customWidth="1"/>
    <col min="5891" max="5891" width="8.140625" style="1" customWidth="1"/>
    <col min="5892" max="5892" width="42.5703125" style="1" customWidth="1"/>
    <col min="5893" max="5893" width="24.85546875" style="1" customWidth="1"/>
    <col min="5894" max="5894" width="24.7109375" style="1" customWidth="1"/>
    <col min="5895" max="5895" width="10" style="1" customWidth="1"/>
    <col min="5896" max="5900" width="12.42578125" style="1" customWidth="1"/>
    <col min="5901" max="5901" width="10.5703125" style="1" customWidth="1"/>
    <col min="5902" max="5902" width="15.28515625" style="1" customWidth="1"/>
    <col min="5903" max="5903" width="2.42578125" style="1" customWidth="1"/>
    <col min="5904" max="6144" width="8.85546875" style="1"/>
    <col min="6145" max="6145" width="18.140625" style="1" customWidth="1"/>
    <col min="6146" max="6146" width="2.28515625" style="1" customWidth="1"/>
    <col min="6147" max="6147" width="8.140625" style="1" customWidth="1"/>
    <col min="6148" max="6148" width="42.5703125" style="1" customWidth="1"/>
    <col min="6149" max="6149" width="24.85546875" style="1" customWidth="1"/>
    <col min="6150" max="6150" width="24.7109375" style="1" customWidth="1"/>
    <col min="6151" max="6151" width="10" style="1" customWidth="1"/>
    <col min="6152" max="6156" width="12.42578125" style="1" customWidth="1"/>
    <col min="6157" max="6157" width="10.5703125" style="1" customWidth="1"/>
    <col min="6158" max="6158" width="15.28515625" style="1" customWidth="1"/>
    <col min="6159" max="6159" width="2.42578125" style="1" customWidth="1"/>
    <col min="6160" max="6400" width="8.85546875" style="1"/>
    <col min="6401" max="6401" width="18.140625" style="1" customWidth="1"/>
    <col min="6402" max="6402" width="2.28515625" style="1" customWidth="1"/>
    <col min="6403" max="6403" width="8.140625" style="1" customWidth="1"/>
    <col min="6404" max="6404" width="42.5703125" style="1" customWidth="1"/>
    <col min="6405" max="6405" width="24.85546875" style="1" customWidth="1"/>
    <col min="6406" max="6406" width="24.7109375" style="1" customWidth="1"/>
    <col min="6407" max="6407" width="10" style="1" customWidth="1"/>
    <col min="6408" max="6412" width="12.42578125" style="1" customWidth="1"/>
    <col min="6413" max="6413" width="10.5703125" style="1" customWidth="1"/>
    <col min="6414" max="6414" width="15.28515625" style="1" customWidth="1"/>
    <col min="6415" max="6415" width="2.42578125" style="1" customWidth="1"/>
    <col min="6416" max="6656" width="8.85546875" style="1"/>
    <col min="6657" max="6657" width="18.140625" style="1" customWidth="1"/>
    <col min="6658" max="6658" width="2.28515625" style="1" customWidth="1"/>
    <col min="6659" max="6659" width="8.140625" style="1" customWidth="1"/>
    <col min="6660" max="6660" width="42.5703125" style="1" customWidth="1"/>
    <col min="6661" max="6661" width="24.85546875" style="1" customWidth="1"/>
    <col min="6662" max="6662" width="24.7109375" style="1" customWidth="1"/>
    <col min="6663" max="6663" width="10" style="1" customWidth="1"/>
    <col min="6664" max="6668" width="12.42578125" style="1" customWidth="1"/>
    <col min="6669" max="6669" width="10.5703125" style="1" customWidth="1"/>
    <col min="6670" max="6670" width="15.28515625" style="1" customWidth="1"/>
    <col min="6671" max="6671" width="2.42578125" style="1" customWidth="1"/>
    <col min="6672" max="6912" width="8.85546875" style="1"/>
    <col min="6913" max="6913" width="18.140625" style="1" customWidth="1"/>
    <col min="6914" max="6914" width="2.28515625" style="1" customWidth="1"/>
    <col min="6915" max="6915" width="8.140625" style="1" customWidth="1"/>
    <col min="6916" max="6916" width="42.5703125" style="1" customWidth="1"/>
    <col min="6917" max="6917" width="24.85546875" style="1" customWidth="1"/>
    <col min="6918" max="6918" width="24.7109375" style="1" customWidth="1"/>
    <col min="6919" max="6919" width="10" style="1" customWidth="1"/>
    <col min="6920" max="6924" width="12.42578125" style="1" customWidth="1"/>
    <col min="6925" max="6925" width="10.5703125" style="1" customWidth="1"/>
    <col min="6926" max="6926" width="15.28515625" style="1" customWidth="1"/>
    <col min="6927" max="6927" width="2.42578125" style="1" customWidth="1"/>
    <col min="6928" max="7168" width="8.85546875" style="1"/>
    <col min="7169" max="7169" width="18.140625" style="1" customWidth="1"/>
    <col min="7170" max="7170" width="2.28515625" style="1" customWidth="1"/>
    <col min="7171" max="7171" width="8.140625" style="1" customWidth="1"/>
    <col min="7172" max="7172" width="42.5703125" style="1" customWidth="1"/>
    <col min="7173" max="7173" width="24.85546875" style="1" customWidth="1"/>
    <col min="7174" max="7174" width="24.7109375" style="1" customWidth="1"/>
    <col min="7175" max="7175" width="10" style="1" customWidth="1"/>
    <col min="7176" max="7180" width="12.42578125" style="1" customWidth="1"/>
    <col min="7181" max="7181" width="10.5703125" style="1" customWidth="1"/>
    <col min="7182" max="7182" width="15.28515625" style="1" customWidth="1"/>
    <col min="7183" max="7183" width="2.42578125" style="1" customWidth="1"/>
    <col min="7184" max="7424" width="8.85546875" style="1"/>
    <col min="7425" max="7425" width="18.140625" style="1" customWidth="1"/>
    <col min="7426" max="7426" width="2.28515625" style="1" customWidth="1"/>
    <col min="7427" max="7427" width="8.140625" style="1" customWidth="1"/>
    <col min="7428" max="7428" width="42.5703125" style="1" customWidth="1"/>
    <col min="7429" max="7429" width="24.85546875" style="1" customWidth="1"/>
    <col min="7430" max="7430" width="24.7109375" style="1" customWidth="1"/>
    <col min="7431" max="7431" width="10" style="1" customWidth="1"/>
    <col min="7432" max="7436" width="12.42578125" style="1" customWidth="1"/>
    <col min="7437" max="7437" width="10.5703125" style="1" customWidth="1"/>
    <col min="7438" max="7438" width="15.28515625" style="1" customWidth="1"/>
    <col min="7439" max="7439" width="2.42578125" style="1" customWidth="1"/>
    <col min="7440" max="7680" width="8.85546875" style="1"/>
    <col min="7681" max="7681" width="18.140625" style="1" customWidth="1"/>
    <col min="7682" max="7682" width="2.28515625" style="1" customWidth="1"/>
    <col min="7683" max="7683" width="8.140625" style="1" customWidth="1"/>
    <col min="7684" max="7684" width="42.5703125" style="1" customWidth="1"/>
    <col min="7685" max="7685" width="24.85546875" style="1" customWidth="1"/>
    <col min="7686" max="7686" width="24.7109375" style="1" customWidth="1"/>
    <col min="7687" max="7687" width="10" style="1" customWidth="1"/>
    <col min="7688" max="7692" width="12.42578125" style="1" customWidth="1"/>
    <col min="7693" max="7693" width="10.5703125" style="1" customWidth="1"/>
    <col min="7694" max="7694" width="15.28515625" style="1" customWidth="1"/>
    <col min="7695" max="7695" width="2.42578125" style="1" customWidth="1"/>
    <col min="7696" max="7936" width="8.85546875" style="1"/>
    <col min="7937" max="7937" width="18.140625" style="1" customWidth="1"/>
    <col min="7938" max="7938" width="2.28515625" style="1" customWidth="1"/>
    <col min="7939" max="7939" width="8.140625" style="1" customWidth="1"/>
    <col min="7940" max="7940" width="42.5703125" style="1" customWidth="1"/>
    <col min="7941" max="7941" width="24.85546875" style="1" customWidth="1"/>
    <col min="7942" max="7942" width="24.7109375" style="1" customWidth="1"/>
    <col min="7943" max="7943" width="10" style="1" customWidth="1"/>
    <col min="7944" max="7948" width="12.42578125" style="1" customWidth="1"/>
    <col min="7949" max="7949" width="10.5703125" style="1" customWidth="1"/>
    <col min="7950" max="7950" width="15.28515625" style="1" customWidth="1"/>
    <col min="7951" max="7951" width="2.42578125" style="1" customWidth="1"/>
    <col min="7952" max="8192" width="8.85546875" style="1"/>
    <col min="8193" max="8193" width="18.140625" style="1" customWidth="1"/>
    <col min="8194" max="8194" width="2.28515625" style="1" customWidth="1"/>
    <col min="8195" max="8195" width="8.140625" style="1" customWidth="1"/>
    <col min="8196" max="8196" width="42.5703125" style="1" customWidth="1"/>
    <col min="8197" max="8197" width="24.85546875" style="1" customWidth="1"/>
    <col min="8198" max="8198" width="24.7109375" style="1" customWidth="1"/>
    <col min="8199" max="8199" width="10" style="1" customWidth="1"/>
    <col min="8200" max="8204" width="12.42578125" style="1" customWidth="1"/>
    <col min="8205" max="8205" width="10.5703125" style="1" customWidth="1"/>
    <col min="8206" max="8206" width="15.28515625" style="1" customWidth="1"/>
    <col min="8207" max="8207" width="2.42578125" style="1" customWidth="1"/>
    <col min="8208" max="8448" width="8.85546875" style="1"/>
    <col min="8449" max="8449" width="18.140625" style="1" customWidth="1"/>
    <col min="8450" max="8450" width="2.28515625" style="1" customWidth="1"/>
    <col min="8451" max="8451" width="8.140625" style="1" customWidth="1"/>
    <col min="8452" max="8452" width="42.5703125" style="1" customWidth="1"/>
    <col min="8453" max="8453" width="24.85546875" style="1" customWidth="1"/>
    <col min="8454" max="8454" width="24.7109375" style="1" customWidth="1"/>
    <col min="8455" max="8455" width="10" style="1" customWidth="1"/>
    <col min="8456" max="8460" width="12.42578125" style="1" customWidth="1"/>
    <col min="8461" max="8461" width="10.5703125" style="1" customWidth="1"/>
    <col min="8462" max="8462" width="15.28515625" style="1" customWidth="1"/>
    <col min="8463" max="8463" width="2.42578125" style="1" customWidth="1"/>
    <col min="8464" max="8704" width="8.85546875" style="1"/>
    <col min="8705" max="8705" width="18.140625" style="1" customWidth="1"/>
    <col min="8706" max="8706" width="2.28515625" style="1" customWidth="1"/>
    <col min="8707" max="8707" width="8.140625" style="1" customWidth="1"/>
    <col min="8708" max="8708" width="42.5703125" style="1" customWidth="1"/>
    <col min="8709" max="8709" width="24.85546875" style="1" customWidth="1"/>
    <col min="8710" max="8710" width="24.7109375" style="1" customWidth="1"/>
    <col min="8711" max="8711" width="10" style="1" customWidth="1"/>
    <col min="8712" max="8716" width="12.42578125" style="1" customWidth="1"/>
    <col min="8717" max="8717" width="10.5703125" style="1" customWidth="1"/>
    <col min="8718" max="8718" width="15.28515625" style="1" customWidth="1"/>
    <col min="8719" max="8719" width="2.42578125" style="1" customWidth="1"/>
    <col min="8720" max="8960" width="8.85546875" style="1"/>
    <col min="8961" max="8961" width="18.140625" style="1" customWidth="1"/>
    <col min="8962" max="8962" width="2.28515625" style="1" customWidth="1"/>
    <col min="8963" max="8963" width="8.140625" style="1" customWidth="1"/>
    <col min="8964" max="8964" width="42.5703125" style="1" customWidth="1"/>
    <col min="8965" max="8965" width="24.85546875" style="1" customWidth="1"/>
    <col min="8966" max="8966" width="24.7109375" style="1" customWidth="1"/>
    <col min="8967" max="8967" width="10" style="1" customWidth="1"/>
    <col min="8968" max="8972" width="12.42578125" style="1" customWidth="1"/>
    <col min="8973" max="8973" width="10.5703125" style="1" customWidth="1"/>
    <col min="8974" max="8974" width="15.28515625" style="1" customWidth="1"/>
    <col min="8975" max="8975" width="2.42578125" style="1" customWidth="1"/>
    <col min="8976" max="9216" width="8.85546875" style="1"/>
    <col min="9217" max="9217" width="18.140625" style="1" customWidth="1"/>
    <col min="9218" max="9218" width="2.28515625" style="1" customWidth="1"/>
    <col min="9219" max="9219" width="8.140625" style="1" customWidth="1"/>
    <col min="9220" max="9220" width="42.5703125" style="1" customWidth="1"/>
    <col min="9221" max="9221" width="24.85546875" style="1" customWidth="1"/>
    <col min="9222" max="9222" width="24.7109375" style="1" customWidth="1"/>
    <col min="9223" max="9223" width="10" style="1" customWidth="1"/>
    <col min="9224" max="9228" width="12.42578125" style="1" customWidth="1"/>
    <col min="9229" max="9229" width="10.5703125" style="1" customWidth="1"/>
    <col min="9230" max="9230" width="15.28515625" style="1" customWidth="1"/>
    <col min="9231" max="9231" width="2.42578125" style="1" customWidth="1"/>
    <col min="9232" max="9472" width="8.85546875" style="1"/>
    <col min="9473" max="9473" width="18.140625" style="1" customWidth="1"/>
    <col min="9474" max="9474" width="2.28515625" style="1" customWidth="1"/>
    <col min="9475" max="9475" width="8.140625" style="1" customWidth="1"/>
    <col min="9476" max="9476" width="42.5703125" style="1" customWidth="1"/>
    <col min="9477" max="9477" width="24.85546875" style="1" customWidth="1"/>
    <col min="9478" max="9478" width="24.7109375" style="1" customWidth="1"/>
    <col min="9479" max="9479" width="10" style="1" customWidth="1"/>
    <col min="9480" max="9484" width="12.42578125" style="1" customWidth="1"/>
    <col min="9485" max="9485" width="10.5703125" style="1" customWidth="1"/>
    <col min="9486" max="9486" width="15.28515625" style="1" customWidth="1"/>
    <col min="9487" max="9487" width="2.42578125" style="1" customWidth="1"/>
    <col min="9488" max="9728" width="8.85546875" style="1"/>
    <col min="9729" max="9729" width="18.140625" style="1" customWidth="1"/>
    <col min="9730" max="9730" width="2.28515625" style="1" customWidth="1"/>
    <col min="9731" max="9731" width="8.140625" style="1" customWidth="1"/>
    <col min="9732" max="9732" width="42.5703125" style="1" customWidth="1"/>
    <col min="9733" max="9733" width="24.85546875" style="1" customWidth="1"/>
    <col min="9734" max="9734" width="24.7109375" style="1" customWidth="1"/>
    <col min="9735" max="9735" width="10" style="1" customWidth="1"/>
    <col min="9736" max="9740" width="12.42578125" style="1" customWidth="1"/>
    <col min="9741" max="9741" width="10.5703125" style="1" customWidth="1"/>
    <col min="9742" max="9742" width="15.28515625" style="1" customWidth="1"/>
    <col min="9743" max="9743" width="2.42578125" style="1" customWidth="1"/>
    <col min="9744" max="9984" width="8.85546875" style="1"/>
    <col min="9985" max="9985" width="18.140625" style="1" customWidth="1"/>
    <col min="9986" max="9986" width="2.28515625" style="1" customWidth="1"/>
    <col min="9987" max="9987" width="8.140625" style="1" customWidth="1"/>
    <col min="9988" max="9988" width="42.5703125" style="1" customWidth="1"/>
    <col min="9989" max="9989" width="24.85546875" style="1" customWidth="1"/>
    <col min="9990" max="9990" width="24.7109375" style="1" customWidth="1"/>
    <col min="9991" max="9991" width="10" style="1" customWidth="1"/>
    <col min="9992" max="9996" width="12.42578125" style="1" customWidth="1"/>
    <col min="9997" max="9997" width="10.5703125" style="1" customWidth="1"/>
    <col min="9998" max="9998" width="15.28515625" style="1" customWidth="1"/>
    <col min="9999" max="9999" width="2.42578125" style="1" customWidth="1"/>
    <col min="10000" max="10240" width="8.85546875" style="1"/>
    <col min="10241" max="10241" width="18.140625" style="1" customWidth="1"/>
    <col min="10242" max="10242" width="2.28515625" style="1" customWidth="1"/>
    <col min="10243" max="10243" width="8.140625" style="1" customWidth="1"/>
    <col min="10244" max="10244" width="42.5703125" style="1" customWidth="1"/>
    <col min="10245" max="10245" width="24.85546875" style="1" customWidth="1"/>
    <col min="10246" max="10246" width="24.7109375" style="1" customWidth="1"/>
    <col min="10247" max="10247" width="10" style="1" customWidth="1"/>
    <col min="10248" max="10252" width="12.42578125" style="1" customWidth="1"/>
    <col min="10253" max="10253" width="10.5703125" style="1" customWidth="1"/>
    <col min="10254" max="10254" width="15.28515625" style="1" customWidth="1"/>
    <col min="10255" max="10255" width="2.42578125" style="1" customWidth="1"/>
    <col min="10256" max="10496" width="8.85546875" style="1"/>
    <col min="10497" max="10497" width="18.140625" style="1" customWidth="1"/>
    <col min="10498" max="10498" width="2.28515625" style="1" customWidth="1"/>
    <col min="10499" max="10499" width="8.140625" style="1" customWidth="1"/>
    <col min="10500" max="10500" width="42.5703125" style="1" customWidth="1"/>
    <col min="10501" max="10501" width="24.85546875" style="1" customWidth="1"/>
    <col min="10502" max="10502" width="24.7109375" style="1" customWidth="1"/>
    <col min="10503" max="10503" width="10" style="1" customWidth="1"/>
    <col min="10504" max="10508" width="12.42578125" style="1" customWidth="1"/>
    <col min="10509" max="10509" width="10.5703125" style="1" customWidth="1"/>
    <col min="10510" max="10510" width="15.28515625" style="1" customWidth="1"/>
    <col min="10511" max="10511" width="2.42578125" style="1" customWidth="1"/>
    <col min="10512" max="10752" width="8.85546875" style="1"/>
    <col min="10753" max="10753" width="18.140625" style="1" customWidth="1"/>
    <col min="10754" max="10754" width="2.28515625" style="1" customWidth="1"/>
    <col min="10755" max="10755" width="8.140625" style="1" customWidth="1"/>
    <col min="10756" max="10756" width="42.5703125" style="1" customWidth="1"/>
    <col min="10757" max="10757" width="24.85546875" style="1" customWidth="1"/>
    <col min="10758" max="10758" width="24.7109375" style="1" customWidth="1"/>
    <col min="10759" max="10759" width="10" style="1" customWidth="1"/>
    <col min="10760" max="10764" width="12.42578125" style="1" customWidth="1"/>
    <col min="10765" max="10765" width="10.5703125" style="1" customWidth="1"/>
    <col min="10766" max="10766" width="15.28515625" style="1" customWidth="1"/>
    <col min="10767" max="10767" width="2.42578125" style="1" customWidth="1"/>
    <col min="10768" max="11008" width="8.85546875" style="1"/>
    <col min="11009" max="11009" width="18.140625" style="1" customWidth="1"/>
    <col min="11010" max="11010" width="2.28515625" style="1" customWidth="1"/>
    <col min="11011" max="11011" width="8.140625" style="1" customWidth="1"/>
    <col min="11012" max="11012" width="42.5703125" style="1" customWidth="1"/>
    <col min="11013" max="11013" width="24.85546875" style="1" customWidth="1"/>
    <col min="11014" max="11014" width="24.7109375" style="1" customWidth="1"/>
    <col min="11015" max="11015" width="10" style="1" customWidth="1"/>
    <col min="11016" max="11020" width="12.42578125" style="1" customWidth="1"/>
    <col min="11021" max="11021" width="10.5703125" style="1" customWidth="1"/>
    <col min="11022" max="11022" width="15.28515625" style="1" customWidth="1"/>
    <col min="11023" max="11023" width="2.42578125" style="1" customWidth="1"/>
    <col min="11024" max="11264" width="8.85546875" style="1"/>
    <col min="11265" max="11265" width="18.140625" style="1" customWidth="1"/>
    <col min="11266" max="11266" width="2.28515625" style="1" customWidth="1"/>
    <col min="11267" max="11267" width="8.140625" style="1" customWidth="1"/>
    <col min="11268" max="11268" width="42.5703125" style="1" customWidth="1"/>
    <col min="11269" max="11269" width="24.85546875" style="1" customWidth="1"/>
    <col min="11270" max="11270" width="24.7109375" style="1" customWidth="1"/>
    <col min="11271" max="11271" width="10" style="1" customWidth="1"/>
    <col min="11272" max="11276" width="12.42578125" style="1" customWidth="1"/>
    <col min="11277" max="11277" width="10.5703125" style="1" customWidth="1"/>
    <col min="11278" max="11278" width="15.28515625" style="1" customWidth="1"/>
    <col min="11279" max="11279" width="2.42578125" style="1" customWidth="1"/>
    <col min="11280" max="11520" width="8.85546875" style="1"/>
    <col min="11521" max="11521" width="18.140625" style="1" customWidth="1"/>
    <col min="11522" max="11522" width="2.28515625" style="1" customWidth="1"/>
    <col min="11523" max="11523" width="8.140625" style="1" customWidth="1"/>
    <col min="11524" max="11524" width="42.5703125" style="1" customWidth="1"/>
    <col min="11525" max="11525" width="24.85546875" style="1" customWidth="1"/>
    <col min="11526" max="11526" width="24.7109375" style="1" customWidth="1"/>
    <col min="11527" max="11527" width="10" style="1" customWidth="1"/>
    <col min="11528" max="11532" width="12.42578125" style="1" customWidth="1"/>
    <col min="11533" max="11533" width="10.5703125" style="1" customWidth="1"/>
    <col min="11534" max="11534" width="15.28515625" style="1" customWidth="1"/>
    <col min="11535" max="11535" width="2.42578125" style="1" customWidth="1"/>
    <col min="11536" max="11776" width="8.85546875" style="1"/>
    <col min="11777" max="11777" width="18.140625" style="1" customWidth="1"/>
    <col min="11778" max="11778" width="2.28515625" style="1" customWidth="1"/>
    <col min="11779" max="11779" width="8.140625" style="1" customWidth="1"/>
    <col min="11780" max="11780" width="42.5703125" style="1" customWidth="1"/>
    <col min="11781" max="11781" width="24.85546875" style="1" customWidth="1"/>
    <col min="11782" max="11782" width="24.7109375" style="1" customWidth="1"/>
    <col min="11783" max="11783" width="10" style="1" customWidth="1"/>
    <col min="11784" max="11788" width="12.42578125" style="1" customWidth="1"/>
    <col min="11789" max="11789" width="10.5703125" style="1" customWidth="1"/>
    <col min="11790" max="11790" width="15.28515625" style="1" customWidth="1"/>
    <col min="11791" max="11791" width="2.42578125" style="1" customWidth="1"/>
    <col min="11792" max="12032" width="8.85546875" style="1"/>
    <col min="12033" max="12033" width="18.140625" style="1" customWidth="1"/>
    <col min="12034" max="12034" width="2.28515625" style="1" customWidth="1"/>
    <col min="12035" max="12035" width="8.140625" style="1" customWidth="1"/>
    <col min="12036" max="12036" width="42.5703125" style="1" customWidth="1"/>
    <col min="12037" max="12037" width="24.85546875" style="1" customWidth="1"/>
    <col min="12038" max="12038" width="24.7109375" style="1" customWidth="1"/>
    <col min="12039" max="12039" width="10" style="1" customWidth="1"/>
    <col min="12040" max="12044" width="12.42578125" style="1" customWidth="1"/>
    <col min="12045" max="12045" width="10.5703125" style="1" customWidth="1"/>
    <col min="12046" max="12046" width="15.28515625" style="1" customWidth="1"/>
    <col min="12047" max="12047" width="2.42578125" style="1" customWidth="1"/>
    <col min="12048" max="12288" width="8.85546875" style="1"/>
    <col min="12289" max="12289" width="18.140625" style="1" customWidth="1"/>
    <col min="12290" max="12290" width="2.28515625" style="1" customWidth="1"/>
    <col min="12291" max="12291" width="8.140625" style="1" customWidth="1"/>
    <col min="12292" max="12292" width="42.5703125" style="1" customWidth="1"/>
    <col min="12293" max="12293" width="24.85546875" style="1" customWidth="1"/>
    <col min="12294" max="12294" width="24.7109375" style="1" customWidth="1"/>
    <col min="12295" max="12295" width="10" style="1" customWidth="1"/>
    <col min="12296" max="12300" width="12.42578125" style="1" customWidth="1"/>
    <col min="12301" max="12301" width="10.5703125" style="1" customWidth="1"/>
    <col min="12302" max="12302" width="15.28515625" style="1" customWidth="1"/>
    <col min="12303" max="12303" width="2.42578125" style="1" customWidth="1"/>
    <col min="12304" max="12544" width="8.85546875" style="1"/>
    <col min="12545" max="12545" width="18.140625" style="1" customWidth="1"/>
    <col min="12546" max="12546" width="2.28515625" style="1" customWidth="1"/>
    <col min="12547" max="12547" width="8.140625" style="1" customWidth="1"/>
    <col min="12548" max="12548" width="42.5703125" style="1" customWidth="1"/>
    <col min="12549" max="12549" width="24.85546875" style="1" customWidth="1"/>
    <col min="12550" max="12550" width="24.7109375" style="1" customWidth="1"/>
    <col min="12551" max="12551" width="10" style="1" customWidth="1"/>
    <col min="12552" max="12556" width="12.42578125" style="1" customWidth="1"/>
    <col min="12557" max="12557" width="10.5703125" style="1" customWidth="1"/>
    <col min="12558" max="12558" width="15.28515625" style="1" customWidth="1"/>
    <col min="12559" max="12559" width="2.42578125" style="1" customWidth="1"/>
    <col min="12560" max="12800" width="8.85546875" style="1"/>
    <col min="12801" max="12801" width="18.140625" style="1" customWidth="1"/>
    <col min="12802" max="12802" width="2.28515625" style="1" customWidth="1"/>
    <col min="12803" max="12803" width="8.140625" style="1" customWidth="1"/>
    <col min="12804" max="12804" width="42.5703125" style="1" customWidth="1"/>
    <col min="12805" max="12805" width="24.85546875" style="1" customWidth="1"/>
    <col min="12806" max="12806" width="24.7109375" style="1" customWidth="1"/>
    <col min="12807" max="12807" width="10" style="1" customWidth="1"/>
    <col min="12808" max="12812" width="12.42578125" style="1" customWidth="1"/>
    <col min="12813" max="12813" width="10.5703125" style="1" customWidth="1"/>
    <col min="12814" max="12814" width="15.28515625" style="1" customWidth="1"/>
    <col min="12815" max="12815" width="2.42578125" style="1" customWidth="1"/>
    <col min="12816" max="13056" width="8.85546875" style="1"/>
    <col min="13057" max="13057" width="18.140625" style="1" customWidth="1"/>
    <col min="13058" max="13058" width="2.28515625" style="1" customWidth="1"/>
    <col min="13059" max="13059" width="8.140625" style="1" customWidth="1"/>
    <col min="13060" max="13060" width="42.5703125" style="1" customWidth="1"/>
    <col min="13061" max="13061" width="24.85546875" style="1" customWidth="1"/>
    <col min="13062" max="13062" width="24.7109375" style="1" customWidth="1"/>
    <col min="13063" max="13063" width="10" style="1" customWidth="1"/>
    <col min="13064" max="13068" width="12.42578125" style="1" customWidth="1"/>
    <col min="13069" max="13069" width="10.5703125" style="1" customWidth="1"/>
    <col min="13070" max="13070" width="15.28515625" style="1" customWidth="1"/>
    <col min="13071" max="13071" width="2.42578125" style="1" customWidth="1"/>
    <col min="13072" max="13312" width="8.85546875" style="1"/>
    <col min="13313" max="13313" width="18.140625" style="1" customWidth="1"/>
    <col min="13314" max="13314" width="2.28515625" style="1" customWidth="1"/>
    <col min="13315" max="13315" width="8.140625" style="1" customWidth="1"/>
    <col min="13316" max="13316" width="42.5703125" style="1" customWidth="1"/>
    <col min="13317" max="13317" width="24.85546875" style="1" customWidth="1"/>
    <col min="13318" max="13318" width="24.7109375" style="1" customWidth="1"/>
    <col min="13319" max="13319" width="10" style="1" customWidth="1"/>
    <col min="13320" max="13324" width="12.42578125" style="1" customWidth="1"/>
    <col min="13325" max="13325" width="10.5703125" style="1" customWidth="1"/>
    <col min="13326" max="13326" width="15.28515625" style="1" customWidth="1"/>
    <col min="13327" max="13327" width="2.42578125" style="1" customWidth="1"/>
    <col min="13328" max="13568" width="8.85546875" style="1"/>
    <col min="13569" max="13569" width="18.140625" style="1" customWidth="1"/>
    <col min="13570" max="13570" width="2.28515625" style="1" customWidth="1"/>
    <col min="13571" max="13571" width="8.140625" style="1" customWidth="1"/>
    <col min="13572" max="13572" width="42.5703125" style="1" customWidth="1"/>
    <col min="13573" max="13573" width="24.85546875" style="1" customWidth="1"/>
    <col min="13574" max="13574" width="24.7109375" style="1" customWidth="1"/>
    <col min="13575" max="13575" width="10" style="1" customWidth="1"/>
    <col min="13576" max="13580" width="12.42578125" style="1" customWidth="1"/>
    <col min="13581" max="13581" width="10.5703125" style="1" customWidth="1"/>
    <col min="13582" max="13582" width="15.28515625" style="1" customWidth="1"/>
    <col min="13583" max="13583" width="2.42578125" style="1" customWidth="1"/>
    <col min="13584" max="13824" width="8.85546875" style="1"/>
    <col min="13825" max="13825" width="18.140625" style="1" customWidth="1"/>
    <col min="13826" max="13826" width="2.28515625" style="1" customWidth="1"/>
    <col min="13827" max="13827" width="8.140625" style="1" customWidth="1"/>
    <col min="13828" max="13828" width="42.5703125" style="1" customWidth="1"/>
    <col min="13829" max="13829" width="24.85546875" style="1" customWidth="1"/>
    <col min="13830" max="13830" width="24.7109375" style="1" customWidth="1"/>
    <col min="13831" max="13831" width="10" style="1" customWidth="1"/>
    <col min="13832" max="13836" width="12.42578125" style="1" customWidth="1"/>
    <col min="13837" max="13837" width="10.5703125" style="1" customWidth="1"/>
    <col min="13838" max="13838" width="15.28515625" style="1" customWidth="1"/>
    <col min="13839" max="13839" width="2.42578125" style="1" customWidth="1"/>
    <col min="13840" max="14080" width="8.85546875" style="1"/>
    <col min="14081" max="14081" width="18.140625" style="1" customWidth="1"/>
    <col min="14082" max="14082" width="2.28515625" style="1" customWidth="1"/>
    <col min="14083" max="14083" width="8.140625" style="1" customWidth="1"/>
    <col min="14084" max="14084" width="42.5703125" style="1" customWidth="1"/>
    <col min="14085" max="14085" width="24.85546875" style="1" customWidth="1"/>
    <col min="14086" max="14086" width="24.7109375" style="1" customWidth="1"/>
    <col min="14087" max="14087" width="10" style="1" customWidth="1"/>
    <col min="14088" max="14092" width="12.42578125" style="1" customWidth="1"/>
    <col min="14093" max="14093" width="10.5703125" style="1" customWidth="1"/>
    <col min="14094" max="14094" width="15.28515625" style="1" customWidth="1"/>
    <col min="14095" max="14095" width="2.42578125" style="1" customWidth="1"/>
    <col min="14096" max="14336" width="8.85546875" style="1"/>
    <col min="14337" max="14337" width="18.140625" style="1" customWidth="1"/>
    <col min="14338" max="14338" width="2.28515625" style="1" customWidth="1"/>
    <col min="14339" max="14339" width="8.140625" style="1" customWidth="1"/>
    <col min="14340" max="14340" width="42.5703125" style="1" customWidth="1"/>
    <col min="14341" max="14341" width="24.85546875" style="1" customWidth="1"/>
    <col min="14342" max="14342" width="24.7109375" style="1" customWidth="1"/>
    <col min="14343" max="14343" width="10" style="1" customWidth="1"/>
    <col min="14344" max="14348" width="12.42578125" style="1" customWidth="1"/>
    <col min="14349" max="14349" width="10.5703125" style="1" customWidth="1"/>
    <col min="14350" max="14350" width="15.28515625" style="1" customWidth="1"/>
    <col min="14351" max="14351" width="2.42578125" style="1" customWidth="1"/>
    <col min="14352" max="14592" width="8.85546875" style="1"/>
    <col min="14593" max="14593" width="18.140625" style="1" customWidth="1"/>
    <col min="14594" max="14594" width="2.28515625" style="1" customWidth="1"/>
    <col min="14595" max="14595" width="8.140625" style="1" customWidth="1"/>
    <col min="14596" max="14596" width="42.5703125" style="1" customWidth="1"/>
    <col min="14597" max="14597" width="24.85546875" style="1" customWidth="1"/>
    <col min="14598" max="14598" width="24.7109375" style="1" customWidth="1"/>
    <col min="14599" max="14599" width="10" style="1" customWidth="1"/>
    <col min="14600" max="14604" width="12.42578125" style="1" customWidth="1"/>
    <col min="14605" max="14605" width="10.5703125" style="1" customWidth="1"/>
    <col min="14606" max="14606" width="15.28515625" style="1" customWidth="1"/>
    <col min="14607" max="14607" width="2.42578125" style="1" customWidth="1"/>
    <col min="14608" max="14848" width="8.85546875" style="1"/>
    <col min="14849" max="14849" width="18.140625" style="1" customWidth="1"/>
    <col min="14850" max="14850" width="2.28515625" style="1" customWidth="1"/>
    <col min="14851" max="14851" width="8.140625" style="1" customWidth="1"/>
    <col min="14852" max="14852" width="42.5703125" style="1" customWidth="1"/>
    <col min="14853" max="14853" width="24.85546875" style="1" customWidth="1"/>
    <col min="14854" max="14854" width="24.7109375" style="1" customWidth="1"/>
    <col min="14855" max="14855" width="10" style="1" customWidth="1"/>
    <col min="14856" max="14860" width="12.42578125" style="1" customWidth="1"/>
    <col min="14861" max="14861" width="10.5703125" style="1" customWidth="1"/>
    <col min="14862" max="14862" width="15.28515625" style="1" customWidth="1"/>
    <col min="14863" max="14863" width="2.42578125" style="1" customWidth="1"/>
    <col min="14864" max="15104" width="8.85546875" style="1"/>
    <col min="15105" max="15105" width="18.140625" style="1" customWidth="1"/>
    <col min="15106" max="15106" width="2.28515625" style="1" customWidth="1"/>
    <col min="15107" max="15107" width="8.140625" style="1" customWidth="1"/>
    <col min="15108" max="15108" width="42.5703125" style="1" customWidth="1"/>
    <col min="15109" max="15109" width="24.85546875" style="1" customWidth="1"/>
    <col min="15110" max="15110" width="24.7109375" style="1" customWidth="1"/>
    <col min="15111" max="15111" width="10" style="1" customWidth="1"/>
    <col min="15112" max="15116" width="12.42578125" style="1" customWidth="1"/>
    <col min="15117" max="15117" width="10.5703125" style="1" customWidth="1"/>
    <col min="15118" max="15118" width="15.28515625" style="1" customWidth="1"/>
    <col min="15119" max="15119" width="2.42578125" style="1" customWidth="1"/>
    <col min="15120" max="15360" width="8.85546875" style="1"/>
    <col min="15361" max="15361" width="18.140625" style="1" customWidth="1"/>
    <col min="15362" max="15362" width="2.28515625" style="1" customWidth="1"/>
    <col min="15363" max="15363" width="8.140625" style="1" customWidth="1"/>
    <col min="15364" max="15364" width="42.5703125" style="1" customWidth="1"/>
    <col min="15365" max="15365" width="24.85546875" style="1" customWidth="1"/>
    <col min="15366" max="15366" width="24.7109375" style="1" customWidth="1"/>
    <col min="15367" max="15367" width="10" style="1" customWidth="1"/>
    <col min="15368" max="15372" width="12.42578125" style="1" customWidth="1"/>
    <col min="15373" max="15373" width="10.5703125" style="1" customWidth="1"/>
    <col min="15374" max="15374" width="15.28515625" style="1" customWidth="1"/>
    <col min="15375" max="15375" width="2.42578125" style="1" customWidth="1"/>
    <col min="15376" max="15616" width="8.85546875" style="1"/>
    <col min="15617" max="15617" width="18.140625" style="1" customWidth="1"/>
    <col min="15618" max="15618" width="2.28515625" style="1" customWidth="1"/>
    <col min="15619" max="15619" width="8.140625" style="1" customWidth="1"/>
    <col min="15620" max="15620" width="42.5703125" style="1" customWidth="1"/>
    <col min="15621" max="15621" width="24.85546875" style="1" customWidth="1"/>
    <col min="15622" max="15622" width="24.7109375" style="1" customWidth="1"/>
    <col min="15623" max="15623" width="10" style="1" customWidth="1"/>
    <col min="15624" max="15628" width="12.42578125" style="1" customWidth="1"/>
    <col min="15629" max="15629" width="10.5703125" style="1" customWidth="1"/>
    <col min="15630" max="15630" width="15.28515625" style="1" customWidth="1"/>
    <col min="15631" max="15631" width="2.42578125" style="1" customWidth="1"/>
    <col min="15632" max="15872" width="8.85546875" style="1"/>
    <col min="15873" max="15873" width="18.140625" style="1" customWidth="1"/>
    <col min="15874" max="15874" width="2.28515625" style="1" customWidth="1"/>
    <col min="15875" max="15875" width="8.140625" style="1" customWidth="1"/>
    <col min="15876" max="15876" width="42.5703125" style="1" customWidth="1"/>
    <col min="15877" max="15877" width="24.85546875" style="1" customWidth="1"/>
    <col min="15878" max="15878" width="24.7109375" style="1" customWidth="1"/>
    <col min="15879" max="15879" width="10" style="1" customWidth="1"/>
    <col min="15880" max="15884" width="12.42578125" style="1" customWidth="1"/>
    <col min="15885" max="15885" width="10.5703125" style="1" customWidth="1"/>
    <col min="15886" max="15886" width="15.28515625" style="1" customWidth="1"/>
    <col min="15887" max="15887" width="2.42578125" style="1" customWidth="1"/>
    <col min="15888" max="16128" width="8.85546875" style="1"/>
    <col min="16129" max="16129" width="18.140625" style="1" customWidth="1"/>
    <col min="16130" max="16130" width="2.28515625" style="1" customWidth="1"/>
    <col min="16131" max="16131" width="8.140625" style="1" customWidth="1"/>
    <col min="16132" max="16132" width="42.5703125" style="1" customWidth="1"/>
    <col min="16133" max="16133" width="24.85546875" style="1" customWidth="1"/>
    <col min="16134" max="16134" width="24.7109375" style="1" customWidth="1"/>
    <col min="16135" max="16135" width="10" style="1" customWidth="1"/>
    <col min="16136" max="16140" width="12.42578125" style="1" customWidth="1"/>
    <col min="16141" max="16141" width="10.5703125" style="1" customWidth="1"/>
    <col min="16142" max="16142" width="15.28515625" style="1" customWidth="1"/>
    <col min="16143" max="16143" width="2.42578125" style="1" customWidth="1"/>
    <col min="16144" max="16384" width="8.85546875" style="1"/>
  </cols>
  <sheetData>
    <row r="1" spans="2:14" ht="20.100000000000001" customHeight="1">
      <c r="C1" s="1698" t="s">
        <v>0</v>
      </c>
      <c r="D1" s="1699"/>
      <c r="E1" s="1699"/>
      <c r="F1" s="1699"/>
      <c r="G1" s="1699"/>
      <c r="H1" s="1699"/>
      <c r="I1" s="1699"/>
      <c r="J1" s="1699"/>
      <c r="K1" s="1699"/>
      <c r="L1" s="1699"/>
      <c r="M1" s="1699"/>
      <c r="N1" s="1700"/>
    </row>
    <row r="2" spans="2:14" ht="20.100000000000001" customHeight="1">
      <c r="C2" s="1701" t="s">
        <v>1</v>
      </c>
      <c r="D2" s="1714"/>
      <c r="E2" s="1714"/>
      <c r="F2" s="1714"/>
      <c r="G2" s="1714"/>
      <c r="H2" s="1714"/>
      <c r="I2" s="1714"/>
      <c r="J2" s="1714"/>
      <c r="K2" s="1714"/>
      <c r="L2" s="1714"/>
      <c r="M2" s="1714"/>
      <c r="N2" s="1703"/>
    </row>
    <row r="3" spans="2:14" s="2" customFormat="1" ht="20.100000000000001" customHeight="1">
      <c r="C3" s="1701" t="s">
        <v>2</v>
      </c>
      <c r="D3" s="1714"/>
      <c r="E3" s="1714"/>
      <c r="F3" s="1714"/>
      <c r="G3" s="1714"/>
      <c r="H3" s="1714"/>
      <c r="I3" s="1714"/>
      <c r="J3" s="1714"/>
      <c r="K3" s="1714"/>
      <c r="L3" s="1714"/>
      <c r="M3" s="1714"/>
      <c r="N3" s="1703"/>
    </row>
    <row r="4" spans="2:14" s="2" customFormat="1" ht="15" customHeight="1">
      <c r="C4" s="1715"/>
      <c r="D4" s="1716"/>
      <c r="E4" s="1716"/>
      <c r="F4" s="1716"/>
      <c r="G4" s="1716"/>
      <c r="H4" s="1716"/>
      <c r="I4" s="1716"/>
      <c r="J4" s="1716"/>
      <c r="K4" s="1716"/>
      <c r="L4" s="1716"/>
      <c r="M4" s="1716"/>
      <c r="N4" s="1717"/>
    </row>
    <row r="5" spans="2:14" s="2" customFormat="1" ht="18.75">
      <c r="C5" s="1718" t="s">
        <v>3</v>
      </c>
      <c r="D5" s="1719"/>
      <c r="E5" s="1719"/>
      <c r="F5" s="1719"/>
      <c r="G5" s="1719"/>
      <c r="H5" s="1719"/>
      <c r="I5" s="1719"/>
      <c r="J5" s="1719"/>
      <c r="K5" s="1719"/>
      <c r="L5" s="1719"/>
      <c r="M5" s="1719"/>
      <c r="N5" s="1720"/>
    </row>
    <row r="6" spans="2:14" s="2" customFormat="1" ht="18.75" customHeight="1">
      <c r="C6" s="3" t="s">
        <v>4234</v>
      </c>
      <c r="D6" s="4"/>
      <c r="E6" s="6"/>
      <c r="F6" s="5"/>
      <c r="G6" s="4"/>
      <c r="H6" s="6"/>
      <c r="I6" s="4"/>
      <c r="J6" s="4"/>
      <c r="K6" s="4"/>
      <c r="L6" s="4"/>
      <c r="M6" s="1713" t="s">
        <v>5</v>
      </c>
      <c r="N6" s="1695"/>
    </row>
    <row r="7" spans="2:14" ht="18.75">
      <c r="C7" s="7"/>
      <c r="D7" s="8"/>
      <c r="E7" s="9"/>
      <c r="F7" s="9"/>
      <c r="G7" s="8"/>
      <c r="H7" s="8"/>
      <c r="I7" s="8"/>
      <c r="J7" s="8"/>
      <c r="K7" s="8"/>
      <c r="L7" s="8"/>
      <c r="M7" s="1696"/>
      <c r="N7" s="1697"/>
    </row>
    <row r="8" spans="2:14" ht="12.95" customHeight="1">
      <c r="C8" s="10"/>
      <c r="D8" s="11"/>
      <c r="E8" s="12"/>
      <c r="F8" s="12"/>
      <c r="G8" s="13"/>
      <c r="H8" s="13"/>
      <c r="I8" s="13"/>
      <c r="J8" s="13"/>
      <c r="K8" s="13"/>
      <c r="L8" s="13"/>
      <c r="M8" s="13"/>
      <c r="N8" s="14"/>
    </row>
    <row r="9" spans="2:14" ht="39.75" customHeight="1" thickBot="1">
      <c r="B9" s="15"/>
      <c r="C9" s="1683" t="s">
        <v>6</v>
      </c>
      <c r="D9" s="1686" t="s">
        <v>7</v>
      </c>
      <c r="E9" s="1689" t="s">
        <v>8</v>
      </c>
      <c r="F9" s="1690"/>
      <c r="G9" s="1690"/>
      <c r="H9" s="1689" t="s">
        <v>9</v>
      </c>
      <c r="I9" s="1690"/>
      <c r="J9" s="1691"/>
      <c r="K9" s="1690" t="s">
        <v>10</v>
      </c>
      <c r="L9" s="1690"/>
      <c r="M9" s="1691"/>
      <c r="N9" s="1707" t="s">
        <v>11</v>
      </c>
    </row>
    <row r="10" spans="2:14" s="18" customFormat="1" ht="63" customHeight="1" thickBot="1">
      <c r="B10" s="16"/>
      <c r="C10" s="1684"/>
      <c r="D10" s="1687"/>
      <c r="E10" s="1722" t="s">
        <v>12</v>
      </c>
      <c r="F10" s="17"/>
      <c r="G10" s="1692" t="s">
        <v>13</v>
      </c>
      <c r="H10" s="1711" t="s">
        <v>14</v>
      </c>
      <c r="I10" s="1710" t="s">
        <v>15</v>
      </c>
      <c r="J10" s="1711" t="s">
        <v>16</v>
      </c>
      <c r="K10" s="1710" t="s">
        <v>17</v>
      </c>
      <c r="L10" s="1711" t="s">
        <v>15</v>
      </c>
      <c r="M10" s="1710" t="s">
        <v>16</v>
      </c>
      <c r="N10" s="1708"/>
    </row>
    <row r="11" spans="2:14" s="18" customFormat="1" ht="64.5" customHeight="1">
      <c r="B11" s="16"/>
      <c r="C11" s="1723"/>
      <c r="D11" s="1724"/>
      <c r="E11" s="1722"/>
      <c r="F11" s="17"/>
      <c r="G11" s="1693"/>
      <c r="H11" s="1711"/>
      <c r="I11" s="1710"/>
      <c r="J11" s="1711"/>
      <c r="K11" s="1710"/>
      <c r="L11" s="1711"/>
      <c r="M11" s="1710"/>
      <c r="N11" s="1721"/>
    </row>
    <row r="12" spans="2:14" s="27" customFormat="1" ht="20.100000000000001" customHeight="1">
      <c r="B12" s="19"/>
      <c r="C12" s="20" t="s">
        <v>18</v>
      </c>
      <c r="D12" s="21" t="s">
        <v>19</v>
      </c>
      <c r="E12" s="22" t="s">
        <v>20</v>
      </c>
      <c r="F12" s="23"/>
      <c r="G12" s="24" t="s">
        <v>21</v>
      </c>
      <c r="H12" s="25" t="s">
        <v>22</v>
      </c>
      <c r="I12" s="24" t="s">
        <v>23</v>
      </c>
      <c r="J12" s="25" t="s">
        <v>24</v>
      </c>
      <c r="K12" s="24" t="s">
        <v>25</v>
      </c>
      <c r="L12" s="25" t="s">
        <v>26</v>
      </c>
      <c r="M12" s="24" t="s">
        <v>27</v>
      </c>
      <c r="N12" s="26" t="s">
        <v>28</v>
      </c>
    </row>
    <row r="13" spans="2:14" ht="4.5" customHeight="1">
      <c r="B13" s="15"/>
      <c r="C13" s="28"/>
      <c r="D13" s="29"/>
      <c r="E13" s="30"/>
      <c r="F13" s="31"/>
      <c r="G13" s="32"/>
      <c r="H13" s="33"/>
      <c r="I13" s="32"/>
      <c r="J13" s="33"/>
      <c r="K13" s="32"/>
      <c r="L13" s="33"/>
      <c r="M13" s="32"/>
      <c r="N13" s="34"/>
    </row>
    <row r="14" spans="2:14" s="44" customFormat="1" ht="27" customHeight="1">
      <c r="B14" s="35"/>
      <c r="C14" s="36" t="s">
        <v>29</v>
      </c>
      <c r="D14" s="37" t="s">
        <v>30</v>
      </c>
      <c r="E14" s="38">
        <f>+A.4!E14</f>
        <v>389351314600</v>
      </c>
      <c r="F14" s="39">
        <v>5861910600000</v>
      </c>
      <c r="G14" s="40">
        <f>E14/F14*100</f>
        <v>6.6420548037699518</v>
      </c>
      <c r="H14" s="41"/>
      <c r="I14" s="40"/>
      <c r="J14" s="42"/>
      <c r="K14" s="40"/>
      <c r="L14" s="42"/>
      <c r="M14" s="40"/>
      <c r="N14" s="43"/>
    </row>
    <row r="15" spans="2:14" s="44" customFormat="1" ht="27" customHeight="1">
      <c r="B15" s="35"/>
      <c r="C15" s="36" t="s">
        <v>31</v>
      </c>
      <c r="D15" s="37" t="s">
        <v>32</v>
      </c>
      <c r="E15" s="38">
        <f>SUM(E16:E44)</f>
        <v>1557405258400.0002</v>
      </c>
      <c r="F15" s="39">
        <v>5861910600000</v>
      </c>
      <c r="G15" s="40">
        <f t="shared" ref="G15:G50" si="0">E15/F15*100</f>
        <v>26.568219215079814</v>
      </c>
      <c r="H15" s="42"/>
      <c r="I15" s="40"/>
      <c r="J15" s="42"/>
      <c r="K15" s="40"/>
      <c r="L15" s="42"/>
      <c r="M15" s="40"/>
      <c r="N15" s="43"/>
    </row>
    <row r="16" spans="2:14" ht="27" customHeight="1">
      <c r="B16" s="15"/>
      <c r="C16" s="45"/>
      <c r="D16" s="46" t="s">
        <v>33</v>
      </c>
      <c r="E16" s="47">
        <v>48495887123.160004</v>
      </c>
      <c r="F16" s="39">
        <v>5861910600000</v>
      </c>
      <c r="G16" s="48">
        <f t="shared" si="0"/>
        <v>0.82730513022767693</v>
      </c>
      <c r="H16" s="49"/>
      <c r="I16" s="48"/>
      <c r="J16" s="49"/>
      <c r="K16" s="48"/>
      <c r="L16" s="49"/>
      <c r="M16" s="48"/>
      <c r="N16" s="50"/>
    </row>
    <row r="17" spans="2:14" ht="27" customHeight="1">
      <c r="B17" s="15"/>
      <c r="C17" s="45"/>
      <c r="D17" s="46" t="s">
        <v>34</v>
      </c>
      <c r="E17" s="47">
        <v>51356987511.629997</v>
      </c>
      <c r="F17" s="39">
        <v>5861910600000</v>
      </c>
      <c r="G17" s="48">
        <f t="shared" si="0"/>
        <v>0.87611345542577879</v>
      </c>
      <c r="H17" s="49"/>
      <c r="I17" s="48"/>
      <c r="J17" s="49"/>
      <c r="K17" s="48"/>
      <c r="L17" s="49"/>
      <c r="M17" s="48"/>
      <c r="N17" s="50"/>
    </row>
    <row r="18" spans="2:14" ht="27" customHeight="1">
      <c r="B18" s="15"/>
      <c r="C18" s="45"/>
      <c r="D18" s="46" t="s">
        <v>35</v>
      </c>
      <c r="E18" s="47">
        <v>46073463891.389999</v>
      </c>
      <c r="F18" s="39">
        <v>5861910600000</v>
      </c>
      <c r="G18" s="48">
        <f t="shared" si="0"/>
        <v>0.78598032340155455</v>
      </c>
      <c r="H18" s="49"/>
      <c r="I18" s="48"/>
      <c r="J18" s="49"/>
      <c r="K18" s="48"/>
      <c r="L18" s="49"/>
      <c r="M18" s="48"/>
      <c r="N18" s="50"/>
    </row>
    <row r="19" spans="2:14" ht="27" customHeight="1">
      <c r="B19" s="15"/>
      <c r="C19" s="45"/>
      <c r="D19" s="46" t="s">
        <v>36</v>
      </c>
      <c r="E19" s="47">
        <v>45756973242.93</v>
      </c>
      <c r="F19" s="39">
        <v>5861910600000</v>
      </c>
      <c r="G19" s="48">
        <f t="shared" si="0"/>
        <v>0.78058121942238423</v>
      </c>
      <c r="H19" s="49"/>
      <c r="I19" s="48"/>
      <c r="J19" s="49"/>
      <c r="K19" s="48"/>
      <c r="L19" s="49"/>
      <c r="M19" s="48"/>
      <c r="N19" s="50"/>
    </row>
    <row r="20" spans="2:14" ht="27" customHeight="1">
      <c r="B20" s="15"/>
      <c r="C20" s="45"/>
      <c r="D20" s="46" t="s">
        <v>37</v>
      </c>
      <c r="E20" s="47">
        <v>45992775230.57</v>
      </c>
      <c r="F20" s="39">
        <v>5861910600000</v>
      </c>
      <c r="G20" s="48">
        <f t="shared" si="0"/>
        <v>0.7846038325894974</v>
      </c>
      <c r="H20" s="49"/>
      <c r="I20" s="48"/>
      <c r="J20" s="49"/>
      <c r="K20" s="48"/>
      <c r="L20" s="49"/>
      <c r="M20" s="48"/>
      <c r="N20" s="50"/>
    </row>
    <row r="21" spans="2:14" ht="27" customHeight="1">
      <c r="B21" s="15"/>
      <c r="C21" s="45"/>
      <c r="D21" s="46" t="s">
        <v>38</v>
      </c>
      <c r="E21" s="47">
        <v>32258636567.290001</v>
      </c>
      <c r="F21" s="39">
        <v>5861910600000</v>
      </c>
      <c r="G21" s="48">
        <f t="shared" si="0"/>
        <v>0.55030925526721619</v>
      </c>
      <c r="H21" s="49"/>
      <c r="I21" s="48"/>
      <c r="J21" s="49"/>
      <c r="K21" s="48"/>
      <c r="L21" s="49"/>
      <c r="M21" s="48"/>
      <c r="N21" s="50"/>
    </row>
    <row r="22" spans="2:14" ht="27" customHeight="1">
      <c r="B22" s="15"/>
      <c r="C22" s="45"/>
      <c r="D22" s="46" t="s">
        <v>39</v>
      </c>
      <c r="E22" s="47">
        <v>64189783336.760002</v>
      </c>
      <c r="F22" s="39">
        <v>5861910600000</v>
      </c>
      <c r="G22" s="48">
        <f t="shared" si="0"/>
        <v>1.0950317689382709</v>
      </c>
      <c r="H22" s="49"/>
      <c r="I22" s="48"/>
      <c r="J22" s="49"/>
      <c r="K22" s="48"/>
      <c r="L22" s="49"/>
      <c r="M22" s="48"/>
      <c r="N22" s="50"/>
    </row>
    <row r="23" spans="2:14" ht="27" customHeight="1">
      <c r="B23" s="15"/>
      <c r="C23" s="51"/>
      <c r="D23" s="52" t="s">
        <v>40</v>
      </c>
      <c r="E23" s="53">
        <v>64622624148.519997</v>
      </c>
      <c r="F23" s="39">
        <v>5861910600000</v>
      </c>
      <c r="G23" s="48">
        <f t="shared" si="0"/>
        <v>1.1024157234421146</v>
      </c>
      <c r="H23" s="49"/>
      <c r="I23" s="48"/>
      <c r="J23" s="49"/>
      <c r="K23" s="48"/>
      <c r="L23" s="49"/>
      <c r="M23" s="48"/>
      <c r="N23" s="50"/>
    </row>
    <row r="24" spans="2:14" ht="27" customHeight="1">
      <c r="B24" s="15"/>
      <c r="C24" s="45"/>
      <c r="D24" s="46" t="s">
        <v>41</v>
      </c>
      <c r="E24" s="47">
        <v>31309836558.849998</v>
      </c>
      <c r="F24" s="39">
        <v>5861910600000</v>
      </c>
      <c r="G24" s="48">
        <f t="shared" si="0"/>
        <v>0.53412340609305775</v>
      </c>
      <c r="H24" s="49"/>
      <c r="I24" s="48"/>
      <c r="J24" s="49"/>
      <c r="K24" s="48"/>
      <c r="L24" s="49"/>
      <c r="M24" s="48"/>
      <c r="N24" s="50"/>
    </row>
    <row r="25" spans="2:14" ht="27" customHeight="1">
      <c r="B25" s="15"/>
      <c r="C25" s="45"/>
      <c r="D25" s="46" t="s">
        <v>42</v>
      </c>
      <c r="E25" s="47">
        <v>59981998273.220001</v>
      </c>
      <c r="F25" s="39">
        <v>5861910600000</v>
      </c>
      <c r="G25" s="48">
        <f t="shared" si="0"/>
        <v>1.0232499668831525</v>
      </c>
      <c r="H25" s="49"/>
      <c r="I25" s="48"/>
      <c r="J25" s="49"/>
      <c r="K25" s="48"/>
      <c r="L25" s="49"/>
      <c r="M25" s="48"/>
      <c r="N25" s="50"/>
    </row>
    <row r="26" spans="2:14" ht="27" customHeight="1">
      <c r="B26" s="15"/>
      <c r="C26" s="45"/>
      <c r="D26" s="46" t="s">
        <v>43</v>
      </c>
      <c r="E26" s="47">
        <v>61685777431.099998</v>
      </c>
      <c r="F26" s="39">
        <v>5861910600000</v>
      </c>
      <c r="G26" s="48">
        <f t="shared" si="0"/>
        <v>1.0523152200768806</v>
      </c>
      <c r="H26" s="49"/>
      <c r="I26" s="48"/>
      <c r="J26" s="49"/>
      <c r="K26" s="48"/>
      <c r="L26" s="49"/>
      <c r="M26" s="48"/>
      <c r="N26" s="50"/>
    </row>
    <row r="27" spans="2:14" ht="27" customHeight="1">
      <c r="B27" s="15"/>
      <c r="C27" s="45"/>
      <c r="D27" s="46" t="s">
        <v>44</v>
      </c>
      <c r="E27" s="47">
        <v>61939361529.599998</v>
      </c>
      <c r="F27" s="39">
        <v>5861910600000</v>
      </c>
      <c r="G27" s="48">
        <f t="shared" si="0"/>
        <v>1.0566411833302269</v>
      </c>
      <c r="H27" s="49"/>
      <c r="I27" s="48"/>
      <c r="J27" s="49"/>
      <c r="K27" s="48"/>
      <c r="L27" s="49"/>
      <c r="M27" s="48"/>
      <c r="N27" s="50"/>
    </row>
    <row r="28" spans="2:14" ht="27" customHeight="1">
      <c r="B28" s="15"/>
      <c r="C28" s="45"/>
      <c r="D28" s="46" t="s">
        <v>45</v>
      </c>
      <c r="E28" s="47">
        <v>65595198072.370003</v>
      </c>
      <c r="F28" s="39">
        <v>5861910600000</v>
      </c>
      <c r="G28" s="48">
        <f t="shared" si="0"/>
        <v>1.1190071386003397</v>
      </c>
      <c r="H28" s="49"/>
      <c r="I28" s="48"/>
      <c r="J28" s="49"/>
      <c r="K28" s="48"/>
      <c r="L28" s="49"/>
      <c r="M28" s="48"/>
      <c r="N28" s="50"/>
    </row>
    <row r="29" spans="2:14" ht="27" customHeight="1">
      <c r="B29" s="15"/>
      <c r="C29" s="45"/>
      <c r="D29" s="46" t="s">
        <v>46</v>
      </c>
      <c r="E29" s="47">
        <v>62592857239.279999</v>
      </c>
      <c r="F29" s="39">
        <v>5861910600000</v>
      </c>
      <c r="G29" s="48">
        <f t="shared" si="0"/>
        <v>1.0677893524899542</v>
      </c>
      <c r="H29" s="49"/>
      <c r="I29" s="48"/>
      <c r="J29" s="49"/>
      <c r="K29" s="48"/>
      <c r="L29" s="49"/>
      <c r="M29" s="48"/>
      <c r="N29" s="50"/>
    </row>
    <row r="30" spans="2:14" ht="27" customHeight="1">
      <c r="B30" s="15"/>
      <c r="C30" s="45"/>
      <c r="D30" s="46" t="s">
        <v>47</v>
      </c>
      <c r="E30" s="47">
        <v>64759842666.910004</v>
      </c>
      <c r="F30" s="39">
        <v>5861910600000</v>
      </c>
      <c r="G30" s="48">
        <f t="shared" si="0"/>
        <v>1.1047565731710409</v>
      </c>
      <c r="H30" s="49"/>
      <c r="I30" s="48"/>
      <c r="J30" s="49"/>
      <c r="K30" s="48"/>
      <c r="L30" s="49"/>
      <c r="M30" s="48"/>
      <c r="N30" s="50"/>
    </row>
    <row r="31" spans="2:14" ht="27" customHeight="1">
      <c r="B31" s="15"/>
      <c r="C31" s="45"/>
      <c r="D31" s="46" t="s">
        <v>48</v>
      </c>
      <c r="E31" s="47">
        <v>44404979591.989998</v>
      </c>
      <c r="F31" s="39">
        <v>5861910600000</v>
      </c>
      <c r="G31" s="48">
        <f t="shared" si="0"/>
        <v>0.75751717523617634</v>
      </c>
      <c r="H31" s="49"/>
      <c r="I31" s="48"/>
      <c r="J31" s="49"/>
      <c r="K31" s="48"/>
      <c r="L31" s="49"/>
      <c r="M31" s="48"/>
      <c r="N31" s="50"/>
    </row>
    <row r="32" spans="2:14" ht="27" customHeight="1">
      <c r="B32" s="15"/>
      <c r="C32" s="45"/>
      <c r="D32" s="46" t="s">
        <v>49</v>
      </c>
      <c r="E32" s="47">
        <v>29015053505.560001</v>
      </c>
      <c r="F32" s="39">
        <v>5861910600000</v>
      </c>
      <c r="G32" s="48">
        <f t="shared" si="0"/>
        <v>0.49497604937134321</v>
      </c>
      <c r="H32" s="49"/>
      <c r="I32" s="48"/>
      <c r="J32" s="49"/>
      <c r="K32" s="48"/>
      <c r="L32" s="49"/>
      <c r="M32" s="48"/>
      <c r="N32" s="50"/>
    </row>
    <row r="33" spans="2:14" ht="27" customHeight="1">
      <c r="B33" s="15"/>
      <c r="C33" s="45"/>
      <c r="D33" s="46" t="s">
        <v>50</v>
      </c>
      <c r="E33" s="47">
        <v>43827566023.510002</v>
      </c>
      <c r="F33" s="39">
        <v>5861910600000</v>
      </c>
      <c r="G33" s="48">
        <f t="shared" si="0"/>
        <v>0.74766691296025567</v>
      </c>
      <c r="H33" s="49"/>
      <c r="I33" s="48"/>
      <c r="J33" s="49"/>
      <c r="K33" s="48"/>
      <c r="L33" s="49"/>
      <c r="M33" s="48"/>
      <c r="N33" s="50"/>
    </row>
    <row r="34" spans="2:14" ht="27" customHeight="1">
      <c r="B34" s="15"/>
      <c r="C34" s="45"/>
      <c r="D34" s="46" t="s">
        <v>51</v>
      </c>
      <c r="E34" s="47">
        <v>43402635532.330002</v>
      </c>
      <c r="F34" s="39">
        <v>5861910600000</v>
      </c>
      <c r="G34" s="48">
        <f t="shared" si="0"/>
        <v>0.74041790286481002</v>
      </c>
      <c r="H34" s="49"/>
      <c r="I34" s="48"/>
      <c r="J34" s="49"/>
      <c r="K34" s="48"/>
      <c r="L34" s="49"/>
      <c r="M34" s="48"/>
      <c r="N34" s="50"/>
    </row>
    <row r="35" spans="2:14" ht="27" customHeight="1">
      <c r="B35" s="15"/>
      <c r="C35" s="45"/>
      <c r="D35" s="46" t="s">
        <v>52</v>
      </c>
      <c r="E35" s="47">
        <v>59066221758.910004</v>
      </c>
      <c r="F35" s="39">
        <v>5861910600000</v>
      </c>
      <c r="G35" s="48">
        <f t="shared" si="0"/>
        <v>1.0076274748869423</v>
      </c>
      <c r="H35" s="49"/>
      <c r="I35" s="48"/>
      <c r="J35" s="49"/>
      <c r="K35" s="48"/>
      <c r="L35" s="49"/>
      <c r="M35" s="48"/>
      <c r="N35" s="50"/>
    </row>
    <row r="36" spans="2:14" ht="27" customHeight="1">
      <c r="B36" s="15"/>
      <c r="C36" s="45"/>
      <c r="D36" s="46" t="s">
        <v>53</v>
      </c>
      <c r="E36" s="47">
        <v>62185842294.059998</v>
      </c>
      <c r="F36" s="39">
        <v>5861910600000</v>
      </c>
      <c r="G36" s="48">
        <f t="shared" si="0"/>
        <v>1.0608459687880603</v>
      </c>
      <c r="H36" s="49"/>
      <c r="I36" s="48"/>
      <c r="J36" s="49"/>
      <c r="K36" s="48"/>
      <c r="L36" s="49"/>
      <c r="M36" s="48"/>
      <c r="N36" s="50"/>
    </row>
    <row r="37" spans="2:14" ht="27" customHeight="1">
      <c r="B37" s="15"/>
      <c r="C37" s="45"/>
      <c r="D37" s="46" t="s">
        <v>54</v>
      </c>
      <c r="E37" s="47">
        <v>65793806208.360001</v>
      </c>
      <c r="F37" s="39">
        <v>5861910600000</v>
      </c>
      <c r="G37" s="48">
        <f t="shared" si="0"/>
        <v>1.1223952512745587</v>
      </c>
      <c r="H37" s="49"/>
      <c r="I37" s="48"/>
      <c r="J37" s="49"/>
      <c r="K37" s="48"/>
      <c r="L37" s="49"/>
      <c r="M37" s="48"/>
      <c r="N37" s="50"/>
    </row>
    <row r="38" spans="2:14" ht="27" customHeight="1">
      <c r="B38" s="15"/>
      <c r="C38" s="45"/>
      <c r="D38" s="46" t="s">
        <v>55</v>
      </c>
      <c r="E38" s="47">
        <v>61543588793.150002</v>
      </c>
      <c r="F38" s="39">
        <v>5861910600000</v>
      </c>
      <c r="G38" s="48">
        <f t="shared" si="0"/>
        <v>1.0498895836649231</v>
      </c>
      <c r="H38" s="49"/>
      <c r="I38" s="48"/>
      <c r="J38" s="49"/>
      <c r="K38" s="48"/>
      <c r="L38" s="49"/>
      <c r="M38" s="48"/>
      <c r="N38" s="50"/>
    </row>
    <row r="39" spans="2:14" ht="27" customHeight="1">
      <c r="B39" s="15"/>
      <c r="C39" s="51"/>
      <c r="D39" s="52" t="s">
        <v>56</v>
      </c>
      <c r="E39" s="53">
        <v>61544586915.559998</v>
      </c>
      <c r="F39" s="39">
        <v>5861910600000</v>
      </c>
      <c r="G39" s="48">
        <f t="shared" si="0"/>
        <v>1.0499066109189723</v>
      </c>
      <c r="H39" s="49"/>
      <c r="I39" s="54"/>
      <c r="J39" s="49"/>
      <c r="K39" s="48"/>
      <c r="L39" s="49"/>
      <c r="M39" s="48"/>
      <c r="N39" s="50"/>
    </row>
    <row r="40" spans="2:14" ht="27" customHeight="1">
      <c r="B40" s="15"/>
      <c r="C40" s="45"/>
      <c r="D40" s="46" t="s">
        <v>57</v>
      </c>
      <c r="E40" s="47">
        <v>64316106423.529999</v>
      </c>
      <c r="F40" s="39">
        <v>5861910600000</v>
      </c>
      <c r="G40" s="48">
        <f t="shared" si="0"/>
        <v>1.0971867504006287</v>
      </c>
      <c r="H40" s="49"/>
      <c r="I40" s="48"/>
      <c r="J40" s="49"/>
      <c r="K40" s="48"/>
      <c r="L40" s="49"/>
      <c r="M40" s="48"/>
      <c r="N40" s="50"/>
    </row>
    <row r="41" spans="2:14" ht="27" customHeight="1">
      <c r="B41" s="15"/>
      <c r="C41" s="45"/>
      <c r="D41" s="46" t="s">
        <v>58</v>
      </c>
      <c r="E41" s="47">
        <v>61730319464.800003</v>
      </c>
      <c r="F41" s="39">
        <v>5861910600000</v>
      </c>
      <c r="G41" s="48">
        <f t="shared" si="0"/>
        <v>1.0530750752971223</v>
      </c>
      <c r="H41" s="49"/>
      <c r="I41" s="48"/>
      <c r="J41" s="49"/>
      <c r="K41" s="48"/>
      <c r="L41" s="49"/>
      <c r="M41" s="48"/>
      <c r="N41" s="50"/>
    </row>
    <row r="42" spans="2:14" ht="27" customHeight="1">
      <c r="B42" s="15"/>
      <c r="C42" s="45"/>
      <c r="D42" s="46" t="s">
        <v>59</v>
      </c>
      <c r="E42" s="47">
        <v>61756420382.300003</v>
      </c>
      <c r="F42" s="39">
        <v>5861910600000</v>
      </c>
      <c r="G42" s="48">
        <f t="shared" si="0"/>
        <v>1.0535203382716209</v>
      </c>
      <c r="H42" s="49"/>
      <c r="I42" s="48"/>
      <c r="J42" s="49"/>
      <c r="K42" s="48"/>
      <c r="L42" s="49"/>
      <c r="M42" s="48"/>
      <c r="N42" s="50"/>
    </row>
    <row r="43" spans="2:14" ht="27" customHeight="1">
      <c r="B43" s="15"/>
      <c r="C43" s="45"/>
      <c r="D43" s="46" t="s">
        <v>60</v>
      </c>
      <c r="E43" s="47">
        <v>60339107583.360001</v>
      </c>
      <c r="F43" s="39">
        <v>5861910600000</v>
      </c>
      <c r="G43" s="48">
        <f t="shared" si="0"/>
        <v>1.0293419961635033</v>
      </c>
      <c r="H43" s="49"/>
      <c r="I43" s="48"/>
      <c r="J43" s="49"/>
      <c r="K43" s="48"/>
      <c r="L43" s="49"/>
      <c r="M43" s="48"/>
      <c r="N43" s="50"/>
    </row>
    <row r="44" spans="2:14" ht="27" customHeight="1">
      <c r="B44" s="15"/>
      <c r="C44" s="45"/>
      <c r="D44" s="46" t="s">
        <v>61</v>
      </c>
      <c r="E44" s="47">
        <v>31867021099</v>
      </c>
      <c r="F44" s="39">
        <v>5861910600000</v>
      </c>
      <c r="G44" s="48">
        <f t="shared" si="0"/>
        <v>0.54362857562174349</v>
      </c>
      <c r="H44" s="49"/>
      <c r="I44" s="48"/>
      <c r="J44" s="49"/>
      <c r="K44" s="48"/>
      <c r="L44" s="49"/>
      <c r="M44" s="48"/>
      <c r="N44" s="50"/>
    </row>
    <row r="45" spans="2:14" s="44" customFormat="1" ht="27" customHeight="1">
      <c r="B45" s="35"/>
      <c r="C45" s="36" t="s">
        <v>62</v>
      </c>
      <c r="D45" s="55" t="s">
        <v>63</v>
      </c>
      <c r="E45" s="56">
        <f>SUM(E46:E58)</f>
        <v>3341938271000</v>
      </c>
      <c r="F45" s="39">
        <v>5861910600000</v>
      </c>
      <c r="G45" s="40">
        <f>+E45/F45*100</f>
        <v>57.011075382145883</v>
      </c>
      <c r="H45" s="42"/>
      <c r="I45" s="40"/>
      <c r="J45" s="42"/>
      <c r="K45" s="40"/>
      <c r="L45" s="42"/>
      <c r="M45" s="40"/>
      <c r="N45" s="43"/>
    </row>
    <row r="46" spans="2:14" ht="39.75" customHeight="1">
      <c r="B46" s="15"/>
      <c r="C46" s="45"/>
      <c r="D46" s="57" t="s">
        <v>64</v>
      </c>
      <c r="E46" s="58">
        <v>976929140000</v>
      </c>
      <c r="F46" s="59">
        <v>5861910600000</v>
      </c>
      <c r="G46" s="48">
        <f t="shared" si="0"/>
        <v>16.665712029112147</v>
      </c>
      <c r="H46" s="49"/>
      <c r="I46" s="48"/>
      <c r="J46" s="49"/>
      <c r="K46" s="48"/>
      <c r="L46" s="49"/>
      <c r="M46" s="48"/>
      <c r="N46" s="50"/>
    </row>
    <row r="47" spans="2:14" ht="42.75" customHeight="1">
      <c r="B47" s="15"/>
      <c r="C47" s="45"/>
      <c r="D47" s="57" t="s">
        <v>65</v>
      </c>
      <c r="E47" s="60">
        <f>+A.4!E3545</f>
        <v>92991000000</v>
      </c>
      <c r="F47" s="59">
        <v>5861910600000</v>
      </c>
      <c r="G47" s="48">
        <f t="shared" si="0"/>
        <v>1.5863599148032044</v>
      </c>
      <c r="H47" s="49"/>
      <c r="I47" s="48"/>
      <c r="J47" s="49"/>
      <c r="K47" s="48"/>
      <c r="L47" s="49"/>
      <c r="M47" s="48"/>
      <c r="N47" s="50"/>
    </row>
    <row r="48" spans="2:14" ht="39" customHeight="1">
      <c r="B48" s="15"/>
      <c r="C48" s="45"/>
      <c r="D48" s="57" t="s">
        <v>66</v>
      </c>
      <c r="E48" s="60">
        <f>+A.4!E3552</f>
        <v>200000000000</v>
      </c>
      <c r="F48" s="59">
        <v>5861910600000</v>
      </c>
      <c r="G48" s="48">
        <f t="shared" si="0"/>
        <v>3.411856878199405</v>
      </c>
      <c r="H48" s="49"/>
      <c r="I48" s="48"/>
      <c r="J48" s="49"/>
      <c r="K48" s="48"/>
      <c r="L48" s="49"/>
      <c r="M48" s="48"/>
      <c r="N48" s="50"/>
    </row>
    <row r="49" spans="2:14" ht="39" customHeight="1">
      <c r="B49" s="15"/>
      <c r="C49" s="45"/>
      <c r="D49" s="57" t="s">
        <v>67</v>
      </c>
      <c r="E49" s="60">
        <f>+A.4!E3583</f>
        <v>141700000000</v>
      </c>
      <c r="F49" s="59">
        <v>5861910600000</v>
      </c>
      <c r="G49" s="48">
        <f t="shared" si="0"/>
        <v>2.4173005982042786</v>
      </c>
      <c r="H49" s="49"/>
      <c r="I49" s="48"/>
      <c r="J49" s="49"/>
      <c r="K49" s="48"/>
      <c r="L49" s="49"/>
      <c r="M49" s="48"/>
      <c r="N49" s="50"/>
    </row>
    <row r="50" spans="2:14" ht="27" customHeight="1">
      <c r="B50" s="15"/>
      <c r="C50" s="45"/>
      <c r="D50" s="52" t="s">
        <v>68</v>
      </c>
      <c r="E50" s="60">
        <f>+A.4!E3595</f>
        <v>52250000000</v>
      </c>
      <c r="F50" s="59">
        <v>5861910600000</v>
      </c>
      <c r="G50" s="48">
        <f t="shared" si="0"/>
        <v>0.89134760942959446</v>
      </c>
      <c r="H50" s="49"/>
      <c r="I50" s="48"/>
      <c r="J50" s="49"/>
      <c r="K50" s="48"/>
      <c r="L50" s="49"/>
      <c r="M50" s="48"/>
      <c r="N50" s="50"/>
    </row>
    <row r="51" spans="2:14" ht="39" customHeight="1">
      <c r="B51" s="15"/>
      <c r="C51" s="61"/>
      <c r="D51" s="57" t="str">
        <f>+A.4!D3615</f>
        <v>Dinas Olah Raga dan Pemuda</v>
      </c>
      <c r="E51" s="60">
        <f>+A.4!E3615</f>
        <v>39070860000</v>
      </c>
      <c r="F51" s="59">
        <v>5861910600000</v>
      </c>
      <c r="G51" s="48">
        <f>E51/F51*100</f>
        <v>0.66652091214082998</v>
      </c>
      <c r="H51" s="49"/>
      <c r="I51" s="48"/>
      <c r="J51" s="49"/>
      <c r="K51" s="48"/>
      <c r="L51" s="49"/>
      <c r="M51" s="48"/>
      <c r="N51" s="50"/>
    </row>
    <row r="52" spans="2:14" ht="39" customHeight="1">
      <c r="B52" s="15"/>
      <c r="C52" s="61"/>
      <c r="D52" s="57" t="s">
        <v>69</v>
      </c>
      <c r="E52" s="60">
        <v>5000000000</v>
      </c>
      <c r="F52" s="59">
        <v>5861910600000</v>
      </c>
      <c r="G52" s="48">
        <f t="shared" ref="G52:G58" si="1">E52/F52*100</f>
        <v>8.5296421954985116E-2</v>
      </c>
      <c r="H52" s="49"/>
      <c r="I52" s="48"/>
      <c r="J52" s="49"/>
      <c r="K52" s="48"/>
      <c r="L52" s="49"/>
      <c r="M52" s="48"/>
      <c r="N52" s="50"/>
    </row>
    <row r="53" spans="2:14" ht="39" customHeight="1">
      <c r="B53" s="15"/>
      <c r="C53" s="61"/>
      <c r="D53" s="57" t="s">
        <v>70</v>
      </c>
      <c r="E53" s="60">
        <v>8000000000</v>
      </c>
      <c r="F53" s="59">
        <v>5861910600000</v>
      </c>
      <c r="G53" s="48">
        <f t="shared" si="1"/>
        <v>0.13647427512797619</v>
      </c>
      <c r="H53" s="49"/>
      <c r="I53" s="48"/>
      <c r="J53" s="49"/>
      <c r="K53" s="48"/>
      <c r="L53" s="49"/>
      <c r="M53" s="48"/>
      <c r="N53" s="50"/>
    </row>
    <row r="54" spans="2:14" ht="39" customHeight="1">
      <c r="B54" s="15"/>
      <c r="C54" s="61"/>
      <c r="D54" s="57" t="s">
        <v>71</v>
      </c>
      <c r="E54" s="60">
        <v>32000000000</v>
      </c>
      <c r="F54" s="59">
        <v>5861910600000</v>
      </c>
      <c r="G54" s="48">
        <f t="shared" si="1"/>
        <v>0.54589710051190476</v>
      </c>
      <c r="H54" s="49"/>
      <c r="I54" s="48"/>
      <c r="J54" s="49"/>
      <c r="K54" s="48"/>
      <c r="L54" s="49"/>
      <c r="M54" s="48"/>
      <c r="N54" s="50"/>
    </row>
    <row r="55" spans="2:14" ht="27" customHeight="1">
      <c r="B55" s="15"/>
      <c r="C55" s="61"/>
      <c r="D55" s="52" t="s">
        <v>72</v>
      </c>
      <c r="E55" s="62">
        <v>8000000000</v>
      </c>
      <c r="F55" s="59">
        <v>5861910600000</v>
      </c>
      <c r="G55" s="48">
        <f t="shared" si="1"/>
        <v>0.13647427512797619</v>
      </c>
      <c r="H55" s="49"/>
      <c r="I55" s="48"/>
      <c r="J55" s="49"/>
      <c r="K55" s="48"/>
      <c r="L55" s="49"/>
      <c r="M55" s="48"/>
      <c r="N55" s="50"/>
    </row>
    <row r="56" spans="2:14" ht="30.75" customHeight="1">
      <c r="B56" s="15"/>
      <c r="C56" s="61"/>
      <c r="D56" s="57" t="s">
        <v>73</v>
      </c>
      <c r="E56" s="62">
        <v>32154027000</v>
      </c>
      <c r="F56" s="59">
        <v>5861910600000</v>
      </c>
      <c r="G56" s="48">
        <f t="shared" si="1"/>
        <v>0.54852469090879685</v>
      </c>
      <c r="H56" s="49"/>
      <c r="I56" s="48"/>
      <c r="J56" s="49"/>
      <c r="K56" s="48"/>
      <c r="L56" s="49"/>
      <c r="M56" s="48"/>
      <c r="N56" s="50"/>
    </row>
    <row r="57" spans="2:14" ht="27" customHeight="1">
      <c r="B57" s="15"/>
      <c r="C57" s="61"/>
      <c r="D57" s="52" t="s">
        <v>74</v>
      </c>
      <c r="E57" s="62">
        <v>232400000000</v>
      </c>
      <c r="F57" s="59">
        <v>5861910600000</v>
      </c>
      <c r="G57" s="48">
        <f t="shared" si="1"/>
        <v>3.9645776924677087</v>
      </c>
      <c r="H57" s="49"/>
      <c r="I57" s="48"/>
      <c r="J57" s="49"/>
      <c r="K57" s="48"/>
      <c r="L57" s="49"/>
      <c r="M57" s="48"/>
      <c r="N57" s="50"/>
    </row>
    <row r="58" spans="2:14" ht="27" customHeight="1">
      <c r="B58" s="15"/>
      <c r="C58" s="63"/>
      <c r="D58" s="64" t="s">
        <v>75</v>
      </c>
      <c r="E58" s="65">
        <v>1521443244000</v>
      </c>
      <c r="F58" s="66">
        <v>5861910600000</v>
      </c>
      <c r="G58" s="67">
        <f t="shared" si="1"/>
        <v>25.954732984157076</v>
      </c>
      <c r="H58" s="68"/>
      <c r="I58" s="67"/>
      <c r="J58" s="68"/>
      <c r="K58" s="67"/>
      <c r="L58" s="68"/>
      <c r="M58" s="67"/>
      <c r="N58" s="69"/>
    </row>
    <row r="59" spans="2:14" s="44" customFormat="1" ht="20.100000000000001" customHeight="1">
      <c r="B59" s="35"/>
      <c r="C59" s="70"/>
      <c r="D59" s="71" t="s">
        <v>76</v>
      </c>
      <c r="E59" s="72">
        <f>+E14+E15+E45</f>
        <v>5288694844000</v>
      </c>
      <c r="F59" s="73">
        <v>5861910600000</v>
      </c>
      <c r="G59" s="74">
        <f>E59/E59*100</f>
        <v>100</v>
      </c>
      <c r="H59" s="75"/>
      <c r="I59" s="74"/>
      <c r="J59" s="75"/>
      <c r="K59" s="74"/>
      <c r="L59" s="75"/>
      <c r="M59" s="74"/>
      <c r="N59" s="76"/>
    </row>
    <row r="60" spans="2:14" ht="12.75" customHeight="1">
      <c r="C60" s="77"/>
      <c r="D60" s="78"/>
      <c r="E60" s="79"/>
      <c r="F60" s="79"/>
      <c r="G60" s="80"/>
      <c r="H60" s="80"/>
      <c r="I60" s="80"/>
      <c r="J60" s="80"/>
      <c r="K60" s="80"/>
      <c r="L60" s="80"/>
      <c r="M60" s="80"/>
      <c r="N60" s="80"/>
    </row>
    <row r="61" spans="2:14" ht="20.100000000000001" customHeight="1">
      <c r="E61" s="81"/>
    </row>
    <row r="62" spans="2:14" ht="39.75" customHeight="1">
      <c r="C62" s="1682"/>
      <c r="D62" s="1682"/>
      <c r="E62" s="1682"/>
      <c r="F62" s="1682"/>
      <c r="G62" s="1682"/>
      <c r="H62" s="1682"/>
    </row>
    <row r="64" spans="2:14" s="83" customFormat="1" ht="20.100000000000001" customHeight="1">
      <c r="B64" s="1"/>
      <c r="C64" s="27"/>
      <c r="D64" s="84"/>
      <c r="E64" s="82"/>
      <c r="F64" s="82"/>
      <c r="N64" s="1"/>
    </row>
    <row r="65" spans="2:14" s="83" customFormat="1" ht="20.100000000000001" customHeight="1">
      <c r="B65" s="1"/>
      <c r="C65" s="27"/>
      <c r="D65" s="85"/>
      <c r="E65" s="82"/>
      <c r="F65" s="82"/>
      <c r="N65" s="1"/>
    </row>
    <row r="67" spans="2:14" s="83" customFormat="1" ht="20.100000000000001" customHeight="1">
      <c r="B67" s="1"/>
      <c r="C67" s="27"/>
      <c r="D67" s="1"/>
      <c r="E67" s="82"/>
      <c r="F67" s="82"/>
      <c r="N67" s="1"/>
    </row>
  </sheetData>
  <mergeCells count="21">
    <mergeCell ref="C62:H62"/>
    <mergeCell ref="C9:C11"/>
    <mergeCell ref="D9:D11"/>
    <mergeCell ref="E9:G9"/>
    <mergeCell ref="H9:J9"/>
    <mergeCell ref="N9:N11"/>
    <mergeCell ref="E10:E11"/>
    <mergeCell ref="G10:G11"/>
    <mergeCell ref="H10:H11"/>
    <mergeCell ref="I10:I11"/>
    <mergeCell ref="J10:J11"/>
    <mergeCell ref="K10:K11"/>
    <mergeCell ref="L10:L11"/>
    <mergeCell ref="M10:M11"/>
    <mergeCell ref="K9:M9"/>
    <mergeCell ref="M6:N7"/>
    <mergeCell ref="C1:N1"/>
    <mergeCell ref="C2:N2"/>
    <mergeCell ref="C3:N3"/>
    <mergeCell ref="C4:N4"/>
    <mergeCell ref="C5:N5"/>
  </mergeCells>
  <printOptions horizontalCentered="1"/>
  <pageMargins left="0.59055118110236227" right="0" top="0.35433070866141736" bottom="0" header="0.31496062992125984" footer="0.31496062992125984"/>
  <pageSetup paperSize="258" scale="85" orientation="landscape" horizontalDpi="1200" verticalDpi="1200" r:id="rId1"/>
  <rowBreaks count="2" manualBreakCount="2">
    <brk id="37" min="1" max="14" man="1"/>
    <brk id="52" min="1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J3722"/>
  <sheetViews>
    <sheetView view="pageBreakPreview" topLeftCell="A1782" zoomScale="85" zoomScaleNormal="90" zoomScaleSheetLayoutView="85" workbookViewId="0">
      <selection activeCell="C10" sqref="C10:H3712"/>
    </sheetView>
  </sheetViews>
  <sheetFormatPr defaultColWidth="8.85546875" defaultRowHeight="15"/>
  <cols>
    <col min="1" max="1" width="3.28515625" style="18" customWidth="1"/>
    <col min="2" max="2" width="2.85546875" style="18" customWidth="1"/>
    <col min="3" max="3" width="6.5703125" style="832" customWidth="1"/>
    <col min="4" max="4" width="34.42578125" style="831" customWidth="1"/>
    <col min="5" max="5" width="22.28515625" style="619" customWidth="1"/>
    <col min="6" max="6" width="21.42578125" style="619" customWidth="1"/>
    <col min="7" max="7" width="9" style="619" customWidth="1"/>
    <col min="8" max="8" width="10.140625" style="830" customWidth="1"/>
    <col min="9" max="9" width="10" style="18" customWidth="1"/>
    <col min="10" max="10" width="2.140625" style="18" customWidth="1"/>
    <col min="11" max="246" width="8.85546875" style="18"/>
    <col min="247" max="247" width="3.28515625" style="18" customWidth="1"/>
    <col min="248" max="248" width="2.85546875" style="18" customWidth="1"/>
    <col min="249" max="249" width="6.5703125" style="18" customWidth="1"/>
    <col min="250" max="250" width="137.28515625" style="18" customWidth="1"/>
    <col min="251" max="251" width="21.28515625" style="18" customWidth="1"/>
    <col min="252" max="252" width="25.28515625" style="18" customWidth="1"/>
    <col min="253" max="253" width="11.7109375" style="18" customWidth="1"/>
    <col min="254" max="257" width="11" style="18" customWidth="1"/>
    <col min="258" max="261" width="12.85546875" style="18" customWidth="1"/>
    <col min="262" max="262" width="17.85546875" style="18" customWidth="1"/>
    <col min="263" max="263" width="2.140625" style="18" customWidth="1"/>
    <col min="264" max="502" width="8.85546875" style="18"/>
    <col min="503" max="503" width="3.28515625" style="18" customWidth="1"/>
    <col min="504" max="504" width="2.85546875" style="18" customWidth="1"/>
    <col min="505" max="505" width="6.5703125" style="18" customWidth="1"/>
    <col min="506" max="506" width="137.28515625" style="18" customWidth="1"/>
    <col min="507" max="507" width="21.28515625" style="18" customWidth="1"/>
    <col min="508" max="508" width="25.28515625" style="18" customWidth="1"/>
    <col min="509" max="509" width="11.7109375" style="18" customWidth="1"/>
    <col min="510" max="513" width="11" style="18" customWidth="1"/>
    <col min="514" max="517" width="12.85546875" style="18" customWidth="1"/>
    <col min="518" max="518" width="17.85546875" style="18" customWidth="1"/>
    <col min="519" max="519" width="2.140625" style="18" customWidth="1"/>
    <col min="520" max="758" width="8.85546875" style="18"/>
    <col min="759" max="759" width="3.28515625" style="18" customWidth="1"/>
    <col min="760" max="760" width="2.85546875" style="18" customWidth="1"/>
    <col min="761" max="761" width="6.5703125" style="18" customWidth="1"/>
    <col min="762" max="762" width="137.28515625" style="18" customWidth="1"/>
    <col min="763" max="763" width="21.28515625" style="18" customWidth="1"/>
    <col min="764" max="764" width="25.28515625" style="18" customWidth="1"/>
    <col min="765" max="765" width="11.7109375" style="18" customWidth="1"/>
    <col min="766" max="769" width="11" style="18" customWidth="1"/>
    <col min="770" max="773" width="12.85546875" style="18" customWidth="1"/>
    <col min="774" max="774" width="17.85546875" style="18" customWidth="1"/>
    <col min="775" max="775" width="2.140625" style="18" customWidth="1"/>
    <col min="776" max="1014" width="8.85546875" style="18"/>
    <col min="1015" max="1015" width="3.28515625" style="18" customWidth="1"/>
    <col min="1016" max="1016" width="2.85546875" style="18" customWidth="1"/>
    <col min="1017" max="1017" width="6.5703125" style="18" customWidth="1"/>
    <col min="1018" max="1018" width="137.28515625" style="18" customWidth="1"/>
    <col min="1019" max="1019" width="21.28515625" style="18" customWidth="1"/>
    <col min="1020" max="1020" width="25.28515625" style="18" customWidth="1"/>
    <col min="1021" max="1021" width="11.7109375" style="18" customWidth="1"/>
    <col min="1022" max="1025" width="11" style="18" customWidth="1"/>
    <col min="1026" max="1029" width="12.85546875" style="18" customWidth="1"/>
    <col min="1030" max="1030" width="17.85546875" style="18" customWidth="1"/>
    <col min="1031" max="1031" width="2.140625" style="18" customWidth="1"/>
    <col min="1032" max="1270" width="8.85546875" style="18"/>
    <col min="1271" max="1271" width="3.28515625" style="18" customWidth="1"/>
    <col min="1272" max="1272" width="2.85546875" style="18" customWidth="1"/>
    <col min="1273" max="1273" width="6.5703125" style="18" customWidth="1"/>
    <col min="1274" max="1274" width="137.28515625" style="18" customWidth="1"/>
    <col min="1275" max="1275" width="21.28515625" style="18" customWidth="1"/>
    <col min="1276" max="1276" width="25.28515625" style="18" customWidth="1"/>
    <col min="1277" max="1277" width="11.7109375" style="18" customWidth="1"/>
    <col min="1278" max="1281" width="11" style="18" customWidth="1"/>
    <col min="1282" max="1285" width="12.85546875" style="18" customWidth="1"/>
    <col min="1286" max="1286" width="17.85546875" style="18" customWidth="1"/>
    <col min="1287" max="1287" width="2.140625" style="18" customWidth="1"/>
    <col min="1288" max="1526" width="8.85546875" style="18"/>
    <col min="1527" max="1527" width="3.28515625" style="18" customWidth="1"/>
    <col min="1528" max="1528" width="2.85546875" style="18" customWidth="1"/>
    <col min="1529" max="1529" width="6.5703125" style="18" customWidth="1"/>
    <col min="1530" max="1530" width="137.28515625" style="18" customWidth="1"/>
    <col min="1531" max="1531" width="21.28515625" style="18" customWidth="1"/>
    <col min="1532" max="1532" width="25.28515625" style="18" customWidth="1"/>
    <col min="1533" max="1533" width="11.7109375" style="18" customWidth="1"/>
    <col min="1534" max="1537" width="11" style="18" customWidth="1"/>
    <col min="1538" max="1541" width="12.85546875" style="18" customWidth="1"/>
    <col min="1542" max="1542" width="17.85546875" style="18" customWidth="1"/>
    <col min="1543" max="1543" width="2.140625" style="18" customWidth="1"/>
    <col min="1544" max="1782" width="8.85546875" style="18"/>
    <col min="1783" max="1783" width="3.28515625" style="18" customWidth="1"/>
    <col min="1784" max="1784" width="2.85546875" style="18" customWidth="1"/>
    <col min="1785" max="1785" width="6.5703125" style="18" customWidth="1"/>
    <col min="1786" max="1786" width="137.28515625" style="18" customWidth="1"/>
    <col min="1787" max="1787" width="21.28515625" style="18" customWidth="1"/>
    <col min="1788" max="1788" width="25.28515625" style="18" customWidth="1"/>
    <col min="1789" max="1789" width="11.7109375" style="18" customWidth="1"/>
    <col min="1790" max="1793" width="11" style="18" customWidth="1"/>
    <col min="1794" max="1797" width="12.85546875" style="18" customWidth="1"/>
    <col min="1798" max="1798" width="17.85546875" style="18" customWidth="1"/>
    <col min="1799" max="1799" width="2.140625" style="18" customWidth="1"/>
    <col min="1800" max="2038" width="8.85546875" style="18"/>
    <col min="2039" max="2039" width="3.28515625" style="18" customWidth="1"/>
    <col min="2040" max="2040" width="2.85546875" style="18" customWidth="1"/>
    <col min="2041" max="2041" width="6.5703125" style="18" customWidth="1"/>
    <col min="2042" max="2042" width="137.28515625" style="18" customWidth="1"/>
    <col min="2043" max="2043" width="21.28515625" style="18" customWidth="1"/>
    <col min="2044" max="2044" width="25.28515625" style="18" customWidth="1"/>
    <col min="2045" max="2045" width="11.7109375" style="18" customWidth="1"/>
    <col min="2046" max="2049" width="11" style="18" customWidth="1"/>
    <col min="2050" max="2053" width="12.85546875" style="18" customWidth="1"/>
    <col min="2054" max="2054" width="17.85546875" style="18" customWidth="1"/>
    <col min="2055" max="2055" width="2.140625" style="18" customWidth="1"/>
    <col min="2056" max="2294" width="8.85546875" style="18"/>
    <col min="2295" max="2295" width="3.28515625" style="18" customWidth="1"/>
    <col min="2296" max="2296" width="2.85546875" style="18" customWidth="1"/>
    <col min="2297" max="2297" width="6.5703125" style="18" customWidth="1"/>
    <col min="2298" max="2298" width="137.28515625" style="18" customWidth="1"/>
    <col min="2299" max="2299" width="21.28515625" style="18" customWidth="1"/>
    <col min="2300" max="2300" width="25.28515625" style="18" customWidth="1"/>
    <col min="2301" max="2301" width="11.7109375" style="18" customWidth="1"/>
    <col min="2302" max="2305" width="11" style="18" customWidth="1"/>
    <col min="2306" max="2309" width="12.85546875" style="18" customWidth="1"/>
    <col min="2310" max="2310" width="17.85546875" style="18" customWidth="1"/>
    <col min="2311" max="2311" width="2.140625" style="18" customWidth="1"/>
    <col min="2312" max="2550" width="8.85546875" style="18"/>
    <col min="2551" max="2551" width="3.28515625" style="18" customWidth="1"/>
    <col min="2552" max="2552" width="2.85546875" style="18" customWidth="1"/>
    <col min="2553" max="2553" width="6.5703125" style="18" customWidth="1"/>
    <col min="2554" max="2554" width="137.28515625" style="18" customWidth="1"/>
    <col min="2555" max="2555" width="21.28515625" style="18" customWidth="1"/>
    <col min="2556" max="2556" width="25.28515625" style="18" customWidth="1"/>
    <col min="2557" max="2557" width="11.7109375" style="18" customWidth="1"/>
    <col min="2558" max="2561" width="11" style="18" customWidth="1"/>
    <col min="2562" max="2565" width="12.85546875" style="18" customWidth="1"/>
    <col min="2566" max="2566" width="17.85546875" style="18" customWidth="1"/>
    <col min="2567" max="2567" width="2.140625" style="18" customWidth="1"/>
    <col min="2568" max="2806" width="8.85546875" style="18"/>
    <col min="2807" max="2807" width="3.28515625" style="18" customWidth="1"/>
    <col min="2808" max="2808" width="2.85546875" style="18" customWidth="1"/>
    <col min="2809" max="2809" width="6.5703125" style="18" customWidth="1"/>
    <col min="2810" max="2810" width="137.28515625" style="18" customWidth="1"/>
    <col min="2811" max="2811" width="21.28515625" style="18" customWidth="1"/>
    <col min="2812" max="2812" width="25.28515625" style="18" customWidth="1"/>
    <col min="2813" max="2813" width="11.7109375" style="18" customWidth="1"/>
    <col min="2814" max="2817" width="11" style="18" customWidth="1"/>
    <col min="2818" max="2821" width="12.85546875" style="18" customWidth="1"/>
    <col min="2822" max="2822" width="17.85546875" style="18" customWidth="1"/>
    <col min="2823" max="2823" width="2.140625" style="18" customWidth="1"/>
    <col min="2824" max="3062" width="8.85546875" style="18"/>
    <col min="3063" max="3063" width="3.28515625" style="18" customWidth="1"/>
    <col min="3064" max="3064" width="2.85546875" style="18" customWidth="1"/>
    <col min="3065" max="3065" width="6.5703125" style="18" customWidth="1"/>
    <col min="3066" max="3066" width="137.28515625" style="18" customWidth="1"/>
    <col min="3067" max="3067" width="21.28515625" style="18" customWidth="1"/>
    <col min="3068" max="3068" width="25.28515625" style="18" customWidth="1"/>
    <col min="3069" max="3069" width="11.7109375" style="18" customWidth="1"/>
    <col min="3070" max="3073" width="11" style="18" customWidth="1"/>
    <col min="3074" max="3077" width="12.85546875" style="18" customWidth="1"/>
    <col min="3078" max="3078" width="17.85546875" style="18" customWidth="1"/>
    <col min="3079" max="3079" width="2.140625" style="18" customWidth="1"/>
    <col min="3080" max="3318" width="8.85546875" style="18"/>
    <col min="3319" max="3319" width="3.28515625" style="18" customWidth="1"/>
    <col min="3320" max="3320" width="2.85546875" style="18" customWidth="1"/>
    <col min="3321" max="3321" width="6.5703125" style="18" customWidth="1"/>
    <col min="3322" max="3322" width="137.28515625" style="18" customWidth="1"/>
    <col min="3323" max="3323" width="21.28515625" style="18" customWidth="1"/>
    <col min="3324" max="3324" width="25.28515625" style="18" customWidth="1"/>
    <col min="3325" max="3325" width="11.7109375" style="18" customWidth="1"/>
    <col min="3326" max="3329" width="11" style="18" customWidth="1"/>
    <col min="3330" max="3333" width="12.85546875" style="18" customWidth="1"/>
    <col min="3334" max="3334" width="17.85546875" style="18" customWidth="1"/>
    <col min="3335" max="3335" width="2.140625" style="18" customWidth="1"/>
    <col min="3336" max="3574" width="8.85546875" style="18"/>
    <col min="3575" max="3575" width="3.28515625" style="18" customWidth="1"/>
    <col min="3576" max="3576" width="2.85546875" style="18" customWidth="1"/>
    <col min="3577" max="3577" width="6.5703125" style="18" customWidth="1"/>
    <col min="3578" max="3578" width="137.28515625" style="18" customWidth="1"/>
    <col min="3579" max="3579" width="21.28515625" style="18" customWidth="1"/>
    <col min="3580" max="3580" width="25.28515625" style="18" customWidth="1"/>
    <col min="3581" max="3581" width="11.7109375" style="18" customWidth="1"/>
    <col min="3582" max="3585" width="11" style="18" customWidth="1"/>
    <col min="3586" max="3589" width="12.85546875" style="18" customWidth="1"/>
    <col min="3590" max="3590" width="17.85546875" style="18" customWidth="1"/>
    <col min="3591" max="3591" width="2.140625" style="18" customWidth="1"/>
    <col min="3592" max="3830" width="8.85546875" style="18"/>
    <col min="3831" max="3831" width="3.28515625" style="18" customWidth="1"/>
    <col min="3832" max="3832" width="2.85546875" style="18" customWidth="1"/>
    <col min="3833" max="3833" width="6.5703125" style="18" customWidth="1"/>
    <col min="3834" max="3834" width="137.28515625" style="18" customWidth="1"/>
    <col min="3835" max="3835" width="21.28515625" style="18" customWidth="1"/>
    <col min="3836" max="3836" width="25.28515625" style="18" customWidth="1"/>
    <col min="3837" max="3837" width="11.7109375" style="18" customWidth="1"/>
    <col min="3838" max="3841" width="11" style="18" customWidth="1"/>
    <col min="3842" max="3845" width="12.85546875" style="18" customWidth="1"/>
    <col min="3846" max="3846" width="17.85546875" style="18" customWidth="1"/>
    <col min="3847" max="3847" width="2.140625" style="18" customWidth="1"/>
    <col min="3848" max="4086" width="8.85546875" style="18"/>
    <col min="4087" max="4087" width="3.28515625" style="18" customWidth="1"/>
    <col min="4088" max="4088" width="2.85546875" style="18" customWidth="1"/>
    <col min="4089" max="4089" width="6.5703125" style="18" customWidth="1"/>
    <col min="4090" max="4090" width="137.28515625" style="18" customWidth="1"/>
    <col min="4091" max="4091" width="21.28515625" style="18" customWidth="1"/>
    <col min="4092" max="4092" width="25.28515625" style="18" customWidth="1"/>
    <col min="4093" max="4093" width="11.7109375" style="18" customWidth="1"/>
    <col min="4094" max="4097" width="11" style="18" customWidth="1"/>
    <col min="4098" max="4101" width="12.85546875" style="18" customWidth="1"/>
    <col min="4102" max="4102" width="17.85546875" style="18" customWidth="1"/>
    <col min="4103" max="4103" width="2.140625" style="18" customWidth="1"/>
    <col min="4104" max="4342" width="8.85546875" style="18"/>
    <col min="4343" max="4343" width="3.28515625" style="18" customWidth="1"/>
    <col min="4344" max="4344" width="2.85546875" style="18" customWidth="1"/>
    <col min="4345" max="4345" width="6.5703125" style="18" customWidth="1"/>
    <col min="4346" max="4346" width="137.28515625" style="18" customWidth="1"/>
    <col min="4347" max="4347" width="21.28515625" style="18" customWidth="1"/>
    <col min="4348" max="4348" width="25.28515625" style="18" customWidth="1"/>
    <col min="4349" max="4349" width="11.7109375" style="18" customWidth="1"/>
    <col min="4350" max="4353" width="11" style="18" customWidth="1"/>
    <col min="4354" max="4357" width="12.85546875" style="18" customWidth="1"/>
    <col min="4358" max="4358" width="17.85546875" style="18" customWidth="1"/>
    <col min="4359" max="4359" width="2.140625" style="18" customWidth="1"/>
    <col min="4360" max="4598" width="8.85546875" style="18"/>
    <col min="4599" max="4599" width="3.28515625" style="18" customWidth="1"/>
    <col min="4600" max="4600" width="2.85546875" style="18" customWidth="1"/>
    <col min="4601" max="4601" width="6.5703125" style="18" customWidth="1"/>
    <col min="4602" max="4602" width="137.28515625" style="18" customWidth="1"/>
    <col min="4603" max="4603" width="21.28515625" style="18" customWidth="1"/>
    <col min="4604" max="4604" width="25.28515625" style="18" customWidth="1"/>
    <col min="4605" max="4605" width="11.7109375" style="18" customWidth="1"/>
    <col min="4606" max="4609" width="11" style="18" customWidth="1"/>
    <col min="4610" max="4613" width="12.85546875" style="18" customWidth="1"/>
    <col min="4614" max="4614" width="17.85546875" style="18" customWidth="1"/>
    <col min="4615" max="4615" width="2.140625" style="18" customWidth="1"/>
    <col min="4616" max="4854" width="8.85546875" style="18"/>
    <col min="4855" max="4855" width="3.28515625" style="18" customWidth="1"/>
    <col min="4856" max="4856" width="2.85546875" style="18" customWidth="1"/>
    <col min="4857" max="4857" width="6.5703125" style="18" customWidth="1"/>
    <col min="4858" max="4858" width="137.28515625" style="18" customWidth="1"/>
    <col min="4859" max="4859" width="21.28515625" style="18" customWidth="1"/>
    <col min="4860" max="4860" width="25.28515625" style="18" customWidth="1"/>
    <col min="4861" max="4861" width="11.7109375" style="18" customWidth="1"/>
    <col min="4862" max="4865" width="11" style="18" customWidth="1"/>
    <col min="4866" max="4869" width="12.85546875" style="18" customWidth="1"/>
    <col min="4870" max="4870" width="17.85546875" style="18" customWidth="1"/>
    <col min="4871" max="4871" width="2.140625" style="18" customWidth="1"/>
    <col min="4872" max="5110" width="8.85546875" style="18"/>
    <col min="5111" max="5111" width="3.28515625" style="18" customWidth="1"/>
    <col min="5112" max="5112" width="2.85546875" style="18" customWidth="1"/>
    <col min="5113" max="5113" width="6.5703125" style="18" customWidth="1"/>
    <col min="5114" max="5114" width="137.28515625" style="18" customWidth="1"/>
    <col min="5115" max="5115" width="21.28515625" style="18" customWidth="1"/>
    <col min="5116" max="5116" width="25.28515625" style="18" customWidth="1"/>
    <col min="5117" max="5117" width="11.7109375" style="18" customWidth="1"/>
    <col min="5118" max="5121" width="11" style="18" customWidth="1"/>
    <col min="5122" max="5125" width="12.85546875" style="18" customWidth="1"/>
    <col min="5126" max="5126" width="17.85546875" style="18" customWidth="1"/>
    <col min="5127" max="5127" width="2.140625" style="18" customWidth="1"/>
    <col min="5128" max="5366" width="8.85546875" style="18"/>
    <col min="5367" max="5367" width="3.28515625" style="18" customWidth="1"/>
    <col min="5368" max="5368" width="2.85546875" style="18" customWidth="1"/>
    <col min="5369" max="5369" width="6.5703125" style="18" customWidth="1"/>
    <col min="5370" max="5370" width="137.28515625" style="18" customWidth="1"/>
    <col min="5371" max="5371" width="21.28515625" style="18" customWidth="1"/>
    <col min="5372" max="5372" width="25.28515625" style="18" customWidth="1"/>
    <col min="5373" max="5373" width="11.7109375" style="18" customWidth="1"/>
    <col min="5374" max="5377" width="11" style="18" customWidth="1"/>
    <col min="5378" max="5381" width="12.85546875" style="18" customWidth="1"/>
    <col min="5382" max="5382" width="17.85546875" style="18" customWidth="1"/>
    <col min="5383" max="5383" width="2.140625" style="18" customWidth="1"/>
    <col min="5384" max="5622" width="8.85546875" style="18"/>
    <col min="5623" max="5623" width="3.28515625" style="18" customWidth="1"/>
    <col min="5624" max="5624" width="2.85546875" style="18" customWidth="1"/>
    <col min="5625" max="5625" width="6.5703125" style="18" customWidth="1"/>
    <col min="5626" max="5626" width="137.28515625" style="18" customWidth="1"/>
    <col min="5627" max="5627" width="21.28515625" style="18" customWidth="1"/>
    <col min="5628" max="5628" width="25.28515625" style="18" customWidth="1"/>
    <col min="5629" max="5629" width="11.7109375" style="18" customWidth="1"/>
    <col min="5630" max="5633" width="11" style="18" customWidth="1"/>
    <col min="5634" max="5637" width="12.85546875" style="18" customWidth="1"/>
    <col min="5638" max="5638" width="17.85546875" style="18" customWidth="1"/>
    <col min="5639" max="5639" width="2.140625" style="18" customWidth="1"/>
    <col min="5640" max="5878" width="8.85546875" style="18"/>
    <col min="5879" max="5879" width="3.28515625" style="18" customWidth="1"/>
    <col min="5880" max="5880" width="2.85546875" style="18" customWidth="1"/>
    <col min="5881" max="5881" width="6.5703125" style="18" customWidth="1"/>
    <col min="5882" max="5882" width="137.28515625" style="18" customWidth="1"/>
    <col min="5883" max="5883" width="21.28515625" style="18" customWidth="1"/>
    <col min="5884" max="5884" width="25.28515625" style="18" customWidth="1"/>
    <col min="5885" max="5885" width="11.7109375" style="18" customWidth="1"/>
    <col min="5886" max="5889" width="11" style="18" customWidth="1"/>
    <col min="5890" max="5893" width="12.85546875" style="18" customWidth="1"/>
    <col min="5894" max="5894" width="17.85546875" style="18" customWidth="1"/>
    <col min="5895" max="5895" width="2.140625" style="18" customWidth="1"/>
    <col min="5896" max="6134" width="8.85546875" style="18"/>
    <col min="6135" max="6135" width="3.28515625" style="18" customWidth="1"/>
    <col min="6136" max="6136" width="2.85546875" style="18" customWidth="1"/>
    <col min="6137" max="6137" width="6.5703125" style="18" customWidth="1"/>
    <col min="6138" max="6138" width="137.28515625" style="18" customWidth="1"/>
    <col min="6139" max="6139" width="21.28515625" style="18" customWidth="1"/>
    <col min="6140" max="6140" width="25.28515625" style="18" customWidth="1"/>
    <col min="6141" max="6141" width="11.7109375" style="18" customWidth="1"/>
    <col min="6142" max="6145" width="11" style="18" customWidth="1"/>
    <col min="6146" max="6149" width="12.85546875" style="18" customWidth="1"/>
    <col min="6150" max="6150" width="17.85546875" style="18" customWidth="1"/>
    <col min="6151" max="6151" width="2.140625" style="18" customWidth="1"/>
    <col min="6152" max="6390" width="8.85546875" style="18"/>
    <col min="6391" max="6391" width="3.28515625" style="18" customWidth="1"/>
    <col min="6392" max="6392" width="2.85546875" style="18" customWidth="1"/>
    <col min="6393" max="6393" width="6.5703125" style="18" customWidth="1"/>
    <col min="6394" max="6394" width="137.28515625" style="18" customWidth="1"/>
    <col min="6395" max="6395" width="21.28515625" style="18" customWidth="1"/>
    <col min="6396" max="6396" width="25.28515625" style="18" customWidth="1"/>
    <col min="6397" max="6397" width="11.7109375" style="18" customWidth="1"/>
    <col min="6398" max="6401" width="11" style="18" customWidth="1"/>
    <col min="6402" max="6405" width="12.85546875" style="18" customWidth="1"/>
    <col min="6406" max="6406" width="17.85546875" style="18" customWidth="1"/>
    <col min="6407" max="6407" width="2.140625" style="18" customWidth="1"/>
    <col min="6408" max="6646" width="8.85546875" style="18"/>
    <col min="6647" max="6647" width="3.28515625" style="18" customWidth="1"/>
    <col min="6648" max="6648" width="2.85546875" style="18" customWidth="1"/>
    <col min="6649" max="6649" width="6.5703125" style="18" customWidth="1"/>
    <col min="6650" max="6650" width="137.28515625" style="18" customWidth="1"/>
    <col min="6651" max="6651" width="21.28515625" style="18" customWidth="1"/>
    <col min="6652" max="6652" width="25.28515625" style="18" customWidth="1"/>
    <col min="6653" max="6653" width="11.7109375" style="18" customWidth="1"/>
    <col min="6654" max="6657" width="11" style="18" customWidth="1"/>
    <col min="6658" max="6661" width="12.85546875" style="18" customWidth="1"/>
    <col min="6662" max="6662" width="17.85546875" style="18" customWidth="1"/>
    <col min="6663" max="6663" width="2.140625" style="18" customWidth="1"/>
    <col min="6664" max="6902" width="8.85546875" style="18"/>
    <col min="6903" max="6903" width="3.28515625" style="18" customWidth="1"/>
    <col min="6904" max="6904" width="2.85546875" style="18" customWidth="1"/>
    <col min="6905" max="6905" width="6.5703125" style="18" customWidth="1"/>
    <col min="6906" max="6906" width="137.28515625" style="18" customWidth="1"/>
    <col min="6907" max="6907" width="21.28515625" style="18" customWidth="1"/>
    <col min="6908" max="6908" width="25.28515625" style="18" customWidth="1"/>
    <col min="6909" max="6909" width="11.7109375" style="18" customWidth="1"/>
    <col min="6910" max="6913" width="11" style="18" customWidth="1"/>
    <col min="6914" max="6917" width="12.85546875" style="18" customWidth="1"/>
    <col min="6918" max="6918" width="17.85546875" style="18" customWidth="1"/>
    <col min="6919" max="6919" width="2.140625" style="18" customWidth="1"/>
    <col min="6920" max="7158" width="8.85546875" style="18"/>
    <col min="7159" max="7159" width="3.28515625" style="18" customWidth="1"/>
    <col min="7160" max="7160" width="2.85546875" style="18" customWidth="1"/>
    <col min="7161" max="7161" width="6.5703125" style="18" customWidth="1"/>
    <col min="7162" max="7162" width="137.28515625" style="18" customWidth="1"/>
    <col min="7163" max="7163" width="21.28515625" style="18" customWidth="1"/>
    <col min="7164" max="7164" width="25.28515625" style="18" customWidth="1"/>
    <col min="7165" max="7165" width="11.7109375" style="18" customWidth="1"/>
    <col min="7166" max="7169" width="11" style="18" customWidth="1"/>
    <col min="7170" max="7173" width="12.85546875" style="18" customWidth="1"/>
    <col min="7174" max="7174" width="17.85546875" style="18" customWidth="1"/>
    <col min="7175" max="7175" width="2.140625" style="18" customWidth="1"/>
    <col min="7176" max="7414" width="8.85546875" style="18"/>
    <col min="7415" max="7415" width="3.28515625" style="18" customWidth="1"/>
    <col min="7416" max="7416" width="2.85546875" style="18" customWidth="1"/>
    <col min="7417" max="7417" width="6.5703125" style="18" customWidth="1"/>
    <col min="7418" max="7418" width="137.28515625" style="18" customWidth="1"/>
    <col min="7419" max="7419" width="21.28515625" style="18" customWidth="1"/>
    <col min="7420" max="7420" width="25.28515625" style="18" customWidth="1"/>
    <col min="7421" max="7421" width="11.7109375" style="18" customWidth="1"/>
    <col min="7422" max="7425" width="11" style="18" customWidth="1"/>
    <col min="7426" max="7429" width="12.85546875" style="18" customWidth="1"/>
    <col min="7430" max="7430" width="17.85546875" style="18" customWidth="1"/>
    <col min="7431" max="7431" width="2.140625" style="18" customWidth="1"/>
    <col min="7432" max="7670" width="8.85546875" style="18"/>
    <col min="7671" max="7671" width="3.28515625" style="18" customWidth="1"/>
    <col min="7672" max="7672" width="2.85546875" style="18" customWidth="1"/>
    <col min="7673" max="7673" width="6.5703125" style="18" customWidth="1"/>
    <col min="7674" max="7674" width="137.28515625" style="18" customWidth="1"/>
    <col min="7675" max="7675" width="21.28515625" style="18" customWidth="1"/>
    <col min="7676" max="7676" width="25.28515625" style="18" customWidth="1"/>
    <col min="7677" max="7677" width="11.7109375" style="18" customWidth="1"/>
    <col min="7678" max="7681" width="11" style="18" customWidth="1"/>
    <col min="7682" max="7685" width="12.85546875" style="18" customWidth="1"/>
    <col min="7686" max="7686" width="17.85546875" style="18" customWidth="1"/>
    <col min="7687" max="7687" width="2.140625" style="18" customWidth="1"/>
    <col min="7688" max="7926" width="8.85546875" style="18"/>
    <col min="7927" max="7927" width="3.28515625" style="18" customWidth="1"/>
    <col min="7928" max="7928" width="2.85546875" style="18" customWidth="1"/>
    <col min="7929" max="7929" width="6.5703125" style="18" customWidth="1"/>
    <col min="7930" max="7930" width="137.28515625" style="18" customWidth="1"/>
    <col min="7931" max="7931" width="21.28515625" style="18" customWidth="1"/>
    <col min="7932" max="7932" width="25.28515625" style="18" customWidth="1"/>
    <col min="7933" max="7933" width="11.7109375" style="18" customWidth="1"/>
    <col min="7934" max="7937" width="11" style="18" customWidth="1"/>
    <col min="7938" max="7941" width="12.85546875" style="18" customWidth="1"/>
    <col min="7942" max="7942" width="17.85546875" style="18" customWidth="1"/>
    <col min="7943" max="7943" width="2.140625" style="18" customWidth="1"/>
    <col min="7944" max="8182" width="8.85546875" style="18"/>
    <col min="8183" max="8183" width="3.28515625" style="18" customWidth="1"/>
    <col min="8184" max="8184" width="2.85546875" style="18" customWidth="1"/>
    <col min="8185" max="8185" width="6.5703125" style="18" customWidth="1"/>
    <col min="8186" max="8186" width="137.28515625" style="18" customWidth="1"/>
    <col min="8187" max="8187" width="21.28515625" style="18" customWidth="1"/>
    <col min="8188" max="8188" width="25.28515625" style="18" customWidth="1"/>
    <col min="8189" max="8189" width="11.7109375" style="18" customWidth="1"/>
    <col min="8190" max="8193" width="11" style="18" customWidth="1"/>
    <col min="8194" max="8197" width="12.85546875" style="18" customWidth="1"/>
    <col min="8198" max="8198" width="17.85546875" style="18" customWidth="1"/>
    <col min="8199" max="8199" width="2.140625" style="18" customWidth="1"/>
    <col min="8200" max="8438" width="8.85546875" style="18"/>
    <col min="8439" max="8439" width="3.28515625" style="18" customWidth="1"/>
    <col min="8440" max="8440" width="2.85546875" style="18" customWidth="1"/>
    <col min="8441" max="8441" width="6.5703125" style="18" customWidth="1"/>
    <col min="8442" max="8442" width="137.28515625" style="18" customWidth="1"/>
    <col min="8443" max="8443" width="21.28515625" style="18" customWidth="1"/>
    <col min="8444" max="8444" width="25.28515625" style="18" customWidth="1"/>
    <col min="8445" max="8445" width="11.7109375" style="18" customWidth="1"/>
    <col min="8446" max="8449" width="11" style="18" customWidth="1"/>
    <col min="8450" max="8453" width="12.85546875" style="18" customWidth="1"/>
    <col min="8454" max="8454" width="17.85546875" style="18" customWidth="1"/>
    <col min="8455" max="8455" width="2.140625" style="18" customWidth="1"/>
    <col min="8456" max="8694" width="8.85546875" style="18"/>
    <col min="8695" max="8695" width="3.28515625" style="18" customWidth="1"/>
    <col min="8696" max="8696" width="2.85546875" style="18" customWidth="1"/>
    <col min="8697" max="8697" width="6.5703125" style="18" customWidth="1"/>
    <col min="8698" max="8698" width="137.28515625" style="18" customWidth="1"/>
    <col min="8699" max="8699" width="21.28515625" style="18" customWidth="1"/>
    <col min="8700" max="8700" width="25.28515625" style="18" customWidth="1"/>
    <col min="8701" max="8701" width="11.7109375" style="18" customWidth="1"/>
    <col min="8702" max="8705" width="11" style="18" customWidth="1"/>
    <col min="8706" max="8709" width="12.85546875" style="18" customWidth="1"/>
    <col min="8710" max="8710" width="17.85546875" style="18" customWidth="1"/>
    <col min="8711" max="8711" width="2.140625" style="18" customWidth="1"/>
    <col min="8712" max="8950" width="8.85546875" style="18"/>
    <col min="8951" max="8951" width="3.28515625" style="18" customWidth="1"/>
    <col min="8952" max="8952" width="2.85546875" style="18" customWidth="1"/>
    <col min="8953" max="8953" width="6.5703125" style="18" customWidth="1"/>
    <col min="8954" max="8954" width="137.28515625" style="18" customWidth="1"/>
    <col min="8955" max="8955" width="21.28515625" style="18" customWidth="1"/>
    <col min="8956" max="8956" width="25.28515625" style="18" customWidth="1"/>
    <col min="8957" max="8957" width="11.7109375" style="18" customWidth="1"/>
    <col min="8958" max="8961" width="11" style="18" customWidth="1"/>
    <col min="8962" max="8965" width="12.85546875" style="18" customWidth="1"/>
    <col min="8966" max="8966" width="17.85546875" style="18" customWidth="1"/>
    <col min="8967" max="8967" width="2.140625" style="18" customWidth="1"/>
    <col min="8968" max="9206" width="8.85546875" style="18"/>
    <col min="9207" max="9207" width="3.28515625" style="18" customWidth="1"/>
    <col min="9208" max="9208" width="2.85546875" style="18" customWidth="1"/>
    <col min="9209" max="9209" width="6.5703125" style="18" customWidth="1"/>
    <col min="9210" max="9210" width="137.28515625" style="18" customWidth="1"/>
    <col min="9211" max="9211" width="21.28515625" style="18" customWidth="1"/>
    <col min="9212" max="9212" width="25.28515625" style="18" customWidth="1"/>
    <col min="9213" max="9213" width="11.7109375" style="18" customWidth="1"/>
    <col min="9214" max="9217" width="11" style="18" customWidth="1"/>
    <col min="9218" max="9221" width="12.85546875" style="18" customWidth="1"/>
    <col min="9222" max="9222" width="17.85546875" style="18" customWidth="1"/>
    <col min="9223" max="9223" width="2.140625" style="18" customWidth="1"/>
    <col min="9224" max="9462" width="8.85546875" style="18"/>
    <col min="9463" max="9463" width="3.28515625" style="18" customWidth="1"/>
    <col min="9464" max="9464" width="2.85546875" style="18" customWidth="1"/>
    <col min="9465" max="9465" width="6.5703125" style="18" customWidth="1"/>
    <col min="9466" max="9466" width="137.28515625" style="18" customWidth="1"/>
    <col min="9467" max="9467" width="21.28515625" style="18" customWidth="1"/>
    <col min="9468" max="9468" width="25.28515625" style="18" customWidth="1"/>
    <col min="9469" max="9469" width="11.7109375" style="18" customWidth="1"/>
    <col min="9470" max="9473" width="11" style="18" customWidth="1"/>
    <col min="9474" max="9477" width="12.85546875" style="18" customWidth="1"/>
    <col min="9478" max="9478" width="17.85546875" style="18" customWidth="1"/>
    <col min="9479" max="9479" width="2.140625" style="18" customWidth="1"/>
    <col min="9480" max="9718" width="8.85546875" style="18"/>
    <col min="9719" max="9719" width="3.28515625" style="18" customWidth="1"/>
    <col min="9720" max="9720" width="2.85546875" style="18" customWidth="1"/>
    <col min="9721" max="9721" width="6.5703125" style="18" customWidth="1"/>
    <col min="9722" max="9722" width="137.28515625" style="18" customWidth="1"/>
    <col min="9723" max="9723" width="21.28515625" style="18" customWidth="1"/>
    <col min="9724" max="9724" width="25.28515625" style="18" customWidth="1"/>
    <col min="9725" max="9725" width="11.7109375" style="18" customWidth="1"/>
    <col min="9726" max="9729" width="11" style="18" customWidth="1"/>
    <col min="9730" max="9733" width="12.85546875" style="18" customWidth="1"/>
    <col min="9734" max="9734" width="17.85546875" style="18" customWidth="1"/>
    <col min="9735" max="9735" width="2.140625" style="18" customWidth="1"/>
    <col min="9736" max="9974" width="8.85546875" style="18"/>
    <col min="9975" max="9975" width="3.28515625" style="18" customWidth="1"/>
    <col min="9976" max="9976" width="2.85546875" style="18" customWidth="1"/>
    <col min="9977" max="9977" width="6.5703125" style="18" customWidth="1"/>
    <col min="9978" max="9978" width="137.28515625" style="18" customWidth="1"/>
    <col min="9979" max="9979" width="21.28515625" style="18" customWidth="1"/>
    <col min="9980" max="9980" width="25.28515625" style="18" customWidth="1"/>
    <col min="9981" max="9981" width="11.7109375" style="18" customWidth="1"/>
    <col min="9982" max="9985" width="11" style="18" customWidth="1"/>
    <col min="9986" max="9989" width="12.85546875" style="18" customWidth="1"/>
    <col min="9990" max="9990" width="17.85546875" style="18" customWidth="1"/>
    <col min="9991" max="9991" width="2.140625" style="18" customWidth="1"/>
    <col min="9992" max="10230" width="8.85546875" style="18"/>
    <col min="10231" max="10231" width="3.28515625" style="18" customWidth="1"/>
    <col min="10232" max="10232" width="2.85546875" style="18" customWidth="1"/>
    <col min="10233" max="10233" width="6.5703125" style="18" customWidth="1"/>
    <col min="10234" max="10234" width="137.28515625" style="18" customWidth="1"/>
    <col min="10235" max="10235" width="21.28515625" style="18" customWidth="1"/>
    <col min="10236" max="10236" width="25.28515625" style="18" customWidth="1"/>
    <col min="10237" max="10237" width="11.7109375" style="18" customWidth="1"/>
    <col min="10238" max="10241" width="11" style="18" customWidth="1"/>
    <col min="10242" max="10245" width="12.85546875" style="18" customWidth="1"/>
    <col min="10246" max="10246" width="17.85546875" style="18" customWidth="1"/>
    <col min="10247" max="10247" width="2.140625" style="18" customWidth="1"/>
    <col min="10248" max="10486" width="8.85546875" style="18"/>
    <col min="10487" max="10487" width="3.28515625" style="18" customWidth="1"/>
    <col min="10488" max="10488" width="2.85546875" style="18" customWidth="1"/>
    <col min="10489" max="10489" width="6.5703125" style="18" customWidth="1"/>
    <col min="10490" max="10490" width="137.28515625" style="18" customWidth="1"/>
    <col min="10491" max="10491" width="21.28515625" style="18" customWidth="1"/>
    <col min="10492" max="10492" width="25.28515625" style="18" customWidth="1"/>
    <col min="10493" max="10493" width="11.7109375" style="18" customWidth="1"/>
    <col min="10494" max="10497" width="11" style="18" customWidth="1"/>
    <col min="10498" max="10501" width="12.85546875" style="18" customWidth="1"/>
    <col min="10502" max="10502" width="17.85546875" style="18" customWidth="1"/>
    <col min="10503" max="10503" width="2.140625" style="18" customWidth="1"/>
    <col min="10504" max="10742" width="8.85546875" style="18"/>
    <col min="10743" max="10743" width="3.28515625" style="18" customWidth="1"/>
    <col min="10744" max="10744" width="2.85546875" style="18" customWidth="1"/>
    <col min="10745" max="10745" width="6.5703125" style="18" customWidth="1"/>
    <col min="10746" max="10746" width="137.28515625" style="18" customWidth="1"/>
    <col min="10747" max="10747" width="21.28515625" style="18" customWidth="1"/>
    <col min="10748" max="10748" width="25.28515625" style="18" customWidth="1"/>
    <col min="10749" max="10749" width="11.7109375" style="18" customWidth="1"/>
    <col min="10750" max="10753" width="11" style="18" customWidth="1"/>
    <col min="10754" max="10757" width="12.85546875" style="18" customWidth="1"/>
    <col min="10758" max="10758" width="17.85546875" style="18" customWidth="1"/>
    <col min="10759" max="10759" width="2.140625" style="18" customWidth="1"/>
    <col min="10760" max="10998" width="8.85546875" style="18"/>
    <col min="10999" max="10999" width="3.28515625" style="18" customWidth="1"/>
    <col min="11000" max="11000" width="2.85546875" style="18" customWidth="1"/>
    <col min="11001" max="11001" width="6.5703125" style="18" customWidth="1"/>
    <col min="11002" max="11002" width="137.28515625" style="18" customWidth="1"/>
    <col min="11003" max="11003" width="21.28515625" style="18" customWidth="1"/>
    <col min="11004" max="11004" width="25.28515625" style="18" customWidth="1"/>
    <col min="11005" max="11005" width="11.7109375" style="18" customWidth="1"/>
    <col min="11006" max="11009" width="11" style="18" customWidth="1"/>
    <col min="11010" max="11013" width="12.85546875" style="18" customWidth="1"/>
    <col min="11014" max="11014" width="17.85546875" style="18" customWidth="1"/>
    <col min="11015" max="11015" width="2.140625" style="18" customWidth="1"/>
    <col min="11016" max="11254" width="8.85546875" style="18"/>
    <col min="11255" max="11255" width="3.28515625" style="18" customWidth="1"/>
    <col min="11256" max="11256" width="2.85546875" style="18" customWidth="1"/>
    <col min="11257" max="11257" width="6.5703125" style="18" customWidth="1"/>
    <col min="11258" max="11258" width="137.28515625" style="18" customWidth="1"/>
    <col min="11259" max="11259" width="21.28515625" style="18" customWidth="1"/>
    <col min="11260" max="11260" width="25.28515625" style="18" customWidth="1"/>
    <col min="11261" max="11261" width="11.7109375" style="18" customWidth="1"/>
    <col min="11262" max="11265" width="11" style="18" customWidth="1"/>
    <col min="11266" max="11269" width="12.85546875" style="18" customWidth="1"/>
    <col min="11270" max="11270" width="17.85546875" style="18" customWidth="1"/>
    <col min="11271" max="11271" width="2.140625" style="18" customWidth="1"/>
    <col min="11272" max="11510" width="8.85546875" style="18"/>
    <col min="11511" max="11511" width="3.28515625" style="18" customWidth="1"/>
    <col min="11512" max="11512" width="2.85546875" style="18" customWidth="1"/>
    <col min="11513" max="11513" width="6.5703125" style="18" customWidth="1"/>
    <col min="11514" max="11514" width="137.28515625" style="18" customWidth="1"/>
    <col min="11515" max="11515" width="21.28515625" style="18" customWidth="1"/>
    <col min="11516" max="11516" width="25.28515625" style="18" customWidth="1"/>
    <col min="11517" max="11517" width="11.7109375" style="18" customWidth="1"/>
    <col min="11518" max="11521" width="11" style="18" customWidth="1"/>
    <col min="11522" max="11525" width="12.85546875" style="18" customWidth="1"/>
    <col min="11526" max="11526" width="17.85546875" style="18" customWidth="1"/>
    <col min="11527" max="11527" width="2.140625" style="18" customWidth="1"/>
    <col min="11528" max="11766" width="8.85546875" style="18"/>
    <col min="11767" max="11767" width="3.28515625" style="18" customWidth="1"/>
    <col min="11768" max="11768" width="2.85546875" style="18" customWidth="1"/>
    <col min="11769" max="11769" width="6.5703125" style="18" customWidth="1"/>
    <col min="11770" max="11770" width="137.28515625" style="18" customWidth="1"/>
    <col min="11771" max="11771" width="21.28515625" style="18" customWidth="1"/>
    <col min="11772" max="11772" width="25.28515625" style="18" customWidth="1"/>
    <col min="11773" max="11773" width="11.7109375" style="18" customWidth="1"/>
    <col min="11774" max="11777" width="11" style="18" customWidth="1"/>
    <col min="11778" max="11781" width="12.85546875" style="18" customWidth="1"/>
    <col min="11782" max="11782" width="17.85546875" style="18" customWidth="1"/>
    <col min="11783" max="11783" width="2.140625" style="18" customWidth="1"/>
    <col min="11784" max="12022" width="8.85546875" style="18"/>
    <col min="12023" max="12023" width="3.28515625" style="18" customWidth="1"/>
    <col min="12024" max="12024" width="2.85546875" style="18" customWidth="1"/>
    <col min="12025" max="12025" width="6.5703125" style="18" customWidth="1"/>
    <col min="12026" max="12026" width="137.28515625" style="18" customWidth="1"/>
    <col min="12027" max="12027" width="21.28515625" style="18" customWidth="1"/>
    <col min="12028" max="12028" width="25.28515625" style="18" customWidth="1"/>
    <col min="12029" max="12029" width="11.7109375" style="18" customWidth="1"/>
    <col min="12030" max="12033" width="11" style="18" customWidth="1"/>
    <col min="12034" max="12037" width="12.85546875" style="18" customWidth="1"/>
    <col min="12038" max="12038" width="17.85546875" style="18" customWidth="1"/>
    <col min="12039" max="12039" width="2.140625" style="18" customWidth="1"/>
    <col min="12040" max="12278" width="8.85546875" style="18"/>
    <col min="12279" max="12279" width="3.28515625" style="18" customWidth="1"/>
    <col min="12280" max="12280" width="2.85546875" style="18" customWidth="1"/>
    <col min="12281" max="12281" width="6.5703125" style="18" customWidth="1"/>
    <col min="12282" max="12282" width="137.28515625" style="18" customWidth="1"/>
    <col min="12283" max="12283" width="21.28515625" style="18" customWidth="1"/>
    <col min="12284" max="12284" width="25.28515625" style="18" customWidth="1"/>
    <col min="12285" max="12285" width="11.7109375" style="18" customWidth="1"/>
    <col min="12286" max="12289" width="11" style="18" customWidth="1"/>
    <col min="12290" max="12293" width="12.85546875" style="18" customWidth="1"/>
    <col min="12294" max="12294" width="17.85546875" style="18" customWidth="1"/>
    <col min="12295" max="12295" width="2.140625" style="18" customWidth="1"/>
    <col min="12296" max="12534" width="8.85546875" style="18"/>
    <col min="12535" max="12535" width="3.28515625" style="18" customWidth="1"/>
    <col min="12536" max="12536" width="2.85546875" style="18" customWidth="1"/>
    <col min="12537" max="12537" width="6.5703125" style="18" customWidth="1"/>
    <col min="12538" max="12538" width="137.28515625" style="18" customWidth="1"/>
    <col min="12539" max="12539" width="21.28515625" style="18" customWidth="1"/>
    <col min="12540" max="12540" width="25.28515625" style="18" customWidth="1"/>
    <col min="12541" max="12541" width="11.7109375" style="18" customWidth="1"/>
    <col min="12542" max="12545" width="11" style="18" customWidth="1"/>
    <col min="12546" max="12549" width="12.85546875" style="18" customWidth="1"/>
    <col min="12550" max="12550" width="17.85546875" style="18" customWidth="1"/>
    <col min="12551" max="12551" width="2.140625" style="18" customWidth="1"/>
    <col min="12552" max="12790" width="8.85546875" style="18"/>
    <col min="12791" max="12791" width="3.28515625" style="18" customWidth="1"/>
    <col min="12792" max="12792" width="2.85546875" style="18" customWidth="1"/>
    <col min="12793" max="12793" width="6.5703125" style="18" customWidth="1"/>
    <col min="12794" max="12794" width="137.28515625" style="18" customWidth="1"/>
    <col min="12795" max="12795" width="21.28515625" style="18" customWidth="1"/>
    <col min="12796" max="12796" width="25.28515625" style="18" customWidth="1"/>
    <col min="12797" max="12797" width="11.7109375" style="18" customWidth="1"/>
    <col min="12798" max="12801" width="11" style="18" customWidth="1"/>
    <col min="12802" max="12805" width="12.85546875" style="18" customWidth="1"/>
    <col min="12806" max="12806" width="17.85546875" style="18" customWidth="1"/>
    <col min="12807" max="12807" width="2.140625" style="18" customWidth="1"/>
    <col min="12808" max="13046" width="8.85546875" style="18"/>
    <col min="13047" max="13047" width="3.28515625" style="18" customWidth="1"/>
    <col min="13048" max="13048" width="2.85546875" style="18" customWidth="1"/>
    <col min="13049" max="13049" width="6.5703125" style="18" customWidth="1"/>
    <col min="13050" max="13050" width="137.28515625" style="18" customWidth="1"/>
    <col min="13051" max="13051" width="21.28515625" style="18" customWidth="1"/>
    <col min="13052" max="13052" width="25.28515625" style="18" customWidth="1"/>
    <col min="13053" max="13053" width="11.7109375" style="18" customWidth="1"/>
    <col min="13054" max="13057" width="11" style="18" customWidth="1"/>
    <col min="13058" max="13061" width="12.85546875" style="18" customWidth="1"/>
    <col min="13062" max="13062" width="17.85546875" style="18" customWidth="1"/>
    <col min="13063" max="13063" width="2.140625" style="18" customWidth="1"/>
    <col min="13064" max="13302" width="8.85546875" style="18"/>
    <col min="13303" max="13303" width="3.28515625" style="18" customWidth="1"/>
    <col min="13304" max="13304" width="2.85546875" style="18" customWidth="1"/>
    <col min="13305" max="13305" width="6.5703125" style="18" customWidth="1"/>
    <col min="13306" max="13306" width="137.28515625" style="18" customWidth="1"/>
    <col min="13307" max="13307" width="21.28515625" style="18" customWidth="1"/>
    <col min="13308" max="13308" width="25.28515625" style="18" customWidth="1"/>
    <col min="13309" max="13309" width="11.7109375" style="18" customWidth="1"/>
    <col min="13310" max="13313" width="11" style="18" customWidth="1"/>
    <col min="13314" max="13317" width="12.85546875" style="18" customWidth="1"/>
    <col min="13318" max="13318" width="17.85546875" style="18" customWidth="1"/>
    <col min="13319" max="13319" width="2.140625" style="18" customWidth="1"/>
    <col min="13320" max="13558" width="8.85546875" style="18"/>
    <col min="13559" max="13559" width="3.28515625" style="18" customWidth="1"/>
    <col min="13560" max="13560" width="2.85546875" style="18" customWidth="1"/>
    <col min="13561" max="13561" width="6.5703125" style="18" customWidth="1"/>
    <col min="13562" max="13562" width="137.28515625" style="18" customWidth="1"/>
    <col min="13563" max="13563" width="21.28515625" style="18" customWidth="1"/>
    <col min="13564" max="13564" width="25.28515625" style="18" customWidth="1"/>
    <col min="13565" max="13565" width="11.7109375" style="18" customWidth="1"/>
    <col min="13566" max="13569" width="11" style="18" customWidth="1"/>
    <col min="13570" max="13573" width="12.85546875" style="18" customWidth="1"/>
    <col min="13574" max="13574" width="17.85546875" style="18" customWidth="1"/>
    <col min="13575" max="13575" width="2.140625" style="18" customWidth="1"/>
    <col min="13576" max="13814" width="8.85546875" style="18"/>
    <col min="13815" max="13815" width="3.28515625" style="18" customWidth="1"/>
    <col min="13816" max="13816" width="2.85546875" style="18" customWidth="1"/>
    <col min="13817" max="13817" width="6.5703125" style="18" customWidth="1"/>
    <col min="13818" max="13818" width="137.28515625" style="18" customWidth="1"/>
    <col min="13819" max="13819" width="21.28515625" style="18" customWidth="1"/>
    <col min="13820" max="13820" width="25.28515625" style="18" customWidth="1"/>
    <col min="13821" max="13821" width="11.7109375" style="18" customWidth="1"/>
    <col min="13822" max="13825" width="11" style="18" customWidth="1"/>
    <col min="13826" max="13829" width="12.85546875" style="18" customWidth="1"/>
    <col min="13830" max="13830" width="17.85546875" style="18" customWidth="1"/>
    <col min="13831" max="13831" width="2.140625" style="18" customWidth="1"/>
    <col min="13832" max="14070" width="8.85546875" style="18"/>
    <col min="14071" max="14071" width="3.28515625" style="18" customWidth="1"/>
    <col min="14072" max="14072" width="2.85546875" style="18" customWidth="1"/>
    <col min="14073" max="14073" width="6.5703125" style="18" customWidth="1"/>
    <col min="14074" max="14074" width="137.28515625" style="18" customWidth="1"/>
    <col min="14075" max="14075" width="21.28515625" style="18" customWidth="1"/>
    <col min="14076" max="14076" width="25.28515625" style="18" customWidth="1"/>
    <col min="14077" max="14077" width="11.7109375" style="18" customWidth="1"/>
    <col min="14078" max="14081" width="11" style="18" customWidth="1"/>
    <col min="14082" max="14085" width="12.85546875" style="18" customWidth="1"/>
    <col min="14086" max="14086" width="17.85546875" style="18" customWidth="1"/>
    <col min="14087" max="14087" width="2.140625" style="18" customWidth="1"/>
    <col min="14088" max="14326" width="8.85546875" style="18"/>
    <col min="14327" max="14327" width="3.28515625" style="18" customWidth="1"/>
    <col min="14328" max="14328" width="2.85546875" style="18" customWidth="1"/>
    <col min="14329" max="14329" width="6.5703125" style="18" customWidth="1"/>
    <col min="14330" max="14330" width="137.28515625" style="18" customWidth="1"/>
    <col min="14331" max="14331" width="21.28515625" style="18" customWidth="1"/>
    <col min="14332" max="14332" width="25.28515625" style="18" customWidth="1"/>
    <col min="14333" max="14333" width="11.7109375" style="18" customWidth="1"/>
    <col min="14334" max="14337" width="11" style="18" customWidth="1"/>
    <col min="14338" max="14341" width="12.85546875" style="18" customWidth="1"/>
    <col min="14342" max="14342" width="17.85546875" style="18" customWidth="1"/>
    <col min="14343" max="14343" width="2.140625" style="18" customWidth="1"/>
    <col min="14344" max="14582" width="8.85546875" style="18"/>
    <col min="14583" max="14583" width="3.28515625" style="18" customWidth="1"/>
    <col min="14584" max="14584" width="2.85546875" style="18" customWidth="1"/>
    <col min="14585" max="14585" width="6.5703125" style="18" customWidth="1"/>
    <col min="14586" max="14586" width="137.28515625" style="18" customWidth="1"/>
    <col min="14587" max="14587" width="21.28515625" style="18" customWidth="1"/>
    <col min="14588" max="14588" width="25.28515625" style="18" customWidth="1"/>
    <col min="14589" max="14589" width="11.7109375" style="18" customWidth="1"/>
    <col min="14590" max="14593" width="11" style="18" customWidth="1"/>
    <col min="14594" max="14597" width="12.85546875" style="18" customWidth="1"/>
    <col min="14598" max="14598" width="17.85546875" style="18" customWidth="1"/>
    <col min="14599" max="14599" width="2.140625" style="18" customWidth="1"/>
    <col min="14600" max="14838" width="8.85546875" style="18"/>
    <col min="14839" max="14839" width="3.28515625" style="18" customWidth="1"/>
    <col min="14840" max="14840" width="2.85546875" style="18" customWidth="1"/>
    <col min="14841" max="14841" width="6.5703125" style="18" customWidth="1"/>
    <col min="14842" max="14842" width="137.28515625" style="18" customWidth="1"/>
    <col min="14843" max="14843" width="21.28515625" style="18" customWidth="1"/>
    <col min="14844" max="14844" width="25.28515625" style="18" customWidth="1"/>
    <col min="14845" max="14845" width="11.7109375" style="18" customWidth="1"/>
    <col min="14846" max="14849" width="11" style="18" customWidth="1"/>
    <col min="14850" max="14853" width="12.85546875" style="18" customWidth="1"/>
    <col min="14854" max="14854" width="17.85546875" style="18" customWidth="1"/>
    <col min="14855" max="14855" width="2.140625" style="18" customWidth="1"/>
    <col min="14856" max="15094" width="8.85546875" style="18"/>
    <col min="15095" max="15095" width="3.28515625" style="18" customWidth="1"/>
    <col min="15096" max="15096" width="2.85546875" style="18" customWidth="1"/>
    <col min="15097" max="15097" width="6.5703125" style="18" customWidth="1"/>
    <col min="15098" max="15098" width="137.28515625" style="18" customWidth="1"/>
    <col min="15099" max="15099" width="21.28515625" style="18" customWidth="1"/>
    <col min="15100" max="15100" width="25.28515625" style="18" customWidth="1"/>
    <col min="15101" max="15101" width="11.7109375" style="18" customWidth="1"/>
    <col min="15102" max="15105" width="11" style="18" customWidth="1"/>
    <col min="15106" max="15109" width="12.85546875" style="18" customWidth="1"/>
    <col min="15110" max="15110" width="17.85546875" style="18" customWidth="1"/>
    <col min="15111" max="15111" width="2.140625" style="18" customWidth="1"/>
    <col min="15112" max="15350" width="8.85546875" style="18"/>
    <col min="15351" max="15351" width="3.28515625" style="18" customWidth="1"/>
    <col min="15352" max="15352" width="2.85546875" style="18" customWidth="1"/>
    <col min="15353" max="15353" width="6.5703125" style="18" customWidth="1"/>
    <col min="15354" max="15354" width="137.28515625" style="18" customWidth="1"/>
    <col min="15355" max="15355" width="21.28515625" style="18" customWidth="1"/>
    <col min="15356" max="15356" width="25.28515625" style="18" customWidth="1"/>
    <col min="15357" max="15357" width="11.7109375" style="18" customWidth="1"/>
    <col min="15358" max="15361" width="11" style="18" customWidth="1"/>
    <col min="15362" max="15365" width="12.85546875" style="18" customWidth="1"/>
    <col min="15366" max="15366" width="17.85546875" style="18" customWidth="1"/>
    <col min="15367" max="15367" width="2.140625" style="18" customWidth="1"/>
    <col min="15368" max="15606" width="8.85546875" style="18"/>
    <col min="15607" max="15607" width="3.28515625" style="18" customWidth="1"/>
    <col min="15608" max="15608" width="2.85546875" style="18" customWidth="1"/>
    <col min="15609" max="15609" width="6.5703125" style="18" customWidth="1"/>
    <col min="15610" max="15610" width="137.28515625" style="18" customWidth="1"/>
    <col min="15611" max="15611" width="21.28515625" style="18" customWidth="1"/>
    <col min="15612" max="15612" width="25.28515625" style="18" customWidth="1"/>
    <col min="15613" max="15613" width="11.7109375" style="18" customWidth="1"/>
    <col min="15614" max="15617" width="11" style="18" customWidth="1"/>
    <col min="15618" max="15621" width="12.85546875" style="18" customWidth="1"/>
    <col min="15622" max="15622" width="17.85546875" style="18" customWidth="1"/>
    <col min="15623" max="15623" width="2.140625" style="18" customWidth="1"/>
    <col min="15624" max="15862" width="8.85546875" style="18"/>
    <col min="15863" max="15863" width="3.28515625" style="18" customWidth="1"/>
    <col min="15864" max="15864" width="2.85546875" style="18" customWidth="1"/>
    <col min="15865" max="15865" width="6.5703125" style="18" customWidth="1"/>
    <col min="15866" max="15866" width="137.28515625" style="18" customWidth="1"/>
    <col min="15867" max="15867" width="21.28515625" style="18" customWidth="1"/>
    <col min="15868" max="15868" width="25.28515625" style="18" customWidth="1"/>
    <col min="15869" max="15869" width="11.7109375" style="18" customWidth="1"/>
    <col min="15870" max="15873" width="11" style="18" customWidth="1"/>
    <col min="15874" max="15877" width="12.85546875" style="18" customWidth="1"/>
    <col min="15878" max="15878" width="17.85546875" style="18" customWidth="1"/>
    <col min="15879" max="15879" width="2.140625" style="18" customWidth="1"/>
    <col min="15880" max="16118" width="8.85546875" style="18"/>
    <col min="16119" max="16119" width="3.28515625" style="18" customWidth="1"/>
    <col min="16120" max="16120" width="2.85546875" style="18" customWidth="1"/>
    <col min="16121" max="16121" width="6.5703125" style="18" customWidth="1"/>
    <col min="16122" max="16122" width="137.28515625" style="18" customWidth="1"/>
    <col min="16123" max="16123" width="21.28515625" style="18" customWidth="1"/>
    <col min="16124" max="16124" width="25.28515625" style="18" customWidth="1"/>
    <col min="16125" max="16125" width="11.7109375" style="18" customWidth="1"/>
    <col min="16126" max="16129" width="11" style="18" customWidth="1"/>
    <col min="16130" max="16133" width="12.85546875" style="18" customWidth="1"/>
    <col min="16134" max="16134" width="17.85546875" style="18" customWidth="1"/>
    <col min="16135" max="16135" width="2.140625" style="18" customWidth="1"/>
    <col min="16136" max="16384" width="8.85546875" style="18"/>
  </cols>
  <sheetData>
    <row r="1" spans="3:10">
      <c r="C1" s="1184"/>
      <c r="D1" s="1183"/>
      <c r="E1" s="1182"/>
      <c r="F1" s="1182"/>
      <c r="G1" s="1182"/>
      <c r="H1" s="1181"/>
      <c r="I1" s="1180"/>
    </row>
    <row r="2" spans="3:10" ht="29.25" customHeight="1">
      <c r="C2" s="1726"/>
      <c r="D2" s="1726"/>
      <c r="E2" s="1726"/>
      <c r="F2" s="1726"/>
      <c r="G2" s="1726"/>
      <c r="H2" s="1726"/>
      <c r="I2" s="1726"/>
    </row>
    <row r="3" spans="3:10" s="623" customFormat="1" ht="19.5" customHeight="1">
      <c r="C3" s="1727" t="s">
        <v>77</v>
      </c>
      <c r="D3" s="1727"/>
      <c r="E3" s="1727"/>
      <c r="F3" s="1727"/>
      <c r="G3" s="1727"/>
      <c r="H3" s="1727"/>
      <c r="I3" s="1727"/>
    </row>
    <row r="4" spans="3:10" s="623" customFormat="1" ht="19.5" customHeight="1">
      <c r="C4" s="1727" t="s">
        <v>78</v>
      </c>
      <c r="D4" s="1727"/>
      <c r="E4" s="1727"/>
      <c r="F4" s="1727"/>
      <c r="G4" s="1727"/>
      <c r="H4" s="1727"/>
      <c r="I4" s="1727"/>
    </row>
    <row r="5" spans="3:10" s="623" customFormat="1" ht="19.5" customHeight="1">
      <c r="C5" s="1727" t="s">
        <v>4091</v>
      </c>
      <c r="D5" s="1727"/>
      <c r="E5" s="1727"/>
      <c r="F5" s="1727"/>
      <c r="G5" s="1727"/>
      <c r="H5" s="1727"/>
      <c r="I5" s="1727"/>
    </row>
    <row r="6" spans="3:10" ht="14.1" customHeight="1">
      <c r="E6" s="832"/>
      <c r="F6" s="832"/>
      <c r="G6" s="832"/>
      <c r="H6" s="1179"/>
      <c r="I6" s="832"/>
    </row>
    <row r="7" spans="3:10" ht="20.25" customHeight="1">
      <c r="C7" s="656" t="s">
        <v>80</v>
      </c>
      <c r="D7" s="1178"/>
      <c r="E7" s="18"/>
      <c r="F7" s="18"/>
      <c r="G7" s="18"/>
      <c r="H7" s="1728" t="s">
        <v>4090</v>
      </c>
      <c r="I7" s="1728"/>
    </row>
    <row r="8" spans="3:10" ht="18.75" customHeight="1">
      <c r="C8" s="656" t="s">
        <v>2781</v>
      </c>
      <c r="D8" s="1178"/>
      <c r="E8" s="18"/>
      <c r="F8" s="825"/>
      <c r="G8" s="825"/>
      <c r="H8" s="1728"/>
      <c r="I8" s="1728"/>
    </row>
    <row r="9" spans="3:10" ht="14.1" customHeight="1">
      <c r="C9" s="1088"/>
      <c r="D9" s="1178"/>
      <c r="E9" s="825"/>
      <c r="F9" s="825"/>
      <c r="G9" s="825"/>
      <c r="H9" s="1177"/>
      <c r="I9" s="825"/>
    </row>
    <row r="10" spans="3:10" ht="35.25" customHeight="1">
      <c r="C10" s="1725" t="s">
        <v>6</v>
      </c>
      <c r="D10" s="1729" t="s">
        <v>7</v>
      </c>
      <c r="E10" s="1730" t="s">
        <v>8</v>
      </c>
      <c r="F10" s="1730"/>
      <c r="G10" s="1730"/>
      <c r="H10" s="1730"/>
      <c r="I10" s="1725" t="s">
        <v>11</v>
      </c>
    </row>
    <row r="11" spans="3:10" ht="117" customHeight="1">
      <c r="C11" s="1725"/>
      <c r="D11" s="1729"/>
      <c r="E11" s="1176" t="s">
        <v>14</v>
      </c>
      <c r="F11" s="1176" t="s">
        <v>87</v>
      </c>
      <c r="G11" s="1176" t="s">
        <v>88</v>
      </c>
      <c r="H11" s="1175" t="s">
        <v>89</v>
      </c>
      <c r="I11" s="1725"/>
    </row>
    <row r="12" spans="3:10" s="832" customFormat="1" ht="20.100000000000001" customHeight="1">
      <c r="C12" s="21" t="s">
        <v>18</v>
      </c>
      <c r="D12" s="1174" t="s">
        <v>19</v>
      </c>
      <c r="E12" s="1173" t="s">
        <v>20</v>
      </c>
      <c r="F12" s="21" t="s">
        <v>21</v>
      </c>
      <c r="G12" s="1173" t="s">
        <v>22</v>
      </c>
      <c r="H12" s="1172" t="s">
        <v>23</v>
      </c>
      <c r="I12" s="21" t="s">
        <v>24</v>
      </c>
    </row>
    <row r="13" spans="3:10" ht="4.5" customHeight="1" thickBot="1">
      <c r="C13" s="1168"/>
      <c r="D13" s="1171"/>
      <c r="E13" s="1170"/>
      <c r="F13" s="1170"/>
      <c r="G13" s="1170"/>
      <c r="H13" s="1169"/>
      <c r="I13" s="1168"/>
    </row>
    <row r="14" spans="3:10" ht="12" customHeight="1" thickTop="1">
      <c r="C14" s="1167"/>
      <c r="D14" s="1166"/>
      <c r="E14" s="1165"/>
      <c r="F14" s="1164"/>
      <c r="G14" s="1164"/>
      <c r="H14" s="1163"/>
      <c r="I14" s="1162"/>
    </row>
    <row r="15" spans="3:10" s="656" customFormat="1" ht="20.100000000000001" customHeight="1">
      <c r="C15" s="1161" t="s">
        <v>92</v>
      </c>
      <c r="D15" s="1160" t="s">
        <v>93</v>
      </c>
      <c r="E15" s="1159">
        <f>+E16+E55+E144+E159+E174+E185+E206+E217+E226+E241+E261+E277+E292+E307+E321+E328+E337+E343</f>
        <v>389351314600</v>
      </c>
      <c r="F15" s="1158">
        <f>+F16+F55+F144+F159+F174+F185+F206+F217+F226+F241+F261+F277+F292+F307+F321+F328+F337+F343</f>
        <v>348857672261.27002</v>
      </c>
      <c r="G15" s="1157">
        <f t="shared" ref="G15:G53" si="0">+F15/E15*100</f>
        <v>89.599716035290356</v>
      </c>
      <c r="H15" s="1157">
        <f>(H16+H55+H144+H159+H174+H185+H206+H217+H226+H241+H261+H277+H292+H307+H321+H328+H337+H343)/18</f>
        <v>94.144396010368226</v>
      </c>
      <c r="I15" s="1156"/>
      <c r="J15" s="44"/>
    </row>
    <row r="16" spans="3:10" s="656" customFormat="1" ht="20.100000000000001" hidden="1" customHeight="1">
      <c r="C16" s="881"/>
      <c r="D16" s="870" t="s">
        <v>444</v>
      </c>
      <c r="E16" s="864">
        <f>+E17+E25+E27+E33+E36+E45</f>
        <v>97490000000</v>
      </c>
      <c r="F16" s="864">
        <v>92808762732</v>
      </c>
      <c r="G16" s="882">
        <f t="shared" si="0"/>
        <v>95.198238518822436</v>
      </c>
      <c r="H16" s="882">
        <f>(H17+H25+H27+H33+H36+H45)/6</f>
        <v>85.205357142857153</v>
      </c>
      <c r="I16" s="863"/>
      <c r="J16" s="44"/>
    </row>
    <row r="17" spans="3:10" s="656" customFormat="1" ht="20.100000000000001" hidden="1" customHeight="1">
      <c r="C17" s="881"/>
      <c r="D17" s="1154" t="s">
        <v>95</v>
      </c>
      <c r="E17" s="864">
        <f>+E18+E19+E20+E21+E22+E23+E24</f>
        <v>25533038150</v>
      </c>
      <c r="F17" s="864">
        <v>23493410295</v>
      </c>
      <c r="G17" s="882">
        <f t="shared" si="0"/>
        <v>92.011809002055628</v>
      </c>
      <c r="H17" s="882">
        <f>SUM((H18:H24))/7</f>
        <v>97.857142857142861</v>
      </c>
      <c r="I17" s="863"/>
      <c r="J17" s="44"/>
    </row>
    <row r="18" spans="3:10" ht="20.100000000000001" hidden="1" customHeight="1">
      <c r="C18" s="878"/>
      <c r="D18" s="861" t="s">
        <v>98</v>
      </c>
      <c r="E18" s="860">
        <v>545200000</v>
      </c>
      <c r="F18" s="860">
        <v>545200000</v>
      </c>
      <c r="G18" s="882">
        <f t="shared" si="0"/>
        <v>100</v>
      </c>
      <c r="H18" s="882">
        <f>+G18</f>
        <v>100</v>
      </c>
      <c r="I18" s="852"/>
      <c r="J18" s="802"/>
    </row>
    <row r="19" spans="3:10" ht="20.100000000000001" hidden="1" customHeight="1">
      <c r="C19" s="878"/>
      <c r="D19" s="861" t="s">
        <v>4089</v>
      </c>
      <c r="E19" s="860">
        <v>400000000</v>
      </c>
      <c r="F19" s="860">
        <v>390000000</v>
      </c>
      <c r="G19" s="882">
        <f t="shared" si="0"/>
        <v>97.5</v>
      </c>
      <c r="H19" s="882">
        <v>100</v>
      </c>
      <c r="I19" s="852"/>
      <c r="J19" s="802"/>
    </row>
    <row r="20" spans="3:10" ht="20.100000000000001" hidden="1" customHeight="1">
      <c r="C20" s="878"/>
      <c r="D20" s="861" t="s">
        <v>1482</v>
      </c>
      <c r="E20" s="860">
        <v>520000000</v>
      </c>
      <c r="F20" s="860">
        <v>516932800</v>
      </c>
      <c r="G20" s="882">
        <f t="shared" si="0"/>
        <v>99.410153846153847</v>
      </c>
      <c r="H20" s="882">
        <v>100</v>
      </c>
      <c r="I20" s="852"/>
      <c r="J20" s="802"/>
    </row>
    <row r="21" spans="3:10" ht="20.100000000000001" hidden="1" customHeight="1">
      <c r="C21" s="878"/>
      <c r="D21" s="861" t="s">
        <v>4088</v>
      </c>
      <c r="E21" s="860">
        <v>3776105220</v>
      </c>
      <c r="F21" s="860">
        <v>3695575000</v>
      </c>
      <c r="G21" s="882">
        <f t="shared" si="0"/>
        <v>97.867373515614062</v>
      </c>
      <c r="H21" s="882">
        <v>100</v>
      </c>
      <c r="I21" s="852"/>
      <c r="J21" s="802"/>
    </row>
    <row r="22" spans="3:10" ht="20.100000000000001" hidden="1" customHeight="1">
      <c r="C22" s="878"/>
      <c r="D22" s="861" t="s">
        <v>4087</v>
      </c>
      <c r="E22" s="860">
        <v>17515982930</v>
      </c>
      <c r="F22" s="860">
        <v>15843510695</v>
      </c>
      <c r="G22" s="882">
        <f t="shared" si="0"/>
        <v>90.451736327422879</v>
      </c>
      <c r="H22" s="882">
        <v>100</v>
      </c>
      <c r="I22" s="852"/>
      <c r="J22" s="802"/>
    </row>
    <row r="23" spans="3:10" ht="20.100000000000001" hidden="1" customHeight="1">
      <c r="C23" s="878"/>
      <c r="D23" s="861" t="s">
        <v>102</v>
      </c>
      <c r="E23" s="860">
        <v>1731250000</v>
      </c>
      <c r="F23" s="860">
        <v>1551150000</v>
      </c>
      <c r="G23" s="882">
        <f t="shared" si="0"/>
        <v>89.597111913357395</v>
      </c>
      <c r="H23" s="882">
        <v>90</v>
      </c>
      <c r="I23" s="852"/>
      <c r="J23" s="802"/>
    </row>
    <row r="24" spans="3:10" ht="20.100000000000001" hidden="1" customHeight="1">
      <c r="C24" s="878"/>
      <c r="D24" s="861" t="s">
        <v>4086</v>
      </c>
      <c r="E24" s="860">
        <v>1044500000</v>
      </c>
      <c r="F24" s="860">
        <v>951041800</v>
      </c>
      <c r="G24" s="882">
        <f t="shared" si="0"/>
        <v>91.05235040689324</v>
      </c>
      <c r="H24" s="882">
        <v>95</v>
      </c>
      <c r="I24" s="852"/>
      <c r="J24" s="802"/>
    </row>
    <row r="25" spans="3:10" s="656" customFormat="1" ht="20.100000000000001" hidden="1" customHeight="1">
      <c r="C25" s="881"/>
      <c r="D25" s="1154" t="s">
        <v>108</v>
      </c>
      <c r="E25" s="864">
        <v>2349300000</v>
      </c>
      <c r="F25" s="864">
        <v>2152500000</v>
      </c>
      <c r="G25" s="882">
        <f t="shared" si="0"/>
        <v>91.623036649214669</v>
      </c>
      <c r="H25" s="882">
        <v>95</v>
      </c>
      <c r="I25" s="863"/>
      <c r="J25" s="44"/>
    </row>
    <row r="26" spans="3:10" ht="20.100000000000001" hidden="1" customHeight="1">
      <c r="C26" s="878"/>
      <c r="D26" s="861" t="s">
        <v>109</v>
      </c>
      <c r="E26" s="860">
        <v>2349300000</v>
      </c>
      <c r="F26" s="860">
        <v>2152500000</v>
      </c>
      <c r="G26" s="882">
        <f t="shared" si="0"/>
        <v>91.623036649214669</v>
      </c>
      <c r="H26" s="882">
        <v>95</v>
      </c>
      <c r="I26" s="852"/>
      <c r="J26" s="802"/>
    </row>
    <row r="27" spans="3:10" s="656" customFormat="1" ht="20.100000000000001" hidden="1" customHeight="1">
      <c r="C27" s="881"/>
      <c r="D27" s="1154" t="s">
        <v>116</v>
      </c>
      <c r="E27" s="864">
        <v>52655056280</v>
      </c>
      <c r="F27" s="864">
        <v>52612230250</v>
      </c>
      <c r="G27" s="882">
        <f t="shared" si="0"/>
        <v>99.918666823234858</v>
      </c>
      <c r="H27" s="882">
        <v>100</v>
      </c>
      <c r="I27" s="863"/>
      <c r="J27" s="44"/>
    </row>
    <row r="28" spans="3:10" ht="20.100000000000001" hidden="1" customHeight="1">
      <c r="C28" s="878"/>
      <c r="D28" s="861" t="s">
        <v>117</v>
      </c>
      <c r="E28" s="860">
        <v>243100000</v>
      </c>
      <c r="F28" s="860">
        <v>237386400</v>
      </c>
      <c r="G28" s="882">
        <f t="shared" si="0"/>
        <v>97.649691484985595</v>
      </c>
      <c r="H28" s="882">
        <v>100</v>
      </c>
      <c r="I28" s="852"/>
      <c r="J28" s="802"/>
    </row>
    <row r="29" spans="3:10" ht="20.100000000000001" hidden="1" customHeight="1">
      <c r="C29" s="878"/>
      <c r="D29" s="861" t="s">
        <v>119</v>
      </c>
      <c r="E29" s="860">
        <v>1245800000</v>
      </c>
      <c r="F29" s="860">
        <v>1237544800</v>
      </c>
      <c r="G29" s="882">
        <f t="shared" si="0"/>
        <v>99.337357521271471</v>
      </c>
      <c r="H29" s="882">
        <v>100</v>
      </c>
      <c r="I29" s="852"/>
      <c r="J29" s="802"/>
    </row>
    <row r="30" spans="3:10" ht="20.100000000000001" hidden="1" customHeight="1">
      <c r="C30" s="878"/>
      <c r="D30" s="861" t="s">
        <v>2904</v>
      </c>
      <c r="E30" s="860">
        <v>943700000</v>
      </c>
      <c r="F30" s="860">
        <v>915078300</v>
      </c>
      <c r="G30" s="882">
        <f t="shared" si="0"/>
        <v>96.967076401398742</v>
      </c>
      <c r="H30" s="882">
        <v>100</v>
      </c>
      <c r="I30" s="852"/>
      <c r="J30" s="802"/>
    </row>
    <row r="31" spans="3:10" ht="20.100000000000001" hidden="1" customHeight="1">
      <c r="C31" s="878"/>
      <c r="D31" s="861" t="s">
        <v>4085</v>
      </c>
      <c r="E31" s="860">
        <v>50022456280</v>
      </c>
      <c r="F31" s="860">
        <v>50022240750</v>
      </c>
      <c r="G31" s="882">
        <f t="shared" si="0"/>
        <v>99.999569133513162</v>
      </c>
      <c r="H31" s="882">
        <f>+G31</f>
        <v>99.999569133513162</v>
      </c>
      <c r="I31" s="852"/>
      <c r="J31" s="802"/>
    </row>
    <row r="32" spans="3:10" ht="20.100000000000001" hidden="1" customHeight="1">
      <c r="C32" s="878"/>
      <c r="D32" s="861" t="s">
        <v>4084</v>
      </c>
      <c r="E32" s="860">
        <v>200000000</v>
      </c>
      <c r="F32" s="860">
        <v>199980000</v>
      </c>
      <c r="G32" s="882">
        <f t="shared" si="0"/>
        <v>99.99</v>
      </c>
      <c r="H32" s="882">
        <v>100</v>
      </c>
      <c r="I32" s="852"/>
      <c r="J32" s="802"/>
    </row>
    <row r="33" spans="3:10" s="656" customFormat="1" ht="20.100000000000001" hidden="1" customHeight="1">
      <c r="C33" s="881"/>
      <c r="D33" s="1154" t="s">
        <v>2308</v>
      </c>
      <c r="E33" s="864">
        <v>530000000</v>
      </c>
      <c r="F33" s="864">
        <v>477142000</v>
      </c>
      <c r="G33" s="882">
        <f t="shared" si="0"/>
        <v>90.026792452830179</v>
      </c>
      <c r="H33" s="882">
        <v>50</v>
      </c>
      <c r="I33" s="863"/>
      <c r="J33" s="44"/>
    </row>
    <row r="34" spans="3:10" ht="20.100000000000001" hidden="1" customHeight="1">
      <c r="C34" s="878"/>
      <c r="D34" s="861" t="s">
        <v>4083</v>
      </c>
      <c r="E34" s="860">
        <v>50000000</v>
      </c>
      <c r="F34" s="860">
        <v>0</v>
      </c>
      <c r="G34" s="882">
        <f t="shared" si="0"/>
        <v>0</v>
      </c>
      <c r="H34" s="882">
        <f>+G34</f>
        <v>0</v>
      </c>
      <c r="I34" s="852"/>
      <c r="J34" s="802"/>
    </row>
    <row r="35" spans="3:10" ht="20.100000000000001" hidden="1" customHeight="1">
      <c r="C35" s="878"/>
      <c r="D35" s="861" t="s">
        <v>4082</v>
      </c>
      <c r="E35" s="860">
        <v>480000000</v>
      </c>
      <c r="F35" s="860">
        <v>477142000</v>
      </c>
      <c r="G35" s="882">
        <f t="shared" si="0"/>
        <v>99.404583333333335</v>
      </c>
      <c r="H35" s="882">
        <v>100</v>
      </c>
      <c r="I35" s="852"/>
      <c r="J35" s="802"/>
    </row>
    <row r="36" spans="3:10" s="656" customFormat="1" ht="20.100000000000001" hidden="1" customHeight="1">
      <c r="C36" s="881"/>
      <c r="D36" s="1154" t="s">
        <v>124</v>
      </c>
      <c r="E36" s="864">
        <v>5187467070</v>
      </c>
      <c r="F36" s="864">
        <v>4704206704</v>
      </c>
      <c r="G36" s="882">
        <f t="shared" si="0"/>
        <v>90.684078385870109</v>
      </c>
      <c r="H36" s="882">
        <f>SUM((H37:H44))/8</f>
        <v>79.625</v>
      </c>
      <c r="I36" s="863"/>
      <c r="J36" s="44"/>
    </row>
    <row r="37" spans="3:10" ht="20.100000000000001" hidden="1" customHeight="1">
      <c r="C37" s="878"/>
      <c r="D37" s="861" t="s">
        <v>126</v>
      </c>
      <c r="E37" s="860">
        <v>6000000</v>
      </c>
      <c r="F37" s="860">
        <v>0</v>
      </c>
      <c r="G37" s="882">
        <f t="shared" si="0"/>
        <v>0</v>
      </c>
      <c r="H37" s="882">
        <f>+G37</f>
        <v>0</v>
      </c>
      <c r="I37" s="852"/>
      <c r="J37" s="802"/>
    </row>
    <row r="38" spans="3:10" s="656" customFormat="1" ht="20.100000000000001" hidden="1" customHeight="1">
      <c r="C38" s="881"/>
      <c r="D38" s="861" t="s">
        <v>129</v>
      </c>
      <c r="E38" s="860">
        <v>1802567070</v>
      </c>
      <c r="F38" s="860">
        <v>1635890000</v>
      </c>
      <c r="G38" s="882">
        <f t="shared" si="0"/>
        <v>90.753349887835242</v>
      </c>
      <c r="H38" s="882">
        <v>92</v>
      </c>
      <c r="I38" s="863"/>
      <c r="J38" s="44"/>
    </row>
    <row r="39" spans="3:10" s="656" customFormat="1" ht="20.100000000000001" hidden="1" customHeight="1">
      <c r="C39" s="881"/>
      <c r="D39" s="861" t="s">
        <v>4081</v>
      </c>
      <c r="E39" s="860">
        <v>1000000000</v>
      </c>
      <c r="F39" s="860">
        <v>1000000000</v>
      </c>
      <c r="G39" s="882">
        <f t="shared" si="0"/>
        <v>100</v>
      </c>
      <c r="H39" s="882">
        <f>+G39</f>
        <v>100</v>
      </c>
      <c r="I39" s="863"/>
      <c r="J39" s="44"/>
    </row>
    <row r="40" spans="3:10" ht="20.100000000000001" hidden="1" customHeight="1">
      <c r="C40" s="878"/>
      <c r="D40" s="861" t="s">
        <v>4080</v>
      </c>
      <c r="E40" s="860">
        <v>290000000</v>
      </c>
      <c r="F40" s="860">
        <v>216710500</v>
      </c>
      <c r="G40" s="882">
        <f t="shared" si="0"/>
        <v>74.727758620689656</v>
      </c>
      <c r="H40" s="882">
        <v>75</v>
      </c>
      <c r="I40" s="852"/>
      <c r="J40" s="802"/>
    </row>
    <row r="41" spans="3:10" ht="20.100000000000001" hidden="1" customHeight="1">
      <c r="C41" s="878"/>
      <c r="D41" s="861" t="s">
        <v>4079</v>
      </c>
      <c r="E41" s="860">
        <v>313200000</v>
      </c>
      <c r="F41" s="860">
        <v>313200000</v>
      </c>
      <c r="G41" s="882">
        <f t="shared" si="0"/>
        <v>100</v>
      </c>
      <c r="H41" s="882">
        <f>+G41</f>
        <v>100</v>
      </c>
      <c r="I41" s="852"/>
      <c r="J41" s="802"/>
    </row>
    <row r="42" spans="3:10" s="656" customFormat="1" ht="20.100000000000001" hidden="1" customHeight="1">
      <c r="C42" s="881"/>
      <c r="D42" s="861" t="s">
        <v>4078</v>
      </c>
      <c r="E42" s="860">
        <v>535000000</v>
      </c>
      <c r="F42" s="860">
        <v>535000000</v>
      </c>
      <c r="G42" s="882">
        <f t="shared" si="0"/>
        <v>100</v>
      </c>
      <c r="H42" s="882">
        <f>+G42</f>
        <v>100</v>
      </c>
      <c r="I42" s="863"/>
      <c r="J42" s="44"/>
    </row>
    <row r="43" spans="3:10" ht="20.100000000000001" hidden="1" customHeight="1">
      <c r="C43" s="878"/>
      <c r="D43" s="861" t="s">
        <v>4077</v>
      </c>
      <c r="E43" s="860">
        <v>443200000</v>
      </c>
      <c r="F43" s="860">
        <v>388601100</v>
      </c>
      <c r="G43" s="882">
        <f t="shared" si="0"/>
        <v>87.680753610108312</v>
      </c>
      <c r="H43" s="882">
        <v>90</v>
      </c>
      <c r="I43" s="852"/>
      <c r="J43" s="802"/>
    </row>
    <row r="44" spans="3:10" s="656" customFormat="1" ht="20.100000000000001" hidden="1" customHeight="1">
      <c r="C44" s="881"/>
      <c r="D44" s="861" t="s">
        <v>4076</v>
      </c>
      <c r="E44" s="860">
        <v>797500000</v>
      </c>
      <c r="F44" s="860">
        <v>614805104</v>
      </c>
      <c r="G44" s="882">
        <f t="shared" si="0"/>
        <v>77.091549090909098</v>
      </c>
      <c r="H44" s="882">
        <v>80</v>
      </c>
      <c r="I44" s="863"/>
      <c r="J44" s="44"/>
    </row>
    <row r="45" spans="3:10" s="656" customFormat="1" ht="20.100000000000001" hidden="1" customHeight="1">
      <c r="C45" s="881"/>
      <c r="D45" s="1154" t="s">
        <v>131</v>
      </c>
      <c r="E45" s="864">
        <v>11235138500</v>
      </c>
      <c r="F45" s="864">
        <v>9369273483</v>
      </c>
      <c r="G45" s="882">
        <f t="shared" si="0"/>
        <v>83.392594430411336</v>
      </c>
      <c r="H45" s="882">
        <f>SUM((H46:H53))/8</f>
        <v>88.75</v>
      </c>
      <c r="I45" s="863"/>
      <c r="J45" s="44"/>
    </row>
    <row r="46" spans="3:10" ht="20.100000000000001" hidden="1" customHeight="1">
      <c r="C46" s="878"/>
      <c r="D46" s="861" t="s">
        <v>4075</v>
      </c>
      <c r="E46" s="860">
        <v>4336200000</v>
      </c>
      <c r="F46" s="860">
        <v>3749550000</v>
      </c>
      <c r="G46" s="882">
        <f t="shared" si="0"/>
        <v>86.470873114708738</v>
      </c>
      <c r="H46" s="882">
        <v>90</v>
      </c>
      <c r="I46" s="852"/>
      <c r="J46" s="802"/>
    </row>
    <row r="47" spans="3:10" ht="20.100000000000001" hidden="1" customHeight="1">
      <c r="C47" s="878"/>
      <c r="D47" s="861" t="s">
        <v>137</v>
      </c>
      <c r="E47" s="860">
        <v>346500000</v>
      </c>
      <c r="F47" s="860">
        <v>346270790</v>
      </c>
      <c r="G47" s="882">
        <f t="shared" si="0"/>
        <v>99.933849927849934</v>
      </c>
      <c r="H47" s="882">
        <v>100</v>
      </c>
      <c r="I47" s="852"/>
      <c r="J47" s="802"/>
    </row>
    <row r="48" spans="3:10" ht="20.100000000000001" hidden="1" customHeight="1">
      <c r="C48" s="878"/>
      <c r="D48" s="861" t="s">
        <v>138</v>
      </c>
      <c r="E48" s="860">
        <v>297900000</v>
      </c>
      <c r="F48" s="860">
        <v>293847200</v>
      </c>
      <c r="G48" s="882">
        <f t="shared" si="0"/>
        <v>98.639543470963403</v>
      </c>
      <c r="H48" s="882">
        <v>100</v>
      </c>
      <c r="I48" s="852"/>
      <c r="J48" s="802"/>
    </row>
    <row r="49" spans="3:10" ht="20.100000000000001" hidden="1" customHeight="1">
      <c r="C49" s="878"/>
      <c r="D49" s="861" t="s">
        <v>4074</v>
      </c>
      <c r="E49" s="860">
        <v>1165500000</v>
      </c>
      <c r="F49" s="860">
        <v>1165039200</v>
      </c>
      <c r="G49" s="882">
        <f t="shared" si="0"/>
        <v>99.960463320463319</v>
      </c>
      <c r="H49" s="882">
        <v>100</v>
      </c>
      <c r="I49" s="852"/>
      <c r="J49" s="802"/>
    </row>
    <row r="50" spans="3:10" ht="20.100000000000001" hidden="1" customHeight="1">
      <c r="C50" s="878"/>
      <c r="D50" s="861" t="s">
        <v>4073</v>
      </c>
      <c r="E50" s="860">
        <v>1580738500</v>
      </c>
      <c r="F50" s="860">
        <v>1579738500</v>
      </c>
      <c r="G50" s="882">
        <f t="shared" si="0"/>
        <v>99.93673842953784</v>
      </c>
      <c r="H50" s="882">
        <v>100</v>
      </c>
      <c r="I50" s="852"/>
      <c r="J50" s="802"/>
    </row>
    <row r="51" spans="3:10" ht="20.100000000000001" hidden="1" customHeight="1">
      <c r="C51" s="878"/>
      <c r="D51" s="861" t="s">
        <v>4072</v>
      </c>
      <c r="E51" s="860">
        <v>1454400000</v>
      </c>
      <c r="F51" s="860">
        <v>242512316</v>
      </c>
      <c r="G51" s="882">
        <f t="shared" si="0"/>
        <v>16.674389163916391</v>
      </c>
      <c r="H51" s="882">
        <v>20</v>
      </c>
      <c r="I51" s="852"/>
      <c r="J51" s="802"/>
    </row>
    <row r="52" spans="3:10" ht="20.100000000000001" hidden="1" customHeight="1">
      <c r="C52" s="878"/>
      <c r="D52" s="861" t="s">
        <v>140</v>
      </c>
      <c r="E52" s="860">
        <v>724400000</v>
      </c>
      <c r="F52" s="860">
        <v>721819277</v>
      </c>
      <c r="G52" s="882">
        <f t="shared" si="0"/>
        <v>99.643743373826609</v>
      </c>
      <c r="H52" s="882">
        <v>100</v>
      </c>
      <c r="I52" s="852"/>
      <c r="J52" s="802"/>
    </row>
    <row r="53" spans="3:10" ht="20.100000000000001" hidden="1" customHeight="1">
      <c r="C53" s="878"/>
      <c r="D53" s="861" t="s">
        <v>4071</v>
      </c>
      <c r="E53" s="860">
        <v>1329500000</v>
      </c>
      <c r="F53" s="860">
        <v>1270496200</v>
      </c>
      <c r="G53" s="882">
        <f t="shared" si="0"/>
        <v>95.561955622414445</v>
      </c>
      <c r="H53" s="882">
        <v>100</v>
      </c>
      <c r="I53" s="852"/>
      <c r="J53" s="802"/>
    </row>
    <row r="54" spans="3:10" ht="15" hidden="1" customHeight="1">
      <c r="C54" s="878"/>
      <c r="D54" s="869"/>
      <c r="E54" s="868"/>
      <c r="F54" s="868"/>
      <c r="G54" s="882"/>
      <c r="H54" s="882"/>
      <c r="I54" s="852"/>
      <c r="J54" s="802"/>
    </row>
    <row r="55" spans="3:10" s="656" customFormat="1" ht="20.100000000000001" hidden="1" customHeight="1">
      <c r="C55" s="881"/>
      <c r="D55" s="870" t="s">
        <v>161</v>
      </c>
      <c r="E55" s="864">
        <v>69470000000</v>
      </c>
      <c r="F55" s="864">
        <v>58370999696.5</v>
      </c>
      <c r="G55" s="882">
        <f t="shared" ref="G55:G86" si="1">+F55/E55*100</f>
        <v>84.023318981574775</v>
      </c>
      <c r="H55" s="882">
        <f>(H56+H59+H70+H76+H78+H84+H86+H88+H91+H103+H105+H107+H109+H113+H115+H127+H133+H136)/18</f>
        <v>83.297811447811455</v>
      </c>
      <c r="I55" s="863"/>
      <c r="J55" s="44"/>
    </row>
    <row r="56" spans="3:10" s="656" customFormat="1" ht="20.100000000000001" hidden="1" customHeight="1">
      <c r="C56" s="881"/>
      <c r="D56" s="1154" t="s">
        <v>887</v>
      </c>
      <c r="E56" s="864">
        <v>4169210000</v>
      </c>
      <c r="F56" s="864">
        <v>3768102542</v>
      </c>
      <c r="G56" s="882">
        <f t="shared" si="1"/>
        <v>90.379293487255381</v>
      </c>
      <c r="H56" s="882">
        <f>185/2</f>
        <v>92.5</v>
      </c>
      <c r="I56" s="863"/>
      <c r="J56" s="44"/>
    </row>
    <row r="57" spans="3:10" ht="20.100000000000001" hidden="1" customHeight="1">
      <c r="C57" s="878"/>
      <c r="D57" s="861" t="s">
        <v>2385</v>
      </c>
      <c r="E57" s="860">
        <v>1624450000</v>
      </c>
      <c r="F57" s="860">
        <v>1320322822</v>
      </c>
      <c r="G57" s="882">
        <f t="shared" si="1"/>
        <v>81.278144725907225</v>
      </c>
      <c r="H57" s="882">
        <v>85</v>
      </c>
      <c r="I57" s="852"/>
      <c r="J57" s="802"/>
    </row>
    <row r="58" spans="3:10" ht="20.100000000000001" hidden="1" customHeight="1">
      <c r="C58" s="878"/>
      <c r="D58" s="861" t="s">
        <v>2409</v>
      </c>
      <c r="E58" s="860">
        <v>2544760000</v>
      </c>
      <c r="F58" s="860">
        <v>2447779720</v>
      </c>
      <c r="G58" s="882">
        <f t="shared" si="1"/>
        <v>96.189020575614208</v>
      </c>
      <c r="H58" s="882">
        <v>100</v>
      </c>
      <c r="I58" s="852"/>
      <c r="J58" s="802"/>
    </row>
    <row r="59" spans="3:10" s="656" customFormat="1" ht="20.100000000000001" hidden="1" customHeight="1">
      <c r="C59" s="881"/>
      <c r="D59" s="1154" t="s">
        <v>162</v>
      </c>
      <c r="E59" s="864">
        <v>6745531225</v>
      </c>
      <c r="F59" s="864">
        <v>4342866305</v>
      </c>
      <c r="G59" s="882">
        <f t="shared" si="1"/>
        <v>64.381383172679634</v>
      </c>
      <c r="H59" s="882">
        <f>SUM((H60:H69))/10</f>
        <v>62.3</v>
      </c>
      <c r="I59" s="863"/>
      <c r="J59" s="44"/>
    </row>
    <row r="60" spans="3:10" ht="20.100000000000001" hidden="1" customHeight="1">
      <c r="C60" s="878"/>
      <c r="D60" s="861" t="s">
        <v>163</v>
      </c>
      <c r="E60" s="860">
        <v>403375800</v>
      </c>
      <c r="F60" s="860">
        <v>222265700</v>
      </c>
      <c r="G60" s="882">
        <f t="shared" si="1"/>
        <v>55.10139676202688</v>
      </c>
      <c r="H60" s="882">
        <v>60</v>
      </c>
      <c r="I60" s="852"/>
      <c r="J60" s="802"/>
    </row>
    <row r="61" spans="3:10" s="656" customFormat="1" ht="20.100000000000001" hidden="1" customHeight="1">
      <c r="C61" s="881"/>
      <c r="D61" s="861" t="s">
        <v>164</v>
      </c>
      <c r="E61" s="860">
        <v>2300000000</v>
      </c>
      <c r="F61" s="860">
        <v>2161165875</v>
      </c>
      <c r="G61" s="882">
        <f t="shared" si="1"/>
        <v>93.963733695652181</v>
      </c>
      <c r="H61" s="882">
        <v>95</v>
      </c>
      <c r="I61" s="863"/>
      <c r="J61" s="44"/>
    </row>
    <row r="62" spans="3:10" ht="21.75" hidden="1" customHeight="1">
      <c r="C62" s="878"/>
      <c r="D62" s="861" t="s">
        <v>165</v>
      </c>
      <c r="E62" s="860">
        <v>338814000</v>
      </c>
      <c r="F62" s="860">
        <v>288474072</v>
      </c>
      <c r="G62" s="882">
        <f t="shared" si="1"/>
        <v>85.142311710850208</v>
      </c>
      <c r="H62" s="882">
        <v>90</v>
      </c>
      <c r="I62" s="852"/>
      <c r="J62" s="802"/>
    </row>
    <row r="63" spans="3:10" ht="20.100000000000001" hidden="1" customHeight="1">
      <c r="C63" s="878"/>
      <c r="D63" s="861" t="s">
        <v>166</v>
      </c>
      <c r="E63" s="860">
        <v>1681552000</v>
      </c>
      <c r="F63" s="860">
        <v>888973010</v>
      </c>
      <c r="G63" s="882">
        <f t="shared" si="1"/>
        <v>52.86622179986108</v>
      </c>
      <c r="H63" s="882">
        <v>55</v>
      </c>
      <c r="I63" s="852"/>
      <c r="J63" s="802"/>
    </row>
    <row r="64" spans="3:10" ht="20.100000000000001" hidden="1" customHeight="1">
      <c r="C64" s="878"/>
      <c r="D64" s="861" t="s">
        <v>167</v>
      </c>
      <c r="E64" s="860">
        <v>471779000</v>
      </c>
      <c r="F64" s="860">
        <v>12950000</v>
      </c>
      <c r="G64" s="882">
        <f t="shared" si="1"/>
        <v>2.7449292995237178</v>
      </c>
      <c r="H64" s="882">
        <v>5</v>
      </c>
      <c r="I64" s="852"/>
      <c r="J64" s="802"/>
    </row>
    <row r="65" spans="3:10" ht="20.100000000000001" hidden="1" customHeight="1">
      <c r="C65" s="878"/>
      <c r="D65" s="861" t="s">
        <v>168</v>
      </c>
      <c r="E65" s="860">
        <v>488144000</v>
      </c>
      <c r="F65" s="860">
        <v>293116000</v>
      </c>
      <c r="G65" s="882">
        <f t="shared" si="1"/>
        <v>60.047035301058706</v>
      </c>
      <c r="H65" s="882">
        <v>60</v>
      </c>
      <c r="I65" s="852"/>
      <c r="J65" s="802"/>
    </row>
    <row r="66" spans="3:10" ht="20.100000000000001" hidden="1" customHeight="1">
      <c r="C66" s="878"/>
      <c r="D66" s="861" t="s">
        <v>169</v>
      </c>
      <c r="E66" s="860">
        <v>480602000</v>
      </c>
      <c r="F66" s="860">
        <v>6000000</v>
      </c>
      <c r="G66" s="882">
        <f t="shared" si="1"/>
        <v>1.2484342553713885</v>
      </c>
      <c r="H66" s="882">
        <v>3</v>
      </c>
      <c r="I66" s="852"/>
      <c r="J66" s="802"/>
    </row>
    <row r="67" spans="3:10" s="656" customFormat="1" ht="20.100000000000001" hidden="1" customHeight="1">
      <c r="C67" s="881"/>
      <c r="D67" s="861" t="s">
        <v>170</v>
      </c>
      <c r="E67" s="860">
        <v>123178800</v>
      </c>
      <c r="F67" s="860">
        <v>113200000</v>
      </c>
      <c r="G67" s="882">
        <f t="shared" si="1"/>
        <v>91.898930660146064</v>
      </c>
      <c r="H67" s="882">
        <v>95</v>
      </c>
      <c r="I67" s="863"/>
      <c r="J67" s="44"/>
    </row>
    <row r="68" spans="3:10" ht="20.100000000000001" hidden="1" customHeight="1">
      <c r="C68" s="878"/>
      <c r="D68" s="861" t="s">
        <v>4070</v>
      </c>
      <c r="E68" s="860">
        <v>165100000</v>
      </c>
      <c r="F68" s="860">
        <v>117099875</v>
      </c>
      <c r="G68" s="882">
        <f t="shared" si="1"/>
        <v>70.926635372501508</v>
      </c>
      <c r="H68" s="882">
        <v>75</v>
      </c>
      <c r="I68" s="852"/>
      <c r="J68" s="802"/>
    </row>
    <row r="69" spans="3:10" s="656" customFormat="1" ht="20.100000000000001" hidden="1" customHeight="1">
      <c r="C69" s="881"/>
      <c r="D69" s="861" t="s">
        <v>171</v>
      </c>
      <c r="E69" s="860">
        <v>292985625</v>
      </c>
      <c r="F69" s="860">
        <v>239621773</v>
      </c>
      <c r="G69" s="882">
        <f t="shared" si="1"/>
        <v>81.786187632925675</v>
      </c>
      <c r="H69" s="882">
        <v>85</v>
      </c>
      <c r="I69" s="863"/>
      <c r="J69" s="44"/>
    </row>
    <row r="70" spans="3:10" s="656" customFormat="1" ht="20.100000000000001" hidden="1" customHeight="1">
      <c r="C70" s="881"/>
      <c r="D70" s="1154" t="s">
        <v>173</v>
      </c>
      <c r="E70" s="864">
        <v>6535791200</v>
      </c>
      <c r="F70" s="864">
        <v>3911679708</v>
      </c>
      <c r="G70" s="882">
        <f t="shared" si="1"/>
        <v>59.850132727618345</v>
      </c>
      <c r="H70" s="882">
        <f>SUM((H71:H75))/5</f>
        <v>71</v>
      </c>
      <c r="I70" s="863"/>
      <c r="J70" s="44"/>
    </row>
    <row r="71" spans="3:10" s="656" customFormat="1" ht="20.100000000000001" hidden="1" customHeight="1">
      <c r="C71" s="881"/>
      <c r="D71" s="861" t="s">
        <v>414</v>
      </c>
      <c r="E71" s="860">
        <v>3670000000</v>
      </c>
      <c r="F71" s="860">
        <v>1862236126</v>
      </c>
      <c r="G71" s="882">
        <f t="shared" si="1"/>
        <v>50.742128773841969</v>
      </c>
      <c r="H71" s="882">
        <v>55</v>
      </c>
      <c r="I71" s="863"/>
      <c r="J71" s="44"/>
    </row>
    <row r="72" spans="3:10" ht="20.100000000000001" hidden="1" customHeight="1">
      <c r="C72" s="878"/>
      <c r="D72" s="861" t="s">
        <v>4069</v>
      </c>
      <c r="E72" s="860">
        <v>1764461200</v>
      </c>
      <c r="F72" s="860">
        <v>1216460350</v>
      </c>
      <c r="G72" s="882">
        <f t="shared" si="1"/>
        <v>68.942312248067566</v>
      </c>
      <c r="H72" s="882">
        <v>70</v>
      </c>
      <c r="I72" s="852"/>
      <c r="J72" s="802"/>
    </row>
    <row r="73" spans="3:10" ht="20.100000000000001" hidden="1" customHeight="1">
      <c r="C73" s="878"/>
      <c r="D73" s="861" t="s">
        <v>174</v>
      </c>
      <c r="E73" s="860">
        <v>641930000</v>
      </c>
      <c r="F73" s="860">
        <v>482207750</v>
      </c>
      <c r="G73" s="882">
        <f t="shared" si="1"/>
        <v>75.118431916252547</v>
      </c>
      <c r="H73" s="882">
        <v>80</v>
      </c>
      <c r="I73" s="852"/>
      <c r="J73" s="802"/>
    </row>
    <row r="74" spans="3:10" s="656" customFormat="1" ht="20.100000000000001" hidden="1" customHeight="1">
      <c r="C74" s="881"/>
      <c r="D74" s="861" t="s">
        <v>175</v>
      </c>
      <c r="E74" s="860">
        <v>284150000</v>
      </c>
      <c r="F74" s="860">
        <v>238809148</v>
      </c>
      <c r="G74" s="882">
        <f t="shared" si="1"/>
        <v>84.043339081471061</v>
      </c>
      <c r="H74" s="882">
        <v>85</v>
      </c>
      <c r="I74" s="863"/>
      <c r="J74" s="44"/>
    </row>
    <row r="75" spans="3:10" ht="20.100000000000001" hidden="1" customHeight="1">
      <c r="C75" s="878"/>
      <c r="D75" s="861" t="s">
        <v>4068</v>
      </c>
      <c r="E75" s="860">
        <v>175250000</v>
      </c>
      <c r="F75" s="860">
        <v>111966334</v>
      </c>
      <c r="G75" s="882">
        <f t="shared" si="1"/>
        <v>63.889491583452205</v>
      </c>
      <c r="H75" s="882">
        <v>65</v>
      </c>
      <c r="I75" s="852"/>
      <c r="J75" s="802"/>
    </row>
    <row r="76" spans="3:10" s="656" customFormat="1" ht="20.100000000000001" hidden="1" customHeight="1">
      <c r="C76" s="881"/>
      <c r="D76" s="1154" t="s">
        <v>177</v>
      </c>
      <c r="E76" s="864">
        <v>103800000</v>
      </c>
      <c r="F76" s="864">
        <v>44000000</v>
      </c>
      <c r="G76" s="882">
        <f t="shared" si="1"/>
        <v>42.389210019267821</v>
      </c>
      <c r="H76" s="882">
        <v>45</v>
      </c>
      <c r="I76" s="863"/>
      <c r="J76" s="44"/>
    </row>
    <row r="77" spans="3:10" ht="20.100000000000001" hidden="1" customHeight="1">
      <c r="C77" s="878"/>
      <c r="D77" s="861" t="s">
        <v>178</v>
      </c>
      <c r="E77" s="860">
        <v>103800000</v>
      </c>
      <c r="F77" s="860">
        <v>44000000</v>
      </c>
      <c r="G77" s="882">
        <f t="shared" si="1"/>
        <v>42.389210019267821</v>
      </c>
      <c r="H77" s="882">
        <v>45</v>
      </c>
      <c r="I77" s="852"/>
      <c r="J77" s="802"/>
    </row>
    <row r="78" spans="3:10" s="656" customFormat="1" ht="20.100000000000001" hidden="1" customHeight="1">
      <c r="C78" s="881"/>
      <c r="D78" s="1154" t="s">
        <v>179</v>
      </c>
      <c r="E78" s="864">
        <v>917473800</v>
      </c>
      <c r="F78" s="864">
        <v>698263900</v>
      </c>
      <c r="G78" s="882">
        <f t="shared" si="1"/>
        <v>76.107230527999818</v>
      </c>
      <c r="H78" s="882">
        <f>SUM((H79:H83))/5</f>
        <v>83</v>
      </c>
      <c r="I78" s="863"/>
      <c r="J78" s="44"/>
    </row>
    <row r="79" spans="3:10" ht="20.100000000000001" hidden="1" customHeight="1">
      <c r="C79" s="878"/>
      <c r="D79" s="861" t="s">
        <v>181</v>
      </c>
      <c r="E79" s="860">
        <v>168818000</v>
      </c>
      <c r="F79" s="860">
        <v>113253000</v>
      </c>
      <c r="G79" s="882">
        <f t="shared" si="1"/>
        <v>67.085855773673416</v>
      </c>
      <c r="H79" s="882">
        <v>70</v>
      </c>
      <c r="I79" s="852"/>
      <c r="J79" s="802"/>
    </row>
    <row r="80" spans="3:10" ht="20.100000000000001" hidden="1" customHeight="1">
      <c r="C80" s="878"/>
      <c r="D80" s="861" t="s">
        <v>182</v>
      </c>
      <c r="E80" s="860">
        <v>114900000</v>
      </c>
      <c r="F80" s="860">
        <v>99077400</v>
      </c>
      <c r="G80" s="882">
        <f t="shared" si="1"/>
        <v>86.22924281984335</v>
      </c>
      <c r="H80" s="882">
        <v>90</v>
      </c>
      <c r="I80" s="852"/>
      <c r="J80" s="802"/>
    </row>
    <row r="81" spans="3:10" ht="20.100000000000001" hidden="1" customHeight="1">
      <c r="C81" s="878"/>
      <c r="D81" s="861" t="s">
        <v>183</v>
      </c>
      <c r="E81" s="860">
        <v>319176000</v>
      </c>
      <c r="F81" s="860">
        <v>212663700</v>
      </c>
      <c r="G81" s="882">
        <f t="shared" si="1"/>
        <v>66.628975862846829</v>
      </c>
      <c r="H81" s="882">
        <v>70</v>
      </c>
      <c r="I81" s="852"/>
      <c r="J81" s="802"/>
    </row>
    <row r="82" spans="3:10" ht="20.100000000000001" hidden="1" customHeight="1">
      <c r="C82" s="878"/>
      <c r="D82" s="861" t="s">
        <v>184</v>
      </c>
      <c r="E82" s="860">
        <v>255179800</v>
      </c>
      <c r="F82" s="860">
        <v>213889800</v>
      </c>
      <c r="G82" s="882">
        <f t="shared" si="1"/>
        <v>83.819252150836391</v>
      </c>
      <c r="H82" s="882">
        <v>85</v>
      </c>
      <c r="I82" s="852"/>
      <c r="J82" s="802"/>
    </row>
    <row r="83" spans="3:10" ht="20.100000000000001" hidden="1" customHeight="1">
      <c r="C83" s="878"/>
      <c r="D83" s="861" t="s">
        <v>4067</v>
      </c>
      <c r="E83" s="860">
        <v>59400000</v>
      </c>
      <c r="F83" s="860">
        <v>59380000</v>
      </c>
      <c r="G83" s="882">
        <f t="shared" si="1"/>
        <v>99.966329966329965</v>
      </c>
      <c r="H83" s="882">
        <v>100</v>
      </c>
      <c r="I83" s="852"/>
      <c r="J83" s="802"/>
    </row>
    <row r="84" spans="3:10" s="656" customFormat="1" ht="20.100000000000001" hidden="1" customHeight="1">
      <c r="C84" s="881"/>
      <c r="D84" s="1154" t="s">
        <v>186</v>
      </c>
      <c r="E84" s="864">
        <v>307897000</v>
      </c>
      <c r="F84" s="864">
        <v>160578400</v>
      </c>
      <c r="G84" s="882">
        <f t="shared" si="1"/>
        <v>52.153285027135695</v>
      </c>
      <c r="H84" s="882">
        <v>55</v>
      </c>
      <c r="I84" s="863"/>
      <c r="J84" s="44"/>
    </row>
    <row r="85" spans="3:10" ht="20.100000000000001" hidden="1" customHeight="1">
      <c r="C85" s="878"/>
      <c r="D85" s="861" t="s">
        <v>187</v>
      </c>
      <c r="E85" s="860">
        <v>307897000</v>
      </c>
      <c r="F85" s="860">
        <v>160578400</v>
      </c>
      <c r="G85" s="882">
        <f t="shared" si="1"/>
        <v>52.153285027135695</v>
      </c>
      <c r="H85" s="882">
        <v>55</v>
      </c>
      <c r="I85" s="852"/>
      <c r="J85" s="802"/>
    </row>
    <row r="86" spans="3:10" s="656" customFormat="1" ht="20.100000000000001" hidden="1" customHeight="1">
      <c r="C86" s="881"/>
      <c r="D86" s="1154" t="s">
        <v>190</v>
      </c>
      <c r="E86" s="864">
        <v>177600000</v>
      </c>
      <c r="F86" s="864">
        <v>155389651</v>
      </c>
      <c r="G86" s="882">
        <f t="shared" si="1"/>
        <v>87.494172860360365</v>
      </c>
      <c r="H86" s="882">
        <v>90</v>
      </c>
      <c r="I86" s="863"/>
      <c r="J86" s="44"/>
    </row>
    <row r="87" spans="3:10" ht="20.100000000000001" hidden="1" customHeight="1">
      <c r="C87" s="878"/>
      <c r="D87" s="861" t="s">
        <v>191</v>
      </c>
      <c r="E87" s="860">
        <v>177600000</v>
      </c>
      <c r="F87" s="860">
        <v>155389651</v>
      </c>
      <c r="G87" s="882">
        <f t="shared" ref="G87:G118" si="2">+F87/E87*100</f>
        <v>87.494172860360365</v>
      </c>
      <c r="H87" s="882">
        <v>90</v>
      </c>
      <c r="I87" s="852"/>
      <c r="J87" s="802"/>
    </row>
    <row r="88" spans="3:10" s="656" customFormat="1" ht="20.100000000000001" hidden="1" customHeight="1">
      <c r="C88" s="881"/>
      <c r="D88" s="1154" t="s">
        <v>192</v>
      </c>
      <c r="E88" s="864">
        <v>296775000</v>
      </c>
      <c r="F88" s="864">
        <v>295834800</v>
      </c>
      <c r="G88" s="882">
        <f t="shared" si="2"/>
        <v>99.683194339145814</v>
      </c>
      <c r="H88" s="882">
        <v>100</v>
      </c>
      <c r="I88" s="863"/>
      <c r="J88" s="44"/>
    </row>
    <row r="89" spans="3:10" ht="20.100000000000001" hidden="1" customHeight="1">
      <c r="C89" s="878"/>
      <c r="D89" s="861" t="s">
        <v>194</v>
      </c>
      <c r="E89" s="860">
        <v>139525000</v>
      </c>
      <c r="F89" s="860">
        <v>138637600</v>
      </c>
      <c r="G89" s="882">
        <f t="shared" si="2"/>
        <v>99.363984948933876</v>
      </c>
      <c r="H89" s="882">
        <v>100</v>
      </c>
      <c r="I89" s="852"/>
      <c r="J89" s="802"/>
    </row>
    <row r="90" spans="3:10" ht="20.100000000000001" hidden="1" customHeight="1">
      <c r="C90" s="878"/>
      <c r="D90" s="861" t="s">
        <v>195</v>
      </c>
      <c r="E90" s="860">
        <v>157250000</v>
      </c>
      <c r="F90" s="860">
        <v>157197200</v>
      </c>
      <c r="G90" s="882">
        <f t="shared" si="2"/>
        <v>99.96642289348172</v>
      </c>
      <c r="H90" s="882">
        <v>100</v>
      </c>
      <c r="I90" s="852"/>
      <c r="J90" s="802"/>
    </row>
    <row r="91" spans="3:10" s="656" customFormat="1" ht="20.100000000000001" hidden="1" customHeight="1">
      <c r="C91" s="881"/>
      <c r="D91" s="1154" t="s">
        <v>196</v>
      </c>
      <c r="E91" s="864">
        <v>3796690000</v>
      </c>
      <c r="F91" s="864">
        <v>3069380054</v>
      </c>
      <c r="G91" s="882">
        <f t="shared" si="2"/>
        <v>80.843578327437854</v>
      </c>
      <c r="H91" s="882">
        <f>SUM((H92:H102))/11</f>
        <v>96.818181818181813</v>
      </c>
      <c r="I91" s="863"/>
      <c r="J91" s="44"/>
    </row>
    <row r="92" spans="3:10" ht="20.100000000000001" hidden="1" customHeight="1">
      <c r="C92" s="878"/>
      <c r="D92" s="861" t="s">
        <v>197</v>
      </c>
      <c r="E92" s="860">
        <v>171100000</v>
      </c>
      <c r="F92" s="860">
        <v>171013880</v>
      </c>
      <c r="G92" s="882">
        <f t="shared" si="2"/>
        <v>99.949666861484516</v>
      </c>
      <c r="H92" s="882">
        <v>100</v>
      </c>
      <c r="I92" s="852"/>
      <c r="J92" s="802"/>
    </row>
    <row r="93" spans="3:10" s="656" customFormat="1" ht="20.100000000000001" hidden="1" customHeight="1">
      <c r="C93" s="881"/>
      <c r="D93" s="861" t="s">
        <v>198</v>
      </c>
      <c r="E93" s="860">
        <v>80000000</v>
      </c>
      <c r="F93" s="860">
        <v>79296400</v>
      </c>
      <c r="G93" s="882">
        <f t="shared" si="2"/>
        <v>99.120500000000007</v>
      </c>
      <c r="H93" s="882">
        <v>100</v>
      </c>
      <c r="I93" s="863"/>
      <c r="J93" s="44"/>
    </row>
    <row r="94" spans="3:10" ht="20.100000000000001" hidden="1" customHeight="1">
      <c r="C94" s="878"/>
      <c r="D94" s="861" t="s">
        <v>199</v>
      </c>
      <c r="E94" s="860">
        <v>1860000000</v>
      </c>
      <c r="F94" s="860">
        <v>1166649400</v>
      </c>
      <c r="G94" s="882">
        <f t="shared" si="2"/>
        <v>62.723086021505381</v>
      </c>
      <c r="H94" s="882">
        <v>65</v>
      </c>
      <c r="I94" s="852"/>
      <c r="J94" s="802"/>
    </row>
    <row r="95" spans="3:10" ht="20.100000000000001" hidden="1" customHeight="1">
      <c r="C95" s="878"/>
      <c r="D95" s="861" t="s">
        <v>201</v>
      </c>
      <c r="E95" s="860">
        <v>68400000</v>
      </c>
      <c r="F95" s="860">
        <v>67346000</v>
      </c>
      <c r="G95" s="882">
        <f t="shared" si="2"/>
        <v>98.459064327485379</v>
      </c>
      <c r="H95" s="882">
        <v>100</v>
      </c>
      <c r="I95" s="852"/>
      <c r="J95" s="802"/>
    </row>
    <row r="96" spans="3:10" ht="20.100000000000001" hidden="1" customHeight="1">
      <c r="C96" s="878"/>
      <c r="D96" s="861" t="s">
        <v>202</v>
      </c>
      <c r="E96" s="860">
        <v>153427000</v>
      </c>
      <c r="F96" s="860">
        <v>151290116</v>
      </c>
      <c r="G96" s="882">
        <f t="shared" si="2"/>
        <v>98.607230800315463</v>
      </c>
      <c r="H96" s="882">
        <v>100</v>
      </c>
      <c r="I96" s="852"/>
      <c r="J96" s="802"/>
    </row>
    <row r="97" spans="3:10" s="656" customFormat="1" ht="20.100000000000001" hidden="1" customHeight="1">
      <c r="C97" s="881"/>
      <c r="D97" s="861" t="s">
        <v>203</v>
      </c>
      <c r="E97" s="860">
        <v>50000000</v>
      </c>
      <c r="F97" s="860">
        <v>49888200</v>
      </c>
      <c r="G97" s="882">
        <f t="shared" si="2"/>
        <v>99.776399999999995</v>
      </c>
      <c r="H97" s="882">
        <v>100</v>
      </c>
      <c r="I97" s="863"/>
      <c r="J97" s="44"/>
    </row>
    <row r="98" spans="3:10" ht="20.100000000000001" hidden="1" customHeight="1">
      <c r="C98" s="878"/>
      <c r="D98" s="861" t="s">
        <v>204</v>
      </c>
      <c r="E98" s="860">
        <v>880653000</v>
      </c>
      <c r="F98" s="860">
        <v>860108050</v>
      </c>
      <c r="G98" s="882">
        <f t="shared" si="2"/>
        <v>97.667077725278844</v>
      </c>
      <c r="H98" s="882">
        <v>100</v>
      </c>
      <c r="I98" s="852"/>
      <c r="J98" s="802"/>
    </row>
    <row r="99" spans="3:10" s="656" customFormat="1" ht="20.100000000000001" hidden="1" customHeight="1">
      <c r="C99" s="881"/>
      <c r="D99" s="861" t="s">
        <v>205</v>
      </c>
      <c r="E99" s="860">
        <v>211590000</v>
      </c>
      <c r="F99" s="860">
        <v>211028200</v>
      </c>
      <c r="G99" s="882">
        <f t="shared" si="2"/>
        <v>99.734486506923773</v>
      </c>
      <c r="H99" s="882">
        <v>100</v>
      </c>
      <c r="I99" s="863"/>
      <c r="J99" s="44"/>
    </row>
    <row r="100" spans="3:10" ht="20.100000000000001" hidden="1" customHeight="1">
      <c r="C100" s="878"/>
      <c r="D100" s="861" t="s">
        <v>4066</v>
      </c>
      <c r="E100" s="860">
        <v>186520000</v>
      </c>
      <c r="F100" s="860">
        <v>180020008</v>
      </c>
      <c r="G100" s="882">
        <f t="shared" si="2"/>
        <v>96.51512331117307</v>
      </c>
      <c r="H100" s="882">
        <v>100</v>
      </c>
      <c r="I100" s="852"/>
      <c r="J100" s="802"/>
    </row>
    <row r="101" spans="3:10" ht="20.100000000000001" hidden="1" customHeight="1">
      <c r="C101" s="878"/>
      <c r="D101" s="861" t="s">
        <v>207</v>
      </c>
      <c r="E101" s="860">
        <v>85000000</v>
      </c>
      <c r="F101" s="860">
        <v>82809200</v>
      </c>
      <c r="G101" s="882">
        <f t="shared" si="2"/>
        <v>97.422588235294114</v>
      </c>
      <c r="H101" s="882">
        <v>100</v>
      </c>
      <c r="I101" s="852"/>
      <c r="J101" s="802"/>
    </row>
    <row r="102" spans="3:10" ht="20.100000000000001" hidden="1" customHeight="1">
      <c r="C102" s="878"/>
      <c r="D102" s="861" t="s">
        <v>4065</v>
      </c>
      <c r="E102" s="860">
        <v>50000000</v>
      </c>
      <c r="F102" s="860">
        <v>49930600</v>
      </c>
      <c r="G102" s="882">
        <f t="shared" si="2"/>
        <v>99.861200000000011</v>
      </c>
      <c r="H102" s="882">
        <v>100</v>
      </c>
      <c r="I102" s="852"/>
      <c r="J102" s="802"/>
    </row>
    <row r="103" spans="3:10" s="656" customFormat="1" ht="20.100000000000001" hidden="1" customHeight="1">
      <c r="C103" s="881"/>
      <c r="D103" s="1154" t="s">
        <v>210</v>
      </c>
      <c r="E103" s="864">
        <v>305600000</v>
      </c>
      <c r="F103" s="864">
        <v>293423819</v>
      </c>
      <c r="G103" s="882">
        <f t="shared" si="2"/>
        <v>96.015647578534029</v>
      </c>
      <c r="H103" s="882">
        <v>100</v>
      </c>
      <c r="I103" s="863"/>
      <c r="J103" s="44"/>
    </row>
    <row r="104" spans="3:10" ht="20.100000000000001" hidden="1" customHeight="1">
      <c r="C104" s="878"/>
      <c r="D104" s="861" t="s">
        <v>211</v>
      </c>
      <c r="E104" s="860">
        <v>305600000</v>
      </c>
      <c r="F104" s="860">
        <v>293423819</v>
      </c>
      <c r="G104" s="882">
        <f t="shared" si="2"/>
        <v>96.015647578534029</v>
      </c>
      <c r="H104" s="882">
        <v>100</v>
      </c>
      <c r="I104" s="852"/>
      <c r="J104" s="802"/>
    </row>
    <row r="105" spans="3:10" s="656" customFormat="1" ht="20.100000000000001" hidden="1" customHeight="1">
      <c r="C105" s="881"/>
      <c r="D105" s="1154" t="s">
        <v>953</v>
      </c>
      <c r="E105" s="864">
        <v>472900000</v>
      </c>
      <c r="F105" s="864">
        <v>290400000</v>
      </c>
      <c r="G105" s="882">
        <f t="shared" si="2"/>
        <v>61.408331571156694</v>
      </c>
      <c r="H105" s="882">
        <v>65</v>
      </c>
      <c r="I105" s="863"/>
      <c r="J105" s="44"/>
    </row>
    <row r="106" spans="3:10" ht="20.100000000000001" hidden="1" customHeight="1">
      <c r="C106" s="878"/>
      <c r="D106" s="861" t="s">
        <v>4064</v>
      </c>
      <c r="E106" s="860">
        <v>472900000</v>
      </c>
      <c r="F106" s="860">
        <v>290400000</v>
      </c>
      <c r="G106" s="882">
        <f t="shared" si="2"/>
        <v>61.408331571156694</v>
      </c>
      <c r="H106" s="882">
        <v>65</v>
      </c>
      <c r="I106" s="852"/>
      <c r="J106" s="802"/>
    </row>
    <row r="107" spans="3:10" s="656" customFormat="1" ht="20.100000000000001" hidden="1" customHeight="1">
      <c r="C107" s="881"/>
      <c r="D107" s="1154" t="s">
        <v>212</v>
      </c>
      <c r="E107" s="864">
        <v>142675000</v>
      </c>
      <c r="F107" s="864">
        <v>137225200</v>
      </c>
      <c r="G107" s="882">
        <f t="shared" si="2"/>
        <v>96.180269844051168</v>
      </c>
      <c r="H107" s="882">
        <v>100</v>
      </c>
      <c r="I107" s="863"/>
      <c r="J107" s="44"/>
    </row>
    <row r="108" spans="3:10" ht="21.75" hidden="1" customHeight="1">
      <c r="C108" s="878"/>
      <c r="D108" s="861" t="s">
        <v>213</v>
      </c>
      <c r="E108" s="860">
        <v>142675000</v>
      </c>
      <c r="F108" s="860">
        <v>137225200</v>
      </c>
      <c r="G108" s="882">
        <f t="shared" si="2"/>
        <v>96.180269844051168</v>
      </c>
      <c r="H108" s="882">
        <v>100</v>
      </c>
      <c r="I108" s="852"/>
      <c r="J108" s="802"/>
    </row>
    <row r="109" spans="3:10" s="656" customFormat="1" ht="20.100000000000001" hidden="1" customHeight="1">
      <c r="C109" s="881"/>
      <c r="D109" s="1154" t="s">
        <v>215</v>
      </c>
      <c r="E109" s="864">
        <v>1382709960</v>
      </c>
      <c r="F109" s="864">
        <v>1281618300</v>
      </c>
      <c r="G109" s="882">
        <f t="shared" si="2"/>
        <v>92.688874534468539</v>
      </c>
      <c r="H109" s="882">
        <f>SUM((H110:H112))/3</f>
        <v>96.666666666666671</v>
      </c>
      <c r="I109" s="863"/>
      <c r="J109" s="44"/>
    </row>
    <row r="110" spans="3:10" ht="20.100000000000001" hidden="1" customHeight="1">
      <c r="C110" s="878"/>
      <c r="D110" s="861" t="s">
        <v>216</v>
      </c>
      <c r="E110" s="860">
        <v>292881865</v>
      </c>
      <c r="F110" s="860">
        <v>289278400</v>
      </c>
      <c r="G110" s="882">
        <f t="shared" si="2"/>
        <v>98.769652398928827</v>
      </c>
      <c r="H110" s="882">
        <v>100</v>
      </c>
      <c r="I110" s="852"/>
      <c r="J110" s="802"/>
    </row>
    <row r="111" spans="3:10" ht="20.100000000000001" hidden="1" customHeight="1">
      <c r="C111" s="878"/>
      <c r="D111" s="861" t="s">
        <v>217</v>
      </c>
      <c r="E111" s="860">
        <v>220771000</v>
      </c>
      <c r="F111" s="860">
        <v>219731400</v>
      </c>
      <c r="G111" s="882">
        <f t="shared" si="2"/>
        <v>99.529104819020617</v>
      </c>
      <c r="H111" s="882">
        <v>100</v>
      </c>
      <c r="I111" s="852"/>
      <c r="J111" s="802"/>
    </row>
    <row r="112" spans="3:10" ht="20.100000000000001" hidden="1" customHeight="1">
      <c r="C112" s="878"/>
      <c r="D112" s="861" t="s">
        <v>218</v>
      </c>
      <c r="E112" s="860">
        <v>869057095</v>
      </c>
      <c r="F112" s="860">
        <v>772608500</v>
      </c>
      <c r="G112" s="882">
        <f t="shared" si="2"/>
        <v>88.901926518418222</v>
      </c>
      <c r="H112" s="882">
        <v>90</v>
      </c>
      <c r="I112" s="852"/>
      <c r="J112" s="802"/>
    </row>
    <row r="113" spans="3:10" s="656" customFormat="1" ht="20.100000000000001" hidden="1" customHeight="1">
      <c r="C113" s="881"/>
      <c r="D113" s="1154" t="s">
        <v>219</v>
      </c>
      <c r="E113" s="864">
        <v>155100000</v>
      </c>
      <c r="F113" s="864">
        <v>136650000</v>
      </c>
      <c r="G113" s="882">
        <f t="shared" si="2"/>
        <v>88.104448742746612</v>
      </c>
      <c r="H113" s="882">
        <v>90</v>
      </c>
      <c r="I113" s="863"/>
      <c r="J113" s="44"/>
    </row>
    <row r="114" spans="3:10" ht="20.100000000000001" hidden="1" customHeight="1">
      <c r="C114" s="878"/>
      <c r="D114" s="861" t="s">
        <v>2381</v>
      </c>
      <c r="E114" s="860">
        <v>155100000</v>
      </c>
      <c r="F114" s="860">
        <v>136650000</v>
      </c>
      <c r="G114" s="882">
        <f t="shared" si="2"/>
        <v>88.104448742746612</v>
      </c>
      <c r="H114" s="882">
        <v>90</v>
      </c>
      <c r="I114" s="852"/>
      <c r="J114" s="802"/>
    </row>
    <row r="115" spans="3:10" s="656" customFormat="1" ht="20.100000000000001" hidden="1" customHeight="1">
      <c r="C115" s="881"/>
      <c r="D115" s="1154" t="s">
        <v>221</v>
      </c>
      <c r="E115" s="864">
        <v>31087451815</v>
      </c>
      <c r="F115" s="864">
        <v>27466243673.5</v>
      </c>
      <c r="G115" s="882">
        <f t="shared" si="2"/>
        <v>88.351544015091221</v>
      </c>
      <c r="H115" s="882">
        <f>SUM((H116:H126))/11</f>
        <v>65.909090909090907</v>
      </c>
      <c r="I115" s="863"/>
      <c r="J115" s="44"/>
    </row>
    <row r="116" spans="3:10" ht="20.100000000000001" hidden="1" customHeight="1">
      <c r="C116" s="878"/>
      <c r="D116" s="861" t="s">
        <v>222</v>
      </c>
      <c r="E116" s="860">
        <v>3299936000</v>
      </c>
      <c r="F116" s="860">
        <v>2687040363</v>
      </c>
      <c r="G116" s="882">
        <f t="shared" si="2"/>
        <v>81.427044736625191</v>
      </c>
      <c r="H116" s="882">
        <v>85</v>
      </c>
      <c r="I116" s="852"/>
      <c r="J116" s="802"/>
    </row>
    <row r="117" spans="3:10" ht="20.100000000000001" hidden="1" customHeight="1">
      <c r="C117" s="878"/>
      <c r="D117" s="861" t="s">
        <v>225</v>
      </c>
      <c r="E117" s="860">
        <v>1203546815</v>
      </c>
      <c r="F117" s="860">
        <v>1036788896</v>
      </c>
      <c r="G117" s="882">
        <f t="shared" si="2"/>
        <v>86.144459283040021</v>
      </c>
      <c r="H117" s="882">
        <v>90</v>
      </c>
      <c r="I117" s="852"/>
      <c r="J117" s="802"/>
    </row>
    <row r="118" spans="3:10" ht="20.100000000000001" hidden="1" customHeight="1">
      <c r="C118" s="878"/>
      <c r="D118" s="861" t="s">
        <v>4063</v>
      </c>
      <c r="E118" s="860">
        <v>300000000</v>
      </c>
      <c r="F118" s="860">
        <v>299796069</v>
      </c>
      <c r="G118" s="882">
        <f t="shared" si="2"/>
        <v>99.932023000000001</v>
      </c>
      <c r="H118" s="882">
        <v>100</v>
      </c>
      <c r="I118" s="852"/>
      <c r="J118" s="802"/>
    </row>
    <row r="119" spans="3:10" s="656" customFormat="1" ht="20.100000000000001" hidden="1" customHeight="1">
      <c r="C119" s="881"/>
      <c r="D119" s="861" t="s">
        <v>226</v>
      </c>
      <c r="E119" s="860">
        <v>120000000</v>
      </c>
      <c r="F119" s="860">
        <v>0</v>
      </c>
      <c r="G119" s="882">
        <f t="shared" ref="G119:G142" si="3">+F119/E119*100</f>
        <v>0</v>
      </c>
      <c r="H119" s="882">
        <f>+G119</f>
        <v>0</v>
      </c>
      <c r="I119" s="863"/>
      <c r="J119" s="44"/>
    </row>
    <row r="120" spans="3:10" ht="20.100000000000001" hidden="1" customHeight="1">
      <c r="C120" s="878"/>
      <c r="D120" s="861" t="s">
        <v>227</v>
      </c>
      <c r="E120" s="860">
        <v>200000000</v>
      </c>
      <c r="F120" s="860">
        <v>192095000</v>
      </c>
      <c r="G120" s="882">
        <f t="shared" si="3"/>
        <v>96.047499999999999</v>
      </c>
      <c r="H120" s="882">
        <v>100</v>
      </c>
      <c r="I120" s="852"/>
      <c r="J120" s="802"/>
    </row>
    <row r="121" spans="3:10" ht="21.75" hidden="1" customHeight="1">
      <c r="C121" s="878"/>
      <c r="D121" s="861" t="s">
        <v>229</v>
      </c>
      <c r="E121" s="860">
        <v>8000000000</v>
      </c>
      <c r="F121" s="860">
        <v>7116776529</v>
      </c>
      <c r="G121" s="882">
        <f t="shared" si="3"/>
        <v>88.9597066125</v>
      </c>
      <c r="H121" s="882">
        <v>90</v>
      </c>
      <c r="I121" s="852"/>
      <c r="J121" s="802"/>
    </row>
    <row r="122" spans="3:10" s="656" customFormat="1" ht="20.100000000000001" hidden="1" customHeight="1">
      <c r="C122" s="881"/>
      <c r="D122" s="861" t="s">
        <v>230</v>
      </c>
      <c r="E122" s="860">
        <v>13674869000</v>
      </c>
      <c r="F122" s="860">
        <v>13110420218.5</v>
      </c>
      <c r="G122" s="882">
        <f t="shared" si="3"/>
        <v>95.872364250801965</v>
      </c>
      <c r="H122" s="882">
        <v>100</v>
      </c>
      <c r="I122" s="863"/>
      <c r="J122" s="44"/>
    </row>
    <row r="123" spans="3:10" ht="20.100000000000001" hidden="1" customHeight="1">
      <c r="C123" s="878"/>
      <c r="D123" s="861" t="s">
        <v>4062</v>
      </c>
      <c r="E123" s="860">
        <v>325000000</v>
      </c>
      <c r="F123" s="860">
        <v>0</v>
      </c>
      <c r="G123" s="882">
        <f t="shared" si="3"/>
        <v>0</v>
      </c>
      <c r="H123" s="882">
        <f>+G123</f>
        <v>0</v>
      </c>
      <c r="I123" s="852"/>
      <c r="J123" s="802"/>
    </row>
    <row r="124" spans="3:10" s="656" customFormat="1" ht="20.100000000000001" hidden="1" customHeight="1">
      <c r="C124" s="881"/>
      <c r="D124" s="861" t="s">
        <v>4061</v>
      </c>
      <c r="E124" s="860">
        <v>2860000000</v>
      </c>
      <c r="F124" s="860">
        <v>2521654202</v>
      </c>
      <c r="G124" s="882">
        <f t="shared" si="3"/>
        <v>88.169727342657339</v>
      </c>
      <c r="H124" s="882">
        <v>90</v>
      </c>
      <c r="I124" s="863"/>
      <c r="J124" s="44"/>
    </row>
    <row r="125" spans="3:10" ht="20.100000000000001" hidden="1" customHeight="1">
      <c r="C125" s="878"/>
      <c r="D125" s="861" t="s">
        <v>232</v>
      </c>
      <c r="E125" s="860">
        <v>754100000</v>
      </c>
      <c r="F125" s="860">
        <v>501672396</v>
      </c>
      <c r="G125" s="882">
        <f t="shared" si="3"/>
        <v>66.525977456570757</v>
      </c>
      <c r="H125" s="882">
        <v>70</v>
      </c>
      <c r="I125" s="852"/>
      <c r="J125" s="802"/>
    </row>
    <row r="126" spans="3:10" ht="20.100000000000001" hidden="1" customHeight="1">
      <c r="C126" s="878"/>
      <c r="D126" s="861" t="s">
        <v>4060</v>
      </c>
      <c r="E126" s="860">
        <v>350000000</v>
      </c>
      <c r="F126" s="860">
        <v>0</v>
      </c>
      <c r="G126" s="882">
        <f t="shared" si="3"/>
        <v>0</v>
      </c>
      <c r="H126" s="882">
        <f>+G126</f>
        <v>0</v>
      </c>
      <c r="I126" s="852"/>
      <c r="J126" s="802"/>
    </row>
    <row r="127" spans="3:10" s="656" customFormat="1" ht="20.100000000000001" hidden="1" customHeight="1">
      <c r="C127" s="881"/>
      <c r="D127" s="1154" t="s">
        <v>235</v>
      </c>
      <c r="E127" s="864">
        <v>10402675000</v>
      </c>
      <c r="F127" s="864">
        <v>10096492499</v>
      </c>
      <c r="G127" s="882">
        <f t="shared" si="3"/>
        <v>97.056694542509504</v>
      </c>
      <c r="H127" s="882">
        <f>SUM((H128:H132))/5</f>
        <v>97</v>
      </c>
      <c r="I127" s="863"/>
      <c r="J127" s="44"/>
    </row>
    <row r="128" spans="3:10" s="656" customFormat="1" ht="20.100000000000001" hidden="1" customHeight="1">
      <c r="C128" s="881"/>
      <c r="D128" s="861" t="s">
        <v>236</v>
      </c>
      <c r="E128" s="860">
        <v>2170500000</v>
      </c>
      <c r="F128" s="860">
        <v>2152291878</v>
      </c>
      <c r="G128" s="882">
        <f t="shared" si="3"/>
        <v>99.161109329647545</v>
      </c>
      <c r="H128" s="882">
        <v>100</v>
      </c>
      <c r="I128" s="863"/>
      <c r="J128" s="44"/>
    </row>
    <row r="129" spans="3:10" s="656" customFormat="1" ht="20.100000000000001" hidden="1" customHeight="1">
      <c r="C129" s="881"/>
      <c r="D129" s="861" t="s">
        <v>237</v>
      </c>
      <c r="E129" s="860">
        <v>5842230000</v>
      </c>
      <c r="F129" s="860">
        <v>5789620000</v>
      </c>
      <c r="G129" s="882">
        <f t="shared" si="3"/>
        <v>99.099487695623083</v>
      </c>
      <c r="H129" s="882">
        <v>100</v>
      </c>
      <c r="I129" s="863"/>
      <c r="J129" s="44"/>
    </row>
    <row r="130" spans="3:10" ht="20.100000000000001" hidden="1" customHeight="1">
      <c r="C130" s="878"/>
      <c r="D130" s="861" t="s">
        <v>238</v>
      </c>
      <c r="E130" s="860">
        <v>593500000</v>
      </c>
      <c r="F130" s="860">
        <v>544227467</v>
      </c>
      <c r="G130" s="882">
        <f t="shared" si="3"/>
        <v>91.697972535804553</v>
      </c>
      <c r="H130" s="882">
        <v>95</v>
      </c>
      <c r="I130" s="852"/>
      <c r="J130" s="802"/>
    </row>
    <row r="131" spans="3:10" ht="20.100000000000001" hidden="1" customHeight="1">
      <c r="C131" s="878"/>
      <c r="D131" s="861" t="s">
        <v>4059</v>
      </c>
      <c r="E131" s="860">
        <v>1400320000</v>
      </c>
      <c r="F131" s="860">
        <v>1228501829</v>
      </c>
      <c r="G131" s="882">
        <f t="shared" si="3"/>
        <v>87.730078053587761</v>
      </c>
      <c r="H131" s="882">
        <v>90</v>
      </c>
      <c r="I131" s="852"/>
      <c r="J131" s="802"/>
    </row>
    <row r="132" spans="3:10" ht="20.100000000000001" hidden="1" customHeight="1">
      <c r="C132" s="878"/>
      <c r="D132" s="861" t="s">
        <v>4058</v>
      </c>
      <c r="E132" s="860">
        <v>396125000</v>
      </c>
      <c r="F132" s="860">
        <v>381851325</v>
      </c>
      <c r="G132" s="882">
        <f t="shared" si="3"/>
        <v>96.39667402966235</v>
      </c>
      <c r="H132" s="882">
        <v>100</v>
      </c>
      <c r="I132" s="852"/>
      <c r="J132" s="802"/>
    </row>
    <row r="133" spans="3:10" s="656" customFormat="1" ht="20.100000000000001" hidden="1" customHeight="1">
      <c r="C133" s="881"/>
      <c r="D133" s="1154" t="s">
        <v>240</v>
      </c>
      <c r="E133" s="864">
        <v>790500000</v>
      </c>
      <c r="F133" s="864">
        <v>750714947</v>
      </c>
      <c r="G133" s="882">
        <f t="shared" si="3"/>
        <v>94.967102719797595</v>
      </c>
      <c r="H133" s="882">
        <f>195/2</f>
        <v>97.5</v>
      </c>
      <c r="I133" s="863"/>
      <c r="J133" s="44"/>
    </row>
    <row r="134" spans="3:10" ht="20.100000000000001" hidden="1" customHeight="1">
      <c r="C134" s="878"/>
      <c r="D134" s="861" t="s">
        <v>241</v>
      </c>
      <c r="E134" s="860">
        <v>331468001</v>
      </c>
      <c r="F134" s="860">
        <v>330059938</v>
      </c>
      <c r="G134" s="882">
        <f t="shared" si="3"/>
        <v>99.575203942536831</v>
      </c>
      <c r="H134" s="882">
        <v>100</v>
      </c>
      <c r="I134" s="852"/>
      <c r="J134" s="802"/>
    </row>
    <row r="135" spans="3:10" ht="20.100000000000001" hidden="1" customHeight="1">
      <c r="C135" s="878"/>
      <c r="D135" s="861" t="s">
        <v>242</v>
      </c>
      <c r="E135" s="860">
        <v>459031999</v>
      </c>
      <c r="F135" s="860">
        <v>420655009</v>
      </c>
      <c r="G135" s="882">
        <f t="shared" si="3"/>
        <v>91.639582843112422</v>
      </c>
      <c r="H135" s="882">
        <v>95</v>
      </c>
      <c r="I135" s="852"/>
      <c r="J135" s="802"/>
    </row>
    <row r="136" spans="3:10" s="656" customFormat="1" ht="20.100000000000001" hidden="1" customHeight="1">
      <c r="C136" s="881"/>
      <c r="D136" s="1154" t="s">
        <v>243</v>
      </c>
      <c r="E136" s="864">
        <v>100000000</v>
      </c>
      <c r="F136" s="864">
        <v>99459600</v>
      </c>
      <c r="G136" s="882">
        <f t="shared" si="3"/>
        <v>99.459600000000009</v>
      </c>
      <c r="H136" s="882">
        <f>SUM((H137:H142))/6</f>
        <v>91.666666666666671</v>
      </c>
      <c r="I136" s="863"/>
      <c r="J136" s="44"/>
    </row>
    <row r="137" spans="3:10" ht="20.100000000000001" hidden="1" customHeight="1">
      <c r="C137" s="878"/>
      <c r="D137" s="861" t="s">
        <v>244</v>
      </c>
      <c r="E137" s="860">
        <v>100000000</v>
      </c>
      <c r="F137" s="860">
        <v>99459600</v>
      </c>
      <c r="G137" s="882">
        <f t="shared" si="3"/>
        <v>99.459600000000009</v>
      </c>
      <c r="H137" s="882">
        <v>100</v>
      </c>
      <c r="I137" s="852"/>
      <c r="J137" s="802"/>
    </row>
    <row r="138" spans="3:10" ht="20.100000000000001" hidden="1" customHeight="1">
      <c r="C138" s="878"/>
      <c r="D138" s="1155" t="s">
        <v>245</v>
      </c>
      <c r="E138" s="860">
        <v>1579620000</v>
      </c>
      <c r="F138" s="860">
        <v>1372676298</v>
      </c>
      <c r="G138" s="882">
        <f t="shared" si="3"/>
        <v>86.899146503589478</v>
      </c>
      <c r="H138" s="882">
        <v>90</v>
      </c>
      <c r="I138" s="852"/>
      <c r="J138" s="802"/>
    </row>
    <row r="139" spans="3:10" ht="20.100000000000001" hidden="1" customHeight="1">
      <c r="C139" s="878"/>
      <c r="D139" s="861" t="s">
        <v>246</v>
      </c>
      <c r="E139" s="860">
        <v>301330000</v>
      </c>
      <c r="F139" s="860">
        <v>292241604</v>
      </c>
      <c r="G139" s="882">
        <f t="shared" si="3"/>
        <v>96.983906016659475</v>
      </c>
      <c r="H139" s="882">
        <v>100</v>
      </c>
      <c r="I139" s="852"/>
      <c r="J139" s="802"/>
    </row>
    <row r="140" spans="3:10" s="656" customFormat="1" ht="20.100000000000001" hidden="1" customHeight="1">
      <c r="C140" s="881"/>
      <c r="D140" s="861" t="s">
        <v>247</v>
      </c>
      <c r="E140" s="860">
        <v>249750000</v>
      </c>
      <c r="F140" s="860">
        <v>204039700</v>
      </c>
      <c r="G140" s="882">
        <f t="shared" si="3"/>
        <v>81.697577577577576</v>
      </c>
      <c r="H140" s="882">
        <v>85</v>
      </c>
      <c r="I140" s="863"/>
      <c r="J140" s="44"/>
    </row>
    <row r="141" spans="3:10" ht="20.100000000000001" hidden="1" customHeight="1">
      <c r="C141" s="878"/>
      <c r="D141" s="861" t="s">
        <v>4057</v>
      </c>
      <c r="E141" s="860">
        <v>782190000</v>
      </c>
      <c r="F141" s="860">
        <v>659353183</v>
      </c>
      <c r="G141" s="882">
        <f t="shared" si="3"/>
        <v>84.295782738209397</v>
      </c>
      <c r="H141" s="882">
        <v>85</v>
      </c>
      <c r="I141" s="852"/>
      <c r="J141" s="802"/>
    </row>
    <row r="142" spans="3:10" s="656" customFormat="1" ht="20.100000000000001" hidden="1" customHeight="1">
      <c r="C142" s="881"/>
      <c r="D142" s="861" t="s">
        <v>248</v>
      </c>
      <c r="E142" s="860">
        <v>246350000</v>
      </c>
      <c r="F142" s="860">
        <v>217041811</v>
      </c>
      <c r="G142" s="882">
        <f t="shared" si="3"/>
        <v>88.103028617820172</v>
      </c>
      <c r="H142" s="882">
        <v>90</v>
      </c>
      <c r="I142" s="863"/>
      <c r="J142" s="44"/>
    </row>
    <row r="143" spans="3:10" ht="15" hidden="1" customHeight="1">
      <c r="C143" s="878"/>
      <c r="D143" s="869"/>
      <c r="E143" s="868"/>
      <c r="F143" s="868"/>
      <c r="G143" s="882"/>
      <c r="H143" s="882"/>
      <c r="I143" s="852"/>
      <c r="J143" s="802"/>
    </row>
    <row r="144" spans="3:10" s="656" customFormat="1" ht="20.100000000000001" hidden="1" customHeight="1">
      <c r="C144" s="881"/>
      <c r="D144" s="870" t="s">
        <v>573</v>
      </c>
      <c r="E144" s="864">
        <v>8000000000</v>
      </c>
      <c r="F144" s="864">
        <v>7771911500</v>
      </c>
      <c r="G144" s="882">
        <f t="shared" ref="G144:G157" si="4">+F144/E144*100</f>
        <v>97.148893749999999</v>
      </c>
      <c r="H144" s="882">
        <f>(H145+H148+H152)/3</f>
        <v>98.055555555555557</v>
      </c>
      <c r="I144" s="863"/>
      <c r="J144" s="44"/>
    </row>
    <row r="145" spans="3:10" s="656" customFormat="1" ht="20.100000000000001" hidden="1" customHeight="1">
      <c r="C145" s="881"/>
      <c r="D145" s="1154" t="s">
        <v>250</v>
      </c>
      <c r="E145" s="864">
        <v>1500000000</v>
      </c>
      <c r="F145" s="864">
        <v>1458980600</v>
      </c>
      <c r="G145" s="882">
        <f t="shared" si="4"/>
        <v>97.265373333333343</v>
      </c>
      <c r="H145" s="882">
        <f>195/2</f>
        <v>97.5</v>
      </c>
      <c r="I145" s="863"/>
      <c r="J145" s="44"/>
    </row>
    <row r="146" spans="3:10" ht="20.100000000000001" hidden="1" customHeight="1">
      <c r="C146" s="878"/>
      <c r="D146" s="861" t="s">
        <v>4056</v>
      </c>
      <c r="E146" s="860">
        <v>1200000000</v>
      </c>
      <c r="F146" s="860">
        <v>1175748400</v>
      </c>
      <c r="G146" s="882">
        <f t="shared" si="4"/>
        <v>97.979033333333334</v>
      </c>
      <c r="H146" s="882">
        <v>100</v>
      </c>
      <c r="I146" s="852"/>
      <c r="J146" s="802"/>
    </row>
    <row r="147" spans="3:10" ht="20.100000000000001" hidden="1" customHeight="1">
      <c r="C147" s="878"/>
      <c r="D147" s="861" t="s">
        <v>251</v>
      </c>
      <c r="E147" s="860">
        <v>300000000</v>
      </c>
      <c r="F147" s="860">
        <v>283232200</v>
      </c>
      <c r="G147" s="882">
        <f t="shared" si="4"/>
        <v>94.410733333333326</v>
      </c>
      <c r="H147" s="882">
        <v>95</v>
      </c>
      <c r="I147" s="852"/>
      <c r="J147" s="802"/>
    </row>
    <row r="148" spans="3:10" s="656" customFormat="1" ht="20.100000000000001" hidden="1" customHeight="1">
      <c r="C148" s="881"/>
      <c r="D148" s="1154" t="s">
        <v>253</v>
      </c>
      <c r="E148" s="864">
        <v>3364500000</v>
      </c>
      <c r="F148" s="864">
        <v>3200188100</v>
      </c>
      <c r="G148" s="882">
        <f t="shared" si="4"/>
        <v>95.11630554317135</v>
      </c>
      <c r="H148" s="882">
        <f>SUM((H149:H151))/3</f>
        <v>96.666666666666671</v>
      </c>
      <c r="I148" s="863"/>
      <c r="J148" s="44"/>
    </row>
    <row r="149" spans="3:10" ht="20.100000000000001" hidden="1" customHeight="1">
      <c r="C149" s="878"/>
      <c r="D149" s="861" t="s">
        <v>4055</v>
      </c>
      <c r="E149" s="860">
        <v>1296800000</v>
      </c>
      <c r="F149" s="860">
        <v>1258327900</v>
      </c>
      <c r="G149" s="882">
        <f t="shared" si="4"/>
        <v>97.033305058605805</v>
      </c>
      <c r="H149" s="882">
        <v>100</v>
      </c>
      <c r="I149" s="852"/>
      <c r="J149" s="802"/>
    </row>
    <row r="150" spans="3:10" ht="20.100000000000001" hidden="1" customHeight="1">
      <c r="C150" s="878"/>
      <c r="D150" s="861" t="s">
        <v>254</v>
      </c>
      <c r="E150" s="860">
        <v>500000000</v>
      </c>
      <c r="F150" s="860">
        <v>455309100</v>
      </c>
      <c r="G150" s="882">
        <f t="shared" si="4"/>
        <v>91.061820000000012</v>
      </c>
      <c r="H150" s="882">
        <v>95</v>
      </c>
      <c r="I150" s="852"/>
      <c r="J150" s="802"/>
    </row>
    <row r="151" spans="3:10" ht="20.100000000000001" hidden="1" customHeight="1">
      <c r="C151" s="878"/>
      <c r="D151" s="861" t="s">
        <v>4054</v>
      </c>
      <c r="E151" s="860">
        <v>1567700000</v>
      </c>
      <c r="F151" s="860">
        <v>1486551100</v>
      </c>
      <c r="G151" s="882">
        <f t="shared" si="4"/>
        <v>94.82369713593161</v>
      </c>
      <c r="H151" s="882">
        <v>95</v>
      </c>
      <c r="I151" s="852"/>
      <c r="J151" s="802"/>
    </row>
    <row r="152" spans="3:10" s="656" customFormat="1" ht="20.100000000000001" hidden="1" customHeight="1">
      <c r="C152" s="881"/>
      <c r="D152" s="1154" t="s">
        <v>255</v>
      </c>
      <c r="E152" s="864">
        <v>1426500000</v>
      </c>
      <c r="F152" s="864">
        <v>1419740000</v>
      </c>
      <c r="G152" s="882">
        <f t="shared" si="4"/>
        <v>99.526112863652287</v>
      </c>
      <c r="H152" s="882">
        <v>100</v>
      </c>
      <c r="I152" s="863"/>
      <c r="J152" s="44"/>
    </row>
    <row r="153" spans="3:10" ht="20.100000000000001" hidden="1" customHeight="1">
      <c r="C153" s="878"/>
      <c r="D153" s="861" t="s">
        <v>4053</v>
      </c>
      <c r="E153" s="860">
        <v>1426500000</v>
      </c>
      <c r="F153" s="860">
        <v>1419740000</v>
      </c>
      <c r="G153" s="882">
        <f t="shared" si="4"/>
        <v>99.526112863652287</v>
      </c>
      <c r="H153" s="882">
        <v>100</v>
      </c>
      <c r="I153" s="852"/>
      <c r="J153" s="802"/>
    </row>
    <row r="154" spans="3:10" s="656" customFormat="1" ht="20.100000000000001" hidden="1" customHeight="1">
      <c r="C154" s="881"/>
      <c r="D154" s="1154" t="s">
        <v>257</v>
      </c>
      <c r="E154" s="864">
        <v>1055390000</v>
      </c>
      <c r="F154" s="864">
        <v>1039958300</v>
      </c>
      <c r="G154" s="882">
        <f t="shared" si="4"/>
        <v>98.537820142317059</v>
      </c>
      <c r="H154" s="882">
        <v>100</v>
      </c>
      <c r="I154" s="863"/>
      <c r="J154" s="44"/>
    </row>
    <row r="155" spans="3:10" ht="20.100000000000001" hidden="1" customHeight="1">
      <c r="C155" s="878"/>
      <c r="D155" s="861" t="s">
        <v>258</v>
      </c>
      <c r="E155" s="860">
        <v>1055390000</v>
      </c>
      <c r="F155" s="860">
        <v>1039958300</v>
      </c>
      <c r="G155" s="882">
        <f t="shared" si="4"/>
        <v>98.537820142317059</v>
      </c>
      <c r="H155" s="882">
        <v>100</v>
      </c>
      <c r="I155" s="852"/>
      <c r="J155" s="802"/>
    </row>
    <row r="156" spans="3:10" s="656" customFormat="1" ht="20.100000000000001" hidden="1" customHeight="1">
      <c r="C156" s="881"/>
      <c r="D156" s="1154" t="s">
        <v>259</v>
      </c>
      <c r="E156" s="864">
        <v>653610000</v>
      </c>
      <c r="F156" s="864">
        <v>653044500</v>
      </c>
      <c r="G156" s="882">
        <f t="shared" si="4"/>
        <v>99.91348051590397</v>
      </c>
      <c r="H156" s="882">
        <v>100</v>
      </c>
      <c r="I156" s="863"/>
      <c r="J156" s="44"/>
    </row>
    <row r="157" spans="3:10" ht="20.100000000000001" hidden="1" customHeight="1">
      <c r="C157" s="878"/>
      <c r="D157" s="861" t="s">
        <v>260</v>
      </c>
      <c r="E157" s="860">
        <v>653610000</v>
      </c>
      <c r="F157" s="860">
        <v>653044500</v>
      </c>
      <c r="G157" s="882">
        <f t="shared" si="4"/>
        <v>99.91348051590397</v>
      </c>
      <c r="H157" s="882">
        <v>100</v>
      </c>
      <c r="I157" s="852"/>
      <c r="J157" s="802"/>
    </row>
    <row r="158" spans="3:10" ht="15" hidden="1" customHeight="1">
      <c r="C158" s="878"/>
      <c r="D158" s="869"/>
      <c r="E158" s="868"/>
      <c r="F158" s="868"/>
      <c r="G158" s="882"/>
      <c r="H158" s="882"/>
      <c r="I158" s="852"/>
      <c r="J158" s="802"/>
    </row>
    <row r="159" spans="3:10" s="656" customFormat="1" ht="20.100000000000001" hidden="1" customHeight="1">
      <c r="C159" s="881"/>
      <c r="D159" s="870" t="s">
        <v>2063</v>
      </c>
      <c r="E159" s="864">
        <v>3000000000</v>
      </c>
      <c r="F159" s="864">
        <v>2841939400</v>
      </c>
      <c r="G159" s="882">
        <f t="shared" ref="G159:G172" si="5">+F159/E159*100</f>
        <v>94.731313333333333</v>
      </c>
      <c r="H159" s="882">
        <f>(H160+H162+H166)/3</f>
        <v>93.8888888888889</v>
      </c>
      <c r="I159" s="863"/>
      <c r="J159" s="44"/>
    </row>
    <row r="160" spans="3:10" s="656" customFormat="1" ht="20.100000000000001" hidden="1" customHeight="1">
      <c r="C160" s="881"/>
      <c r="D160" s="1154" t="s">
        <v>546</v>
      </c>
      <c r="E160" s="864">
        <v>404450000</v>
      </c>
      <c r="F160" s="864">
        <v>347076000</v>
      </c>
      <c r="G160" s="882">
        <f t="shared" si="5"/>
        <v>85.814315737421182</v>
      </c>
      <c r="H160" s="882">
        <v>90</v>
      </c>
      <c r="I160" s="863"/>
      <c r="J160" s="44"/>
    </row>
    <row r="161" spans="3:10" ht="20.100000000000001" hidden="1" customHeight="1">
      <c r="C161" s="878"/>
      <c r="D161" s="861" t="s">
        <v>4052</v>
      </c>
      <c r="E161" s="860">
        <v>404450000</v>
      </c>
      <c r="F161" s="860">
        <v>347076000</v>
      </c>
      <c r="G161" s="882">
        <f t="shared" si="5"/>
        <v>85.814315737421182</v>
      </c>
      <c r="H161" s="882">
        <v>90</v>
      </c>
      <c r="I161" s="852"/>
      <c r="J161" s="802"/>
    </row>
    <row r="162" spans="3:10" s="656" customFormat="1" ht="20.100000000000001" hidden="1" customHeight="1">
      <c r="C162" s="881"/>
      <c r="D162" s="1154" t="s">
        <v>356</v>
      </c>
      <c r="E162" s="864">
        <v>997085250</v>
      </c>
      <c r="F162" s="864">
        <v>909956550</v>
      </c>
      <c r="G162" s="882">
        <f t="shared" si="5"/>
        <v>91.261659923261334</v>
      </c>
      <c r="H162" s="882">
        <f>SUM((H163:H165))/3</f>
        <v>91.666666666666671</v>
      </c>
      <c r="I162" s="863"/>
      <c r="J162" s="44"/>
    </row>
    <row r="163" spans="3:10" ht="20.100000000000001" hidden="1" customHeight="1">
      <c r="C163" s="878"/>
      <c r="D163" s="861" t="s">
        <v>4051</v>
      </c>
      <c r="E163" s="860">
        <v>250000000</v>
      </c>
      <c r="F163" s="860">
        <v>248335300</v>
      </c>
      <c r="G163" s="882">
        <f t="shared" si="5"/>
        <v>99.334119999999999</v>
      </c>
      <c r="H163" s="882">
        <v>100</v>
      </c>
      <c r="I163" s="852"/>
      <c r="J163" s="802"/>
    </row>
    <row r="164" spans="3:10" ht="20.100000000000001" hidden="1" customHeight="1">
      <c r="C164" s="878"/>
      <c r="D164" s="861" t="s">
        <v>4050</v>
      </c>
      <c r="E164" s="860">
        <v>301535250</v>
      </c>
      <c r="F164" s="860">
        <v>217666250</v>
      </c>
      <c r="G164" s="882">
        <f t="shared" si="5"/>
        <v>72.186004787168329</v>
      </c>
      <c r="H164" s="882">
        <v>75</v>
      </c>
      <c r="I164" s="852"/>
      <c r="J164" s="802"/>
    </row>
    <row r="165" spans="3:10" ht="20.100000000000001" hidden="1" customHeight="1">
      <c r="C165" s="878"/>
      <c r="D165" s="861" t="s">
        <v>4049</v>
      </c>
      <c r="E165" s="860">
        <v>445550000</v>
      </c>
      <c r="F165" s="860">
        <v>443955000</v>
      </c>
      <c r="G165" s="882">
        <f t="shared" si="5"/>
        <v>99.642015486477391</v>
      </c>
      <c r="H165" s="882">
        <v>100</v>
      </c>
      <c r="I165" s="852"/>
      <c r="J165" s="802"/>
    </row>
    <row r="166" spans="3:10" s="656" customFormat="1" ht="20.100000000000001" hidden="1" customHeight="1">
      <c r="C166" s="881"/>
      <c r="D166" s="1154" t="s">
        <v>548</v>
      </c>
      <c r="E166" s="864">
        <v>1598464750</v>
      </c>
      <c r="F166" s="864">
        <v>1584906850</v>
      </c>
      <c r="G166" s="882">
        <f t="shared" si="5"/>
        <v>99.151817392282197</v>
      </c>
      <c r="H166" s="882">
        <f>SUM((H167:H172))/6</f>
        <v>100</v>
      </c>
      <c r="I166" s="863"/>
      <c r="J166" s="44"/>
    </row>
    <row r="167" spans="3:10" ht="20.100000000000001" hidden="1" customHeight="1">
      <c r="C167" s="878"/>
      <c r="D167" s="861" t="s">
        <v>1748</v>
      </c>
      <c r="E167" s="860">
        <v>300000000</v>
      </c>
      <c r="F167" s="860">
        <v>293631200</v>
      </c>
      <c r="G167" s="882">
        <f t="shared" si="5"/>
        <v>97.877066666666664</v>
      </c>
      <c r="H167" s="882">
        <v>100</v>
      </c>
      <c r="I167" s="852"/>
      <c r="J167" s="802"/>
    </row>
    <row r="168" spans="3:10" ht="20.100000000000001" hidden="1" customHeight="1">
      <c r="C168" s="878"/>
      <c r="D168" s="861" t="s">
        <v>4048</v>
      </c>
      <c r="E168" s="860">
        <v>198464750</v>
      </c>
      <c r="F168" s="860">
        <v>198298150</v>
      </c>
      <c r="G168" s="882">
        <f t="shared" si="5"/>
        <v>99.916055621968141</v>
      </c>
      <c r="H168" s="882">
        <v>100</v>
      </c>
      <c r="I168" s="852"/>
      <c r="J168" s="802"/>
    </row>
    <row r="169" spans="3:10" ht="20.100000000000001" hidden="1" customHeight="1">
      <c r="C169" s="878"/>
      <c r="D169" s="861" t="s">
        <v>4047</v>
      </c>
      <c r="E169" s="860">
        <v>250000000</v>
      </c>
      <c r="F169" s="860">
        <v>249652900</v>
      </c>
      <c r="G169" s="882">
        <f t="shared" si="5"/>
        <v>99.861159999999998</v>
      </c>
      <c r="H169" s="882">
        <v>100</v>
      </c>
      <c r="I169" s="852"/>
      <c r="J169" s="802"/>
    </row>
    <row r="170" spans="3:10" ht="20.100000000000001" hidden="1" customHeight="1">
      <c r="C170" s="878"/>
      <c r="D170" s="861" t="s">
        <v>4046</v>
      </c>
      <c r="E170" s="860">
        <v>250000000</v>
      </c>
      <c r="F170" s="860">
        <v>250000000</v>
      </c>
      <c r="G170" s="882">
        <f t="shared" si="5"/>
        <v>100</v>
      </c>
      <c r="H170" s="882">
        <f>+G170</f>
        <v>100</v>
      </c>
      <c r="I170" s="852"/>
      <c r="J170" s="802"/>
    </row>
    <row r="171" spans="3:10" ht="20.100000000000001" hidden="1" customHeight="1">
      <c r="C171" s="878"/>
      <c r="D171" s="861" t="s">
        <v>4045</v>
      </c>
      <c r="E171" s="860">
        <v>325000000</v>
      </c>
      <c r="F171" s="860">
        <v>318400000</v>
      </c>
      <c r="G171" s="882">
        <f t="shared" si="5"/>
        <v>97.969230769230762</v>
      </c>
      <c r="H171" s="882">
        <v>100</v>
      </c>
      <c r="I171" s="852"/>
      <c r="J171" s="802"/>
    </row>
    <row r="172" spans="3:10" ht="20.100000000000001" hidden="1" customHeight="1">
      <c r="C172" s="878"/>
      <c r="D172" s="861" t="s">
        <v>4044</v>
      </c>
      <c r="E172" s="860">
        <v>275000000</v>
      </c>
      <c r="F172" s="860">
        <v>274924600</v>
      </c>
      <c r="G172" s="882">
        <f t="shared" si="5"/>
        <v>99.972581818181823</v>
      </c>
      <c r="H172" s="882">
        <v>100</v>
      </c>
      <c r="I172" s="852"/>
      <c r="J172" s="802"/>
    </row>
    <row r="173" spans="3:10" ht="20.100000000000001" hidden="1" customHeight="1">
      <c r="C173" s="878"/>
      <c r="D173" s="869"/>
      <c r="E173" s="868"/>
      <c r="F173" s="868"/>
      <c r="G173" s="882"/>
      <c r="H173" s="882"/>
      <c r="I173" s="852"/>
      <c r="J173" s="802"/>
    </row>
    <row r="174" spans="3:10" s="656" customFormat="1" ht="20.100000000000001" hidden="1" customHeight="1">
      <c r="C174" s="881"/>
      <c r="D174" s="870" t="s">
        <v>2141</v>
      </c>
      <c r="E174" s="864">
        <v>5000000000</v>
      </c>
      <c r="F174" s="864">
        <v>4915803200</v>
      </c>
      <c r="G174" s="882">
        <f t="shared" ref="G174:G183" si="6">+F174/E174*100</f>
        <v>98.316063999999997</v>
      </c>
      <c r="H174" s="882">
        <f>(H175+H179+H181)/3</f>
        <v>99.166666666666671</v>
      </c>
      <c r="I174" s="863"/>
      <c r="J174" s="44"/>
    </row>
    <row r="175" spans="3:10" s="656" customFormat="1" ht="20.100000000000001" hidden="1" customHeight="1">
      <c r="C175" s="881"/>
      <c r="D175" s="1154" t="s">
        <v>262</v>
      </c>
      <c r="E175" s="864">
        <v>2500000000</v>
      </c>
      <c r="F175" s="864">
        <v>2480933000</v>
      </c>
      <c r="G175" s="882">
        <f t="shared" si="6"/>
        <v>99.237319999999997</v>
      </c>
      <c r="H175" s="882">
        <f>SUM((H176:H178))/3</f>
        <v>100</v>
      </c>
      <c r="I175" s="863"/>
      <c r="J175" s="44"/>
    </row>
    <row r="176" spans="3:10" ht="20.100000000000001" hidden="1" customHeight="1">
      <c r="C176" s="878"/>
      <c r="D176" s="861" t="s">
        <v>263</v>
      </c>
      <c r="E176" s="860">
        <v>268243000</v>
      </c>
      <c r="F176" s="860">
        <v>261373200</v>
      </c>
      <c r="G176" s="882">
        <f t="shared" si="6"/>
        <v>97.43896392450128</v>
      </c>
      <c r="H176" s="882">
        <v>100</v>
      </c>
      <c r="I176" s="852"/>
      <c r="J176" s="802"/>
    </row>
    <row r="177" spans="3:10" ht="20.100000000000001" hidden="1" customHeight="1">
      <c r="C177" s="878"/>
      <c r="D177" s="861" t="s">
        <v>4043</v>
      </c>
      <c r="E177" s="860">
        <v>1000000000</v>
      </c>
      <c r="F177" s="860">
        <v>999892800</v>
      </c>
      <c r="G177" s="882">
        <f t="shared" si="6"/>
        <v>99.989280000000008</v>
      </c>
      <c r="H177" s="882">
        <v>100</v>
      </c>
      <c r="I177" s="852"/>
      <c r="J177" s="802"/>
    </row>
    <row r="178" spans="3:10" ht="20.100000000000001" hidden="1" customHeight="1">
      <c r="C178" s="878"/>
      <c r="D178" s="861" t="s">
        <v>265</v>
      </c>
      <c r="E178" s="860">
        <v>1231757000</v>
      </c>
      <c r="F178" s="860">
        <v>1219667000</v>
      </c>
      <c r="G178" s="882">
        <f t="shared" si="6"/>
        <v>99.018475234969245</v>
      </c>
      <c r="H178" s="882">
        <v>100</v>
      </c>
      <c r="I178" s="852"/>
      <c r="J178" s="802"/>
    </row>
    <row r="179" spans="3:10" s="656" customFormat="1" ht="20.100000000000001" hidden="1" customHeight="1">
      <c r="C179" s="881"/>
      <c r="D179" s="1154" t="s">
        <v>4042</v>
      </c>
      <c r="E179" s="864">
        <v>1500000000</v>
      </c>
      <c r="F179" s="864">
        <v>1476616600</v>
      </c>
      <c r="G179" s="882">
        <f t="shared" si="6"/>
        <v>98.44110666666667</v>
      </c>
      <c r="H179" s="882">
        <v>100</v>
      </c>
      <c r="I179" s="863"/>
      <c r="J179" s="44"/>
    </row>
    <row r="180" spans="3:10" ht="20.100000000000001" hidden="1" customHeight="1">
      <c r="C180" s="878"/>
      <c r="D180" s="861" t="s">
        <v>4041</v>
      </c>
      <c r="E180" s="860">
        <v>1500000000</v>
      </c>
      <c r="F180" s="860">
        <v>1476616600</v>
      </c>
      <c r="G180" s="882">
        <f t="shared" si="6"/>
        <v>98.44110666666667</v>
      </c>
      <c r="H180" s="882">
        <v>100</v>
      </c>
      <c r="I180" s="852"/>
      <c r="J180" s="802"/>
    </row>
    <row r="181" spans="3:10" s="656" customFormat="1" ht="20.100000000000001" hidden="1" customHeight="1">
      <c r="C181" s="881"/>
      <c r="D181" s="1154" t="s">
        <v>266</v>
      </c>
      <c r="E181" s="864">
        <v>1000000000</v>
      </c>
      <c r="F181" s="864">
        <v>958253600</v>
      </c>
      <c r="G181" s="882">
        <f t="shared" si="6"/>
        <v>95.825360000000003</v>
      </c>
      <c r="H181" s="882">
        <f>195/2</f>
        <v>97.5</v>
      </c>
      <c r="I181" s="863"/>
      <c r="J181" s="44"/>
    </row>
    <row r="182" spans="3:10" ht="20.100000000000001" hidden="1" customHeight="1">
      <c r="C182" s="878"/>
      <c r="D182" s="861" t="s">
        <v>4040</v>
      </c>
      <c r="E182" s="860">
        <v>450875000</v>
      </c>
      <c r="F182" s="860">
        <v>423441100</v>
      </c>
      <c r="G182" s="882">
        <f t="shared" si="6"/>
        <v>93.915408927086219</v>
      </c>
      <c r="H182" s="882">
        <v>95</v>
      </c>
      <c r="I182" s="852"/>
      <c r="J182" s="802"/>
    </row>
    <row r="183" spans="3:10" ht="20.100000000000001" hidden="1" customHeight="1">
      <c r="C183" s="878"/>
      <c r="D183" s="861" t="s">
        <v>269</v>
      </c>
      <c r="E183" s="860">
        <v>549125000</v>
      </c>
      <c r="F183" s="860">
        <v>534812500</v>
      </c>
      <c r="G183" s="882">
        <f t="shared" si="6"/>
        <v>97.393580696562708</v>
      </c>
      <c r="H183" s="882">
        <v>100</v>
      </c>
      <c r="I183" s="852"/>
      <c r="J183" s="802"/>
    </row>
    <row r="184" spans="3:10" ht="15" hidden="1" customHeight="1">
      <c r="C184" s="878"/>
      <c r="D184" s="869"/>
      <c r="E184" s="868"/>
      <c r="F184" s="868"/>
      <c r="G184" s="882"/>
      <c r="H184" s="882"/>
      <c r="I184" s="852"/>
      <c r="J184" s="802"/>
    </row>
    <row r="185" spans="3:10" s="656" customFormat="1" ht="20.100000000000001" hidden="1" customHeight="1">
      <c r="C185" s="881"/>
      <c r="D185" s="870" t="s">
        <v>70</v>
      </c>
      <c r="E185" s="864">
        <v>5915000000</v>
      </c>
      <c r="F185" s="864">
        <v>5913897524</v>
      </c>
      <c r="G185" s="882">
        <f t="shared" ref="G185:G204" si="7">+F185/E185*100</f>
        <v>99.981361352493664</v>
      </c>
      <c r="H185" s="882">
        <v>100</v>
      </c>
      <c r="I185" s="863"/>
      <c r="J185" s="44"/>
    </row>
    <row r="186" spans="3:10" s="656" customFormat="1" ht="20.100000000000001" hidden="1" customHeight="1">
      <c r="C186" s="881"/>
      <c r="D186" s="1154" t="s">
        <v>286</v>
      </c>
      <c r="E186" s="864">
        <v>553000000</v>
      </c>
      <c r="F186" s="864">
        <v>552762000</v>
      </c>
      <c r="G186" s="882">
        <f t="shared" si="7"/>
        <v>99.956962025316457</v>
      </c>
      <c r="H186" s="882">
        <v>100</v>
      </c>
      <c r="I186" s="863"/>
      <c r="J186" s="44"/>
    </row>
    <row r="187" spans="3:10" s="656" customFormat="1" ht="20.100000000000001" hidden="1" customHeight="1">
      <c r="C187" s="881"/>
      <c r="D187" s="861" t="s">
        <v>4039</v>
      </c>
      <c r="E187" s="860">
        <v>553000000</v>
      </c>
      <c r="F187" s="860">
        <v>552762000</v>
      </c>
      <c r="G187" s="882">
        <f t="shared" si="7"/>
        <v>99.956962025316457</v>
      </c>
      <c r="H187" s="882">
        <v>100</v>
      </c>
      <c r="I187" s="863"/>
      <c r="J187" s="44"/>
    </row>
    <row r="188" spans="3:10" s="656" customFormat="1" ht="20.100000000000001" hidden="1" customHeight="1">
      <c r="C188" s="881"/>
      <c r="D188" s="1154" t="s">
        <v>289</v>
      </c>
      <c r="E188" s="864">
        <v>214400000</v>
      </c>
      <c r="F188" s="864">
        <v>214400000</v>
      </c>
      <c r="G188" s="882">
        <f t="shared" si="7"/>
        <v>100</v>
      </c>
      <c r="H188" s="882">
        <f t="shared" ref="H188:H196" si="8">+G188</f>
        <v>100</v>
      </c>
      <c r="I188" s="863"/>
      <c r="J188" s="44"/>
    </row>
    <row r="189" spans="3:10" ht="20.100000000000001" hidden="1" customHeight="1">
      <c r="C189" s="878"/>
      <c r="D189" s="861" t="s">
        <v>290</v>
      </c>
      <c r="E189" s="860">
        <v>102000000</v>
      </c>
      <c r="F189" s="860">
        <v>102000000</v>
      </c>
      <c r="G189" s="882">
        <f t="shared" si="7"/>
        <v>100</v>
      </c>
      <c r="H189" s="882">
        <f t="shared" si="8"/>
        <v>100</v>
      </c>
      <c r="I189" s="852"/>
      <c r="J189" s="802"/>
    </row>
    <row r="190" spans="3:10" s="656" customFormat="1" ht="20.100000000000001" hidden="1" customHeight="1">
      <c r="C190" s="881"/>
      <c r="D190" s="861" t="s">
        <v>2452</v>
      </c>
      <c r="E190" s="860">
        <v>112400000</v>
      </c>
      <c r="F190" s="860">
        <v>112400000</v>
      </c>
      <c r="G190" s="882">
        <f t="shared" si="7"/>
        <v>100</v>
      </c>
      <c r="H190" s="882">
        <f t="shared" si="8"/>
        <v>100</v>
      </c>
      <c r="I190" s="863"/>
      <c r="J190" s="44"/>
    </row>
    <row r="191" spans="3:10" s="656" customFormat="1" ht="20.100000000000001" hidden="1" customHeight="1">
      <c r="C191" s="881"/>
      <c r="D191" s="1154" t="s">
        <v>294</v>
      </c>
      <c r="E191" s="864">
        <v>979600000</v>
      </c>
      <c r="F191" s="864">
        <v>979600000</v>
      </c>
      <c r="G191" s="882">
        <f t="shared" si="7"/>
        <v>100</v>
      </c>
      <c r="H191" s="882">
        <f t="shared" si="8"/>
        <v>100</v>
      </c>
      <c r="I191" s="863"/>
      <c r="J191" s="44"/>
    </row>
    <row r="192" spans="3:10" s="656" customFormat="1" ht="20.100000000000001" hidden="1" customHeight="1">
      <c r="C192" s="881"/>
      <c r="D192" s="861" t="s">
        <v>2455</v>
      </c>
      <c r="E192" s="860">
        <v>400000000</v>
      </c>
      <c r="F192" s="860">
        <v>400000000</v>
      </c>
      <c r="G192" s="882">
        <f t="shared" si="7"/>
        <v>100</v>
      </c>
      <c r="H192" s="882">
        <f t="shared" si="8"/>
        <v>100</v>
      </c>
      <c r="I192" s="863"/>
      <c r="J192" s="44"/>
    </row>
    <row r="193" spans="3:10" ht="20.100000000000001" hidden="1" customHeight="1">
      <c r="C193" s="878"/>
      <c r="D193" s="861" t="s">
        <v>295</v>
      </c>
      <c r="E193" s="860">
        <v>479600000</v>
      </c>
      <c r="F193" s="860">
        <v>479600000</v>
      </c>
      <c r="G193" s="882">
        <f t="shared" si="7"/>
        <v>100</v>
      </c>
      <c r="H193" s="882">
        <f t="shared" si="8"/>
        <v>100</v>
      </c>
      <c r="I193" s="852"/>
      <c r="J193" s="802"/>
    </row>
    <row r="194" spans="3:10" ht="20.100000000000001" hidden="1" customHeight="1">
      <c r="C194" s="878"/>
      <c r="D194" s="861" t="s">
        <v>2456</v>
      </c>
      <c r="E194" s="860">
        <v>100000000</v>
      </c>
      <c r="F194" s="860">
        <v>100000000</v>
      </c>
      <c r="G194" s="882">
        <f t="shared" si="7"/>
        <v>100</v>
      </c>
      <c r="H194" s="882">
        <f t="shared" si="8"/>
        <v>100</v>
      </c>
      <c r="I194" s="852"/>
      <c r="J194" s="802"/>
    </row>
    <row r="195" spans="3:10" s="656" customFormat="1" ht="20.100000000000001" hidden="1" customHeight="1">
      <c r="C195" s="881"/>
      <c r="D195" s="1154" t="s">
        <v>4038</v>
      </c>
      <c r="E195" s="864">
        <v>282900000</v>
      </c>
      <c r="F195" s="864">
        <v>282900000</v>
      </c>
      <c r="G195" s="882">
        <f t="shared" si="7"/>
        <v>100</v>
      </c>
      <c r="H195" s="882">
        <f t="shared" si="8"/>
        <v>100</v>
      </c>
      <c r="I195" s="863"/>
      <c r="J195" s="44"/>
    </row>
    <row r="196" spans="3:10" ht="20.100000000000001" hidden="1" customHeight="1">
      <c r="C196" s="878"/>
      <c r="D196" s="861" t="s">
        <v>4037</v>
      </c>
      <c r="E196" s="860">
        <v>282900000</v>
      </c>
      <c r="F196" s="860">
        <v>282900000</v>
      </c>
      <c r="G196" s="882">
        <f t="shared" si="7"/>
        <v>100</v>
      </c>
      <c r="H196" s="882">
        <f t="shared" si="8"/>
        <v>100</v>
      </c>
      <c r="I196" s="852"/>
      <c r="J196" s="802"/>
    </row>
    <row r="197" spans="3:10" s="656" customFormat="1" ht="20.100000000000001" hidden="1" customHeight="1">
      <c r="C197" s="881"/>
      <c r="D197" s="1154" t="s">
        <v>297</v>
      </c>
      <c r="E197" s="864">
        <v>1488600000</v>
      </c>
      <c r="F197" s="864">
        <v>1487735524</v>
      </c>
      <c r="G197" s="882">
        <f t="shared" si="7"/>
        <v>99.941926911191729</v>
      </c>
      <c r="H197" s="882">
        <f>SUM((H198:H202))/5</f>
        <v>100</v>
      </c>
      <c r="I197" s="863"/>
      <c r="J197" s="44"/>
    </row>
    <row r="198" spans="3:10" s="656" customFormat="1" ht="20.100000000000001" hidden="1" customHeight="1">
      <c r="C198" s="881"/>
      <c r="D198" s="861" t="s">
        <v>2457</v>
      </c>
      <c r="E198" s="860">
        <v>562400000</v>
      </c>
      <c r="F198" s="860">
        <v>562400000</v>
      </c>
      <c r="G198" s="882">
        <f t="shared" si="7"/>
        <v>100</v>
      </c>
      <c r="H198" s="882">
        <f>+G198</f>
        <v>100</v>
      </c>
      <c r="I198" s="863"/>
      <c r="J198" s="44"/>
    </row>
    <row r="199" spans="3:10" s="656" customFormat="1" ht="20.100000000000001" hidden="1" customHeight="1">
      <c r="C199" s="881"/>
      <c r="D199" s="861" t="s">
        <v>298</v>
      </c>
      <c r="E199" s="860">
        <v>280000000</v>
      </c>
      <c r="F199" s="860">
        <v>280000000</v>
      </c>
      <c r="G199" s="882">
        <f t="shared" si="7"/>
        <v>100</v>
      </c>
      <c r="H199" s="882">
        <f>+G199</f>
        <v>100</v>
      </c>
      <c r="I199" s="863"/>
      <c r="J199" s="44"/>
    </row>
    <row r="200" spans="3:10" ht="20.100000000000001" hidden="1" customHeight="1">
      <c r="C200" s="878"/>
      <c r="D200" s="861" t="s">
        <v>299</v>
      </c>
      <c r="E200" s="860">
        <v>264200000</v>
      </c>
      <c r="F200" s="860">
        <v>263453984</v>
      </c>
      <c r="G200" s="882">
        <f t="shared" si="7"/>
        <v>99.717632096896295</v>
      </c>
      <c r="H200" s="882">
        <v>100</v>
      </c>
      <c r="I200" s="852"/>
      <c r="J200" s="802"/>
    </row>
    <row r="201" spans="3:10" ht="20.100000000000001" hidden="1" customHeight="1">
      <c r="C201" s="878"/>
      <c r="D201" s="861" t="s">
        <v>300</v>
      </c>
      <c r="E201" s="860">
        <v>83000000</v>
      </c>
      <c r="F201" s="860">
        <v>83000000</v>
      </c>
      <c r="G201" s="882">
        <f t="shared" si="7"/>
        <v>100</v>
      </c>
      <c r="H201" s="882">
        <f>+G201</f>
        <v>100</v>
      </c>
      <c r="I201" s="852"/>
      <c r="J201" s="802"/>
    </row>
    <row r="202" spans="3:10" ht="20.100000000000001" hidden="1" customHeight="1">
      <c r="C202" s="878"/>
      <c r="D202" s="861" t="s">
        <v>301</v>
      </c>
      <c r="E202" s="860">
        <v>299000000</v>
      </c>
      <c r="F202" s="860">
        <v>298881540</v>
      </c>
      <c r="G202" s="882">
        <f t="shared" si="7"/>
        <v>99.960381270903014</v>
      </c>
      <c r="H202" s="882">
        <v>100</v>
      </c>
      <c r="I202" s="852"/>
      <c r="J202" s="802"/>
    </row>
    <row r="203" spans="3:10" s="656" customFormat="1" ht="20.100000000000001" hidden="1" customHeight="1">
      <c r="C203" s="881"/>
      <c r="D203" s="1154" t="s">
        <v>302</v>
      </c>
      <c r="E203" s="864">
        <v>2396500000</v>
      </c>
      <c r="F203" s="864">
        <v>2396500000</v>
      </c>
      <c r="G203" s="882">
        <f t="shared" si="7"/>
        <v>100</v>
      </c>
      <c r="H203" s="882">
        <f>+G203</f>
        <v>100</v>
      </c>
      <c r="I203" s="863"/>
      <c r="J203" s="44"/>
    </row>
    <row r="204" spans="3:10" ht="20.100000000000001" hidden="1" customHeight="1">
      <c r="C204" s="878"/>
      <c r="D204" s="861" t="s">
        <v>303</v>
      </c>
      <c r="E204" s="860">
        <v>2396500000</v>
      </c>
      <c r="F204" s="860">
        <v>2396500000</v>
      </c>
      <c r="G204" s="882">
        <f t="shared" si="7"/>
        <v>100</v>
      </c>
      <c r="H204" s="882">
        <f>+G204</f>
        <v>100</v>
      </c>
      <c r="I204" s="852"/>
      <c r="J204" s="802"/>
    </row>
    <row r="205" spans="3:10" ht="15" hidden="1" customHeight="1">
      <c r="C205" s="878"/>
      <c r="D205" s="869"/>
      <c r="E205" s="868"/>
      <c r="F205" s="868"/>
      <c r="G205" s="882"/>
      <c r="H205" s="882"/>
      <c r="I205" s="852"/>
      <c r="J205" s="802"/>
    </row>
    <row r="206" spans="3:10" s="656" customFormat="1" ht="20.100000000000001" hidden="1" customHeight="1">
      <c r="C206" s="881"/>
      <c r="D206" s="870" t="s">
        <v>901</v>
      </c>
      <c r="E206" s="864">
        <v>4000000000</v>
      </c>
      <c r="F206" s="864">
        <v>3973725600</v>
      </c>
      <c r="G206" s="882">
        <f t="shared" ref="G206:G215" si="9">+F206/E206*100</f>
        <v>99.343139999999991</v>
      </c>
      <c r="H206" s="882">
        <v>100</v>
      </c>
      <c r="I206" s="863"/>
      <c r="J206" s="44"/>
    </row>
    <row r="207" spans="3:10" s="656" customFormat="1" ht="20.100000000000001" hidden="1" customHeight="1">
      <c r="C207" s="881"/>
      <c r="D207" s="1154" t="s">
        <v>902</v>
      </c>
      <c r="E207" s="864">
        <v>428000000</v>
      </c>
      <c r="F207" s="864">
        <v>425850200</v>
      </c>
      <c r="G207" s="882">
        <f t="shared" si="9"/>
        <v>99.497710280373823</v>
      </c>
      <c r="H207" s="882">
        <v>100</v>
      </c>
      <c r="I207" s="863"/>
      <c r="J207" s="44"/>
    </row>
    <row r="208" spans="3:10" s="656" customFormat="1" ht="20.100000000000001" hidden="1" customHeight="1">
      <c r="C208" s="881"/>
      <c r="D208" s="861" t="s">
        <v>2434</v>
      </c>
      <c r="E208" s="860">
        <v>428000000</v>
      </c>
      <c r="F208" s="860">
        <v>425850200</v>
      </c>
      <c r="G208" s="882">
        <f t="shared" si="9"/>
        <v>99.497710280373823</v>
      </c>
      <c r="H208" s="882">
        <v>100</v>
      </c>
      <c r="I208" s="863"/>
      <c r="J208" s="44"/>
    </row>
    <row r="209" spans="3:10" s="656" customFormat="1" ht="20.100000000000001" hidden="1" customHeight="1">
      <c r="C209" s="881"/>
      <c r="D209" s="1154" t="s">
        <v>904</v>
      </c>
      <c r="E209" s="864">
        <v>2714000000</v>
      </c>
      <c r="F209" s="864">
        <v>2695496000</v>
      </c>
      <c r="G209" s="882">
        <f t="shared" si="9"/>
        <v>99.318201915991153</v>
      </c>
      <c r="H209" s="882">
        <v>100</v>
      </c>
      <c r="I209" s="863"/>
      <c r="J209" s="44"/>
    </row>
    <row r="210" spans="3:10" ht="20.100000000000001" hidden="1" customHeight="1">
      <c r="C210" s="878"/>
      <c r="D210" s="861" t="s">
        <v>4036</v>
      </c>
      <c r="E210" s="860">
        <v>2714000000</v>
      </c>
      <c r="F210" s="860">
        <v>2695496000</v>
      </c>
      <c r="G210" s="882">
        <f t="shared" si="9"/>
        <v>99.318201915991153</v>
      </c>
      <c r="H210" s="882">
        <v>100</v>
      </c>
      <c r="I210" s="852"/>
      <c r="J210" s="802"/>
    </row>
    <row r="211" spans="3:10" s="656" customFormat="1" ht="20.100000000000001" hidden="1" customHeight="1">
      <c r="C211" s="881"/>
      <c r="D211" s="1154" t="s">
        <v>908</v>
      </c>
      <c r="E211" s="864">
        <v>429334000</v>
      </c>
      <c r="F211" s="864">
        <v>428514000</v>
      </c>
      <c r="G211" s="882">
        <f t="shared" si="9"/>
        <v>99.809006507753878</v>
      </c>
      <c r="H211" s="882">
        <v>100</v>
      </c>
      <c r="I211" s="863"/>
      <c r="J211" s="44"/>
    </row>
    <row r="212" spans="3:10" ht="20.100000000000001" hidden="1" customHeight="1">
      <c r="C212" s="878"/>
      <c r="D212" s="861" t="s">
        <v>2441</v>
      </c>
      <c r="E212" s="860">
        <v>300000000</v>
      </c>
      <c r="F212" s="860">
        <v>300000000</v>
      </c>
      <c r="G212" s="882">
        <f t="shared" si="9"/>
        <v>100</v>
      </c>
      <c r="H212" s="882">
        <f>+G212</f>
        <v>100</v>
      </c>
      <c r="I212" s="852"/>
      <c r="J212" s="802"/>
    </row>
    <row r="213" spans="3:10" s="656" customFormat="1" ht="20.100000000000001" hidden="1" customHeight="1">
      <c r="C213" s="881"/>
      <c r="D213" s="861" t="s">
        <v>2444</v>
      </c>
      <c r="E213" s="860">
        <v>129334000</v>
      </c>
      <c r="F213" s="860">
        <v>128514000</v>
      </c>
      <c r="G213" s="882">
        <f t="shared" si="9"/>
        <v>99.365982649573965</v>
      </c>
      <c r="H213" s="882">
        <v>100</v>
      </c>
      <c r="I213" s="863"/>
      <c r="J213" s="44"/>
    </row>
    <row r="214" spans="3:10" s="656" customFormat="1" ht="20.100000000000001" hidden="1" customHeight="1">
      <c r="C214" s="881"/>
      <c r="D214" s="1154" t="s">
        <v>2445</v>
      </c>
      <c r="E214" s="864">
        <v>428666000</v>
      </c>
      <c r="F214" s="864">
        <v>423865400</v>
      </c>
      <c r="G214" s="882">
        <f t="shared" si="9"/>
        <v>98.880107123028182</v>
      </c>
      <c r="H214" s="882">
        <v>100</v>
      </c>
      <c r="I214" s="863"/>
      <c r="J214" s="44"/>
    </row>
    <row r="215" spans="3:10" s="656" customFormat="1" ht="20.100000000000001" hidden="1" customHeight="1">
      <c r="C215" s="881"/>
      <c r="D215" s="861" t="s">
        <v>2448</v>
      </c>
      <c r="E215" s="860">
        <v>428666000</v>
      </c>
      <c r="F215" s="860">
        <v>423865400</v>
      </c>
      <c r="G215" s="882">
        <f t="shared" si="9"/>
        <v>98.880107123028182</v>
      </c>
      <c r="H215" s="882">
        <v>100</v>
      </c>
      <c r="I215" s="863"/>
      <c r="J215" s="44"/>
    </row>
    <row r="216" spans="3:10" ht="15" hidden="1" customHeight="1">
      <c r="C216" s="878"/>
      <c r="D216" s="869"/>
      <c r="E216" s="868"/>
      <c r="F216" s="868"/>
      <c r="G216" s="882"/>
      <c r="H216" s="882"/>
      <c r="I216" s="852"/>
      <c r="J216" s="802"/>
    </row>
    <row r="217" spans="3:10" s="656" customFormat="1" ht="20.100000000000001" hidden="1" customHeight="1">
      <c r="C217" s="881"/>
      <c r="D217" s="870" t="s">
        <v>2826</v>
      </c>
      <c r="E217" s="864">
        <v>7000000000</v>
      </c>
      <c r="F217" s="864">
        <v>6895186105</v>
      </c>
      <c r="G217" s="882">
        <f t="shared" ref="G217:G224" si="10">+F217/E217*100</f>
        <v>98.502658642857142</v>
      </c>
      <c r="H217" s="882">
        <v>100</v>
      </c>
      <c r="I217" s="863"/>
      <c r="J217" s="44"/>
    </row>
    <row r="218" spans="3:10" s="656" customFormat="1" ht="20.100000000000001" hidden="1" customHeight="1">
      <c r="C218" s="881"/>
      <c r="D218" s="1154" t="s">
        <v>304</v>
      </c>
      <c r="E218" s="864">
        <v>5993675000</v>
      </c>
      <c r="F218" s="864">
        <v>5894004305</v>
      </c>
      <c r="G218" s="882">
        <f t="shared" si="10"/>
        <v>98.337068743300222</v>
      </c>
      <c r="H218" s="882">
        <v>100</v>
      </c>
      <c r="I218" s="863"/>
      <c r="J218" s="44"/>
    </row>
    <row r="219" spans="3:10" ht="20.100000000000001" hidden="1" customHeight="1">
      <c r="C219" s="878"/>
      <c r="D219" s="861" t="s">
        <v>307</v>
      </c>
      <c r="E219" s="860">
        <v>4871116776</v>
      </c>
      <c r="F219" s="860">
        <v>4802174623</v>
      </c>
      <c r="G219" s="882">
        <f t="shared" si="10"/>
        <v>98.584674599884821</v>
      </c>
      <c r="H219" s="882">
        <v>100</v>
      </c>
      <c r="I219" s="852"/>
      <c r="J219" s="802"/>
    </row>
    <row r="220" spans="3:10" ht="20.100000000000001" hidden="1" customHeight="1">
      <c r="C220" s="878"/>
      <c r="D220" s="861" t="s">
        <v>1427</v>
      </c>
      <c r="E220" s="860">
        <v>1122558224</v>
      </c>
      <c r="F220" s="860">
        <v>1091829682</v>
      </c>
      <c r="G220" s="882">
        <f t="shared" si="10"/>
        <v>97.262632677483282</v>
      </c>
      <c r="H220" s="882">
        <v>100</v>
      </c>
      <c r="I220" s="852"/>
      <c r="J220" s="802"/>
    </row>
    <row r="221" spans="3:10" s="656" customFormat="1" ht="20.100000000000001" hidden="1" customHeight="1">
      <c r="C221" s="881"/>
      <c r="D221" s="1154" t="s">
        <v>308</v>
      </c>
      <c r="E221" s="864">
        <v>554325000</v>
      </c>
      <c r="F221" s="864">
        <v>550381800</v>
      </c>
      <c r="G221" s="882">
        <f t="shared" si="10"/>
        <v>99.28864835610878</v>
      </c>
      <c r="H221" s="882">
        <v>100</v>
      </c>
      <c r="I221" s="863"/>
      <c r="J221" s="44"/>
    </row>
    <row r="222" spans="3:10" ht="20.100000000000001" hidden="1" customHeight="1">
      <c r="C222" s="878"/>
      <c r="D222" s="861" t="s">
        <v>2469</v>
      </c>
      <c r="E222" s="860">
        <v>554325000</v>
      </c>
      <c r="F222" s="860">
        <v>550381800</v>
      </c>
      <c r="G222" s="882">
        <f t="shared" si="10"/>
        <v>99.28864835610878</v>
      </c>
      <c r="H222" s="882">
        <v>100</v>
      </c>
      <c r="I222" s="852"/>
      <c r="J222" s="802"/>
    </row>
    <row r="223" spans="3:10" s="656" customFormat="1" ht="20.100000000000001" hidden="1" customHeight="1">
      <c r="C223" s="881"/>
      <c r="D223" s="1154" t="s">
        <v>328</v>
      </c>
      <c r="E223" s="864">
        <v>452000000</v>
      </c>
      <c r="F223" s="864">
        <v>450800000</v>
      </c>
      <c r="G223" s="882">
        <f t="shared" si="10"/>
        <v>99.73451327433628</v>
      </c>
      <c r="H223" s="882">
        <v>100</v>
      </c>
      <c r="I223" s="863"/>
      <c r="J223" s="44"/>
    </row>
    <row r="224" spans="3:10" ht="20.100000000000001" hidden="1" customHeight="1">
      <c r="C224" s="878"/>
      <c r="D224" s="861" t="s">
        <v>2476</v>
      </c>
      <c r="E224" s="860">
        <v>452000000</v>
      </c>
      <c r="F224" s="860">
        <v>450800000</v>
      </c>
      <c r="G224" s="882">
        <f t="shared" si="10"/>
        <v>99.73451327433628</v>
      </c>
      <c r="H224" s="882">
        <v>100</v>
      </c>
      <c r="I224" s="852"/>
      <c r="J224" s="802"/>
    </row>
    <row r="225" spans="3:10" s="656" customFormat="1" ht="15" hidden="1" customHeight="1">
      <c r="C225" s="881"/>
      <c r="D225" s="869"/>
      <c r="E225" s="868"/>
      <c r="F225" s="868"/>
      <c r="G225" s="882"/>
      <c r="H225" s="882"/>
      <c r="I225" s="863"/>
      <c r="J225" s="44"/>
    </row>
    <row r="226" spans="3:10" s="656" customFormat="1" ht="20.100000000000001" hidden="1" customHeight="1">
      <c r="C226" s="881"/>
      <c r="D226" s="870" t="s">
        <v>2822</v>
      </c>
      <c r="E226" s="864">
        <v>4000000000</v>
      </c>
      <c r="F226" s="864">
        <v>3999533000</v>
      </c>
      <c r="G226" s="882">
        <f t="shared" ref="G226:G239" si="11">+F226/E226*100</f>
        <v>99.988325000000003</v>
      </c>
      <c r="H226" s="882">
        <v>100</v>
      </c>
      <c r="I226" s="863"/>
      <c r="J226" s="44"/>
    </row>
    <row r="227" spans="3:10" s="656" customFormat="1" ht="20.100000000000001" hidden="1" customHeight="1">
      <c r="C227" s="881"/>
      <c r="D227" s="1154" t="s">
        <v>912</v>
      </c>
      <c r="E227" s="864">
        <v>586920000</v>
      </c>
      <c r="F227" s="864">
        <v>586867500</v>
      </c>
      <c r="G227" s="882">
        <f t="shared" si="11"/>
        <v>99.991054998977717</v>
      </c>
      <c r="H227" s="882">
        <v>100</v>
      </c>
      <c r="I227" s="863"/>
      <c r="J227" s="44"/>
    </row>
    <row r="228" spans="3:10" ht="20.100000000000001" hidden="1" customHeight="1">
      <c r="C228" s="878"/>
      <c r="D228" s="861" t="s">
        <v>2057</v>
      </c>
      <c r="E228" s="860">
        <v>284050000</v>
      </c>
      <c r="F228" s="860">
        <v>283997500</v>
      </c>
      <c r="G228" s="882">
        <f t="shared" si="11"/>
        <v>99.981517338496744</v>
      </c>
      <c r="H228" s="882">
        <v>100</v>
      </c>
      <c r="I228" s="852"/>
      <c r="J228" s="802"/>
    </row>
    <row r="229" spans="3:10" ht="20.100000000000001" hidden="1" customHeight="1">
      <c r="C229" s="878"/>
      <c r="D229" s="861" t="s">
        <v>4035</v>
      </c>
      <c r="E229" s="860">
        <v>302870000</v>
      </c>
      <c r="F229" s="860">
        <v>302870000</v>
      </c>
      <c r="G229" s="882">
        <f t="shared" si="11"/>
        <v>100</v>
      </c>
      <c r="H229" s="882">
        <v>100</v>
      </c>
      <c r="I229" s="852"/>
      <c r="J229" s="802"/>
    </row>
    <row r="230" spans="3:10" s="656" customFormat="1" ht="20.100000000000001" hidden="1" customHeight="1">
      <c r="C230" s="881"/>
      <c r="D230" s="1154" t="s">
        <v>308</v>
      </c>
      <c r="E230" s="864">
        <v>300000000</v>
      </c>
      <c r="F230" s="864">
        <v>300000000</v>
      </c>
      <c r="G230" s="882">
        <f t="shared" si="11"/>
        <v>100</v>
      </c>
      <c r="H230" s="882">
        <f>+G230</f>
        <v>100</v>
      </c>
      <c r="I230" s="863"/>
      <c r="J230" s="44"/>
    </row>
    <row r="231" spans="3:10" ht="20.100000000000001" hidden="1" customHeight="1">
      <c r="C231" s="878"/>
      <c r="D231" s="861" t="s">
        <v>4034</v>
      </c>
      <c r="E231" s="860">
        <v>300000000</v>
      </c>
      <c r="F231" s="860">
        <v>300000000</v>
      </c>
      <c r="G231" s="882">
        <f t="shared" si="11"/>
        <v>100</v>
      </c>
      <c r="H231" s="882">
        <f>+G231</f>
        <v>100</v>
      </c>
      <c r="I231" s="852"/>
      <c r="J231" s="802"/>
    </row>
    <row r="232" spans="3:10" s="656" customFormat="1" ht="20.100000000000001" hidden="1" customHeight="1">
      <c r="C232" s="881"/>
      <c r="D232" s="1154" t="s">
        <v>310</v>
      </c>
      <c r="E232" s="864">
        <v>674300000</v>
      </c>
      <c r="F232" s="864">
        <v>673978500</v>
      </c>
      <c r="G232" s="882">
        <f t="shared" si="11"/>
        <v>99.952320925404123</v>
      </c>
      <c r="H232" s="882">
        <v>100</v>
      </c>
      <c r="I232" s="863"/>
      <c r="J232" s="44"/>
    </row>
    <row r="233" spans="3:10" ht="20.100000000000001" hidden="1" customHeight="1">
      <c r="C233" s="878"/>
      <c r="D233" s="861" t="s">
        <v>4033</v>
      </c>
      <c r="E233" s="860">
        <v>674300000</v>
      </c>
      <c r="F233" s="860">
        <v>673978500</v>
      </c>
      <c r="G233" s="882">
        <f t="shared" si="11"/>
        <v>99.952320925404123</v>
      </c>
      <c r="H233" s="882">
        <v>100</v>
      </c>
      <c r="I233" s="852"/>
      <c r="J233" s="802"/>
    </row>
    <row r="234" spans="3:10" s="656" customFormat="1" ht="20.100000000000001" hidden="1" customHeight="1">
      <c r="C234" s="881"/>
      <c r="D234" s="1154" t="s">
        <v>312</v>
      </c>
      <c r="E234" s="864">
        <v>1847800000</v>
      </c>
      <c r="F234" s="864">
        <v>1847707000</v>
      </c>
      <c r="G234" s="882">
        <f t="shared" si="11"/>
        <v>99.994966987769246</v>
      </c>
      <c r="H234" s="882">
        <v>100</v>
      </c>
      <c r="I234" s="863"/>
      <c r="J234" s="44"/>
    </row>
    <row r="235" spans="3:10" s="656" customFormat="1" ht="20.100000000000001" hidden="1" customHeight="1">
      <c r="C235" s="881"/>
      <c r="D235" s="861" t="s">
        <v>469</v>
      </c>
      <c r="E235" s="860">
        <v>500000000</v>
      </c>
      <c r="F235" s="860">
        <v>500000000</v>
      </c>
      <c r="G235" s="882">
        <f t="shared" si="11"/>
        <v>100</v>
      </c>
      <c r="H235" s="882">
        <f>+G235</f>
        <v>100</v>
      </c>
      <c r="I235" s="863"/>
      <c r="J235" s="44"/>
    </row>
    <row r="236" spans="3:10" ht="20.100000000000001" hidden="1" customHeight="1">
      <c r="C236" s="878"/>
      <c r="D236" s="861" t="s">
        <v>4032</v>
      </c>
      <c r="E236" s="860">
        <v>514200000</v>
      </c>
      <c r="F236" s="860">
        <v>514120000</v>
      </c>
      <c r="G236" s="882">
        <f t="shared" si="11"/>
        <v>99.984441851419675</v>
      </c>
      <c r="H236" s="882">
        <v>100</v>
      </c>
      <c r="I236" s="852"/>
      <c r="J236" s="802"/>
    </row>
    <row r="237" spans="3:10" s="656" customFormat="1" ht="20.100000000000001" hidden="1" customHeight="1">
      <c r="C237" s="881"/>
      <c r="D237" s="861" t="s">
        <v>314</v>
      </c>
      <c r="E237" s="860">
        <v>833600000</v>
      </c>
      <c r="F237" s="860">
        <v>833587000</v>
      </c>
      <c r="G237" s="882">
        <f t="shared" si="11"/>
        <v>99.998440499040314</v>
      </c>
      <c r="H237" s="882">
        <f>+G237</f>
        <v>99.998440499040314</v>
      </c>
      <c r="I237" s="863"/>
      <c r="J237" s="44"/>
    </row>
    <row r="238" spans="3:10" s="656" customFormat="1" ht="20.100000000000001" hidden="1" customHeight="1">
      <c r="C238" s="881"/>
      <c r="D238" s="1154" t="s">
        <v>328</v>
      </c>
      <c r="E238" s="864">
        <v>590980000</v>
      </c>
      <c r="F238" s="864">
        <v>590980000</v>
      </c>
      <c r="G238" s="882">
        <f t="shared" si="11"/>
        <v>100</v>
      </c>
      <c r="H238" s="882">
        <f>+G238</f>
        <v>100</v>
      </c>
      <c r="I238" s="863"/>
      <c r="J238" s="44"/>
    </row>
    <row r="239" spans="3:10" ht="20.100000000000001" hidden="1" customHeight="1">
      <c r="C239" s="878"/>
      <c r="D239" s="861" t="s">
        <v>330</v>
      </c>
      <c r="E239" s="860">
        <v>590980000</v>
      </c>
      <c r="F239" s="860">
        <v>590980000</v>
      </c>
      <c r="G239" s="882">
        <f t="shared" si="11"/>
        <v>100</v>
      </c>
      <c r="H239" s="882">
        <f>+G239</f>
        <v>100</v>
      </c>
      <c r="I239" s="852"/>
      <c r="J239" s="802"/>
    </row>
    <row r="240" spans="3:10" ht="15" hidden="1" customHeight="1">
      <c r="C240" s="878"/>
      <c r="D240" s="869"/>
      <c r="E240" s="868"/>
      <c r="F240" s="868"/>
      <c r="G240" s="882"/>
      <c r="H240" s="882"/>
      <c r="I240" s="852"/>
      <c r="J240" s="802"/>
    </row>
    <row r="241" spans="3:10" s="656" customFormat="1" ht="20.100000000000001" hidden="1" customHeight="1">
      <c r="C241" s="881"/>
      <c r="D241" s="870" t="s">
        <v>2819</v>
      </c>
      <c r="E241" s="864">
        <v>4000000000</v>
      </c>
      <c r="F241" s="864">
        <v>3979867041.77</v>
      </c>
      <c r="G241" s="882">
        <f t="shared" ref="G241:G259" si="12">+F241/E241*100</f>
        <v>99.496676044249995</v>
      </c>
      <c r="H241" s="882">
        <v>100</v>
      </c>
      <c r="I241" s="863"/>
      <c r="J241" s="44"/>
    </row>
    <row r="242" spans="3:10" s="656" customFormat="1" ht="20.100000000000001" hidden="1" customHeight="1">
      <c r="C242" s="881"/>
      <c r="D242" s="1154" t="s">
        <v>317</v>
      </c>
      <c r="E242" s="864">
        <v>943000000</v>
      </c>
      <c r="F242" s="864">
        <v>941580223</v>
      </c>
      <c r="G242" s="882">
        <f t="shared" si="12"/>
        <v>99.84944040296925</v>
      </c>
      <c r="H242" s="882">
        <v>100</v>
      </c>
      <c r="I242" s="863"/>
      <c r="J242" s="44"/>
    </row>
    <row r="243" spans="3:10" ht="20.100000000000001" hidden="1" customHeight="1">
      <c r="C243" s="878"/>
      <c r="D243" s="861" t="s">
        <v>318</v>
      </c>
      <c r="E243" s="860">
        <v>187000000</v>
      </c>
      <c r="F243" s="860">
        <v>185739900</v>
      </c>
      <c r="G243" s="882">
        <f t="shared" si="12"/>
        <v>99.326149732620323</v>
      </c>
      <c r="H243" s="882">
        <v>100</v>
      </c>
      <c r="I243" s="852"/>
      <c r="J243" s="802"/>
    </row>
    <row r="244" spans="3:10" ht="20.100000000000001" hidden="1" customHeight="1">
      <c r="C244" s="878"/>
      <c r="D244" s="861" t="s">
        <v>319</v>
      </c>
      <c r="E244" s="860">
        <v>646000000</v>
      </c>
      <c r="F244" s="860">
        <v>645991323</v>
      </c>
      <c r="G244" s="882">
        <f t="shared" si="12"/>
        <v>99.998656811145509</v>
      </c>
      <c r="H244" s="882">
        <v>100</v>
      </c>
      <c r="I244" s="852"/>
      <c r="J244" s="802"/>
    </row>
    <row r="245" spans="3:10" ht="21.75" hidden="1" customHeight="1">
      <c r="C245" s="878"/>
      <c r="D245" s="861" t="s">
        <v>320</v>
      </c>
      <c r="E245" s="860">
        <v>110000000</v>
      </c>
      <c r="F245" s="860">
        <v>109849000</v>
      </c>
      <c r="G245" s="882">
        <f t="shared" si="12"/>
        <v>99.86272727272727</v>
      </c>
      <c r="H245" s="882">
        <v>100</v>
      </c>
      <c r="I245" s="852"/>
      <c r="J245" s="802"/>
    </row>
    <row r="246" spans="3:10" s="656" customFormat="1" ht="20.100000000000001" hidden="1" customHeight="1">
      <c r="C246" s="881"/>
      <c r="D246" s="1154" t="s">
        <v>321</v>
      </c>
      <c r="E246" s="864">
        <v>1731050000</v>
      </c>
      <c r="F246" s="864">
        <v>1716240818.77</v>
      </c>
      <c r="G246" s="882">
        <f t="shared" si="12"/>
        <v>99.144497199387644</v>
      </c>
      <c r="H246" s="882">
        <v>100</v>
      </c>
      <c r="I246" s="863"/>
      <c r="J246" s="44"/>
    </row>
    <row r="247" spans="3:10" ht="20.100000000000001" hidden="1" customHeight="1">
      <c r="C247" s="878"/>
      <c r="D247" s="861" t="s">
        <v>322</v>
      </c>
      <c r="E247" s="860">
        <v>896000000</v>
      </c>
      <c r="F247" s="860">
        <v>888750000</v>
      </c>
      <c r="G247" s="882">
        <f t="shared" si="12"/>
        <v>99.190848214285708</v>
      </c>
      <c r="H247" s="882">
        <v>100</v>
      </c>
      <c r="I247" s="852"/>
      <c r="J247" s="802"/>
    </row>
    <row r="248" spans="3:10" ht="20.100000000000001" hidden="1" customHeight="1">
      <c r="C248" s="878"/>
      <c r="D248" s="861" t="s">
        <v>324</v>
      </c>
      <c r="E248" s="860">
        <v>360050000</v>
      </c>
      <c r="F248" s="860">
        <v>355639096.76999998</v>
      </c>
      <c r="G248" s="882">
        <f t="shared" si="12"/>
        <v>98.774919252881546</v>
      </c>
      <c r="H248" s="882">
        <v>100</v>
      </c>
      <c r="I248" s="852"/>
      <c r="J248" s="802"/>
    </row>
    <row r="249" spans="3:10" ht="20.100000000000001" hidden="1" customHeight="1">
      <c r="C249" s="878"/>
      <c r="D249" s="861" t="s">
        <v>4031</v>
      </c>
      <c r="E249" s="860">
        <v>186000000</v>
      </c>
      <c r="F249" s="860">
        <v>184051722</v>
      </c>
      <c r="G249" s="882">
        <f t="shared" si="12"/>
        <v>98.952538709677412</v>
      </c>
      <c r="H249" s="882">
        <v>100</v>
      </c>
      <c r="I249" s="852"/>
      <c r="J249" s="802"/>
    </row>
    <row r="250" spans="3:10" ht="20.100000000000001" hidden="1" customHeight="1">
      <c r="C250" s="878"/>
      <c r="D250" s="861" t="s">
        <v>325</v>
      </c>
      <c r="E250" s="860">
        <v>289000000</v>
      </c>
      <c r="F250" s="860">
        <v>287800000</v>
      </c>
      <c r="G250" s="882">
        <f t="shared" si="12"/>
        <v>99.584775086505189</v>
      </c>
      <c r="H250" s="882">
        <v>100</v>
      </c>
      <c r="I250" s="852"/>
      <c r="J250" s="802"/>
    </row>
    <row r="251" spans="3:10" s="656" customFormat="1" ht="20.100000000000001" hidden="1" customHeight="1">
      <c r="C251" s="881"/>
      <c r="D251" s="1154" t="s">
        <v>326</v>
      </c>
      <c r="E251" s="864">
        <v>148500000</v>
      </c>
      <c r="F251" s="864">
        <v>148500000</v>
      </c>
      <c r="G251" s="882">
        <f t="shared" si="12"/>
        <v>100</v>
      </c>
      <c r="H251" s="882">
        <v>100</v>
      </c>
      <c r="I251" s="863"/>
      <c r="J251" s="44"/>
    </row>
    <row r="252" spans="3:10" ht="20.100000000000001" hidden="1" customHeight="1">
      <c r="C252" s="878"/>
      <c r="D252" s="861" t="s">
        <v>327</v>
      </c>
      <c r="E252" s="860">
        <v>148500000</v>
      </c>
      <c r="F252" s="860">
        <v>148500000</v>
      </c>
      <c r="G252" s="882">
        <f t="shared" si="12"/>
        <v>100</v>
      </c>
      <c r="H252" s="882">
        <v>100</v>
      </c>
      <c r="I252" s="852"/>
      <c r="J252" s="802"/>
    </row>
    <row r="253" spans="3:10" s="656" customFormat="1" ht="20.100000000000001" hidden="1" customHeight="1">
      <c r="C253" s="881"/>
      <c r="D253" s="1154" t="s">
        <v>328</v>
      </c>
      <c r="E253" s="864">
        <v>719150000</v>
      </c>
      <c r="F253" s="864">
        <v>717079000</v>
      </c>
      <c r="G253" s="882">
        <f t="shared" si="12"/>
        <v>99.712021136063413</v>
      </c>
      <c r="H253" s="882">
        <v>100</v>
      </c>
      <c r="I253" s="863"/>
      <c r="J253" s="44"/>
    </row>
    <row r="254" spans="3:10" ht="20.100000000000001" hidden="1" customHeight="1">
      <c r="C254" s="878"/>
      <c r="D254" s="861" t="s">
        <v>1748</v>
      </c>
      <c r="E254" s="860">
        <v>457900000</v>
      </c>
      <c r="F254" s="860">
        <v>457900000</v>
      </c>
      <c r="G254" s="882">
        <f t="shared" si="12"/>
        <v>100</v>
      </c>
      <c r="H254" s="882">
        <v>100</v>
      </c>
      <c r="I254" s="852"/>
      <c r="J254" s="802"/>
    </row>
    <row r="255" spans="3:10" ht="20.100000000000001" hidden="1" customHeight="1">
      <c r="C255" s="878"/>
      <c r="D255" s="861" t="s">
        <v>2476</v>
      </c>
      <c r="E255" s="860">
        <v>261250000</v>
      </c>
      <c r="F255" s="860">
        <v>259179000</v>
      </c>
      <c r="G255" s="882">
        <f t="shared" si="12"/>
        <v>99.207272727272724</v>
      </c>
      <c r="H255" s="882">
        <v>100</v>
      </c>
      <c r="I255" s="852"/>
      <c r="J255" s="802"/>
    </row>
    <row r="256" spans="3:10" s="656" customFormat="1" ht="20.100000000000001" hidden="1" customHeight="1">
      <c r="C256" s="881"/>
      <c r="D256" s="1154" t="s">
        <v>331</v>
      </c>
      <c r="E256" s="864">
        <v>158300000</v>
      </c>
      <c r="F256" s="864">
        <v>156467000</v>
      </c>
      <c r="G256" s="882">
        <f t="shared" si="12"/>
        <v>98.842072015161079</v>
      </c>
      <c r="H256" s="882">
        <v>100</v>
      </c>
      <c r="I256" s="863"/>
      <c r="J256" s="44"/>
    </row>
    <row r="257" spans="3:10" s="656" customFormat="1" ht="20.100000000000001" hidden="1" customHeight="1">
      <c r="C257" s="881"/>
      <c r="D257" s="861" t="s">
        <v>332</v>
      </c>
      <c r="E257" s="860">
        <v>158300000</v>
      </c>
      <c r="F257" s="860">
        <v>156467000</v>
      </c>
      <c r="G257" s="882">
        <f t="shared" si="12"/>
        <v>98.842072015161079</v>
      </c>
      <c r="H257" s="882">
        <v>100</v>
      </c>
      <c r="I257" s="863"/>
      <c r="J257" s="44"/>
    </row>
    <row r="258" spans="3:10" s="656" customFormat="1" ht="20.100000000000001" hidden="1" customHeight="1">
      <c r="C258" s="881"/>
      <c r="D258" s="1154" t="s">
        <v>333</v>
      </c>
      <c r="E258" s="864">
        <v>300000000</v>
      </c>
      <c r="F258" s="864">
        <v>300000000</v>
      </c>
      <c r="G258" s="882">
        <f t="shared" si="12"/>
        <v>100</v>
      </c>
      <c r="H258" s="882">
        <v>100</v>
      </c>
      <c r="I258" s="863"/>
      <c r="J258" s="44"/>
    </row>
    <row r="259" spans="3:10" s="656" customFormat="1" ht="20.100000000000001" hidden="1" customHeight="1">
      <c r="C259" s="881"/>
      <c r="D259" s="861" t="s">
        <v>4030</v>
      </c>
      <c r="E259" s="860">
        <v>300000000</v>
      </c>
      <c r="F259" s="860">
        <v>300000000</v>
      </c>
      <c r="G259" s="882">
        <f t="shared" si="12"/>
        <v>100</v>
      </c>
      <c r="H259" s="882">
        <v>100</v>
      </c>
      <c r="I259" s="863"/>
      <c r="J259" s="44"/>
    </row>
    <row r="260" spans="3:10" ht="15" hidden="1" customHeight="1">
      <c r="C260" s="878"/>
      <c r="D260" s="869"/>
      <c r="E260" s="868"/>
      <c r="F260" s="868"/>
      <c r="G260" s="882"/>
      <c r="H260" s="882"/>
      <c r="I260" s="852"/>
      <c r="J260" s="802"/>
    </row>
    <row r="261" spans="3:10" s="656" customFormat="1" ht="20.100000000000001" hidden="1" customHeight="1">
      <c r="C261" s="881"/>
      <c r="D261" s="870" t="s">
        <v>2818</v>
      </c>
      <c r="E261" s="864">
        <v>7000000000</v>
      </c>
      <c r="F261" s="864">
        <v>6803261746</v>
      </c>
      <c r="G261" s="882">
        <f t="shared" ref="G261:G275" si="13">+F261/E261*100</f>
        <v>97.189453514285717</v>
      </c>
      <c r="H261" s="882">
        <f>(H262+H264+H267+H271+H274)/5</f>
        <v>99</v>
      </c>
      <c r="I261" s="863"/>
      <c r="J261" s="44"/>
    </row>
    <row r="262" spans="3:10" s="656" customFormat="1" ht="20.100000000000001" hidden="1" customHeight="1">
      <c r="C262" s="881"/>
      <c r="D262" s="1154" t="s">
        <v>337</v>
      </c>
      <c r="E262" s="864">
        <v>300000000</v>
      </c>
      <c r="F262" s="864">
        <v>290991722</v>
      </c>
      <c r="G262" s="882">
        <f t="shared" si="13"/>
        <v>96.997240666666656</v>
      </c>
      <c r="H262" s="882">
        <v>100</v>
      </c>
      <c r="I262" s="863"/>
      <c r="J262" s="44"/>
    </row>
    <row r="263" spans="3:10" s="656" customFormat="1" ht="20.100000000000001" hidden="1" customHeight="1">
      <c r="C263" s="881"/>
      <c r="D263" s="861" t="s">
        <v>339</v>
      </c>
      <c r="E263" s="860">
        <v>300000000</v>
      </c>
      <c r="F263" s="860">
        <v>290991722</v>
      </c>
      <c r="G263" s="882">
        <f t="shared" si="13"/>
        <v>96.997240666666656</v>
      </c>
      <c r="H263" s="882">
        <v>100</v>
      </c>
      <c r="I263" s="863"/>
      <c r="J263" s="44"/>
    </row>
    <row r="264" spans="3:10" s="656" customFormat="1" ht="20.100000000000001" hidden="1" customHeight="1">
      <c r="C264" s="881"/>
      <c r="D264" s="1154" t="s">
        <v>341</v>
      </c>
      <c r="E264" s="864">
        <v>2500000000</v>
      </c>
      <c r="F264" s="864">
        <v>2369187524</v>
      </c>
      <c r="G264" s="882">
        <f t="shared" si="13"/>
        <v>94.767500959999992</v>
      </c>
      <c r="H264" s="882">
        <f>195/2</f>
        <v>97.5</v>
      </c>
      <c r="I264" s="863"/>
      <c r="J264" s="44"/>
    </row>
    <row r="265" spans="3:10" ht="20.100000000000001" hidden="1" customHeight="1">
      <c r="C265" s="878"/>
      <c r="D265" s="861" t="s">
        <v>4029</v>
      </c>
      <c r="E265" s="860">
        <v>1500000000</v>
      </c>
      <c r="F265" s="860">
        <v>1378700000</v>
      </c>
      <c r="G265" s="882">
        <f t="shared" si="13"/>
        <v>91.913333333333341</v>
      </c>
      <c r="H265" s="882">
        <v>95</v>
      </c>
      <c r="I265" s="852"/>
      <c r="J265" s="802"/>
    </row>
    <row r="266" spans="3:10" s="656" customFormat="1" ht="20.100000000000001" hidden="1" customHeight="1">
      <c r="C266" s="881"/>
      <c r="D266" s="861" t="s">
        <v>4028</v>
      </c>
      <c r="E266" s="860">
        <v>1000000000</v>
      </c>
      <c r="F266" s="860">
        <v>990487524</v>
      </c>
      <c r="G266" s="882">
        <f t="shared" si="13"/>
        <v>99.048752399999998</v>
      </c>
      <c r="H266" s="882">
        <v>100</v>
      </c>
      <c r="I266" s="863"/>
      <c r="J266" s="44"/>
    </row>
    <row r="267" spans="3:10" s="656" customFormat="1" ht="20.100000000000001" hidden="1" customHeight="1">
      <c r="C267" s="881"/>
      <c r="D267" s="1154" t="s">
        <v>343</v>
      </c>
      <c r="E267" s="864">
        <v>2500000000</v>
      </c>
      <c r="F267" s="864">
        <v>2478433300</v>
      </c>
      <c r="G267" s="882">
        <f t="shared" si="13"/>
        <v>99.137332000000001</v>
      </c>
      <c r="H267" s="882">
        <v>100</v>
      </c>
      <c r="I267" s="863"/>
      <c r="J267" s="44"/>
    </row>
    <row r="268" spans="3:10" ht="20.100000000000001" hidden="1" customHeight="1">
      <c r="C268" s="878"/>
      <c r="D268" s="861" t="s">
        <v>4027</v>
      </c>
      <c r="E268" s="860">
        <v>750000000</v>
      </c>
      <c r="F268" s="860">
        <v>736043000</v>
      </c>
      <c r="G268" s="882">
        <f t="shared" si="13"/>
        <v>98.139066666666665</v>
      </c>
      <c r="H268" s="882">
        <v>100</v>
      </c>
      <c r="I268" s="852"/>
      <c r="J268" s="802"/>
    </row>
    <row r="269" spans="3:10" ht="20.100000000000001" hidden="1" customHeight="1">
      <c r="C269" s="878"/>
      <c r="D269" s="861" t="s">
        <v>4026</v>
      </c>
      <c r="E269" s="860">
        <v>750000000</v>
      </c>
      <c r="F269" s="860">
        <v>747574000</v>
      </c>
      <c r="G269" s="882">
        <f t="shared" si="13"/>
        <v>99.676533333333325</v>
      </c>
      <c r="H269" s="882">
        <v>100</v>
      </c>
      <c r="I269" s="852"/>
      <c r="J269" s="802"/>
    </row>
    <row r="270" spans="3:10" s="656" customFormat="1" ht="20.100000000000001" hidden="1" customHeight="1">
      <c r="C270" s="881"/>
      <c r="D270" s="861" t="s">
        <v>4025</v>
      </c>
      <c r="E270" s="860">
        <v>1000000000</v>
      </c>
      <c r="F270" s="860">
        <v>994816300</v>
      </c>
      <c r="G270" s="882">
        <f t="shared" si="13"/>
        <v>99.481629999999996</v>
      </c>
      <c r="H270" s="882">
        <v>100</v>
      </c>
      <c r="I270" s="863"/>
      <c r="J270" s="44"/>
    </row>
    <row r="271" spans="3:10" s="656" customFormat="1" ht="20.100000000000001" hidden="1" customHeight="1">
      <c r="C271" s="881"/>
      <c r="D271" s="1154" t="s">
        <v>346</v>
      </c>
      <c r="E271" s="864">
        <v>700000000</v>
      </c>
      <c r="F271" s="864">
        <v>664649200</v>
      </c>
      <c r="G271" s="882">
        <f t="shared" si="13"/>
        <v>94.949885714285713</v>
      </c>
      <c r="H271" s="882">
        <f>195/2</f>
        <v>97.5</v>
      </c>
      <c r="I271" s="863"/>
      <c r="J271" s="44"/>
    </row>
    <row r="272" spans="3:10" ht="20.100000000000001" hidden="1" customHeight="1">
      <c r="C272" s="878"/>
      <c r="D272" s="861" t="s">
        <v>4024</v>
      </c>
      <c r="E272" s="860">
        <v>300000000</v>
      </c>
      <c r="F272" s="860">
        <v>299721800</v>
      </c>
      <c r="G272" s="882">
        <f t="shared" si="13"/>
        <v>99.907266666666672</v>
      </c>
      <c r="H272" s="882">
        <v>100</v>
      </c>
      <c r="I272" s="852"/>
      <c r="J272" s="802"/>
    </row>
    <row r="273" spans="3:10" ht="20.100000000000001" hidden="1" customHeight="1">
      <c r="C273" s="878"/>
      <c r="D273" s="861" t="s">
        <v>347</v>
      </c>
      <c r="E273" s="860">
        <v>400000000</v>
      </c>
      <c r="F273" s="860">
        <v>364927400</v>
      </c>
      <c r="G273" s="882">
        <f t="shared" si="13"/>
        <v>91.231850000000009</v>
      </c>
      <c r="H273" s="882">
        <v>95</v>
      </c>
      <c r="I273" s="852"/>
      <c r="J273" s="802"/>
    </row>
    <row r="274" spans="3:10" s="656" customFormat="1" ht="20.100000000000001" hidden="1" customHeight="1">
      <c r="C274" s="881"/>
      <c r="D274" s="1154" t="s">
        <v>4023</v>
      </c>
      <c r="E274" s="864">
        <v>1000000000</v>
      </c>
      <c r="F274" s="864">
        <v>1000000000</v>
      </c>
      <c r="G274" s="882">
        <f t="shared" si="13"/>
        <v>100</v>
      </c>
      <c r="H274" s="882">
        <f>+G274</f>
        <v>100</v>
      </c>
      <c r="I274" s="863"/>
      <c r="J274" s="44"/>
    </row>
    <row r="275" spans="3:10" s="656" customFormat="1" ht="20.100000000000001" hidden="1" customHeight="1">
      <c r="C275" s="881"/>
      <c r="D275" s="861" t="s">
        <v>4022</v>
      </c>
      <c r="E275" s="860">
        <v>1000000000</v>
      </c>
      <c r="F275" s="860">
        <v>1000000000</v>
      </c>
      <c r="G275" s="882">
        <f t="shared" si="13"/>
        <v>100</v>
      </c>
      <c r="H275" s="882">
        <f>+G275</f>
        <v>100</v>
      </c>
      <c r="I275" s="863"/>
      <c r="J275" s="44"/>
    </row>
    <row r="276" spans="3:10" ht="15" hidden="1" customHeight="1">
      <c r="C276" s="878"/>
      <c r="D276" s="869"/>
      <c r="E276" s="868"/>
      <c r="F276" s="868"/>
      <c r="G276" s="882"/>
      <c r="H276" s="882"/>
      <c r="I276" s="852"/>
      <c r="J276" s="802"/>
    </row>
    <row r="277" spans="3:10" s="656" customFormat="1" ht="20.100000000000001" hidden="1" customHeight="1">
      <c r="C277" s="881"/>
      <c r="D277" s="870" t="s">
        <v>351</v>
      </c>
      <c r="E277" s="864">
        <v>2000000000</v>
      </c>
      <c r="F277" s="864">
        <v>1545116500</v>
      </c>
      <c r="G277" s="882">
        <f t="shared" ref="G277:G290" si="14">+F277/E277*100</f>
        <v>77.255825000000002</v>
      </c>
      <c r="H277" s="882">
        <f>(H278+H280+H282+H285+H287+H289)/6</f>
        <v>78.75</v>
      </c>
      <c r="I277" s="863"/>
      <c r="J277" s="44"/>
    </row>
    <row r="278" spans="3:10" s="656" customFormat="1" ht="20.100000000000001" hidden="1" customHeight="1">
      <c r="C278" s="881"/>
      <c r="D278" s="1154" t="s">
        <v>4021</v>
      </c>
      <c r="E278" s="864">
        <v>195450000</v>
      </c>
      <c r="F278" s="864">
        <v>155988000</v>
      </c>
      <c r="G278" s="882">
        <f t="shared" si="14"/>
        <v>79.809669992325411</v>
      </c>
      <c r="H278" s="882">
        <v>80</v>
      </c>
      <c r="I278" s="863"/>
      <c r="J278" s="44"/>
    </row>
    <row r="279" spans="3:10" ht="21.75" hidden="1" customHeight="1">
      <c r="C279" s="878"/>
      <c r="D279" s="861" t="s">
        <v>4020</v>
      </c>
      <c r="E279" s="860">
        <v>195450000</v>
      </c>
      <c r="F279" s="860">
        <v>155988000</v>
      </c>
      <c r="G279" s="882">
        <f t="shared" si="14"/>
        <v>79.809669992325411</v>
      </c>
      <c r="H279" s="882">
        <v>80</v>
      </c>
      <c r="I279" s="852"/>
      <c r="J279" s="802"/>
    </row>
    <row r="280" spans="3:10" s="656" customFormat="1" ht="21.75" hidden="1" customHeight="1">
      <c r="C280" s="881"/>
      <c r="D280" s="1154" t="s">
        <v>4019</v>
      </c>
      <c r="E280" s="864">
        <v>199050000</v>
      </c>
      <c r="F280" s="864">
        <v>168825000</v>
      </c>
      <c r="G280" s="882">
        <f t="shared" si="14"/>
        <v>84.815373021853802</v>
      </c>
      <c r="H280" s="882">
        <v>85</v>
      </c>
      <c r="I280" s="863"/>
      <c r="J280" s="44"/>
    </row>
    <row r="281" spans="3:10" ht="20.100000000000001" hidden="1" customHeight="1">
      <c r="C281" s="878"/>
      <c r="D281" s="861" t="s">
        <v>4018</v>
      </c>
      <c r="E281" s="860">
        <v>199050000</v>
      </c>
      <c r="F281" s="860">
        <v>168825000</v>
      </c>
      <c r="G281" s="882">
        <f t="shared" si="14"/>
        <v>84.815373021853802</v>
      </c>
      <c r="H281" s="882">
        <v>85</v>
      </c>
      <c r="I281" s="852"/>
      <c r="J281" s="802"/>
    </row>
    <row r="282" spans="3:10" s="656" customFormat="1" ht="20.100000000000001" hidden="1" customHeight="1">
      <c r="C282" s="881"/>
      <c r="D282" s="1154" t="s">
        <v>4017</v>
      </c>
      <c r="E282" s="864">
        <v>378650000</v>
      </c>
      <c r="F282" s="864">
        <v>344549400</v>
      </c>
      <c r="G282" s="882">
        <f t="shared" si="14"/>
        <v>90.99416347550509</v>
      </c>
      <c r="H282" s="882">
        <f>185/2</f>
        <v>92.5</v>
      </c>
      <c r="I282" s="863"/>
      <c r="J282" s="44"/>
    </row>
    <row r="283" spans="3:10" ht="20.100000000000001" hidden="1" customHeight="1">
      <c r="C283" s="878"/>
      <c r="D283" s="861" t="s">
        <v>4016</v>
      </c>
      <c r="E283" s="860">
        <v>189542000</v>
      </c>
      <c r="F283" s="860">
        <v>157187800</v>
      </c>
      <c r="G283" s="882">
        <f t="shared" si="14"/>
        <v>82.930326787730422</v>
      </c>
      <c r="H283" s="882">
        <v>85</v>
      </c>
      <c r="I283" s="852"/>
      <c r="J283" s="802"/>
    </row>
    <row r="284" spans="3:10" s="656" customFormat="1" ht="20.100000000000001" hidden="1" customHeight="1">
      <c r="C284" s="881"/>
      <c r="D284" s="861" t="s">
        <v>4015</v>
      </c>
      <c r="E284" s="860">
        <v>189108000</v>
      </c>
      <c r="F284" s="860">
        <v>187361600</v>
      </c>
      <c r="G284" s="882">
        <f t="shared" si="14"/>
        <v>99.076506546523675</v>
      </c>
      <c r="H284" s="882">
        <v>100</v>
      </c>
      <c r="I284" s="863"/>
      <c r="J284" s="44"/>
    </row>
    <row r="285" spans="3:10" s="656" customFormat="1" ht="21.75" hidden="1" customHeight="1">
      <c r="C285" s="881"/>
      <c r="D285" s="1154" t="s">
        <v>4014</v>
      </c>
      <c r="E285" s="864">
        <v>289975000</v>
      </c>
      <c r="F285" s="864">
        <v>187059200</v>
      </c>
      <c r="G285" s="882">
        <f t="shared" si="14"/>
        <v>64.508733511509604</v>
      </c>
      <c r="H285" s="882">
        <v>65</v>
      </c>
      <c r="I285" s="863"/>
      <c r="J285" s="44"/>
    </row>
    <row r="286" spans="3:10" ht="21.75" hidden="1" customHeight="1">
      <c r="C286" s="878"/>
      <c r="D286" s="861" t="s">
        <v>4013</v>
      </c>
      <c r="E286" s="860">
        <v>289975000</v>
      </c>
      <c r="F286" s="860">
        <v>187059200</v>
      </c>
      <c r="G286" s="882">
        <f t="shared" si="14"/>
        <v>64.508733511509604</v>
      </c>
      <c r="H286" s="882">
        <v>65</v>
      </c>
      <c r="I286" s="852"/>
      <c r="J286" s="802"/>
    </row>
    <row r="287" spans="3:10" s="656" customFormat="1" ht="21.75" hidden="1" customHeight="1">
      <c r="C287" s="881"/>
      <c r="D287" s="1154" t="s">
        <v>4012</v>
      </c>
      <c r="E287" s="864">
        <v>646350000</v>
      </c>
      <c r="F287" s="864">
        <v>475538900</v>
      </c>
      <c r="G287" s="882">
        <f t="shared" si="14"/>
        <v>73.572971300379052</v>
      </c>
      <c r="H287" s="882">
        <v>75</v>
      </c>
      <c r="I287" s="863"/>
      <c r="J287" s="44"/>
    </row>
    <row r="288" spans="3:10" s="656" customFormat="1" ht="20.100000000000001" hidden="1" customHeight="1">
      <c r="C288" s="881"/>
      <c r="D288" s="861" t="s">
        <v>4011</v>
      </c>
      <c r="E288" s="860">
        <v>646350000</v>
      </c>
      <c r="F288" s="860">
        <v>475538900</v>
      </c>
      <c r="G288" s="882">
        <f t="shared" si="14"/>
        <v>73.572971300379052</v>
      </c>
      <c r="H288" s="882">
        <v>75</v>
      </c>
      <c r="I288" s="863"/>
      <c r="J288" s="44"/>
    </row>
    <row r="289" spans="3:10" s="656" customFormat="1" ht="21.75" hidden="1" customHeight="1">
      <c r="C289" s="881"/>
      <c r="D289" s="1154" t="s">
        <v>4010</v>
      </c>
      <c r="E289" s="864">
        <v>290525000</v>
      </c>
      <c r="F289" s="864">
        <v>213156000</v>
      </c>
      <c r="G289" s="882">
        <f t="shared" si="14"/>
        <v>73.369245331727058</v>
      </c>
      <c r="H289" s="882">
        <v>75</v>
      </c>
      <c r="I289" s="863"/>
      <c r="J289" s="44"/>
    </row>
    <row r="290" spans="3:10" ht="20.100000000000001" hidden="1" customHeight="1">
      <c r="C290" s="878"/>
      <c r="D290" s="861" t="s">
        <v>4009</v>
      </c>
      <c r="E290" s="860">
        <v>290525000</v>
      </c>
      <c r="F290" s="860">
        <v>213156000</v>
      </c>
      <c r="G290" s="882">
        <f t="shared" si="14"/>
        <v>73.369245331727058</v>
      </c>
      <c r="H290" s="882">
        <v>75</v>
      </c>
      <c r="I290" s="852"/>
      <c r="J290" s="802"/>
    </row>
    <row r="291" spans="3:10" ht="15" hidden="1" customHeight="1">
      <c r="C291" s="878"/>
      <c r="D291" s="869"/>
      <c r="E291" s="868"/>
      <c r="F291" s="868"/>
      <c r="G291" s="882"/>
      <c r="H291" s="882"/>
      <c r="I291" s="852"/>
      <c r="J291" s="802"/>
    </row>
    <row r="292" spans="3:10" s="656" customFormat="1" ht="20.100000000000001" hidden="1" customHeight="1">
      <c r="C292" s="881"/>
      <c r="D292" s="870" t="s">
        <v>987</v>
      </c>
      <c r="E292" s="864">
        <f>+E293+E295+E298+E300+E302+E304</f>
        <v>3000000000</v>
      </c>
      <c r="F292" s="864">
        <v>2174893194</v>
      </c>
      <c r="G292" s="882">
        <f t="shared" ref="G292:G305" si="15">+F292/E292*100</f>
        <v>72.496439800000005</v>
      </c>
      <c r="H292" s="882">
        <f>(H293+H295+H298+H300+H302+H304)/6</f>
        <v>95</v>
      </c>
      <c r="I292" s="863"/>
      <c r="J292" s="44"/>
    </row>
    <row r="293" spans="3:10" s="656" customFormat="1" ht="20.100000000000001" hidden="1" customHeight="1">
      <c r="C293" s="881"/>
      <c r="D293" s="1154" t="s">
        <v>2499</v>
      </c>
      <c r="E293" s="864">
        <v>500000000</v>
      </c>
      <c r="F293" s="864">
        <v>497994800</v>
      </c>
      <c r="G293" s="882">
        <f t="shared" si="15"/>
        <v>99.598960000000005</v>
      </c>
      <c r="H293" s="882">
        <v>100</v>
      </c>
      <c r="I293" s="863"/>
      <c r="J293" s="44"/>
    </row>
    <row r="294" spans="3:10" ht="20.100000000000001" hidden="1" customHeight="1">
      <c r="C294" s="878"/>
      <c r="D294" s="861" t="s">
        <v>2500</v>
      </c>
      <c r="E294" s="860">
        <v>500000000</v>
      </c>
      <c r="F294" s="860">
        <v>497994800</v>
      </c>
      <c r="G294" s="882">
        <f t="shared" si="15"/>
        <v>99.598960000000005</v>
      </c>
      <c r="H294" s="882">
        <v>100</v>
      </c>
      <c r="I294" s="852"/>
      <c r="J294" s="802"/>
    </row>
    <row r="295" spans="3:10" s="656" customFormat="1" ht="20.100000000000001" hidden="1" customHeight="1">
      <c r="C295" s="881"/>
      <c r="D295" s="1154" t="s">
        <v>2503</v>
      </c>
      <c r="E295" s="864">
        <v>1560140000</v>
      </c>
      <c r="F295" s="864">
        <v>1197938196</v>
      </c>
      <c r="G295" s="882">
        <f t="shared" si="15"/>
        <v>76.784019126488644</v>
      </c>
      <c r="H295" s="882">
        <v>75</v>
      </c>
      <c r="I295" s="863"/>
      <c r="J295" s="44"/>
    </row>
    <row r="296" spans="3:10" ht="20.100000000000001" hidden="1" customHeight="1">
      <c r="C296" s="878"/>
      <c r="D296" s="861" t="s">
        <v>4008</v>
      </c>
      <c r="E296" s="860">
        <v>646380000</v>
      </c>
      <c r="F296" s="860">
        <v>382515400</v>
      </c>
      <c r="G296" s="882">
        <f t="shared" si="15"/>
        <v>59.178099569912433</v>
      </c>
      <c r="H296" s="882">
        <v>60</v>
      </c>
      <c r="I296" s="852"/>
      <c r="J296" s="802"/>
    </row>
    <row r="297" spans="3:10" ht="20.100000000000001" hidden="1" customHeight="1">
      <c r="C297" s="878"/>
      <c r="D297" s="861" t="s">
        <v>2505</v>
      </c>
      <c r="E297" s="860">
        <v>913760000</v>
      </c>
      <c r="F297" s="860">
        <v>815422796</v>
      </c>
      <c r="G297" s="882">
        <f t="shared" si="15"/>
        <v>89.238180266153037</v>
      </c>
      <c r="H297" s="882">
        <v>90</v>
      </c>
      <c r="I297" s="852"/>
      <c r="J297" s="802"/>
    </row>
    <row r="298" spans="3:10" s="656" customFormat="1" ht="20.100000000000001" hidden="1" customHeight="1">
      <c r="C298" s="881"/>
      <c r="D298" s="1154" t="s">
        <v>2510</v>
      </c>
      <c r="E298" s="864">
        <v>100000000</v>
      </c>
      <c r="F298" s="864">
        <v>99734600</v>
      </c>
      <c r="G298" s="882">
        <f t="shared" si="15"/>
        <v>99.7346</v>
      </c>
      <c r="H298" s="882">
        <v>100</v>
      </c>
      <c r="I298" s="863"/>
      <c r="J298" s="44"/>
    </row>
    <row r="299" spans="3:10" ht="20.100000000000001" hidden="1" customHeight="1">
      <c r="C299" s="878"/>
      <c r="D299" s="861" t="s">
        <v>2512</v>
      </c>
      <c r="E299" s="860">
        <v>100000000</v>
      </c>
      <c r="F299" s="860">
        <v>99734600</v>
      </c>
      <c r="G299" s="882">
        <f t="shared" si="15"/>
        <v>99.7346</v>
      </c>
      <c r="H299" s="882">
        <v>100</v>
      </c>
      <c r="I299" s="852"/>
      <c r="J299" s="802"/>
    </row>
    <row r="300" spans="3:10" s="656" customFormat="1" ht="20.100000000000001" hidden="1" customHeight="1">
      <c r="C300" s="881"/>
      <c r="D300" s="1154" t="s">
        <v>358</v>
      </c>
      <c r="E300" s="864">
        <v>381800000</v>
      </c>
      <c r="F300" s="864">
        <v>379225598</v>
      </c>
      <c r="G300" s="882">
        <f t="shared" si="15"/>
        <v>99.325719748559465</v>
      </c>
      <c r="H300" s="882">
        <v>100</v>
      </c>
      <c r="I300" s="863"/>
      <c r="J300" s="44"/>
    </row>
    <row r="301" spans="3:10" s="656" customFormat="1" ht="20.100000000000001" hidden="1" customHeight="1">
      <c r="C301" s="881"/>
      <c r="D301" s="861" t="s">
        <v>2519</v>
      </c>
      <c r="E301" s="860">
        <v>381800000</v>
      </c>
      <c r="F301" s="860">
        <v>379225598</v>
      </c>
      <c r="G301" s="882">
        <f t="shared" si="15"/>
        <v>99.325719748559465</v>
      </c>
      <c r="H301" s="882">
        <v>100</v>
      </c>
      <c r="I301" s="863"/>
      <c r="J301" s="44"/>
    </row>
    <row r="302" spans="3:10" s="656" customFormat="1" ht="20.100000000000001" hidden="1" customHeight="1">
      <c r="C302" s="881"/>
      <c r="D302" s="1154" t="s">
        <v>1423</v>
      </c>
      <c r="E302" s="864">
        <v>260300000</v>
      </c>
      <c r="F302" s="864">
        <v>240933600</v>
      </c>
      <c r="G302" s="882">
        <f t="shared" si="15"/>
        <v>92.559969266231263</v>
      </c>
      <c r="H302" s="882">
        <v>95</v>
      </c>
      <c r="I302" s="863"/>
      <c r="J302" s="44"/>
    </row>
    <row r="303" spans="3:10" ht="20.100000000000001" hidden="1" customHeight="1">
      <c r="C303" s="878"/>
      <c r="D303" s="861" t="s">
        <v>2937</v>
      </c>
      <c r="E303" s="860">
        <v>260300000</v>
      </c>
      <c r="F303" s="860">
        <v>240933600</v>
      </c>
      <c r="G303" s="882">
        <f t="shared" si="15"/>
        <v>92.559969266231263</v>
      </c>
      <c r="H303" s="882">
        <v>95</v>
      </c>
      <c r="I303" s="852"/>
      <c r="J303" s="802"/>
    </row>
    <row r="304" spans="3:10" s="656" customFormat="1" ht="20.100000000000001" hidden="1" customHeight="1">
      <c r="C304" s="881"/>
      <c r="D304" s="1154" t="s">
        <v>2524</v>
      </c>
      <c r="E304" s="864">
        <v>197760000</v>
      </c>
      <c r="F304" s="864">
        <v>197450000</v>
      </c>
      <c r="G304" s="882">
        <f t="shared" si="15"/>
        <v>99.843244336569583</v>
      </c>
      <c r="H304" s="882">
        <v>100</v>
      </c>
      <c r="I304" s="863"/>
      <c r="J304" s="44"/>
    </row>
    <row r="305" spans="3:10" ht="20.100000000000001" hidden="1" customHeight="1">
      <c r="C305" s="878"/>
      <c r="D305" s="861" t="s">
        <v>2525</v>
      </c>
      <c r="E305" s="860">
        <v>197760000</v>
      </c>
      <c r="F305" s="860">
        <v>197450000</v>
      </c>
      <c r="G305" s="882">
        <f t="shared" si="15"/>
        <v>99.843244336569583</v>
      </c>
      <c r="H305" s="882">
        <v>100</v>
      </c>
      <c r="I305" s="852"/>
      <c r="J305" s="802"/>
    </row>
    <row r="306" spans="3:10" s="656" customFormat="1" ht="15" hidden="1" customHeight="1">
      <c r="C306" s="881"/>
      <c r="D306" s="869"/>
      <c r="E306" s="868"/>
      <c r="F306" s="868"/>
      <c r="G306" s="882"/>
      <c r="H306" s="882"/>
      <c r="I306" s="863"/>
      <c r="J306" s="44"/>
    </row>
    <row r="307" spans="3:10" s="656" customFormat="1" ht="20.100000000000001" hidden="1" customHeight="1">
      <c r="C307" s="881"/>
      <c r="D307" s="870" t="s">
        <v>360</v>
      </c>
      <c r="E307" s="864">
        <v>6100000000</v>
      </c>
      <c r="F307" s="864">
        <v>5870306605</v>
      </c>
      <c r="G307" s="882">
        <f t="shared" ref="G307:G319" si="16">+F307/E307*100</f>
        <v>96.234534508196717</v>
      </c>
      <c r="H307" s="882">
        <f>H308</f>
        <v>96.818181818181813</v>
      </c>
      <c r="I307" s="863"/>
      <c r="J307" s="44"/>
    </row>
    <row r="308" spans="3:10" s="656" customFormat="1" ht="20.100000000000001" hidden="1" customHeight="1">
      <c r="C308" s="881"/>
      <c r="D308" s="1154" t="s">
        <v>361</v>
      </c>
      <c r="E308" s="864">
        <v>6100000000</v>
      </c>
      <c r="F308" s="864">
        <v>5870306605</v>
      </c>
      <c r="G308" s="882">
        <f t="shared" si="16"/>
        <v>96.234534508196717</v>
      </c>
      <c r="H308" s="882">
        <f>SUM((H309:H319))/11</f>
        <v>96.818181818181813</v>
      </c>
      <c r="I308" s="863"/>
      <c r="J308" s="44"/>
    </row>
    <row r="309" spans="3:10" ht="20.100000000000001" hidden="1" customHeight="1">
      <c r="C309" s="878"/>
      <c r="D309" s="861" t="s">
        <v>4007</v>
      </c>
      <c r="E309" s="860">
        <v>300000000</v>
      </c>
      <c r="F309" s="860">
        <v>297829800</v>
      </c>
      <c r="G309" s="882">
        <f t="shared" si="16"/>
        <v>99.276600000000002</v>
      </c>
      <c r="H309" s="882">
        <v>100</v>
      </c>
      <c r="I309" s="852"/>
      <c r="J309" s="802"/>
    </row>
    <row r="310" spans="3:10" ht="20.100000000000001" hidden="1" customHeight="1">
      <c r="C310" s="878"/>
      <c r="D310" s="861" t="s">
        <v>4006</v>
      </c>
      <c r="E310" s="860">
        <v>200000000</v>
      </c>
      <c r="F310" s="860">
        <v>200000000</v>
      </c>
      <c r="G310" s="882">
        <f t="shared" si="16"/>
        <v>100</v>
      </c>
      <c r="H310" s="882">
        <f>+G310</f>
        <v>100</v>
      </c>
      <c r="I310" s="852"/>
      <c r="J310" s="802"/>
    </row>
    <row r="311" spans="3:10" ht="20.100000000000001" hidden="1" customHeight="1">
      <c r="C311" s="878"/>
      <c r="D311" s="861" t="s">
        <v>362</v>
      </c>
      <c r="E311" s="860">
        <v>2442000000</v>
      </c>
      <c r="F311" s="860">
        <v>2437022839</v>
      </c>
      <c r="G311" s="882">
        <f t="shared" si="16"/>
        <v>99.79618505323505</v>
      </c>
      <c r="H311" s="882">
        <v>100</v>
      </c>
      <c r="I311" s="852"/>
      <c r="J311" s="802"/>
    </row>
    <row r="312" spans="3:10" s="656" customFormat="1" ht="20.100000000000001" hidden="1" customHeight="1">
      <c r="C312" s="881"/>
      <c r="D312" s="861" t="s">
        <v>4005</v>
      </c>
      <c r="E312" s="860">
        <v>993000000</v>
      </c>
      <c r="F312" s="860">
        <v>952975779</v>
      </c>
      <c r="G312" s="882">
        <f t="shared" si="16"/>
        <v>95.969363444108751</v>
      </c>
      <c r="H312" s="882">
        <v>95</v>
      </c>
      <c r="I312" s="863"/>
      <c r="J312" s="44"/>
    </row>
    <row r="313" spans="3:10" ht="20.100000000000001" hidden="1" customHeight="1">
      <c r="C313" s="878"/>
      <c r="D313" s="861" t="s">
        <v>4004</v>
      </c>
      <c r="E313" s="860">
        <v>250000000</v>
      </c>
      <c r="F313" s="860">
        <v>230440100</v>
      </c>
      <c r="G313" s="882">
        <f t="shared" si="16"/>
        <v>92.17604</v>
      </c>
      <c r="H313" s="882">
        <v>95</v>
      </c>
      <c r="I313" s="852"/>
      <c r="J313" s="802"/>
    </row>
    <row r="314" spans="3:10" ht="20.100000000000001" hidden="1" customHeight="1">
      <c r="C314" s="878"/>
      <c r="D314" s="861" t="s">
        <v>4003</v>
      </c>
      <c r="E314" s="860">
        <v>618600000</v>
      </c>
      <c r="F314" s="860">
        <v>544806134</v>
      </c>
      <c r="G314" s="882">
        <f t="shared" si="16"/>
        <v>88.070826705463958</v>
      </c>
      <c r="H314" s="882">
        <v>90</v>
      </c>
      <c r="I314" s="852"/>
      <c r="J314" s="802"/>
    </row>
    <row r="315" spans="3:10" ht="20.100000000000001" hidden="1" customHeight="1">
      <c r="C315" s="878"/>
      <c r="D315" s="861" t="s">
        <v>4002</v>
      </c>
      <c r="E315" s="860">
        <v>400000000</v>
      </c>
      <c r="F315" s="860">
        <v>327228853</v>
      </c>
      <c r="G315" s="882">
        <f t="shared" si="16"/>
        <v>81.807213250000004</v>
      </c>
      <c r="H315" s="882">
        <v>85</v>
      </c>
      <c r="I315" s="852"/>
      <c r="J315" s="802"/>
    </row>
    <row r="316" spans="3:10" ht="20.100000000000001" hidden="1" customHeight="1">
      <c r="C316" s="878"/>
      <c r="D316" s="861" t="s">
        <v>4001</v>
      </c>
      <c r="E316" s="860">
        <v>200000000</v>
      </c>
      <c r="F316" s="860">
        <v>191549000</v>
      </c>
      <c r="G316" s="882">
        <f t="shared" si="16"/>
        <v>95.774499999999989</v>
      </c>
      <c r="H316" s="882">
        <v>100</v>
      </c>
      <c r="I316" s="852"/>
      <c r="J316" s="802"/>
    </row>
    <row r="317" spans="3:10" ht="20.100000000000001" hidden="1" customHeight="1">
      <c r="C317" s="878"/>
      <c r="D317" s="861" t="s">
        <v>4000</v>
      </c>
      <c r="E317" s="860">
        <v>271500000</v>
      </c>
      <c r="F317" s="860">
        <v>264086100</v>
      </c>
      <c r="G317" s="882">
        <f t="shared" si="16"/>
        <v>97.269281767955803</v>
      </c>
      <c r="H317" s="882">
        <v>100</v>
      </c>
      <c r="I317" s="852"/>
      <c r="J317" s="802"/>
    </row>
    <row r="318" spans="3:10" ht="20.100000000000001" hidden="1" customHeight="1">
      <c r="C318" s="878"/>
      <c r="D318" s="861" t="s">
        <v>3999</v>
      </c>
      <c r="E318" s="860">
        <v>200000000</v>
      </c>
      <c r="F318" s="860">
        <v>199946900</v>
      </c>
      <c r="G318" s="882">
        <f t="shared" si="16"/>
        <v>99.97345</v>
      </c>
      <c r="H318" s="882">
        <v>100</v>
      </c>
      <c r="I318" s="852"/>
      <c r="J318" s="802"/>
    </row>
    <row r="319" spans="3:10" ht="20.100000000000001" hidden="1" customHeight="1">
      <c r="C319" s="878"/>
      <c r="D319" s="861" t="s">
        <v>3998</v>
      </c>
      <c r="E319" s="860">
        <v>224900000</v>
      </c>
      <c r="F319" s="860">
        <v>224421100</v>
      </c>
      <c r="G319" s="882">
        <f t="shared" si="16"/>
        <v>99.787060915962655</v>
      </c>
      <c r="H319" s="882">
        <v>100</v>
      </c>
      <c r="I319" s="852"/>
      <c r="J319" s="802"/>
    </row>
    <row r="320" spans="3:10" ht="15" hidden="1" customHeight="1">
      <c r="C320" s="878"/>
      <c r="D320" s="869"/>
      <c r="E320" s="868"/>
      <c r="F320" s="868"/>
      <c r="G320" s="882"/>
      <c r="H320" s="882"/>
      <c r="I320" s="852"/>
      <c r="J320" s="802"/>
    </row>
    <row r="321" spans="3:10" s="656" customFormat="1" ht="20.100000000000001" hidden="1" customHeight="1">
      <c r="C321" s="881"/>
      <c r="D321" s="870" t="s">
        <v>363</v>
      </c>
      <c r="E321" s="864">
        <v>10000000000</v>
      </c>
      <c r="F321" s="864">
        <v>9298221776</v>
      </c>
      <c r="G321" s="882">
        <f t="shared" ref="G321:G326" si="17">+F321/E321*100</f>
        <v>92.982217759999997</v>
      </c>
      <c r="H321" s="882">
        <f>(H322+H324)/2</f>
        <v>86.25</v>
      </c>
      <c r="I321" s="863"/>
      <c r="J321" s="44"/>
    </row>
    <row r="322" spans="3:10" s="656" customFormat="1" ht="20.100000000000001" hidden="1" customHeight="1">
      <c r="C322" s="881"/>
      <c r="D322" s="1154" t="s">
        <v>3997</v>
      </c>
      <c r="E322" s="864">
        <v>1208750000</v>
      </c>
      <c r="F322" s="864">
        <v>1001507273</v>
      </c>
      <c r="G322" s="882">
        <f t="shared" si="17"/>
        <v>82.854789906928644</v>
      </c>
      <c r="H322" s="882">
        <v>85</v>
      </c>
      <c r="I322" s="863"/>
      <c r="J322" s="44"/>
    </row>
    <row r="323" spans="3:10" ht="20.100000000000001" hidden="1" customHeight="1">
      <c r="C323" s="878"/>
      <c r="D323" s="861" t="s">
        <v>3996</v>
      </c>
      <c r="E323" s="860">
        <v>1208750000</v>
      </c>
      <c r="F323" s="860">
        <v>1001507273</v>
      </c>
      <c r="G323" s="882">
        <f t="shared" si="17"/>
        <v>82.854789906928644</v>
      </c>
      <c r="H323" s="882">
        <v>85</v>
      </c>
      <c r="I323" s="852"/>
      <c r="J323" s="802"/>
    </row>
    <row r="324" spans="3:10" s="656" customFormat="1" ht="20.100000000000001" hidden="1" customHeight="1">
      <c r="C324" s="881"/>
      <c r="D324" s="1154" t="s">
        <v>364</v>
      </c>
      <c r="E324" s="864">
        <v>8791250000</v>
      </c>
      <c r="F324" s="864">
        <v>8296714503</v>
      </c>
      <c r="G324" s="882">
        <f t="shared" si="17"/>
        <v>94.374685090288637</v>
      </c>
      <c r="H324" s="882">
        <f>175/2</f>
        <v>87.5</v>
      </c>
      <c r="I324" s="863"/>
      <c r="J324" s="44"/>
    </row>
    <row r="325" spans="3:10" ht="20.100000000000001" hidden="1" customHeight="1">
      <c r="C325" s="878"/>
      <c r="D325" s="861" t="s">
        <v>3995</v>
      </c>
      <c r="E325" s="860">
        <v>8095450000</v>
      </c>
      <c r="F325" s="860">
        <v>7803029503</v>
      </c>
      <c r="G325" s="882">
        <f t="shared" si="17"/>
        <v>96.387841355329229</v>
      </c>
      <c r="H325" s="882">
        <v>100</v>
      </c>
      <c r="I325" s="852"/>
      <c r="J325" s="802"/>
    </row>
    <row r="326" spans="3:10" ht="20.100000000000001" hidden="1" customHeight="1">
      <c r="C326" s="878"/>
      <c r="D326" s="861" t="s">
        <v>365</v>
      </c>
      <c r="E326" s="860">
        <v>695800000</v>
      </c>
      <c r="F326" s="860">
        <v>493685000</v>
      </c>
      <c r="G326" s="882">
        <f t="shared" si="17"/>
        <v>70.952141419948262</v>
      </c>
      <c r="H326" s="882">
        <v>75</v>
      </c>
      <c r="I326" s="852"/>
      <c r="J326" s="802"/>
    </row>
    <row r="327" spans="3:10" ht="15" hidden="1" customHeight="1">
      <c r="C327" s="878"/>
      <c r="D327" s="869"/>
      <c r="E327" s="868"/>
      <c r="F327" s="868"/>
      <c r="G327" s="882"/>
      <c r="H327" s="882"/>
      <c r="I327" s="852"/>
      <c r="J327" s="802"/>
    </row>
    <row r="328" spans="3:10" s="656" customFormat="1" ht="20.100000000000001" hidden="1" customHeight="1">
      <c r="C328" s="881"/>
      <c r="D328" s="870" t="s">
        <v>366</v>
      </c>
      <c r="E328" s="864">
        <v>9467000000</v>
      </c>
      <c r="F328" s="864">
        <v>8783546989</v>
      </c>
      <c r="G328" s="882">
        <f t="shared" ref="G328:G335" si="18">+F328/E328*100</f>
        <v>92.780680141544309</v>
      </c>
      <c r="H328" s="882">
        <f>(H329+H334)/2</f>
        <v>97.5</v>
      </c>
      <c r="I328" s="863"/>
      <c r="J328" s="44"/>
    </row>
    <row r="329" spans="3:10" s="656" customFormat="1" ht="20.100000000000001" hidden="1" customHeight="1">
      <c r="C329" s="881"/>
      <c r="D329" s="1154" t="s">
        <v>367</v>
      </c>
      <c r="E329" s="864">
        <v>8567000000</v>
      </c>
      <c r="F329" s="864">
        <v>7886112494</v>
      </c>
      <c r="G329" s="882">
        <f t="shared" si="18"/>
        <v>92.052206069802736</v>
      </c>
      <c r="H329" s="882">
        <f>SUM((H330:H333))/4</f>
        <v>95</v>
      </c>
      <c r="I329" s="863"/>
      <c r="J329" s="44"/>
    </row>
    <row r="330" spans="3:10" ht="20.100000000000001" hidden="1" customHeight="1">
      <c r="C330" s="878"/>
      <c r="D330" s="861" t="s">
        <v>3994</v>
      </c>
      <c r="E330" s="860">
        <v>1500000000</v>
      </c>
      <c r="F330" s="860">
        <v>1491363700</v>
      </c>
      <c r="G330" s="882">
        <f t="shared" si="18"/>
        <v>99.424246666666676</v>
      </c>
      <c r="H330" s="882">
        <v>100</v>
      </c>
      <c r="I330" s="852"/>
      <c r="J330" s="802"/>
    </row>
    <row r="331" spans="3:10" ht="20.100000000000001" hidden="1" customHeight="1">
      <c r="C331" s="878"/>
      <c r="D331" s="861" t="s">
        <v>368</v>
      </c>
      <c r="E331" s="860">
        <v>4250000000</v>
      </c>
      <c r="F331" s="860">
        <v>3799868594</v>
      </c>
      <c r="G331" s="882">
        <f t="shared" si="18"/>
        <v>89.408672800000005</v>
      </c>
      <c r="H331" s="882">
        <v>90</v>
      </c>
      <c r="I331" s="852"/>
      <c r="J331" s="802"/>
    </row>
    <row r="332" spans="3:10" ht="20.100000000000001" hidden="1" customHeight="1">
      <c r="C332" s="878"/>
      <c r="D332" s="861" t="s">
        <v>3993</v>
      </c>
      <c r="E332" s="860">
        <v>817000000</v>
      </c>
      <c r="F332" s="860">
        <v>816667800</v>
      </c>
      <c r="G332" s="882">
        <f t="shared" si="18"/>
        <v>99.959339045287649</v>
      </c>
      <c r="H332" s="882">
        <v>100</v>
      </c>
      <c r="I332" s="852"/>
      <c r="J332" s="802"/>
    </row>
    <row r="333" spans="3:10" ht="20.100000000000001" hidden="1" customHeight="1">
      <c r="C333" s="878"/>
      <c r="D333" s="861" t="s">
        <v>369</v>
      </c>
      <c r="E333" s="860">
        <v>2000000000</v>
      </c>
      <c r="F333" s="860">
        <v>1778212400</v>
      </c>
      <c r="G333" s="882">
        <f t="shared" si="18"/>
        <v>88.910619999999994</v>
      </c>
      <c r="H333" s="882">
        <v>90</v>
      </c>
      <c r="I333" s="852"/>
      <c r="J333" s="802"/>
    </row>
    <row r="334" spans="3:10" s="656" customFormat="1" ht="20.100000000000001" hidden="1" customHeight="1">
      <c r="C334" s="881"/>
      <c r="D334" s="1154" t="s">
        <v>3992</v>
      </c>
      <c r="E334" s="864">
        <v>900000000</v>
      </c>
      <c r="F334" s="864">
        <v>897434495</v>
      </c>
      <c r="G334" s="882">
        <f t="shared" si="18"/>
        <v>99.714943888888882</v>
      </c>
      <c r="H334" s="882">
        <v>100</v>
      </c>
      <c r="I334" s="863"/>
      <c r="J334" s="44"/>
    </row>
    <row r="335" spans="3:10" ht="20.100000000000001" hidden="1" customHeight="1">
      <c r="C335" s="878"/>
      <c r="D335" s="861" t="s">
        <v>3991</v>
      </c>
      <c r="E335" s="860">
        <v>900000000</v>
      </c>
      <c r="F335" s="860">
        <v>897434495</v>
      </c>
      <c r="G335" s="882">
        <f t="shared" si="18"/>
        <v>99.714943888888882</v>
      </c>
      <c r="H335" s="882">
        <v>100</v>
      </c>
      <c r="I335" s="852"/>
      <c r="J335" s="802"/>
    </row>
    <row r="336" spans="3:10" ht="15" hidden="1" customHeight="1">
      <c r="C336" s="878"/>
      <c r="D336" s="869"/>
      <c r="E336" s="868"/>
      <c r="F336" s="868"/>
      <c r="G336" s="882"/>
      <c r="H336" s="882"/>
      <c r="I336" s="852"/>
      <c r="J336" s="802"/>
    </row>
    <row r="337" spans="3:10" s="656" customFormat="1" ht="20.100000000000001" hidden="1" customHeight="1">
      <c r="C337" s="881"/>
      <c r="D337" s="870" t="s">
        <v>379</v>
      </c>
      <c r="E337" s="864">
        <v>11200000000</v>
      </c>
      <c r="F337" s="864">
        <v>9530881470</v>
      </c>
      <c r="G337" s="882">
        <f>+F337/E337*100</f>
        <v>85.097155982142851</v>
      </c>
      <c r="H337" s="882">
        <f>H338</f>
        <v>91.666666666666671</v>
      </c>
      <c r="I337" s="863"/>
      <c r="J337" s="44"/>
    </row>
    <row r="338" spans="3:10" s="656" customFormat="1" ht="20.100000000000001" hidden="1" customHeight="1">
      <c r="C338" s="881"/>
      <c r="D338" s="1154" t="s">
        <v>361</v>
      </c>
      <c r="E338" s="864">
        <v>11200000000</v>
      </c>
      <c r="F338" s="864">
        <v>9530881470</v>
      </c>
      <c r="G338" s="882">
        <f>+F338/E338*100</f>
        <v>85.097155982142851</v>
      </c>
      <c r="H338" s="882">
        <f>SUM((H339:H341))/3</f>
        <v>91.666666666666671</v>
      </c>
      <c r="I338" s="863"/>
      <c r="J338" s="44"/>
    </row>
    <row r="339" spans="3:10" ht="20.100000000000001" hidden="1" customHeight="1">
      <c r="C339" s="878"/>
      <c r="D339" s="861" t="s">
        <v>380</v>
      </c>
      <c r="E339" s="860">
        <v>10077502980</v>
      </c>
      <c r="F339" s="860">
        <v>8504653070</v>
      </c>
      <c r="G339" s="882">
        <f>+F339/E339*100</f>
        <v>84.392463955391463</v>
      </c>
      <c r="H339" s="882">
        <v>85</v>
      </c>
      <c r="I339" s="852"/>
      <c r="J339" s="802"/>
    </row>
    <row r="340" spans="3:10" ht="20.100000000000001" hidden="1" customHeight="1">
      <c r="C340" s="878"/>
      <c r="D340" s="861" t="s">
        <v>381</v>
      </c>
      <c r="E340" s="860">
        <v>521327940</v>
      </c>
      <c r="F340" s="860">
        <v>506539800</v>
      </c>
      <c r="G340" s="882">
        <f>+F340/E340*100</f>
        <v>97.163370910064785</v>
      </c>
      <c r="H340" s="882">
        <v>100</v>
      </c>
      <c r="I340" s="852"/>
      <c r="J340" s="802"/>
    </row>
    <row r="341" spans="3:10" ht="20.100000000000001" hidden="1" customHeight="1">
      <c r="C341" s="878"/>
      <c r="D341" s="861" t="s">
        <v>382</v>
      </c>
      <c r="E341" s="860">
        <v>601169080</v>
      </c>
      <c r="F341" s="860">
        <v>519688600</v>
      </c>
      <c r="G341" s="882">
        <f>+F341/E341*100</f>
        <v>86.446328876395313</v>
      </c>
      <c r="H341" s="882">
        <v>90</v>
      </c>
      <c r="I341" s="852"/>
      <c r="J341" s="802"/>
    </row>
    <row r="342" spans="3:10" ht="15" hidden="1" customHeight="1">
      <c r="C342" s="878"/>
      <c r="D342" s="859"/>
      <c r="E342" s="855"/>
      <c r="F342" s="999"/>
      <c r="G342" s="882"/>
      <c r="H342" s="882"/>
      <c r="I342" s="852"/>
      <c r="J342" s="802"/>
    </row>
    <row r="343" spans="3:10" ht="20.100000000000001" hidden="1" customHeight="1">
      <c r="C343" s="878"/>
      <c r="D343" s="1152" t="s">
        <v>2783</v>
      </c>
      <c r="E343" s="1153">
        <f t="shared" ref="E343:F345" si="19">+E344</f>
        <v>132709314600</v>
      </c>
      <c r="F343" s="999">
        <f t="shared" si="19"/>
        <v>113379818182</v>
      </c>
      <c r="G343" s="882">
        <f t="shared" ref="G343:G348" si="20">+F343/E343*100</f>
        <v>85.434710083266452</v>
      </c>
      <c r="H343" s="882">
        <v>90</v>
      </c>
      <c r="I343" s="852"/>
      <c r="J343" s="802"/>
    </row>
    <row r="344" spans="3:10" ht="20.100000000000001" hidden="1" customHeight="1">
      <c r="C344" s="878"/>
      <c r="D344" s="1152" t="s">
        <v>374</v>
      </c>
      <c r="E344" s="1151">
        <f t="shared" si="19"/>
        <v>132709314600</v>
      </c>
      <c r="F344" s="999">
        <f t="shared" si="19"/>
        <v>113379818182</v>
      </c>
      <c r="G344" s="882">
        <f t="shared" si="20"/>
        <v>85.434710083266452</v>
      </c>
      <c r="H344" s="882">
        <v>90</v>
      </c>
      <c r="I344" s="852"/>
      <c r="J344" s="802"/>
    </row>
    <row r="345" spans="3:10" ht="20.100000000000001" hidden="1" customHeight="1">
      <c r="C345" s="878"/>
      <c r="D345" s="1152" t="s">
        <v>375</v>
      </c>
      <c r="E345" s="1151">
        <f t="shared" si="19"/>
        <v>132709314600</v>
      </c>
      <c r="F345" s="999">
        <f t="shared" si="19"/>
        <v>113379818182</v>
      </c>
      <c r="G345" s="882">
        <f t="shared" si="20"/>
        <v>85.434710083266452</v>
      </c>
      <c r="H345" s="882">
        <v>90</v>
      </c>
      <c r="I345" s="852"/>
      <c r="J345" s="802"/>
    </row>
    <row r="346" spans="3:10" ht="20.100000000000001" hidden="1" customHeight="1">
      <c r="C346" s="878"/>
      <c r="D346" s="1149" t="s">
        <v>376</v>
      </c>
      <c r="E346" s="1150">
        <f>+E347+E348</f>
        <v>132709314600</v>
      </c>
      <c r="F346" s="999">
        <f>+F347</f>
        <v>113379818182</v>
      </c>
      <c r="G346" s="882">
        <f t="shared" si="20"/>
        <v>85.434710083266452</v>
      </c>
      <c r="H346" s="882">
        <v>90</v>
      </c>
      <c r="I346" s="852"/>
      <c r="J346" s="802"/>
    </row>
    <row r="347" spans="3:10" ht="20.100000000000001" hidden="1" customHeight="1">
      <c r="C347" s="878"/>
      <c r="D347" s="1149" t="s">
        <v>3990</v>
      </c>
      <c r="E347" s="1148">
        <v>132609314600</v>
      </c>
      <c r="F347" s="999">
        <v>113379818182</v>
      </c>
      <c r="G347" s="882">
        <f t="shared" si="20"/>
        <v>85.499135957377163</v>
      </c>
      <c r="H347" s="882">
        <v>90</v>
      </c>
      <c r="I347" s="852"/>
      <c r="J347" s="802"/>
    </row>
    <row r="348" spans="3:10" ht="20.100000000000001" hidden="1" customHeight="1">
      <c r="C348" s="878"/>
      <c r="D348" s="1149" t="s">
        <v>3989</v>
      </c>
      <c r="E348" s="1148">
        <v>100000000</v>
      </c>
      <c r="F348" s="999"/>
      <c r="G348" s="882">
        <f t="shared" si="20"/>
        <v>0</v>
      </c>
      <c r="H348" s="882">
        <f>+G348</f>
        <v>0</v>
      </c>
      <c r="I348" s="852"/>
      <c r="J348" s="802"/>
    </row>
    <row r="349" spans="3:10" ht="15" hidden="1" customHeight="1">
      <c r="C349" s="878"/>
      <c r="D349" s="859"/>
      <c r="E349" s="855"/>
      <c r="F349" s="999"/>
      <c r="G349" s="852"/>
      <c r="H349" s="879"/>
      <c r="I349" s="852"/>
      <c r="J349" s="802"/>
    </row>
    <row r="350" spans="3:10" s="656" customFormat="1" ht="20.100000000000001" customHeight="1">
      <c r="C350" s="881" t="s">
        <v>383</v>
      </c>
      <c r="D350" s="856" t="s">
        <v>32</v>
      </c>
      <c r="E350" s="1147">
        <f>+E351+E422+E518+E620+E711+E819+E907+E1087+E1170+E1240+E1335+E1430+E1533+E1707+E1782+E1865+E2002+E2068+E2143+E2285+E2402+E2503+E2561+E2657+E2787+E2843+E2916+E3044+E3217</f>
        <v>1557405258400.6392</v>
      </c>
      <c r="F350" s="1146">
        <f>+F351+F422+F518+F620+F711+F819+F907+F1087+F1170+F1240+F1335+F1430+F1533+F1707+F1782+F1865+F2002+F2068+F2143+F2285+F2402+F2503+F2561+F2657+F2787+F2843+F2916+F3044+F3217</f>
        <v>1337702322293.6082</v>
      </c>
      <c r="G350" s="882">
        <f>+F350/E350*100</f>
        <v>85.893014363348655</v>
      </c>
      <c r="H350" s="882">
        <f>(H351+H422+H518+H620+H711+H819+H907+H1087+H1170+H1240+H1335+H1430+H1533+H1707+H1782+H1865+H2002+H2068+H2143+H2285+H2402+H2503+H2561+H2657+H2787+H2843+H2916+H3044+H3217)/29</f>
        <v>85.184877986207383</v>
      </c>
      <c r="I350" s="863"/>
      <c r="J350" s="44"/>
    </row>
    <row r="351" spans="3:10" s="656" customFormat="1" ht="20.100000000000001" customHeight="1">
      <c r="C351" s="881" t="s">
        <v>385</v>
      </c>
      <c r="D351" s="856" t="s">
        <v>3988</v>
      </c>
      <c r="E351" s="885">
        <v>48495887123.160004</v>
      </c>
      <c r="F351" s="885">
        <f>+F352+F381+F398+F402+F410+F414+F418</f>
        <v>43377805385</v>
      </c>
      <c r="G351" s="855">
        <f>+F351/E351*100</f>
        <v>89.446359182661951</v>
      </c>
      <c r="H351" s="887">
        <f>(H352+H381+H398+H402+H410+H414+H418)/7</f>
        <v>73.887400793650798</v>
      </c>
      <c r="I351" s="863"/>
      <c r="J351" s="44"/>
    </row>
    <row r="352" spans="3:10" s="656" customFormat="1" ht="20.100000000000001" hidden="1" customHeight="1">
      <c r="C352" s="881"/>
      <c r="D352" s="917" t="s">
        <v>387</v>
      </c>
      <c r="E352" s="1070">
        <f>SUM(E353+E359+E369+E378)</f>
        <v>27678637440</v>
      </c>
      <c r="F352" s="1070">
        <f>SUM(F353+F359+F369+F378)</f>
        <v>26308854485</v>
      </c>
      <c r="G352" s="1145">
        <f t="shared" ref="G352:G379" si="21">SUM(F352/E352*100)</f>
        <v>95.051118545956854</v>
      </c>
      <c r="H352" s="1144">
        <f>(H353+H359+H369+H378)/4</f>
        <v>61.545138888888886</v>
      </c>
      <c r="I352" s="863"/>
      <c r="J352" s="44"/>
    </row>
    <row r="353" spans="3:10" s="656" customFormat="1" ht="20.100000000000001" hidden="1" customHeight="1">
      <c r="C353" s="881"/>
      <c r="D353" s="917" t="s">
        <v>388</v>
      </c>
      <c r="E353" s="1070">
        <f>SUM(E354:E358)</f>
        <v>1316372080</v>
      </c>
      <c r="F353" s="1070">
        <f>SUM(F354:F358)</f>
        <v>707841985</v>
      </c>
      <c r="G353" s="1145">
        <f t="shared" si="21"/>
        <v>53.772181570426504</v>
      </c>
      <c r="H353" s="1144">
        <f>SUM((H354:H358))/5</f>
        <v>70</v>
      </c>
      <c r="I353" s="863"/>
      <c r="J353" s="44"/>
    </row>
    <row r="354" spans="3:10" ht="20.100000000000001" hidden="1" customHeight="1">
      <c r="C354" s="878"/>
      <c r="D354" s="982" t="s">
        <v>389</v>
      </c>
      <c r="E354" s="1069">
        <v>263420000</v>
      </c>
      <c r="F354" s="1143">
        <v>263420000</v>
      </c>
      <c r="G354" s="1143">
        <f t="shared" si="21"/>
        <v>100</v>
      </c>
      <c r="H354" s="1142">
        <f>SUM(F354/E354)*100</f>
        <v>100</v>
      </c>
      <c r="I354" s="852"/>
      <c r="J354" s="802"/>
    </row>
    <row r="355" spans="3:10" ht="20.100000000000001" hidden="1" customHeight="1">
      <c r="C355" s="878"/>
      <c r="D355" s="982" t="s">
        <v>390</v>
      </c>
      <c r="E355" s="1069">
        <v>85274985</v>
      </c>
      <c r="F355" s="1143">
        <v>43199985</v>
      </c>
      <c r="G355" s="1143">
        <f t="shared" si="21"/>
        <v>50.65962192781388</v>
      </c>
      <c r="H355" s="1142">
        <v>50</v>
      </c>
      <c r="I355" s="852"/>
      <c r="J355" s="802"/>
    </row>
    <row r="356" spans="3:10" ht="20.100000000000001" hidden="1" customHeight="1">
      <c r="C356" s="878"/>
      <c r="D356" s="982" t="s">
        <v>391</v>
      </c>
      <c r="E356" s="1069">
        <v>564000000</v>
      </c>
      <c r="F356" s="1143">
        <v>0</v>
      </c>
      <c r="G356" s="1143">
        <f t="shared" si="21"/>
        <v>0</v>
      </c>
      <c r="H356" s="1142">
        <f>SUM(F356/E356)*100</f>
        <v>0</v>
      </c>
      <c r="I356" s="852"/>
      <c r="J356" s="802"/>
    </row>
    <row r="357" spans="3:10" ht="35.1" hidden="1" customHeight="1">
      <c r="C357" s="878"/>
      <c r="D357" s="982" t="s">
        <v>392</v>
      </c>
      <c r="E357" s="1069">
        <v>157500000</v>
      </c>
      <c r="F357" s="1143">
        <v>156222000</v>
      </c>
      <c r="G357" s="1143">
        <f t="shared" si="21"/>
        <v>99.188571428571422</v>
      </c>
      <c r="H357" s="1142">
        <v>100</v>
      </c>
      <c r="I357" s="852"/>
      <c r="J357" s="802"/>
    </row>
    <row r="358" spans="3:10" ht="20.100000000000001" hidden="1" customHeight="1">
      <c r="C358" s="878"/>
      <c r="D358" s="982" t="s">
        <v>393</v>
      </c>
      <c r="E358" s="1069">
        <v>246177095</v>
      </c>
      <c r="F358" s="1143">
        <v>245000000</v>
      </c>
      <c r="G358" s="1143">
        <f t="shared" si="21"/>
        <v>99.521850316740483</v>
      </c>
      <c r="H358" s="1142">
        <v>100</v>
      </c>
      <c r="I358" s="852"/>
      <c r="J358" s="802"/>
    </row>
    <row r="359" spans="3:10" s="656" customFormat="1" ht="20.100000000000001" hidden="1" customHeight="1">
      <c r="C359" s="881"/>
      <c r="D359" s="917" t="s">
        <v>394</v>
      </c>
      <c r="E359" s="1070">
        <f>SUM(E360:E368)</f>
        <v>21430611660</v>
      </c>
      <c r="F359" s="1070">
        <f>SUM(F360:F368)</f>
        <v>21201781500</v>
      </c>
      <c r="G359" s="1145">
        <f t="shared" si="21"/>
        <v>98.932227583465988</v>
      </c>
      <c r="H359" s="1144">
        <f>SUM((H360:H368))/9</f>
        <v>90.555555555555557</v>
      </c>
      <c r="I359" s="863"/>
      <c r="J359" s="44"/>
    </row>
    <row r="360" spans="3:10" ht="35.1" hidden="1" customHeight="1">
      <c r="C360" s="878"/>
      <c r="D360" s="982" t="s">
        <v>395</v>
      </c>
      <c r="E360" s="1069">
        <v>2130000000</v>
      </c>
      <c r="F360" s="1143">
        <v>2124595000</v>
      </c>
      <c r="G360" s="1143">
        <f t="shared" si="21"/>
        <v>99.746244131455398</v>
      </c>
      <c r="H360" s="1142">
        <v>100</v>
      </c>
      <c r="I360" s="852"/>
      <c r="J360" s="802"/>
    </row>
    <row r="361" spans="3:10" ht="20.100000000000001" hidden="1" customHeight="1">
      <c r="C361" s="878"/>
      <c r="D361" s="982" t="s">
        <v>396</v>
      </c>
      <c r="E361" s="1069">
        <v>8610000000</v>
      </c>
      <c r="F361" s="1143">
        <v>8610000000</v>
      </c>
      <c r="G361" s="1143">
        <f t="shared" si="21"/>
        <v>100</v>
      </c>
      <c r="H361" s="1142">
        <f>SUM(F361/E361)*100</f>
        <v>100</v>
      </c>
      <c r="I361" s="852"/>
      <c r="J361" s="802"/>
    </row>
    <row r="362" spans="3:10" ht="35.1" hidden="1" customHeight="1">
      <c r="C362" s="878"/>
      <c r="D362" s="982" t="s">
        <v>397</v>
      </c>
      <c r="E362" s="1069">
        <v>3315600000</v>
      </c>
      <c r="F362" s="1143">
        <v>3315600000</v>
      </c>
      <c r="G362" s="1143">
        <f t="shared" si="21"/>
        <v>100</v>
      </c>
      <c r="H362" s="1142">
        <f>SUM(F362/E362)*100</f>
        <v>100</v>
      </c>
      <c r="I362" s="852"/>
      <c r="J362" s="802"/>
    </row>
    <row r="363" spans="3:10" ht="51" hidden="1" customHeight="1">
      <c r="C363" s="878"/>
      <c r="D363" s="982" t="s">
        <v>398</v>
      </c>
      <c r="E363" s="1069">
        <v>495675000</v>
      </c>
      <c r="F363" s="1143">
        <v>445675000</v>
      </c>
      <c r="G363" s="1143">
        <f t="shared" si="21"/>
        <v>89.912745246381192</v>
      </c>
      <c r="H363" s="1142">
        <v>90</v>
      </c>
      <c r="I363" s="852"/>
      <c r="J363" s="802"/>
    </row>
    <row r="364" spans="3:10" ht="35.1" hidden="1" customHeight="1">
      <c r="C364" s="878"/>
      <c r="D364" s="982" t="s">
        <v>399</v>
      </c>
      <c r="E364" s="1069">
        <v>4306426260</v>
      </c>
      <c r="F364" s="1143">
        <v>4290861500</v>
      </c>
      <c r="G364" s="1143">
        <f t="shared" si="21"/>
        <v>99.638568988291468</v>
      </c>
      <c r="H364" s="1142">
        <v>100</v>
      </c>
      <c r="I364" s="852"/>
      <c r="J364" s="802"/>
    </row>
    <row r="365" spans="3:10" ht="20.100000000000001" hidden="1" customHeight="1">
      <c r="C365" s="878"/>
      <c r="D365" s="982" t="s">
        <v>400</v>
      </c>
      <c r="E365" s="1069">
        <v>188510400</v>
      </c>
      <c r="F365" s="1143">
        <v>44450000</v>
      </c>
      <c r="G365" s="1143">
        <f t="shared" si="21"/>
        <v>23.579600913265264</v>
      </c>
      <c r="H365" s="1142">
        <v>25</v>
      </c>
      <c r="I365" s="852"/>
      <c r="J365" s="802"/>
    </row>
    <row r="366" spans="3:10" ht="20.100000000000001" hidden="1" customHeight="1">
      <c r="C366" s="878"/>
      <c r="D366" s="982" t="s">
        <v>401</v>
      </c>
      <c r="E366" s="1069">
        <v>1778400000</v>
      </c>
      <c r="F366" s="1143">
        <v>1768400000</v>
      </c>
      <c r="G366" s="1143">
        <f t="shared" si="21"/>
        <v>99.437696806117856</v>
      </c>
      <c r="H366" s="1142">
        <v>100</v>
      </c>
      <c r="I366" s="852"/>
      <c r="J366" s="802"/>
    </row>
    <row r="367" spans="3:10" ht="20.100000000000001" hidden="1" customHeight="1">
      <c r="C367" s="878"/>
      <c r="D367" s="982" t="s">
        <v>402</v>
      </c>
      <c r="E367" s="1069">
        <v>106000000</v>
      </c>
      <c r="F367" s="1143">
        <v>105000000</v>
      </c>
      <c r="G367" s="1143">
        <f t="shared" si="21"/>
        <v>99.056603773584911</v>
      </c>
      <c r="H367" s="1142">
        <v>100</v>
      </c>
      <c r="I367" s="852"/>
      <c r="J367" s="802"/>
    </row>
    <row r="368" spans="3:10" ht="35.1" hidden="1" customHeight="1">
      <c r="C368" s="878"/>
      <c r="D368" s="982" t="s">
        <v>403</v>
      </c>
      <c r="E368" s="1069">
        <v>500000000</v>
      </c>
      <c r="F368" s="1143">
        <v>497200000</v>
      </c>
      <c r="G368" s="1143">
        <f t="shared" si="21"/>
        <v>99.44</v>
      </c>
      <c r="H368" s="1142">
        <v>100</v>
      </c>
      <c r="I368" s="852"/>
      <c r="J368" s="802"/>
    </row>
    <row r="369" spans="3:10" s="656" customFormat="1" ht="20.100000000000001" hidden="1" customHeight="1">
      <c r="C369" s="881"/>
      <c r="D369" s="917" t="s">
        <v>404</v>
      </c>
      <c r="E369" s="1070">
        <f>SUM(E370:E377)</f>
        <v>4791643700</v>
      </c>
      <c r="F369" s="1070">
        <f>SUM(F370:F377)</f>
        <v>4399231000</v>
      </c>
      <c r="G369" s="1145">
        <f t="shared" si="21"/>
        <v>91.81047831248388</v>
      </c>
      <c r="H369" s="1144">
        <f>SUM((H370:H377))/8</f>
        <v>85.625</v>
      </c>
      <c r="I369" s="863"/>
      <c r="J369" s="44"/>
    </row>
    <row r="370" spans="3:10" ht="20.100000000000001" hidden="1" customHeight="1">
      <c r="C370" s="878"/>
      <c r="D370" s="982" t="s">
        <v>405</v>
      </c>
      <c r="E370" s="1069">
        <v>420000000</v>
      </c>
      <c r="F370" s="1143">
        <v>420000000</v>
      </c>
      <c r="G370" s="1143">
        <f t="shared" si="21"/>
        <v>100</v>
      </c>
      <c r="H370" s="1142">
        <f>SUM(F370/E370)*100</f>
        <v>100</v>
      </c>
      <c r="I370" s="852"/>
      <c r="J370" s="802"/>
    </row>
    <row r="371" spans="3:10" ht="20.100000000000001" hidden="1" customHeight="1">
      <c r="C371" s="878"/>
      <c r="D371" s="982" t="s">
        <v>406</v>
      </c>
      <c r="E371" s="1069">
        <v>777000000</v>
      </c>
      <c r="F371" s="1143">
        <v>777000000</v>
      </c>
      <c r="G371" s="1143">
        <f t="shared" si="21"/>
        <v>100</v>
      </c>
      <c r="H371" s="1142">
        <f>SUM(F371/E371)*100</f>
        <v>100</v>
      </c>
      <c r="I371" s="852"/>
      <c r="J371" s="802"/>
    </row>
    <row r="372" spans="3:10" ht="20.100000000000001" hidden="1" customHeight="1">
      <c r="C372" s="878"/>
      <c r="D372" s="982" t="s">
        <v>407</v>
      </c>
      <c r="E372" s="1069">
        <v>351600000</v>
      </c>
      <c r="F372" s="1143">
        <v>344573000</v>
      </c>
      <c r="G372" s="1143">
        <f t="shared" si="21"/>
        <v>98.001422070534687</v>
      </c>
      <c r="H372" s="1142">
        <v>100</v>
      </c>
      <c r="I372" s="852"/>
      <c r="J372" s="802"/>
    </row>
    <row r="373" spans="3:10" ht="35.1" hidden="1" customHeight="1">
      <c r="C373" s="878"/>
      <c r="D373" s="982" t="s">
        <v>408</v>
      </c>
      <c r="E373" s="1069">
        <v>1168041620</v>
      </c>
      <c r="F373" s="1143">
        <v>946983000</v>
      </c>
      <c r="G373" s="1143">
        <f t="shared" si="21"/>
        <v>81.074422673397549</v>
      </c>
      <c r="H373" s="1142">
        <v>85</v>
      </c>
      <c r="I373" s="852"/>
      <c r="J373" s="802"/>
    </row>
    <row r="374" spans="3:10" ht="35.1" hidden="1" customHeight="1">
      <c r="C374" s="878"/>
      <c r="D374" s="982" t="s">
        <v>409</v>
      </c>
      <c r="E374" s="1069">
        <v>405850000</v>
      </c>
      <c r="F374" s="1143">
        <v>405250000</v>
      </c>
      <c r="G374" s="1143">
        <f t="shared" si="21"/>
        <v>99.852162128865345</v>
      </c>
      <c r="H374" s="1142">
        <v>100</v>
      </c>
      <c r="I374" s="852"/>
      <c r="J374" s="802"/>
    </row>
    <row r="375" spans="3:10" ht="35.1" hidden="1" customHeight="1">
      <c r="C375" s="878"/>
      <c r="D375" s="982" t="s">
        <v>410</v>
      </c>
      <c r="E375" s="1069">
        <v>1213250000</v>
      </c>
      <c r="F375" s="1143">
        <v>1208040000</v>
      </c>
      <c r="G375" s="1143">
        <f t="shared" si="21"/>
        <v>99.570574902122402</v>
      </c>
      <c r="H375" s="1142">
        <v>100</v>
      </c>
      <c r="I375" s="852"/>
      <c r="J375" s="802"/>
    </row>
    <row r="376" spans="3:10" ht="35.1" hidden="1" customHeight="1">
      <c r="C376" s="878"/>
      <c r="D376" s="982" t="s">
        <v>411</v>
      </c>
      <c r="E376" s="1069">
        <v>156902080</v>
      </c>
      <c r="F376" s="1143">
        <v>0</v>
      </c>
      <c r="G376" s="1143">
        <f t="shared" si="21"/>
        <v>0</v>
      </c>
      <c r="H376" s="1142">
        <f>SUM(F376/E376)*100</f>
        <v>0</v>
      </c>
      <c r="I376" s="852"/>
      <c r="J376" s="802"/>
    </row>
    <row r="377" spans="3:10" ht="35.1" hidden="1" customHeight="1">
      <c r="C377" s="878"/>
      <c r="D377" s="982" t="s">
        <v>3987</v>
      </c>
      <c r="E377" s="1069">
        <v>299000000</v>
      </c>
      <c r="F377" s="420">
        <v>297385000</v>
      </c>
      <c r="G377" s="1143">
        <f t="shared" si="21"/>
        <v>99.459866220735776</v>
      </c>
      <c r="H377" s="1142">
        <v>100</v>
      </c>
      <c r="I377" s="852"/>
      <c r="J377" s="802"/>
    </row>
    <row r="378" spans="3:10" s="656" customFormat="1" ht="20.100000000000001" hidden="1" customHeight="1">
      <c r="C378" s="881"/>
      <c r="D378" s="917" t="s">
        <v>106</v>
      </c>
      <c r="E378" s="1070">
        <f>SUM(E379)</f>
        <v>140010000</v>
      </c>
      <c r="F378" s="1070">
        <f>SUM(F379)</f>
        <v>0</v>
      </c>
      <c r="G378" s="1145">
        <f t="shared" si="21"/>
        <v>0</v>
      </c>
      <c r="H378" s="1144">
        <f>SUM(F378/E378)*100</f>
        <v>0</v>
      </c>
      <c r="I378" s="863"/>
      <c r="J378" s="44"/>
    </row>
    <row r="379" spans="3:10" ht="20.100000000000001" hidden="1" customHeight="1">
      <c r="C379" s="878"/>
      <c r="D379" s="982" t="s">
        <v>3986</v>
      </c>
      <c r="E379" s="1069">
        <v>140010000</v>
      </c>
      <c r="F379" s="1143">
        <v>0</v>
      </c>
      <c r="G379" s="1143">
        <f t="shared" si="21"/>
        <v>0</v>
      </c>
      <c r="H379" s="1142">
        <f>SUM(F379/E379)*100</f>
        <v>0</v>
      </c>
      <c r="I379" s="852"/>
      <c r="J379" s="802"/>
    </row>
    <row r="380" spans="3:10" ht="15" hidden="1" customHeight="1">
      <c r="C380" s="881"/>
      <c r="D380" s="982"/>
      <c r="E380" s="1069"/>
      <c r="F380" s="1143"/>
      <c r="G380" s="1143"/>
      <c r="H380" s="1142"/>
      <c r="I380" s="852"/>
      <c r="J380" s="802"/>
    </row>
    <row r="381" spans="3:10" s="656" customFormat="1" ht="20.100000000000001" hidden="1" customHeight="1">
      <c r="C381" s="881"/>
      <c r="D381" s="917" t="s">
        <v>161</v>
      </c>
      <c r="E381" s="1070">
        <f>SUM(E382+E386+E388+E392+E395)</f>
        <v>10377020800</v>
      </c>
      <c r="F381" s="1070">
        <f>SUM(F382+F386+F388+F392+F395)</f>
        <v>8419343000</v>
      </c>
      <c r="G381" s="1145">
        <f t="shared" ref="G381:G396" si="22">SUM(F381/E381*100)</f>
        <v>81.134490932118013</v>
      </c>
      <c r="H381" s="1144">
        <f>(H382+H386+H388+H392+H395)/5</f>
        <v>85.666666666666657</v>
      </c>
      <c r="I381" s="863"/>
      <c r="J381" s="44"/>
    </row>
    <row r="382" spans="3:10" s="656" customFormat="1" ht="20.100000000000001" hidden="1" customHeight="1">
      <c r="C382" s="881"/>
      <c r="D382" s="917" t="s">
        <v>173</v>
      </c>
      <c r="E382" s="1070">
        <f>SUM(E383:E385)</f>
        <v>4630355000</v>
      </c>
      <c r="F382" s="1070">
        <f>SUM(F383:F385)</f>
        <v>3142665500</v>
      </c>
      <c r="G382" s="1145">
        <f t="shared" si="22"/>
        <v>67.870940780998438</v>
      </c>
      <c r="H382" s="1144">
        <f>SUM((H383:H385))/3</f>
        <v>78.333333333333329</v>
      </c>
      <c r="I382" s="863"/>
      <c r="J382" s="44"/>
    </row>
    <row r="383" spans="3:10" ht="20.100000000000001" hidden="1" customHeight="1">
      <c r="C383" s="881"/>
      <c r="D383" s="982" t="s">
        <v>414</v>
      </c>
      <c r="E383" s="1069">
        <v>233200000</v>
      </c>
      <c r="F383" s="420">
        <v>213905200</v>
      </c>
      <c r="G383" s="1143">
        <f t="shared" si="22"/>
        <v>91.72607204116639</v>
      </c>
      <c r="H383" s="1142">
        <v>95</v>
      </c>
      <c r="I383" s="852"/>
      <c r="J383" s="802"/>
    </row>
    <row r="384" spans="3:10" ht="20.100000000000001" hidden="1" customHeight="1">
      <c r="C384" s="881"/>
      <c r="D384" s="982" t="s">
        <v>415</v>
      </c>
      <c r="E384" s="1069">
        <v>2107455000</v>
      </c>
      <c r="F384" s="1143">
        <v>2060921000</v>
      </c>
      <c r="G384" s="1143">
        <f t="shared" si="22"/>
        <v>97.791933872846641</v>
      </c>
      <c r="H384" s="1142">
        <v>100</v>
      </c>
      <c r="I384" s="852"/>
      <c r="J384" s="802"/>
    </row>
    <row r="385" spans="3:10" ht="20.100000000000001" hidden="1" customHeight="1">
      <c r="C385" s="881"/>
      <c r="D385" s="982" t="s">
        <v>416</v>
      </c>
      <c r="E385" s="1069">
        <v>2289700000</v>
      </c>
      <c r="F385" s="1143">
        <v>867839300</v>
      </c>
      <c r="G385" s="1143">
        <f t="shared" si="22"/>
        <v>37.901877975280605</v>
      </c>
      <c r="H385" s="1142">
        <v>40</v>
      </c>
      <c r="I385" s="852"/>
      <c r="J385" s="802"/>
    </row>
    <row r="386" spans="3:10" s="656" customFormat="1" ht="20.100000000000001" hidden="1" customHeight="1">
      <c r="C386" s="881"/>
      <c r="D386" s="917" t="s">
        <v>190</v>
      </c>
      <c r="E386" s="1070">
        <f>SUM(E387)</f>
        <v>1856250000</v>
      </c>
      <c r="F386" s="1070">
        <f>SUM(F387)</f>
        <v>1856250000</v>
      </c>
      <c r="G386" s="1145">
        <f t="shared" si="22"/>
        <v>100</v>
      </c>
      <c r="H386" s="1144">
        <f>SUM(F386/E386)*100</f>
        <v>100</v>
      </c>
      <c r="I386" s="863"/>
      <c r="J386" s="44"/>
    </row>
    <row r="387" spans="3:10" ht="20.100000000000001" hidden="1" customHeight="1">
      <c r="C387" s="881"/>
      <c r="D387" s="982" t="s">
        <v>417</v>
      </c>
      <c r="E387" s="1069">
        <v>1856250000</v>
      </c>
      <c r="F387" s="1143">
        <v>1856250000</v>
      </c>
      <c r="G387" s="1143">
        <f t="shared" si="22"/>
        <v>100</v>
      </c>
      <c r="H387" s="1142">
        <f>SUM(F387/E387)*100</f>
        <v>100</v>
      </c>
      <c r="I387" s="852"/>
      <c r="J387" s="802"/>
    </row>
    <row r="388" spans="3:10" s="656" customFormat="1" ht="20.100000000000001" hidden="1" customHeight="1">
      <c r="C388" s="881"/>
      <c r="D388" s="917" t="s">
        <v>196</v>
      </c>
      <c r="E388" s="1070">
        <f>SUM(E389:E391)</f>
        <v>940760400</v>
      </c>
      <c r="F388" s="1070">
        <f>SUM(F389:F391)</f>
        <v>513750000</v>
      </c>
      <c r="G388" s="1145">
        <f t="shared" si="22"/>
        <v>54.610079250784793</v>
      </c>
      <c r="H388" s="1144">
        <f>SUM((H389:H391))/3</f>
        <v>50</v>
      </c>
      <c r="I388" s="863"/>
      <c r="J388" s="44"/>
    </row>
    <row r="389" spans="3:10" ht="20.100000000000001" hidden="1" customHeight="1">
      <c r="C389" s="881"/>
      <c r="D389" s="982" t="s">
        <v>418</v>
      </c>
      <c r="E389" s="1069">
        <v>482000000</v>
      </c>
      <c r="F389" s="1143">
        <v>282000000</v>
      </c>
      <c r="G389" s="1143">
        <f t="shared" si="22"/>
        <v>58.506224066390047</v>
      </c>
      <c r="H389" s="1142">
        <v>60</v>
      </c>
      <c r="I389" s="852"/>
      <c r="J389" s="802"/>
    </row>
    <row r="390" spans="3:10" ht="20.100000000000001" hidden="1" customHeight="1">
      <c r="C390" s="881"/>
      <c r="D390" s="982" t="s">
        <v>419</v>
      </c>
      <c r="E390" s="1069">
        <v>201260400</v>
      </c>
      <c r="F390" s="1143">
        <v>0</v>
      </c>
      <c r="G390" s="1143">
        <f t="shared" si="22"/>
        <v>0</v>
      </c>
      <c r="H390" s="1142">
        <f>SUM(F390/E390)*100</f>
        <v>0</v>
      </c>
      <c r="I390" s="852"/>
      <c r="J390" s="802"/>
    </row>
    <row r="391" spans="3:10" ht="20.100000000000001" hidden="1" customHeight="1">
      <c r="C391" s="881"/>
      <c r="D391" s="982" t="s">
        <v>420</v>
      </c>
      <c r="E391" s="1069">
        <v>257500000</v>
      </c>
      <c r="F391" s="1143">
        <v>231750000</v>
      </c>
      <c r="G391" s="1143">
        <f t="shared" si="22"/>
        <v>90</v>
      </c>
      <c r="H391" s="1142">
        <f>SUM(F391/E391)*100</f>
        <v>90</v>
      </c>
      <c r="I391" s="852"/>
      <c r="J391" s="802"/>
    </row>
    <row r="392" spans="3:10" s="656" customFormat="1" ht="35.1" hidden="1" customHeight="1">
      <c r="C392" s="881"/>
      <c r="D392" s="917" t="s">
        <v>421</v>
      </c>
      <c r="E392" s="1070">
        <f>SUM(E393:E394)</f>
        <v>1249655400</v>
      </c>
      <c r="F392" s="1070">
        <f>SUM(F393:F394)</f>
        <v>1240450000</v>
      </c>
      <c r="G392" s="1145">
        <f t="shared" si="22"/>
        <v>99.263364924442371</v>
      </c>
      <c r="H392" s="1144">
        <f>SUM((H393:H394))/2</f>
        <v>100</v>
      </c>
      <c r="I392" s="863"/>
      <c r="J392" s="44"/>
    </row>
    <row r="393" spans="3:10" ht="20.100000000000001" hidden="1" customHeight="1">
      <c r="C393" s="881"/>
      <c r="D393" s="982" t="s">
        <v>422</v>
      </c>
      <c r="E393" s="1069">
        <v>295205400</v>
      </c>
      <c r="F393" s="1143">
        <v>290000000</v>
      </c>
      <c r="G393" s="1143">
        <f t="shared" si="22"/>
        <v>98.236685372286544</v>
      </c>
      <c r="H393" s="1142">
        <v>100</v>
      </c>
      <c r="I393" s="852"/>
      <c r="J393" s="802"/>
    </row>
    <row r="394" spans="3:10" ht="20.100000000000001" hidden="1" customHeight="1">
      <c r="C394" s="881"/>
      <c r="D394" s="982" t="s">
        <v>423</v>
      </c>
      <c r="E394" s="1069">
        <v>954450000</v>
      </c>
      <c r="F394" s="1143">
        <v>950450000</v>
      </c>
      <c r="G394" s="1143">
        <f t="shared" si="22"/>
        <v>99.580910471999587</v>
      </c>
      <c r="H394" s="1142">
        <v>100</v>
      </c>
      <c r="I394" s="852"/>
      <c r="J394" s="802"/>
    </row>
    <row r="395" spans="3:10" s="656" customFormat="1" ht="20.100000000000001" hidden="1" customHeight="1">
      <c r="C395" s="881"/>
      <c r="D395" s="917" t="s">
        <v>212</v>
      </c>
      <c r="E395" s="1070">
        <f>SUM(E396)</f>
        <v>1700000000</v>
      </c>
      <c r="F395" s="1070">
        <f>SUM(F396)</f>
        <v>1666227500</v>
      </c>
      <c r="G395" s="1145">
        <f t="shared" si="22"/>
        <v>98.013382352941179</v>
      </c>
      <c r="H395" s="1144">
        <v>100</v>
      </c>
      <c r="I395" s="863"/>
      <c r="J395" s="44"/>
    </row>
    <row r="396" spans="3:10" ht="20.100000000000001" hidden="1" customHeight="1">
      <c r="C396" s="881"/>
      <c r="D396" s="982" t="s">
        <v>424</v>
      </c>
      <c r="E396" s="1069">
        <v>1700000000</v>
      </c>
      <c r="F396" s="1143">
        <v>1666227500</v>
      </c>
      <c r="G396" s="1143">
        <f t="shared" si="22"/>
        <v>98.013382352941179</v>
      </c>
      <c r="H396" s="1142">
        <v>100</v>
      </c>
      <c r="I396" s="852"/>
      <c r="J396" s="802"/>
    </row>
    <row r="397" spans="3:10" s="656" customFormat="1" ht="15" hidden="1" customHeight="1">
      <c r="C397" s="881"/>
      <c r="D397" s="984"/>
      <c r="E397" s="1070"/>
      <c r="F397" s="1145"/>
      <c r="G397" s="1145"/>
      <c r="H397" s="1144"/>
      <c r="I397" s="863"/>
      <c r="J397" s="44"/>
    </row>
    <row r="398" spans="3:10" s="656" customFormat="1" ht="20.100000000000001" hidden="1" customHeight="1">
      <c r="C398" s="881"/>
      <c r="D398" s="917" t="s">
        <v>425</v>
      </c>
      <c r="E398" s="1070">
        <f>SUM(E399)</f>
        <v>5000000000</v>
      </c>
      <c r="F398" s="1070">
        <f>SUM(F399)</f>
        <v>4933073300</v>
      </c>
      <c r="G398" s="1145">
        <f>SUM(F398/E398*100)</f>
        <v>98.661466000000004</v>
      </c>
      <c r="H398" s="1144">
        <v>100</v>
      </c>
      <c r="I398" s="863"/>
      <c r="J398" s="44"/>
    </row>
    <row r="399" spans="3:10" s="656" customFormat="1" ht="20.100000000000001" hidden="1" customHeight="1">
      <c r="C399" s="881"/>
      <c r="D399" s="917" t="s">
        <v>426</v>
      </c>
      <c r="E399" s="1070">
        <f>SUM(E400)</f>
        <v>5000000000</v>
      </c>
      <c r="F399" s="1070">
        <f>SUM(F400)</f>
        <v>4933073300</v>
      </c>
      <c r="G399" s="1145">
        <f>SUM(F399/E399*100)</f>
        <v>98.661466000000004</v>
      </c>
      <c r="H399" s="1144">
        <v>100</v>
      </c>
      <c r="I399" s="863"/>
      <c r="J399" s="44"/>
    </row>
    <row r="400" spans="3:10" ht="20.100000000000001" hidden="1" customHeight="1">
      <c r="C400" s="881"/>
      <c r="D400" s="982" t="s">
        <v>427</v>
      </c>
      <c r="E400" s="1069">
        <v>5000000000</v>
      </c>
      <c r="F400" s="1143">
        <v>4933073300</v>
      </c>
      <c r="G400" s="1143">
        <f>SUM(F400/E400*100)</f>
        <v>98.661466000000004</v>
      </c>
      <c r="H400" s="1142">
        <v>100</v>
      </c>
      <c r="I400" s="852"/>
      <c r="J400" s="802"/>
    </row>
    <row r="401" spans="3:10" ht="15" hidden="1" customHeight="1">
      <c r="C401" s="881"/>
      <c r="D401" s="982"/>
      <c r="E401" s="1069"/>
      <c r="F401" s="1143"/>
      <c r="G401" s="1143"/>
      <c r="H401" s="1142"/>
      <c r="I401" s="852"/>
      <c r="J401" s="802"/>
    </row>
    <row r="402" spans="3:10" s="656" customFormat="1" ht="35.1" hidden="1" customHeight="1">
      <c r="C402" s="881"/>
      <c r="D402" s="917" t="s">
        <v>428</v>
      </c>
      <c r="E402" s="1070">
        <f>SUM(E403+E405+E407)</f>
        <v>464555283.15999997</v>
      </c>
      <c r="F402" s="1070">
        <f>SUM(F403+F405+F407)</f>
        <v>418214600</v>
      </c>
      <c r="G402" s="1145">
        <f t="shared" ref="G402:G408" si="23">SUM(F402/E402*100)</f>
        <v>90.024721526191414</v>
      </c>
      <c r="H402" s="1144">
        <f>(H403+H405+H407)/3</f>
        <v>90</v>
      </c>
      <c r="I402" s="863"/>
      <c r="J402" s="44"/>
    </row>
    <row r="403" spans="3:10" s="656" customFormat="1" ht="20.100000000000001" hidden="1" customHeight="1">
      <c r="C403" s="881"/>
      <c r="D403" s="917" t="s">
        <v>429</v>
      </c>
      <c r="E403" s="1070">
        <f>SUM(E404)</f>
        <v>157355283.16</v>
      </c>
      <c r="F403" s="1070">
        <f>SUM(F404)</f>
        <v>148281600</v>
      </c>
      <c r="G403" s="1145">
        <f t="shared" si="23"/>
        <v>94.233632975148467</v>
      </c>
      <c r="H403" s="1144">
        <v>95</v>
      </c>
      <c r="I403" s="863"/>
      <c r="J403" s="44"/>
    </row>
    <row r="404" spans="3:10" ht="20.100000000000001" hidden="1" customHeight="1">
      <c r="C404" s="881"/>
      <c r="D404" s="982" t="s">
        <v>430</v>
      </c>
      <c r="E404" s="1069">
        <v>157355283.16</v>
      </c>
      <c r="F404" s="1069">
        <v>148281600</v>
      </c>
      <c r="G404" s="1143">
        <f t="shared" si="23"/>
        <v>94.233632975148467</v>
      </c>
      <c r="H404" s="1142">
        <v>95</v>
      </c>
      <c r="I404" s="852"/>
      <c r="J404" s="802"/>
    </row>
    <row r="405" spans="3:10" s="656" customFormat="1" ht="20.100000000000001" hidden="1" customHeight="1">
      <c r="C405" s="881"/>
      <c r="D405" s="917" t="s">
        <v>257</v>
      </c>
      <c r="E405" s="1070">
        <f>SUM(E406)</f>
        <v>150000000</v>
      </c>
      <c r="F405" s="1070">
        <f>SUM(F406)</f>
        <v>113297000</v>
      </c>
      <c r="G405" s="1145">
        <f t="shared" si="23"/>
        <v>75.531333333333322</v>
      </c>
      <c r="H405" s="1144">
        <v>75</v>
      </c>
      <c r="I405" s="863"/>
      <c r="J405" s="44"/>
    </row>
    <row r="406" spans="3:10" ht="20.100000000000001" hidden="1" customHeight="1">
      <c r="C406" s="881"/>
      <c r="D406" s="982" t="s">
        <v>431</v>
      </c>
      <c r="E406" s="1069">
        <v>150000000</v>
      </c>
      <c r="F406" s="1069">
        <v>113297000</v>
      </c>
      <c r="G406" s="1143">
        <f t="shared" si="23"/>
        <v>75.531333333333322</v>
      </c>
      <c r="H406" s="1142">
        <f>SUM(F406/E406)*100</f>
        <v>75.531333333333322</v>
      </c>
      <c r="I406" s="852"/>
      <c r="J406" s="802"/>
    </row>
    <row r="407" spans="3:10" s="656" customFormat="1" ht="35.1" hidden="1" customHeight="1">
      <c r="C407" s="881"/>
      <c r="D407" s="917" t="s">
        <v>432</v>
      </c>
      <c r="E407" s="1070">
        <f>SUM(E408)</f>
        <v>157200000</v>
      </c>
      <c r="F407" s="1070">
        <f>SUM(F408)</f>
        <v>156636000</v>
      </c>
      <c r="G407" s="1145">
        <f t="shared" si="23"/>
        <v>99.641221374045799</v>
      </c>
      <c r="H407" s="1144">
        <v>100</v>
      </c>
      <c r="I407" s="863"/>
      <c r="J407" s="44"/>
    </row>
    <row r="408" spans="3:10" ht="35.1" hidden="1" customHeight="1">
      <c r="C408" s="881"/>
      <c r="D408" s="982" t="s">
        <v>433</v>
      </c>
      <c r="E408" s="1069">
        <v>157200000</v>
      </c>
      <c r="F408" s="1069">
        <v>156636000</v>
      </c>
      <c r="G408" s="1143">
        <f t="shared" si="23"/>
        <v>99.641221374045799</v>
      </c>
      <c r="H408" s="1142">
        <v>100</v>
      </c>
      <c r="I408" s="852"/>
      <c r="J408" s="802"/>
    </row>
    <row r="409" spans="3:10" ht="15" hidden="1" customHeight="1">
      <c r="C409" s="881"/>
      <c r="D409" s="982"/>
      <c r="E409" s="1069"/>
      <c r="F409" s="1069"/>
      <c r="G409" s="1143"/>
      <c r="H409" s="1142"/>
      <c r="I409" s="852"/>
      <c r="J409" s="802"/>
    </row>
    <row r="410" spans="3:10" s="656" customFormat="1" ht="20.100000000000001" hidden="1" customHeight="1">
      <c r="C410" s="881"/>
      <c r="D410" s="917" t="s">
        <v>435</v>
      </c>
      <c r="E410" s="1070">
        <f>SUM(E411)</f>
        <v>3075404160</v>
      </c>
      <c r="F410" s="1070">
        <f>SUM(F411)</f>
        <v>2384295000</v>
      </c>
      <c r="G410" s="1145">
        <f>SUM(F410/E410*100)</f>
        <v>77.527858972526062</v>
      </c>
      <c r="H410" s="1144">
        <v>80</v>
      </c>
      <c r="I410" s="863"/>
      <c r="J410" s="44"/>
    </row>
    <row r="411" spans="3:10" s="656" customFormat="1" ht="20.100000000000001" hidden="1" customHeight="1">
      <c r="C411" s="881"/>
      <c r="D411" s="917" t="s">
        <v>436</v>
      </c>
      <c r="E411" s="1070">
        <f>SUM(E412)</f>
        <v>3075404160</v>
      </c>
      <c r="F411" s="1070">
        <f>SUM(F412)</f>
        <v>2384295000</v>
      </c>
      <c r="G411" s="1145">
        <f>SUM(F411/E411*100)</f>
        <v>77.527858972526062</v>
      </c>
      <c r="H411" s="1144">
        <v>80</v>
      </c>
      <c r="I411" s="863"/>
      <c r="J411" s="44"/>
    </row>
    <row r="412" spans="3:10" ht="20.100000000000001" hidden="1" customHeight="1">
      <c r="C412" s="881"/>
      <c r="D412" s="982" t="s">
        <v>437</v>
      </c>
      <c r="E412" s="1069">
        <v>3075404160</v>
      </c>
      <c r="F412" s="1143">
        <v>2384295000</v>
      </c>
      <c r="G412" s="1143">
        <f>SUM(F412/E412*100)</f>
        <v>77.527858972526062</v>
      </c>
      <c r="H412" s="1142">
        <v>80</v>
      </c>
      <c r="I412" s="852"/>
      <c r="J412" s="802"/>
    </row>
    <row r="413" spans="3:10" ht="15" hidden="1" customHeight="1">
      <c r="C413" s="881"/>
      <c r="D413" s="982"/>
      <c r="E413" s="1069"/>
      <c r="F413" s="1143"/>
      <c r="G413" s="1143"/>
      <c r="H413" s="1142"/>
      <c r="I413" s="852"/>
      <c r="J413" s="802"/>
    </row>
    <row r="414" spans="3:10" s="656" customFormat="1" ht="20.100000000000001" hidden="1" customHeight="1">
      <c r="C414" s="881"/>
      <c r="D414" s="917" t="s">
        <v>438</v>
      </c>
      <c r="E414" s="1070">
        <f>SUM(E415)</f>
        <v>951000000</v>
      </c>
      <c r="F414" s="1070">
        <f>SUM(F415)</f>
        <v>914025000</v>
      </c>
      <c r="G414" s="1145">
        <f>SUM(F414/E414*100)</f>
        <v>96.111987381703472</v>
      </c>
      <c r="H414" s="1144">
        <v>100</v>
      </c>
      <c r="I414" s="863"/>
      <c r="J414" s="44"/>
    </row>
    <row r="415" spans="3:10" s="656" customFormat="1" ht="20.100000000000001" hidden="1" customHeight="1">
      <c r="C415" s="881"/>
      <c r="D415" s="917" t="s">
        <v>439</v>
      </c>
      <c r="E415" s="1070">
        <v>951000000</v>
      </c>
      <c r="F415" s="1145">
        <v>914025000</v>
      </c>
      <c r="G415" s="1145">
        <f>SUM(F415/E415*100)</f>
        <v>96.111987381703472</v>
      </c>
      <c r="H415" s="1144">
        <v>100</v>
      </c>
      <c r="I415" s="863"/>
      <c r="J415" s="44"/>
    </row>
    <row r="416" spans="3:10" ht="35.1" hidden="1" customHeight="1">
      <c r="C416" s="881"/>
      <c r="D416" s="982" t="s">
        <v>3985</v>
      </c>
      <c r="E416" s="1069">
        <v>951000000</v>
      </c>
      <c r="F416" s="1143">
        <v>914025000</v>
      </c>
      <c r="G416" s="1143">
        <f>SUM(F416/E416*100)</f>
        <v>96.111987381703472</v>
      </c>
      <c r="H416" s="1142">
        <v>100</v>
      </c>
      <c r="I416" s="852"/>
      <c r="J416" s="802"/>
    </row>
    <row r="417" spans="3:10" ht="15" hidden="1" customHeight="1">
      <c r="C417" s="881"/>
      <c r="D417" s="982"/>
      <c r="E417" s="1069"/>
      <c r="F417" s="1143"/>
      <c r="G417" s="1143"/>
      <c r="H417" s="1142"/>
      <c r="I417" s="852"/>
      <c r="J417" s="802"/>
    </row>
    <row r="418" spans="3:10" s="656" customFormat="1" ht="20.100000000000001" hidden="1" customHeight="1">
      <c r="C418" s="881"/>
      <c r="D418" s="917" t="s">
        <v>440</v>
      </c>
      <c r="E418" s="1070">
        <f>SUM(E419)</f>
        <v>949269440</v>
      </c>
      <c r="F418" s="1070">
        <f>SUM(F419)</f>
        <v>0</v>
      </c>
      <c r="G418" s="1145">
        <f>SUM(F418/E418*100)</f>
        <v>0</v>
      </c>
      <c r="H418" s="1144">
        <f>SUM(F418/E418)*100</f>
        <v>0</v>
      </c>
      <c r="I418" s="863"/>
      <c r="J418" s="44"/>
    </row>
    <row r="419" spans="3:10" ht="20.100000000000001" hidden="1" customHeight="1">
      <c r="C419" s="881"/>
      <c r="D419" s="917" t="s">
        <v>375</v>
      </c>
      <c r="E419" s="1069">
        <f>SUM(E420)</f>
        <v>949269440</v>
      </c>
      <c r="F419" s="1069">
        <f>SUM(F420)</f>
        <v>0</v>
      </c>
      <c r="G419" s="1143">
        <f>SUM(F419/E419*100)</f>
        <v>0</v>
      </c>
      <c r="H419" s="1142">
        <f>SUM(F419/E419)*100</f>
        <v>0</v>
      </c>
      <c r="I419" s="852"/>
      <c r="J419" s="802"/>
    </row>
    <row r="420" spans="3:10" ht="20.100000000000001" hidden="1" customHeight="1">
      <c r="C420" s="881"/>
      <c r="D420" s="914" t="s">
        <v>436</v>
      </c>
      <c r="E420" s="1069">
        <v>949269440</v>
      </c>
      <c r="F420" s="1069">
        <v>0</v>
      </c>
      <c r="G420" s="1143">
        <f>SUM(F420/E420*100)</f>
        <v>0</v>
      </c>
      <c r="H420" s="1142">
        <f>SUM(F420/E420)*100</f>
        <v>0</v>
      </c>
      <c r="I420" s="852"/>
      <c r="J420" s="802"/>
    </row>
    <row r="421" spans="3:10" ht="15" hidden="1" customHeight="1">
      <c r="C421" s="881"/>
      <c r="D421" s="859"/>
      <c r="E421" s="125"/>
      <c r="F421" s="854"/>
      <c r="G421" s="854"/>
      <c r="H421" s="876"/>
      <c r="I421" s="852"/>
      <c r="J421" s="802"/>
    </row>
    <row r="422" spans="3:10" s="656" customFormat="1" ht="20.100000000000001" customHeight="1">
      <c r="C422" s="881" t="s">
        <v>441</v>
      </c>
      <c r="D422" s="358" t="s">
        <v>2563</v>
      </c>
      <c r="E422" s="1056">
        <f>E423+E434+E446+E452+E456+E464+E474+E478+E482+E486+E490+E495+E514</f>
        <v>51356987511.630005</v>
      </c>
      <c r="F422" s="434">
        <v>49878786646</v>
      </c>
      <c r="G422" s="1056">
        <v>97.121714225751148</v>
      </c>
      <c r="H422" s="1056">
        <v>94.326273741484741</v>
      </c>
      <c r="I422" s="863"/>
      <c r="J422" s="44"/>
    </row>
    <row r="423" spans="3:10" ht="20.100000000000001" hidden="1" customHeight="1">
      <c r="C423" s="881"/>
      <c r="D423" s="893" t="s">
        <v>444</v>
      </c>
      <c r="E423" s="342">
        <v>6378303000</v>
      </c>
      <c r="F423" s="342">
        <v>6075783444</v>
      </c>
      <c r="G423" s="1056">
        <v>95.257052604744558</v>
      </c>
      <c r="H423" s="1056">
        <f>(H424+H426+H431)/3</f>
        <v>95.833333333333329</v>
      </c>
      <c r="I423" s="852"/>
      <c r="J423" s="802"/>
    </row>
    <row r="424" spans="3:10" ht="20.100000000000001" hidden="1" customHeight="1">
      <c r="C424" s="881"/>
      <c r="D424" s="893" t="s">
        <v>388</v>
      </c>
      <c r="E424" s="342">
        <v>1147500000</v>
      </c>
      <c r="F424" s="342">
        <v>1147465000</v>
      </c>
      <c r="G424" s="1056">
        <v>99.996949891067544</v>
      </c>
      <c r="H424" s="1056">
        <v>100</v>
      </c>
      <c r="I424" s="852"/>
      <c r="J424" s="802"/>
    </row>
    <row r="425" spans="3:10" ht="20.100000000000001" hidden="1" customHeight="1">
      <c r="C425" s="881"/>
      <c r="D425" s="886" t="s">
        <v>447</v>
      </c>
      <c r="E425" s="340">
        <v>1147500000</v>
      </c>
      <c r="F425" s="435">
        <v>1147465000</v>
      </c>
      <c r="G425" s="1054">
        <v>99.996949891067544</v>
      </c>
      <c r="H425" s="1054">
        <v>100</v>
      </c>
      <c r="I425" s="852"/>
      <c r="J425" s="802"/>
    </row>
    <row r="426" spans="3:10" ht="20.100000000000001" hidden="1" customHeight="1">
      <c r="C426" s="881"/>
      <c r="D426" s="893" t="s">
        <v>394</v>
      </c>
      <c r="E426" s="342">
        <v>3230803000</v>
      </c>
      <c r="F426" s="342">
        <v>2943195244</v>
      </c>
      <c r="G426" s="1056">
        <v>91.097948219065046</v>
      </c>
      <c r="H426" s="1056">
        <f>SUM((H427:H430))/4</f>
        <v>87.5</v>
      </c>
      <c r="I426" s="852"/>
      <c r="J426" s="802"/>
    </row>
    <row r="427" spans="3:10" ht="20.100000000000001" hidden="1" customHeight="1">
      <c r="C427" s="881"/>
      <c r="D427" s="886" t="s">
        <v>3984</v>
      </c>
      <c r="E427" s="340">
        <v>120000000</v>
      </c>
      <c r="F427" s="340">
        <v>107985000</v>
      </c>
      <c r="G427" s="1054">
        <v>89.987499999999997</v>
      </c>
      <c r="H427" s="1054">
        <v>85</v>
      </c>
      <c r="I427" s="852"/>
      <c r="J427" s="802"/>
    </row>
    <row r="428" spans="3:10" ht="20.100000000000001" hidden="1" customHeight="1">
      <c r="C428" s="881"/>
      <c r="D428" s="886" t="s">
        <v>454</v>
      </c>
      <c r="E428" s="340">
        <v>2044080000</v>
      </c>
      <c r="F428" s="340">
        <v>1857050000</v>
      </c>
      <c r="G428" s="1054">
        <v>90.850162420257519</v>
      </c>
      <c r="H428" s="1054">
        <v>85</v>
      </c>
      <c r="I428" s="852"/>
      <c r="J428" s="802"/>
    </row>
    <row r="429" spans="3:10" ht="20.100000000000001" hidden="1" customHeight="1">
      <c r="C429" s="881"/>
      <c r="D429" s="886" t="s">
        <v>455</v>
      </c>
      <c r="E429" s="340">
        <v>811728000</v>
      </c>
      <c r="F429" s="340">
        <v>731030000</v>
      </c>
      <c r="G429" s="1054">
        <v>90.058492499950731</v>
      </c>
      <c r="H429" s="1054">
        <v>85</v>
      </c>
      <c r="I429" s="852"/>
      <c r="J429" s="802"/>
    </row>
    <row r="430" spans="3:10" ht="20.100000000000001" hidden="1" customHeight="1">
      <c r="C430" s="881"/>
      <c r="D430" s="886" t="s">
        <v>109</v>
      </c>
      <c r="E430" s="340">
        <v>254995000</v>
      </c>
      <c r="F430" s="340">
        <v>247130244</v>
      </c>
      <c r="G430" s="1054">
        <v>96.915721484735002</v>
      </c>
      <c r="H430" s="1054">
        <v>95</v>
      </c>
      <c r="I430" s="852"/>
      <c r="J430" s="802"/>
    </row>
    <row r="431" spans="3:10" ht="20.100000000000001" hidden="1" customHeight="1">
      <c r="C431" s="881"/>
      <c r="D431" s="893" t="s">
        <v>116</v>
      </c>
      <c r="E431" s="342">
        <v>2000000000</v>
      </c>
      <c r="F431" s="342">
        <v>1985123200</v>
      </c>
      <c r="G431" s="1056">
        <v>99.256160000000008</v>
      </c>
      <c r="H431" s="1056">
        <v>100</v>
      </c>
      <c r="I431" s="852"/>
      <c r="J431" s="802"/>
    </row>
    <row r="432" spans="3:10" ht="20.100000000000001" hidden="1" customHeight="1">
      <c r="C432" s="881"/>
      <c r="D432" s="886" t="s">
        <v>3983</v>
      </c>
      <c r="E432" s="340">
        <v>2000000000</v>
      </c>
      <c r="F432" s="340">
        <v>1985123200</v>
      </c>
      <c r="G432" s="1054">
        <v>99.256160000000008</v>
      </c>
      <c r="H432" s="1054">
        <v>100</v>
      </c>
      <c r="I432" s="852"/>
      <c r="J432" s="802"/>
    </row>
    <row r="433" spans="3:10" ht="15" hidden="1" customHeight="1">
      <c r="C433" s="881"/>
      <c r="D433" s="886"/>
      <c r="E433" s="340"/>
      <c r="F433" s="340"/>
      <c r="G433" s="1054"/>
      <c r="H433" s="1054"/>
      <c r="I433" s="852"/>
      <c r="J433" s="802"/>
    </row>
    <row r="434" spans="3:10" ht="20.100000000000001" hidden="1" customHeight="1">
      <c r="C434" s="881"/>
      <c r="D434" s="893" t="s">
        <v>161</v>
      </c>
      <c r="E434" s="342">
        <v>2198310000</v>
      </c>
      <c r="F434" s="342">
        <v>2154476137</v>
      </c>
      <c r="G434" s="1056">
        <f>(H435+H437+H439+H441+H443)/5</f>
        <v>91.999551461338385</v>
      </c>
      <c r="H434" s="1056">
        <v>96.051799449877919</v>
      </c>
      <c r="I434" s="852"/>
      <c r="J434" s="802"/>
    </row>
    <row r="435" spans="3:10" ht="20.100000000000001" hidden="1" customHeight="1">
      <c r="C435" s="881"/>
      <c r="D435" s="893" t="s">
        <v>475</v>
      </c>
      <c r="E435" s="342">
        <v>76300000</v>
      </c>
      <c r="F435" s="342">
        <v>43300000</v>
      </c>
      <c r="G435" s="1056">
        <v>56.749672346002619</v>
      </c>
      <c r="H435" s="1056">
        <v>60</v>
      </c>
      <c r="I435" s="852"/>
      <c r="J435" s="802"/>
    </row>
    <row r="436" spans="3:10" ht="20.100000000000001" hidden="1" customHeight="1">
      <c r="C436" s="881"/>
      <c r="D436" s="886" t="s">
        <v>3982</v>
      </c>
      <c r="E436" s="340">
        <v>76300000</v>
      </c>
      <c r="F436" s="340">
        <v>43300000</v>
      </c>
      <c r="G436" s="1054">
        <v>56.749672346002619</v>
      </c>
      <c r="H436" s="1054">
        <v>60</v>
      </c>
      <c r="I436" s="852"/>
      <c r="J436" s="802"/>
    </row>
    <row r="437" spans="3:10" ht="20.100000000000001" hidden="1" customHeight="1">
      <c r="C437" s="881"/>
      <c r="D437" s="893" t="s">
        <v>162</v>
      </c>
      <c r="E437" s="342">
        <v>357200000</v>
      </c>
      <c r="F437" s="342">
        <v>346645200</v>
      </c>
      <c r="G437" s="1056">
        <v>97.045128779395299</v>
      </c>
      <c r="H437" s="1056">
        <v>100</v>
      </c>
      <c r="I437" s="852"/>
      <c r="J437" s="802"/>
    </row>
    <row r="438" spans="3:10" ht="20.100000000000001" hidden="1" customHeight="1">
      <c r="C438" s="881"/>
      <c r="D438" s="886" t="s">
        <v>477</v>
      </c>
      <c r="E438" s="340">
        <v>357200000</v>
      </c>
      <c r="F438" s="340">
        <v>346645200</v>
      </c>
      <c r="G438" s="1054">
        <v>97.045128779395299</v>
      </c>
      <c r="H438" s="1054">
        <v>100</v>
      </c>
      <c r="I438" s="852"/>
      <c r="J438" s="802"/>
    </row>
    <row r="439" spans="3:10" ht="20.100000000000001" hidden="1" customHeight="1">
      <c r="C439" s="881"/>
      <c r="D439" s="893" t="s">
        <v>173</v>
      </c>
      <c r="E439" s="342">
        <v>1700000000</v>
      </c>
      <c r="F439" s="342">
        <v>1699980937</v>
      </c>
      <c r="G439" s="1056">
        <v>99.998878647058817</v>
      </c>
      <c r="H439" s="1056">
        <v>99.997757306691966</v>
      </c>
      <c r="I439" s="852"/>
      <c r="J439" s="802"/>
    </row>
    <row r="440" spans="3:10" ht="20.100000000000001" hidden="1" customHeight="1">
      <c r="C440" s="881"/>
      <c r="D440" s="886" t="s">
        <v>479</v>
      </c>
      <c r="E440" s="340">
        <v>1700000000</v>
      </c>
      <c r="F440" s="340">
        <v>1699980937</v>
      </c>
      <c r="G440" s="1054">
        <v>99.998878647058817</v>
      </c>
      <c r="H440" s="1054">
        <v>99.997757306691966</v>
      </c>
      <c r="I440" s="852"/>
      <c r="J440" s="802"/>
    </row>
    <row r="441" spans="3:10" ht="20.100000000000001" hidden="1" customHeight="1">
      <c r="C441" s="881"/>
      <c r="D441" s="893" t="s">
        <v>177</v>
      </c>
      <c r="E441" s="342">
        <v>20075000</v>
      </c>
      <c r="F441" s="342">
        <v>20075000</v>
      </c>
      <c r="G441" s="1056">
        <v>100</v>
      </c>
      <c r="H441" s="1056">
        <v>100</v>
      </c>
      <c r="I441" s="852"/>
      <c r="J441" s="802"/>
    </row>
    <row r="442" spans="3:10" ht="20.100000000000001" hidden="1" customHeight="1">
      <c r="C442" s="881"/>
      <c r="D442" s="886" t="s">
        <v>178</v>
      </c>
      <c r="E442" s="340">
        <v>20075000</v>
      </c>
      <c r="F442" s="340">
        <v>20075000</v>
      </c>
      <c r="G442" s="1054">
        <v>100</v>
      </c>
      <c r="H442" s="1054">
        <v>100</v>
      </c>
      <c r="I442" s="852"/>
      <c r="J442" s="802"/>
    </row>
    <row r="443" spans="3:10" ht="20.100000000000001" hidden="1" customHeight="1">
      <c r="C443" s="881"/>
      <c r="D443" s="893" t="s">
        <v>186</v>
      </c>
      <c r="E443" s="342">
        <v>44735000</v>
      </c>
      <c r="F443" s="342">
        <v>44475000</v>
      </c>
      <c r="G443" s="1056">
        <v>99.418799597630496</v>
      </c>
      <c r="H443" s="1056">
        <v>100</v>
      </c>
      <c r="I443" s="852"/>
      <c r="J443" s="802"/>
    </row>
    <row r="444" spans="3:10" ht="20.100000000000001" hidden="1" customHeight="1">
      <c r="C444" s="881"/>
      <c r="D444" s="886" t="s">
        <v>2389</v>
      </c>
      <c r="E444" s="340">
        <v>44735000</v>
      </c>
      <c r="F444" s="340">
        <v>44475000</v>
      </c>
      <c r="G444" s="1054">
        <v>99.418799597630496</v>
      </c>
      <c r="H444" s="1054">
        <v>100</v>
      </c>
      <c r="I444" s="852"/>
      <c r="J444" s="802"/>
    </row>
    <row r="445" spans="3:10" ht="15" hidden="1" customHeight="1">
      <c r="C445" s="881"/>
      <c r="D445" s="886"/>
      <c r="E445" s="340"/>
      <c r="F445" s="340"/>
      <c r="G445" s="1054"/>
      <c r="H445" s="1054"/>
      <c r="I445" s="852"/>
      <c r="J445" s="802"/>
    </row>
    <row r="446" spans="3:10" ht="20.100000000000001" hidden="1" customHeight="1">
      <c r="C446" s="881"/>
      <c r="D446" s="893" t="s">
        <v>425</v>
      </c>
      <c r="E446" s="342">
        <v>7696088511.6300001</v>
      </c>
      <c r="F446" s="342">
        <v>7620306246</v>
      </c>
      <c r="G446" s="1056">
        <v>99.015314526132585</v>
      </c>
      <c r="H446" s="1056">
        <v>100</v>
      </c>
      <c r="I446" s="852"/>
      <c r="J446" s="802"/>
    </row>
    <row r="447" spans="3:10" ht="35.1" hidden="1" customHeight="1">
      <c r="C447" s="881"/>
      <c r="D447" s="893" t="s">
        <v>485</v>
      </c>
      <c r="E447" s="342">
        <v>7696088511.6300001</v>
      </c>
      <c r="F447" s="342">
        <v>7620306246</v>
      </c>
      <c r="G447" s="1056">
        <v>99.015314526132585</v>
      </c>
      <c r="H447" s="1056">
        <v>100</v>
      </c>
      <c r="I447" s="852"/>
      <c r="J447" s="802"/>
    </row>
    <row r="448" spans="3:10" ht="20.100000000000001" hidden="1" customHeight="1">
      <c r="C448" s="881"/>
      <c r="D448" s="886" t="s">
        <v>478</v>
      </c>
      <c r="E448" s="340">
        <v>2986865455</v>
      </c>
      <c r="F448" s="340">
        <v>2956158694</v>
      </c>
      <c r="G448" s="1054">
        <v>98.971940267727931</v>
      </c>
      <c r="H448" s="1054">
        <v>100</v>
      </c>
      <c r="I448" s="852"/>
      <c r="J448" s="802"/>
    </row>
    <row r="449" spans="3:10" ht="20.100000000000001" hidden="1" customHeight="1">
      <c r="C449" s="881"/>
      <c r="D449" s="886" t="s">
        <v>486</v>
      </c>
      <c r="E449" s="340">
        <v>4203589528.6300001</v>
      </c>
      <c r="F449" s="340">
        <v>4159205552</v>
      </c>
      <c r="G449" s="1054">
        <v>98.94414104118141</v>
      </c>
      <c r="H449" s="1054">
        <v>100</v>
      </c>
      <c r="I449" s="852"/>
      <c r="J449" s="802"/>
    </row>
    <row r="450" spans="3:10" ht="20.100000000000001" hidden="1" customHeight="1">
      <c r="C450" s="881"/>
      <c r="D450" s="886" t="s">
        <v>3981</v>
      </c>
      <c r="E450" s="340">
        <v>505633528</v>
      </c>
      <c r="F450" s="340">
        <v>504942000</v>
      </c>
      <c r="G450" s="1054">
        <v>99.86323533513783</v>
      </c>
      <c r="H450" s="1054">
        <v>100</v>
      </c>
      <c r="I450" s="852"/>
      <c r="J450" s="802"/>
    </row>
    <row r="451" spans="3:10" ht="15" hidden="1" customHeight="1">
      <c r="C451" s="881"/>
      <c r="D451" s="886"/>
      <c r="E451" s="340"/>
      <c r="F451" s="340"/>
      <c r="G451" s="1054"/>
      <c r="H451" s="1054"/>
      <c r="I451" s="852"/>
      <c r="J451" s="802"/>
    </row>
    <row r="452" spans="3:10" ht="20.100000000000001" hidden="1" customHeight="1">
      <c r="C452" s="881"/>
      <c r="D452" s="893" t="s">
        <v>497</v>
      </c>
      <c r="E452" s="342">
        <v>3400000000</v>
      </c>
      <c r="F452" s="342">
        <v>3393270000</v>
      </c>
      <c r="G452" s="1056">
        <v>99.802058823529421</v>
      </c>
      <c r="H452" s="1056">
        <v>100</v>
      </c>
      <c r="I452" s="852"/>
      <c r="J452" s="802"/>
    </row>
    <row r="453" spans="3:10" ht="20.100000000000001" hidden="1" customHeight="1">
      <c r="C453" s="881"/>
      <c r="D453" s="893" t="s">
        <v>498</v>
      </c>
      <c r="E453" s="342">
        <v>3400000000</v>
      </c>
      <c r="F453" s="342">
        <v>3393270000</v>
      </c>
      <c r="G453" s="1056">
        <v>99.802058823529421</v>
      </c>
      <c r="H453" s="1056">
        <v>100</v>
      </c>
      <c r="I453" s="852"/>
      <c r="J453" s="802"/>
    </row>
    <row r="454" spans="3:10" ht="20.100000000000001" hidden="1" customHeight="1">
      <c r="C454" s="881"/>
      <c r="D454" s="886" t="s">
        <v>499</v>
      </c>
      <c r="E454" s="340">
        <v>3400000000</v>
      </c>
      <c r="F454" s="340">
        <v>3393270000</v>
      </c>
      <c r="G454" s="1054">
        <v>99.802058823529421</v>
      </c>
      <c r="H454" s="1054">
        <v>100</v>
      </c>
      <c r="I454" s="852"/>
      <c r="J454" s="802"/>
    </row>
    <row r="455" spans="3:10" ht="15" hidden="1" customHeight="1">
      <c r="C455" s="881"/>
      <c r="D455" s="886"/>
      <c r="E455" s="340"/>
      <c r="F455" s="340"/>
      <c r="G455" s="1054"/>
      <c r="H455" s="1054"/>
      <c r="I455" s="852"/>
      <c r="J455" s="802"/>
    </row>
    <row r="456" spans="3:10" ht="20.100000000000001" hidden="1" customHeight="1">
      <c r="C456" s="881"/>
      <c r="D456" s="893" t="s">
        <v>525</v>
      </c>
      <c r="E456" s="342">
        <v>900478000</v>
      </c>
      <c r="F456" s="342">
        <v>874984719</v>
      </c>
      <c r="G456" s="1056">
        <v>97.16891684194394</v>
      </c>
      <c r="H456" s="1056">
        <v>100</v>
      </c>
      <c r="I456" s="852"/>
      <c r="J456" s="802"/>
    </row>
    <row r="457" spans="3:10" ht="35.1" hidden="1" customHeight="1">
      <c r="C457" s="881"/>
      <c r="D457" s="893" t="s">
        <v>526</v>
      </c>
      <c r="E457" s="342">
        <v>800478000</v>
      </c>
      <c r="F457" s="342">
        <v>774984719</v>
      </c>
      <c r="G457" s="1056">
        <v>96.815242767446449</v>
      </c>
      <c r="H457" s="1056">
        <v>100</v>
      </c>
      <c r="I457" s="852"/>
      <c r="J457" s="802"/>
    </row>
    <row r="458" spans="3:10" ht="35.1" hidden="1" customHeight="1">
      <c r="C458" s="881"/>
      <c r="D458" s="886" t="s">
        <v>3980</v>
      </c>
      <c r="E458" s="340">
        <v>800478000</v>
      </c>
      <c r="F458" s="340">
        <v>774984719</v>
      </c>
      <c r="G458" s="1054">
        <v>96.815242767446449</v>
      </c>
      <c r="H458" s="1054">
        <v>100</v>
      </c>
      <c r="I458" s="852"/>
      <c r="J458" s="802"/>
    </row>
    <row r="459" spans="3:10" ht="20.100000000000001" hidden="1" customHeight="1">
      <c r="C459" s="881"/>
      <c r="D459" s="893" t="s">
        <v>528</v>
      </c>
      <c r="E459" s="342">
        <v>0</v>
      </c>
      <c r="F459" s="342"/>
      <c r="G459" s="1054"/>
      <c r="H459" s="1141"/>
      <c r="I459" s="852"/>
      <c r="J459" s="802"/>
    </row>
    <row r="460" spans="3:10" ht="20.100000000000001" hidden="1" customHeight="1">
      <c r="C460" s="881"/>
      <c r="D460" s="886" t="s">
        <v>529</v>
      </c>
      <c r="E460" s="340">
        <v>0</v>
      </c>
      <c r="F460" s="342"/>
      <c r="G460" s="1054"/>
      <c r="H460" s="1054"/>
      <c r="I460" s="852"/>
      <c r="J460" s="802"/>
    </row>
    <row r="461" spans="3:10" ht="20.100000000000001" hidden="1" customHeight="1">
      <c r="C461" s="881"/>
      <c r="D461" s="893" t="s">
        <v>3979</v>
      </c>
      <c r="E461" s="342">
        <v>100000000</v>
      </c>
      <c r="F461" s="342">
        <v>100000000</v>
      </c>
      <c r="G461" s="1054">
        <v>100</v>
      </c>
      <c r="H461" s="1054">
        <v>100</v>
      </c>
      <c r="I461" s="852"/>
      <c r="J461" s="802"/>
    </row>
    <row r="462" spans="3:10" ht="20.100000000000001" hidden="1" customHeight="1">
      <c r="C462" s="881"/>
      <c r="D462" s="886" t="s">
        <v>3978</v>
      </c>
      <c r="E462" s="340">
        <v>100000000</v>
      </c>
      <c r="F462" s="340">
        <v>100000000</v>
      </c>
      <c r="G462" s="1054">
        <v>100</v>
      </c>
      <c r="H462" s="1054">
        <v>100</v>
      </c>
      <c r="I462" s="852"/>
      <c r="J462" s="802"/>
    </row>
    <row r="463" spans="3:10" ht="15" hidden="1" customHeight="1">
      <c r="C463" s="881"/>
      <c r="D463" s="886"/>
      <c r="E463" s="340"/>
      <c r="F463" s="340"/>
      <c r="G463" s="1054"/>
      <c r="H463" s="1054"/>
      <c r="I463" s="852"/>
      <c r="J463" s="802"/>
    </row>
    <row r="464" spans="3:10" ht="20.100000000000001" hidden="1" customHeight="1">
      <c r="C464" s="881"/>
      <c r="D464" s="893" t="s">
        <v>522</v>
      </c>
      <c r="E464" s="342">
        <v>185000000</v>
      </c>
      <c r="F464" s="342">
        <v>185000000</v>
      </c>
      <c r="G464" s="1056">
        <v>100</v>
      </c>
      <c r="H464" s="1056">
        <v>100</v>
      </c>
      <c r="I464" s="852"/>
      <c r="J464" s="802"/>
    </row>
    <row r="465" spans="3:10" ht="20.100000000000001" hidden="1" customHeight="1">
      <c r="C465" s="881"/>
      <c r="D465" s="893" t="s">
        <v>429</v>
      </c>
      <c r="E465" s="342">
        <v>50000000</v>
      </c>
      <c r="F465" s="342">
        <v>50000000</v>
      </c>
      <c r="G465" s="1056">
        <v>100</v>
      </c>
      <c r="H465" s="1056">
        <v>100</v>
      </c>
      <c r="I465" s="852"/>
      <c r="J465" s="802"/>
    </row>
    <row r="466" spans="3:10" ht="20.100000000000001" hidden="1" customHeight="1">
      <c r="C466" s="881"/>
      <c r="D466" s="886" t="s">
        <v>3977</v>
      </c>
      <c r="E466" s="340">
        <v>50000000</v>
      </c>
      <c r="F466" s="340">
        <v>50000000</v>
      </c>
      <c r="G466" s="1054">
        <v>100</v>
      </c>
      <c r="H466" s="1054">
        <v>100</v>
      </c>
      <c r="I466" s="852"/>
      <c r="J466" s="802"/>
    </row>
    <row r="467" spans="3:10" ht="20.100000000000001" hidden="1" customHeight="1">
      <c r="C467" s="881"/>
      <c r="D467" s="893" t="s">
        <v>3976</v>
      </c>
      <c r="E467" s="342">
        <v>35000000</v>
      </c>
      <c r="F467" s="342">
        <v>35000000</v>
      </c>
      <c r="G467" s="1054">
        <v>100</v>
      </c>
      <c r="H467" s="1054">
        <v>100</v>
      </c>
      <c r="I467" s="852"/>
      <c r="J467" s="802"/>
    </row>
    <row r="468" spans="3:10" ht="20.100000000000001" hidden="1" customHeight="1">
      <c r="C468" s="881"/>
      <c r="D468" s="886" t="s">
        <v>3975</v>
      </c>
      <c r="E468" s="340">
        <v>35000000</v>
      </c>
      <c r="F468" s="340">
        <v>35000000</v>
      </c>
      <c r="G468" s="1054">
        <v>100</v>
      </c>
      <c r="H468" s="1054">
        <v>100</v>
      </c>
      <c r="I468" s="852"/>
      <c r="J468" s="802"/>
    </row>
    <row r="469" spans="3:10" ht="20.100000000000001" hidden="1" customHeight="1">
      <c r="C469" s="881"/>
      <c r="D469" s="893" t="s">
        <v>3974</v>
      </c>
      <c r="E469" s="342">
        <v>50000000</v>
      </c>
      <c r="F469" s="342">
        <v>50000000</v>
      </c>
      <c r="G469" s="1054">
        <v>100</v>
      </c>
      <c r="H469" s="1054">
        <v>100</v>
      </c>
      <c r="I469" s="852"/>
      <c r="J469" s="802"/>
    </row>
    <row r="470" spans="3:10" ht="20.100000000000001" hidden="1" customHeight="1">
      <c r="C470" s="881"/>
      <c r="D470" s="886" t="s">
        <v>3973</v>
      </c>
      <c r="E470" s="340">
        <v>50000000</v>
      </c>
      <c r="F470" s="340">
        <v>50000000</v>
      </c>
      <c r="G470" s="1054">
        <v>100</v>
      </c>
      <c r="H470" s="1054">
        <v>100</v>
      </c>
      <c r="I470" s="852"/>
      <c r="J470" s="802"/>
    </row>
    <row r="471" spans="3:10" ht="20.100000000000001" hidden="1" customHeight="1">
      <c r="C471" s="881"/>
      <c r="D471" s="893" t="s">
        <v>3972</v>
      </c>
      <c r="E471" s="342">
        <v>50000000</v>
      </c>
      <c r="F471" s="342">
        <v>50000000</v>
      </c>
      <c r="G471" s="1054">
        <v>100</v>
      </c>
      <c r="H471" s="1054">
        <v>100</v>
      </c>
      <c r="I471" s="852"/>
      <c r="J471" s="802"/>
    </row>
    <row r="472" spans="3:10" ht="20.100000000000001" hidden="1" customHeight="1">
      <c r="C472" s="881"/>
      <c r="D472" s="886" t="s">
        <v>3971</v>
      </c>
      <c r="E472" s="340">
        <v>50000000</v>
      </c>
      <c r="F472" s="340">
        <v>50000000</v>
      </c>
      <c r="G472" s="1054">
        <v>100</v>
      </c>
      <c r="H472" s="1054">
        <v>100</v>
      </c>
      <c r="I472" s="852"/>
      <c r="J472" s="802"/>
    </row>
    <row r="473" spans="3:10" ht="15" hidden="1" customHeight="1">
      <c r="C473" s="881"/>
      <c r="D473" s="886"/>
      <c r="E473" s="340"/>
      <c r="F473" s="340"/>
      <c r="G473" s="1054"/>
      <c r="H473" s="1054"/>
      <c r="I473" s="852"/>
      <c r="J473" s="802"/>
    </row>
    <row r="474" spans="3:10" ht="20.100000000000001" hidden="1" customHeight="1">
      <c r="C474" s="881"/>
      <c r="D474" s="893" t="s">
        <v>535</v>
      </c>
      <c r="E474" s="342">
        <v>199100000</v>
      </c>
      <c r="F474" s="342">
        <v>198620000</v>
      </c>
      <c r="G474" s="1056">
        <v>99.75891511803114</v>
      </c>
      <c r="H474" s="1056">
        <v>100</v>
      </c>
      <c r="I474" s="852"/>
      <c r="J474" s="802"/>
    </row>
    <row r="475" spans="3:10" ht="20.100000000000001" hidden="1" customHeight="1">
      <c r="C475" s="881"/>
      <c r="D475" s="893" t="s">
        <v>542</v>
      </c>
      <c r="E475" s="342">
        <v>199100000</v>
      </c>
      <c r="F475" s="342">
        <v>198620000</v>
      </c>
      <c r="G475" s="1054">
        <v>99.75891511803114</v>
      </c>
      <c r="H475" s="1054">
        <v>100</v>
      </c>
      <c r="I475" s="852"/>
      <c r="J475" s="802"/>
    </row>
    <row r="476" spans="3:10" ht="20.100000000000001" hidden="1" customHeight="1">
      <c r="C476" s="881"/>
      <c r="D476" s="886" t="s">
        <v>543</v>
      </c>
      <c r="E476" s="340">
        <v>199100000</v>
      </c>
      <c r="F476" s="340">
        <v>198620000</v>
      </c>
      <c r="G476" s="1054">
        <v>99.75891511803114</v>
      </c>
      <c r="H476" s="1054">
        <v>100</v>
      </c>
      <c r="I476" s="852"/>
      <c r="J476" s="802"/>
    </row>
    <row r="477" spans="3:10" ht="15" hidden="1" customHeight="1">
      <c r="C477" s="881"/>
      <c r="D477" s="886"/>
      <c r="E477" s="340"/>
      <c r="F477" s="340"/>
      <c r="G477" s="1054"/>
      <c r="H477" s="1054"/>
      <c r="I477" s="852"/>
      <c r="J477" s="802"/>
    </row>
    <row r="478" spans="3:10" ht="20.100000000000001" hidden="1" customHeight="1">
      <c r="C478" s="881"/>
      <c r="D478" s="893" t="s">
        <v>69</v>
      </c>
      <c r="E478" s="342">
        <v>7000000000</v>
      </c>
      <c r="F478" s="342">
        <v>6999000000</v>
      </c>
      <c r="G478" s="1056">
        <v>99.985714285714295</v>
      </c>
      <c r="H478" s="1056">
        <v>99.971430612244916</v>
      </c>
      <c r="I478" s="852"/>
      <c r="J478" s="802"/>
    </row>
    <row r="479" spans="3:10" ht="20.100000000000001" hidden="1" customHeight="1">
      <c r="C479" s="881"/>
      <c r="D479" s="893" t="s">
        <v>3970</v>
      </c>
      <c r="E479" s="342">
        <v>7000000000</v>
      </c>
      <c r="F479" s="342">
        <v>6999000000</v>
      </c>
      <c r="G479" s="1054">
        <v>99.985714285714295</v>
      </c>
      <c r="H479" s="1054">
        <v>100</v>
      </c>
      <c r="I479" s="852"/>
      <c r="J479" s="802"/>
    </row>
    <row r="480" spans="3:10" ht="20.100000000000001" hidden="1" customHeight="1">
      <c r="C480" s="881"/>
      <c r="D480" s="886" t="s">
        <v>553</v>
      </c>
      <c r="E480" s="340">
        <v>7000000000</v>
      </c>
      <c r="F480" s="340">
        <v>6999000000</v>
      </c>
      <c r="G480" s="1054">
        <v>99.985714285714295</v>
      </c>
      <c r="H480" s="1054">
        <v>100</v>
      </c>
      <c r="I480" s="852"/>
      <c r="J480" s="802"/>
    </row>
    <row r="481" spans="3:10" ht="15" hidden="1" customHeight="1">
      <c r="C481" s="881"/>
      <c r="D481" s="886"/>
      <c r="E481" s="340"/>
      <c r="F481" s="340"/>
      <c r="G481" s="1054"/>
      <c r="H481" s="1054"/>
      <c r="I481" s="852"/>
      <c r="J481" s="802"/>
    </row>
    <row r="482" spans="3:10" ht="20.100000000000001" hidden="1" customHeight="1">
      <c r="C482" s="881"/>
      <c r="D482" s="893" t="s">
        <v>583</v>
      </c>
      <c r="E482" s="342">
        <v>100000000</v>
      </c>
      <c r="F482" s="342">
        <v>100000000</v>
      </c>
      <c r="G482" s="1056">
        <v>100</v>
      </c>
      <c r="H482" s="1056">
        <v>100</v>
      </c>
      <c r="I482" s="852"/>
      <c r="J482" s="802"/>
    </row>
    <row r="483" spans="3:10" ht="20.100000000000001" hidden="1" customHeight="1">
      <c r="C483" s="881"/>
      <c r="D483" s="893" t="s">
        <v>584</v>
      </c>
      <c r="E483" s="342">
        <v>100000000</v>
      </c>
      <c r="F483" s="340">
        <v>100000000</v>
      </c>
      <c r="G483" s="1054">
        <v>100</v>
      </c>
      <c r="H483" s="1054">
        <v>100</v>
      </c>
      <c r="I483" s="852"/>
      <c r="J483" s="802"/>
    </row>
    <row r="484" spans="3:10" ht="20.100000000000001" hidden="1" customHeight="1">
      <c r="C484" s="881"/>
      <c r="D484" s="886" t="s">
        <v>3969</v>
      </c>
      <c r="E484" s="340">
        <v>100000000</v>
      </c>
      <c r="F484" s="340">
        <v>100000000</v>
      </c>
      <c r="G484" s="1054">
        <v>100</v>
      </c>
      <c r="H484" s="1054">
        <v>100</v>
      </c>
      <c r="I484" s="852"/>
      <c r="J484" s="802"/>
    </row>
    <row r="485" spans="3:10" ht="15" hidden="1" customHeight="1">
      <c r="C485" s="881"/>
      <c r="D485" s="886"/>
      <c r="E485" s="340"/>
      <c r="F485" s="340"/>
      <c r="G485" s="1054"/>
      <c r="H485" s="1054"/>
      <c r="I485" s="852"/>
      <c r="J485" s="802"/>
    </row>
    <row r="486" spans="3:10" ht="20.100000000000001" hidden="1" customHeight="1">
      <c r="C486" s="881"/>
      <c r="D486" s="893" t="s">
        <v>464</v>
      </c>
      <c r="E486" s="342">
        <v>200000000</v>
      </c>
      <c r="F486" s="342">
        <v>198880000</v>
      </c>
      <c r="G486" s="1056">
        <v>99.44</v>
      </c>
      <c r="H486" s="1056">
        <v>100</v>
      </c>
      <c r="I486" s="852"/>
      <c r="J486" s="802"/>
    </row>
    <row r="487" spans="3:10" ht="20.100000000000001" hidden="1" customHeight="1">
      <c r="C487" s="881"/>
      <c r="D487" s="893" t="s">
        <v>471</v>
      </c>
      <c r="E487" s="342">
        <v>200000000</v>
      </c>
      <c r="F487" s="342">
        <v>198880000</v>
      </c>
      <c r="G487" s="1056">
        <v>99.44</v>
      </c>
      <c r="H487" s="1056">
        <v>100</v>
      </c>
      <c r="I487" s="852"/>
      <c r="J487" s="802"/>
    </row>
    <row r="488" spans="3:10" ht="20.100000000000001" hidden="1" customHeight="1">
      <c r="C488" s="881"/>
      <c r="D488" s="886" t="s">
        <v>473</v>
      </c>
      <c r="E488" s="340">
        <v>200000000</v>
      </c>
      <c r="F488" s="340">
        <v>198880000</v>
      </c>
      <c r="G488" s="1054">
        <v>99.44</v>
      </c>
      <c r="H488" s="1054">
        <v>100</v>
      </c>
      <c r="I488" s="852"/>
      <c r="J488" s="802"/>
    </row>
    <row r="489" spans="3:10" ht="15" hidden="1" customHeight="1">
      <c r="C489" s="881"/>
      <c r="D489" s="886"/>
      <c r="E489" s="340"/>
      <c r="F489" s="340"/>
      <c r="G489" s="1054"/>
      <c r="H489" s="1054"/>
      <c r="I489" s="852"/>
      <c r="J489" s="802"/>
    </row>
    <row r="490" spans="3:10" ht="20.100000000000001" hidden="1" customHeight="1">
      <c r="C490" s="881"/>
      <c r="D490" s="893" t="s">
        <v>366</v>
      </c>
      <c r="E490" s="342">
        <v>150000000</v>
      </c>
      <c r="F490" s="342">
        <v>144722100</v>
      </c>
      <c r="G490" s="1056">
        <v>96.481399999999994</v>
      </c>
      <c r="H490" s="1056">
        <f>H491</f>
        <v>97.5</v>
      </c>
      <c r="I490" s="852"/>
      <c r="J490" s="802"/>
    </row>
    <row r="491" spans="3:10" ht="20.100000000000001" hidden="1" customHeight="1">
      <c r="C491" s="881"/>
      <c r="D491" s="893" t="s">
        <v>509</v>
      </c>
      <c r="E491" s="342">
        <v>150000000</v>
      </c>
      <c r="F491" s="342">
        <v>144722100</v>
      </c>
      <c r="G491" s="1056">
        <v>96.481399999999994</v>
      </c>
      <c r="H491" s="1056">
        <f>195/2</f>
        <v>97.5</v>
      </c>
      <c r="I491" s="852"/>
      <c r="J491" s="802"/>
    </row>
    <row r="492" spans="3:10" ht="20.100000000000001" hidden="1" customHeight="1">
      <c r="C492" s="881"/>
      <c r="D492" s="886" t="s">
        <v>510</v>
      </c>
      <c r="E492" s="340">
        <v>50000000</v>
      </c>
      <c r="F492" s="340">
        <v>46497100</v>
      </c>
      <c r="G492" s="1054">
        <v>92.994200000000006</v>
      </c>
      <c r="H492" s="1054">
        <v>95</v>
      </c>
      <c r="I492" s="852"/>
      <c r="J492" s="802"/>
    </row>
    <row r="493" spans="3:10" ht="20.100000000000001" hidden="1" customHeight="1">
      <c r="C493" s="881"/>
      <c r="D493" s="886" t="s">
        <v>511</v>
      </c>
      <c r="E493" s="340">
        <v>100000000</v>
      </c>
      <c r="F493" s="340">
        <v>98225000</v>
      </c>
      <c r="G493" s="1054">
        <v>98.224999999999994</v>
      </c>
      <c r="H493" s="1054">
        <v>100</v>
      </c>
      <c r="I493" s="852"/>
      <c r="J493" s="802"/>
    </row>
    <row r="494" spans="3:10" ht="15" hidden="1" customHeight="1">
      <c r="C494" s="881"/>
      <c r="D494" s="886"/>
      <c r="E494" s="340"/>
      <c r="F494" s="340"/>
      <c r="G494" s="1054"/>
      <c r="H494" s="1054"/>
      <c r="I494" s="852"/>
      <c r="J494" s="802"/>
    </row>
    <row r="495" spans="3:10" ht="20.100000000000001" hidden="1" customHeight="1">
      <c r="C495" s="881"/>
      <c r="D495" s="893" t="s">
        <v>563</v>
      </c>
      <c r="E495" s="342">
        <v>22849708000</v>
      </c>
      <c r="F495" s="342">
        <v>21933744000</v>
      </c>
      <c r="G495" s="1056">
        <v>95.991353587538185</v>
      </c>
      <c r="H495" s="1056">
        <f>H496</f>
        <v>90.575100000000006</v>
      </c>
      <c r="I495" s="852"/>
      <c r="J495" s="802"/>
    </row>
    <row r="496" spans="3:10" ht="20.100000000000001" hidden="1" customHeight="1">
      <c r="C496" s="881"/>
      <c r="D496" s="893" t="s">
        <v>3968</v>
      </c>
      <c r="E496" s="342">
        <v>22849708000</v>
      </c>
      <c r="F496" s="342">
        <v>21933744000</v>
      </c>
      <c r="G496" s="1056">
        <v>95.991353587538185</v>
      </c>
      <c r="H496" s="1056">
        <f>SUM((H497:H512))/16</f>
        <v>90.575100000000006</v>
      </c>
      <c r="I496" s="852"/>
      <c r="J496" s="802"/>
    </row>
    <row r="497" spans="3:10" ht="20.100000000000001" hidden="1" customHeight="1">
      <c r="C497" s="881"/>
      <c r="D497" s="886" t="s">
        <v>3967</v>
      </c>
      <c r="E497" s="340">
        <v>5349708000</v>
      </c>
      <c r="F497" s="340">
        <v>5007744000</v>
      </c>
      <c r="G497" s="1054">
        <v>93.607800650054173</v>
      </c>
      <c r="H497" s="1054">
        <v>95</v>
      </c>
      <c r="I497" s="852"/>
      <c r="J497" s="802"/>
    </row>
    <row r="498" spans="3:10" ht="20.100000000000001" hidden="1" customHeight="1">
      <c r="C498" s="881"/>
      <c r="D498" s="886" t="s">
        <v>565</v>
      </c>
      <c r="E498" s="340">
        <v>1000000000</v>
      </c>
      <c r="F498" s="340">
        <v>1000000000</v>
      </c>
      <c r="G498" s="1054">
        <v>100</v>
      </c>
      <c r="H498" s="1054">
        <v>100</v>
      </c>
      <c r="I498" s="852"/>
      <c r="J498" s="802"/>
    </row>
    <row r="499" spans="3:10" ht="20.100000000000001" hidden="1" customHeight="1">
      <c r="C499" s="881"/>
      <c r="D499" s="886" t="s">
        <v>566</v>
      </c>
      <c r="E499" s="340">
        <v>3000000000</v>
      </c>
      <c r="F499" s="340">
        <v>3000000000</v>
      </c>
      <c r="G499" s="1054">
        <v>100</v>
      </c>
      <c r="H499" s="1054">
        <v>100</v>
      </c>
      <c r="I499" s="852"/>
      <c r="J499" s="802"/>
    </row>
    <row r="500" spans="3:10" ht="20.100000000000001" hidden="1" customHeight="1">
      <c r="C500" s="881"/>
      <c r="D500" s="886" t="s">
        <v>567</v>
      </c>
      <c r="E500" s="340">
        <v>1000000000</v>
      </c>
      <c r="F500" s="340">
        <v>1000000000</v>
      </c>
      <c r="G500" s="1054">
        <v>100</v>
      </c>
      <c r="H500" s="1054">
        <v>100</v>
      </c>
      <c r="I500" s="852"/>
      <c r="J500" s="802"/>
    </row>
    <row r="501" spans="3:10" ht="20.100000000000001" hidden="1" customHeight="1">
      <c r="C501" s="881"/>
      <c r="D501" s="886" t="s">
        <v>568</v>
      </c>
      <c r="E501" s="340">
        <v>2700000000</v>
      </c>
      <c r="F501" s="340">
        <v>2700000000</v>
      </c>
      <c r="G501" s="1054">
        <v>100</v>
      </c>
      <c r="H501" s="1054">
        <v>100</v>
      </c>
      <c r="I501" s="852"/>
      <c r="J501" s="802"/>
    </row>
    <row r="502" spans="3:10" ht="20.100000000000001" hidden="1" customHeight="1">
      <c r="C502" s="881"/>
      <c r="D502" s="886" t="s">
        <v>3966</v>
      </c>
      <c r="E502" s="340">
        <v>100000000</v>
      </c>
      <c r="F502" s="340">
        <v>100000000</v>
      </c>
      <c r="G502" s="1054">
        <v>100</v>
      </c>
      <c r="H502" s="1054">
        <v>100</v>
      </c>
      <c r="I502" s="852"/>
      <c r="J502" s="802"/>
    </row>
    <row r="503" spans="3:10" ht="20.100000000000001" hidden="1" customHeight="1">
      <c r="C503" s="881"/>
      <c r="D503" s="886" t="s">
        <v>3965</v>
      </c>
      <c r="E503" s="340">
        <v>50000000</v>
      </c>
      <c r="F503" s="340"/>
      <c r="G503" s="1054">
        <v>0</v>
      </c>
      <c r="H503" s="1054">
        <v>0</v>
      </c>
      <c r="I503" s="852"/>
      <c r="J503" s="802"/>
    </row>
    <row r="504" spans="3:10" ht="20.100000000000001" hidden="1" customHeight="1">
      <c r="C504" s="881"/>
      <c r="D504" s="886" t="s">
        <v>3964</v>
      </c>
      <c r="E504" s="340">
        <v>200000000</v>
      </c>
      <c r="F504" s="340">
        <v>200000000</v>
      </c>
      <c r="G504" s="1054">
        <v>100</v>
      </c>
      <c r="H504" s="1054">
        <v>100</v>
      </c>
      <c r="I504" s="852"/>
      <c r="J504" s="802"/>
    </row>
    <row r="505" spans="3:10" ht="20.100000000000001" hidden="1" customHeight="1">
      <c r="C505" s="881"/>
      <c r="D505" s="886" t="s">
        <v>3963</v>
      </c>
      <c r="E505" s="340">
        <v>350000000</v>
      </c>
      <c r="F505" s="340">
        <v>350000000</v>
      </c>
      <c r="G505" s="1054">
        <v>100</v>
      </c>
      <c r="H505" s="1054">
        <v>100</v>
      </c>
      <c r="I505" s="852"/>
      <c r="J505" s="802"/>
    </row>
    <row r="506" spans="3:10" ht="20.100000000000001" hidden="1" customHeight="1">
      <c r="C506" s="881"/>
      <c r="D506" s="886" t="s">
        <v>3962</v>
      </c>
      <c r="E506" s="340">
        <v>700000000</v>
      </c>
      <c r="F506" s="340">
        <v>700000000</v>
      </c>
      <c r="G506" s="1054">
        <v>100</v>
      </c>
      <c r="H506" s="1054">
        <v>100</v>
      </c>
      <c r="I506" s="852"/>
      <c r="J506" s="802"/>
    </row>
    <row r="507" spans="3:10" ht="20.100000000000001" hidden="1" customHeight="1">
      <c r="C507" s="881"/>
      <c r="D507" s="886" t="s">
        <v>3961</v>
      </c>
      <c r="E507" s="340">
        <v>100000000</v>
      </c>
      <c r="F507" s="340">
        <v>100000000</v>
      </c>
      <c r="G507" s="1054">
        <v>100</v>
      </c>
      <c r="H507" s="1054">
        <v>100</v>
      </c>
      <c r="I507" s="852"/>
      <c r="J507" s="802"/>
    </row>
    <row r="508" spans="3:10" ht="20.100000000000001" hidden="1" customHeight="1">
      <c r="C508" s="881"/>
      <c r="D508" s="886" t="s">
        <v>3960</v>
      </c>
      <c r="E508" s="340">
        <v>2000000000</v>
      </c>
      <c r="F508" s="340">
        <v>2000000000</v>
      </c>
      <c r="G508" s="1054">
        <v>100</v>
      </c>
      <c r="H508" s="1054">
        <v>100</v>
      </c>
      <c r="I508" s="852"/>
      <c r="J508" s="802"/>
    </row>
    <row r="509" spans="3:10" ht="20.100000000000001" hidden="1" customHeight="1">
      <c r="C509" s="881"/>
      <c r="D509" s="886" t="s">
        <v>3959</v>
      </c>
      <c r="E509" s="340">
        <v>1050000000</v>
      </c>
      <c r="F509" s="340">
        <v>1050000000</v>
      </c>
      <c r="G509" s="1054">
        <v>100</v>
      </c>
      <c r="H509" s="1054">
        <v>100</v>
      </c>
      <c r="I509" s="852"/>
      <c r="J509" s="802"/>
    </row>
    <row r="510" spans="3:10" ht="20.100000000000001" hidden="1" customHeight="1">
      <c r="C510" s="881"/>
      <c r="D510" s="886" t="s">
        <v>3958</v>
      </c>
      <c r="E510" s="340">
        <v>250000000</v>
      </c>
      <c r="F510" s="340">
        <v>249000000</v>
      </c>
      <c r="G510" s="1054">
        <v>99.6</v>
      </c>
      <c r="H510" s="1054">
        <v>99.201599999999999</v>
      </c>
      <c r="I510" s="852"/>
      <c r="J510" s="802"/>
    </row>
    <row r="511" spans="3:10" ht="20.100000000000001" hidden="1" customHeight="1">
      <c r="C511" s="881"/>
      <c r="D511" s="886" t="s">
        <v>3957</v>
      </c>
      <c r="E511" s="340">
        <v>500000000</v>
      </c>
      <c r="F511" s="340">
        <v>295000000</v>
      </c>
      <c r="G511" s="1054">
        <v>59</v>
      </c>
      <c r="H511" s="1054">
        <v>60</v>
      </c>
      <c r="I511" s="852"/>
      <c r="J511" s="802"/>
    </row>
    <row r="512" spans="3:10" ht="20.100000000000001" hidden="1" customHeight="1">
      <c r="C512" s="881"/>
      <c r="D512" s="886" t="s">
        <v>569</v>
      </c>
      <c r="E512" s="340">
        <v>4500000000</v>
      </c>
      <c r="F512" s="340">
        <v>4182000000</v>
      </c>
      <c r="G512" s="1054">
        <v>92.933333333333337</v>
      </c>
      <c r="H512" s="1054">
        <v>95</v>
      </c>
      <c r="I512" s="852"/>
      <c r="J512" s="802"/>
    </row>
    <row r="513" spans="3:10" ht="15" hidden="1" customHeight="1">
      <c r="C513" s="881"/>
      <c r="D513" s="886"/>
      <c r="E513" s="340"/>
      <c r="F513" s="340"/>
      <c r="G513" s="1054"/>
      <c r="H513" s="1054"/>
      <c r="I513" s="852"/>
      <c r="J513" s="802"/>
    </row>
    <row r="514" spans="3:10" ht="20.100000000000001" hidden="1" customHeight="1">
      <c r="C514" s="881"/>
      <c r="D514" s="893" t="s">
        <v>363</v>
      </c>
      <c r="E514" s="342">
        <v>100000000</v>
      </c>
      <c r="F514" s="342">
        <v>0</v>
      </c>
      <c r="G514" s="1054">
        <v>0</v>
      </c>
      <c r="H514" s="1054">
        <v>0</v>
      </c>
      <c r="I514" s="852"/>
      <c r="J514" s="802"/>
    </row>
    <row r="515" spans="3:10" ht="20.100000000000001" hidden="1" customHeight="1">
      <c r="C515" s="881"/>
      <c r="D515" s="893" t="s">
        <v>570</v>
      </c>
      <c r="E515" s="342">
        <v>100000000</v>
      </c>
      <c r="F515" s="342">
        <v>0</v>
      </c>
      <c r="G515" s="1054">
        <v>0</v>
      </c>
      <c r="H515" s="1054">
        <v>0</v>
      </c>
      <c r="I515" s="852"/>
      <c r="J515" s="802"/>
    </row>
    <row r="516" spans="3:10" ht="20.100000000000001" hidden="1" customHeight="1">
      <c r="C516" s="881"/>
      <c r="D516" s="886" t="s">
        <v>571</v>
      </c>
      <c r="E516" s="340">
        <v>100000000</v>
      </c>
      <c r="F516" s="340"/>
      <c r="G516" s="1054">
        <v>0</v>
      </c>
      <c r="H516" s="1054">
        <v>0</v>
      </c>
      <c r="I516" s="852"/>
      <c r="J516" s="802"/>
    </row>
    <row r="517" spans="3:10" ht="15" hidden="1" customHeight="1">
      <c r="C517" s="881"/>
      <c r="D517" s="886"/>
      <c r="E517" s="125"/>
      <c r="F517" s="854"/>
      <c r="G517" s="854"/>
      <c r="H517" s="876"/>
      <c r="I517" s="852"/>
      <c r="J517" s="802"/>
    </row>
    <row r="518" spans="3:10" s="605" customFormat="1" ht="20.100000000000001" customHeight="1">
      <c r="C518" s="1666" t="s">
        <v>586</v>
      </c>
      <c r="D518" s="1667" t="s">
        <v>587</v>
      </c>
      <c r="E518" s="1668">
        <f>+E519+E531+E536+E550+E555+E561+E567+E575+E581+E587+E594+E598+E602+E606+E612+E616</f>
        <v>46073463891.389999</v>
      </c>
      <c r="F518" s="1669">
        <f>+F519+F532+F536+F550+F555+F561+F567+F575+F581+F587+F594+F598+F602+F606+F612+F616</f>
        <v>42325445583</v>
      </c>
      <c r="G518" s="1670">
        <f t="shared" ref="G518:G529" si="24">+F518/E518*100</f>
        <v>91.865125840711073</v>
      </c>
      <c r="H518" s="1671">
        <f>(H519+H532+H536+H550+H555+H561+H567+H576+H581+H587+H594+H598+H602+H606+H612+H616)/16</f>
        <v>55.007672975309973</v>
      </c>
      <c r="I518" s="1672"/>
      <c r="J518" s="1359" t="s">
        <v>3956</v>
      </c>
    </row>
    <row r="519" spans="3:10" s="2" customFormat="1" ht="20.100000000000001" hidden="1" customHeight="1">
      <c r="C519" s="881"/>
      <c r="D519" s="856" t="s">
        <v>64</v>
      </c>
      <c r="E519" s="1056">
        <f>+E520+E524+E528+E522</f>
        <v>22007156000</v>
      </c>
      <c r="F519" s="1137">
        <f>+F520+F522+F524+F528</f>
        <v>21873551000</v>
      </c>
      <c r="G519" s="854">
        <f t="shared" si="24"/>
        <v>99.39290201787091</v>
      </c>
      <c r="H519" s="854">
        <f>(H520+H522+H524+H528)/4</f>
        <v>97.343807934742316</v>
      </c>
      <c r="I519" s="852"/>
      <c r="J519" s="802"/>
    </row>
    <row r="520" spans="3:10" s="2" customFormat="1" ht="20.100000000000001" hidden="1" customHeight="1">
      <c r="C520" s="881"/>
      <c r="D520" s="856" t="s">
        <v>588</v>
      </c>
      <c r="E520" s="1137">
        <f>SUM(E521:E521)</f>
        <v>241782400</v>
      </c>
      <c r="F520" s="1137">
        <f>+F521</f>
        <v>241782400</v>
      </c>
      <c r="G520" s="854">
        <f t="shared" si="24"/>
        <v>100</v>
      </c>
      <c r="H520" s="854">
        <f>+G520</f>
        <v>100</v>
      </c>
      <c r="I520" s="852"/>
      <c r="J520" s="802"/>
    </row>
    <row r="521" spans="3:10" s="2" customFormat="1" ht="20.100000000000001" hidden="1" customHeight="1">
      <c r="C521" s="881"/>
      <c r="D521" s="859" t="s">
        <v>589</v>
      </c>
      <c r="E521" s="1054">
        <v>241782400</v>
      </c>
      <c r="F521" s="1136">
        <v>241782400</v>
      </c>
      <c r="G521" s="854">
        <f t="shared" si="24"/>
        <v>100</v>
      </c>
      <c r="H521" s="854">
        <f>+G521</f>
        <v>100</v>
      </c>
      <c r="I521" s="852"/>
      <c r="J521" s="802"/>
    </row>
    <row r="522" spans="3:10" s="2" customFormat="1" ht="20.100000000000001" hidden="1" customHeight="1">
      <c r="C522" s="881"/>
      <c r="D522" s="856" t="s">
        <v>3955</v>
      </c>
      <c r="E522" s="1056">
        <f>SUM(E523:E523)</f>
        <v>402883000</v>
      </c>
      <c r="F522" s="1137">
        <f>+F523</f>
        <v>402883000</v>
      </c>
      <c r="G522" s="854">
        <f t="shared" si="24"/>
        <v>100</v>
      </c>
      <c r="H522" s="854">
        <f>+G522</f>
        <v>100</v>
      </c>
      <c r="I522" s="852"/>
      <c r="J522" s="802"/>
    </row>
    <row r="523" spans="3:10" s="2" customFormat="1" ht="20.100000000000001" hidden="1" customHeight="1">
      <c r="C523" s="881"/>
      <c r="D523" s="859" t="s">
        <v>3954</v>
      </c>
      <c r="E523" s="248">
        <v>402883000</v>
      </c>
      <c r="F523" s="1136">
        <v>402883000</v>
      </c>
      <c r="G523" s="854">
        <f t="shared" si="24"/>
        <v>100</v>
      </c>
      <c r="H523" s="854">
        <f>+G523</f>
        <v>100</v>
      </c>
      <c r="I523" s="852"/>
      <c r="J523" s="802"/>
    </row>
    <row r="524" spans="3:10" s="2" customFormat="1" ht="20.100000000000001" hidden="1" customHeight="1">
      <c r="C524" s="881"/>
      <c r="D524" s="856" t="s">
        <v>590</v>
      </c>
      <c r="E524" s="1056">
        <f>SUM(E525:E527)</f>
        <v>19564490600</v>
      </c>
      <c r="F524" s="1137">
        <f>+F525+F526+F527</f>
        <v>19472085600</v>
      </c>
      <c r="G524" s="854">
        <f t="shared" si="24"/>
        <v>99.527690232834374</v>
      </c>
      <c r="H524" s="854">
        <f>275/3</f>
        <v>91.666666666666671</v>
      </c>
      <c r="I524" s="852"/>
      <c r="J524" s="802"/>
    </row>
    <row r="525" spans="3:10" s="2" customFormat="1" ht="20.100000000000001" hidden="1" customHeight="1">
      <c r="C525" s="881"/>
      <c r="D525" s="859" t="s">
        <v>3953</v>
      </c>
      <c r="E525" s="1054">
        <v>79425600</v>
      </c>
      <c r="F525" s="1136">
        <v>79425600</v>
      </c>
      <c r="G525" s="854">
        <f t="shared" si="24"/>
        <v>100</v>
      </c>
      <c r="H525" s="854">
        <f>+G525</f>
        <v>100</v>
      </c>
      <c r="I525" s="852"/>
      <c r="J525" s="802"/>
    </row>
    <row r="526" spans="3:10" s="2" customFormat="1" ht="20.100000000000001" hidden="1" customHeight="1">
      <c r="C526" s="881"/>
      <c r="D526" s="859" t="s">
        <v>3952</v>
      </c>
      <c r="E526" s="1054">
        <v>477909000</v>
      </c>
      <c r="F526" s="1136">
        <v>477909000</v>
      </c>
      <c r="G526" s="854">
        <f t="shared" si="24"/>
        <v>100</v>
      </c>
      <c r="H526" s="854">
        <f>+G526</f>
        <v>100</v>
      </c>
      <c r="I526" s="852"/>
      <c r="J526" s="802"/>
    </row>
    <row r="527" spans="3:10" s="2" customFormat="1" ht="20.100000000000001" hidden="1" customHeight="1">
      <c r="C527" s="881"/>
      <c r="D527" s="859" t="s">
        <v>591</v>
      </c>
      <c r="E527" s="1054">
        <v>19007156000</v>
      </c>
      <c r="F527" s="1136">
        <v>18914751000</v>
      </c>
      <c r="G527" s="854">
        <f t="shared" si="24"/>
        <v>99.513840997569545</v>
      </c>
      <c r="H527" s="854">
        <v>75</v>
      </c>
      <c r="I527" s="852"/>
      <c r="J527" s="802"/>
    </row>
    <row r="528" spans="3:10" s="2" customFormat="1" ht="20.100000000000001" hidden="1" customHeight="1">
      <c r="C528" s="881"/>
      <c r="D528" s="856" t="s">
        <v>592</v>
      </c>
      <c r="E528" s="1056">
        <f>E529</f>
        <v>1798000000</v>
      </c>
      <c r="F528" s="1137">
        <f>+F529</f>
        <v>1756800000</v>
      </c>
      <c r="G528" s="854">
        <f t="shared" si="24"/>
        <v>97.708565072302562</v>
      </c>
      <c r="H528" s="854">
        <f>+G528</f>
        <v>97.708565072302562</v>
      </c>
      <c r="I528" s="852"/>
      <c r="J528" s="802"/>
    </row>
    <row r="529" spans="3:10" s="2" customFormat="1" ht="20.100000000000001" hidden="1" customHeight="1">
      <c r="C529" s="878"/>
      <c r="D529" s="808" t="s">
        <v>593</v>
      </c>
      <c r="E529" s="248">
        <v>1798000000</v>
      </c>
      <c r="F529" s="1136">
        <v>1756800000</v>
      </c>
      <c r="G529" s="1139">
        <f t="shared" si="24"/>
        <v>97.708565072302562</v>
      </c>
      <c r="H529" s="1139">
        <f>+G529</f>
        <v>97.708565072302562</v>
      </c>
      <c r="I529" s="852"/>
      <c r="J529" s="802"/>
    </row>
    <row r="530" spans="3:10" s="2" customFormat="1" ht="15" hidden="1" customHeight="1">
      <c r="C530" s="881"/>
      <c r="D530" s="1140"/>
      <c r="E530" s="1054"/>
      <c r="F530" s="1137">
        <v>0</v>
      </c>
      <c r="G530" s="854"/>
      <c r="H530" s="854"/>
      <c r="I530" s="852"/>
      <c r="J530" s="802"/>
    </row>
    <row r="531" spans="3:10" s="2" customFormat="1" ht="20.100000000000001" hidden="1" customHeight="1">
      <c r="C531" s="881"/>
      <c r="D531" s="856" t="s">
        <v>3951</v>
      </c>
      <c r="E531" s="1056">
        <f>E532</f>
        <v>5000000000</v>
      </c>
      <c r="F531" s="1137">
        <f>+F532</f>
        <v>3706126500</v>
      </c>
      <c r="G531" s="855">
        <f>+F531/E531*100</f>
        <v>74.122529999999998</v>
      </c>
      <c r="H531" s="855">
        <v>65</v>
      </c>
      <c r="I531" s="852"/>
      <c r="J531" s="802"/>
    </row>
    <row r="532" spans="3:10" s="2" customFormat="1" ht="20.100000000000001" hidden="1" customHeight="1">
      <c r="C532" s="881"/>
      <c r="D532" s="856" t="s">
        <v>3950</v>
      </c>
      <c r="E532" s="1056">
        <f>E533</f>
        <v>5000000000</v>
      </c>
      <c r="F532" s="1137">
        <f>+F533</f>
        <v>3706126500</v>
      </c>
      <c r="G532" s="854">
        <f>+F532/E532*100</f>
        <v>74.122529999999998</v>
      </c>
      <c r="H532" s="854">
        <v>65</v>
      </c>
      <c r="I532" s="852"/>
      <c r="J532" s="802"/>
    </row>
    <row r="533" spans="3:10" s="2" customFormat="1" ht="20.100000000000001" hidden="1" customHeight="1">
      <c r="C533" s="881"/>
      <c r="D533" s="856" t="s">
        <v>3949</v>
      </c>
      <c r="E533" s="1056">
        <f>E534</f>
        <v>5000000000</v>
      </c>
      <c r="F533" s="1137">
        <f>+F534</f>
        <v>3706126500</v>
      </c>
      <c r="G533" s="854">
        <f>+F533/E533*100</f>
        <v>74.122529999999998</v>
      </c>
      <c r="H533" s="854">
        <v>65</v>
      </c>
      <c r="I533" s="852"/>
      <c r="J533" s="802"/>
    </row>
    <row r="534" spans="3:10" s="2" customFormat="1" ht="20.100000000000001" hidden="1" customHeight="1">
      <c r="C534" s="881"/>
      <c r="D534" s="859" t="s">
        <v>596</v>
      </c>
      <c r="E534" s="1054">
        <v>5000000000</v>
      </c>
      <c r="F534" s="1136">
        <v>3706126500</v>
      </c>
      <c r="G534" s="1139">
        <f>+F534/E534*100</f>
        <v>74.122529999999998</v>
      </c>
      <c r="H534" s="854">
        <v>65</v>
      </c>
      <c r="I534" s="852"/>
      <c r="J534" s="802"/>
    </row>
    <row r="535" spans="3:10" s="2" customFormat="1" ht="15" hidden="1" customHeight="1">
      <c r="C535" s="881"/>
      <c r="D535" s="859"/>
      <c r="E535" s="1054"/>
      <c r="F535" s="1137">
        <v>0</v>
      </c>
      <c r="G535" s="854"/>
      <c r="H535" s="854"/>
      <c r="I535" s="852"/>
      <c r="J535" s="802"/>
    </row>
    <row r="536" spans="3:10" s="2" customFormat="1" ht="20.100000000000001" hidden="1" customHeight="1">
      <c r="C536" s="881"/>
      <c r="D536" s="856" t="s">
        <v>65</v>
      </c>
      <c r="E536" s="1056">
        <f>E537+E542+E544+E547+E549</f>
        <v>6210245800</v>
      </c>
      <c r="F536" s="1137">
        <f>+F537+F542+F544+F547</f>
        <v>6140968800</v>
      </c>
      <c r="G536" s="855">
        <f t="shared" ref="G536:G548" si="25">+F536/E536*100</f>
        <v>98.884472495436498</v>
      </c>
      <c r="H536" s="855">
        <f>(H537+H542+H544+H547)/4</f>
        <v>77.017826336883957</v>
      </c>
      <c r="I536" s="852"/>
      <c r="J536" s="802"/>
    </row>
    <row r="537" spans="3:10" s="2" customFormat="1" ht="20.100000000000001" hidden="1" customHeight="1">
      <c r="C537" s="881"/>
      <c r="D537" s="856" t="s">
        <v>597</v>
      </c>
      <c r="E537" s="1056">
        <f>SUM(E538:E541)</f>
        <v>5744125650</v>
      </c>
      <c r="F537" s="1137">
        <f>+F538+F539+F540+F541</f>
        <v>5709774150</v>
      </c>
      <c r="G537" s="854">
        <f t="shared" si="25"/>
        <v>99.401971647329816</v>
      </c>
      <c r="H537" s="854">
        <f>SUM((H538:H541))/4</f>
        <v>63.752786829017325</v>
      </c>
      <c r="I537" s="852"/>
      <c r="J537" s="802"/>
    </row>
    <row r="538" spans="3:10" s="2" customFormat="1" ht="20.100000000000001" hidden="1" customHeight="1">
      <c r="C538" s="881"/>
      <c r="D538" s="859" t="s">
        <v>599</v>
      </c>
      <c r="E538" s="1054">
        <v>470815650</v>
      </c>
      <c r="F538" s="1136">
        <v>470813150</v>
      </c>
      <c r="G538" s="854">
        <f t="shared" si="25"/>
        <v>99.999469006605878</v>
      </c>
      <c r="H538" s="854">
        <v>10</v>
      </c>
      <c r="I538" s="852"/>
      <c r="J538" s="802"/>
    </row>
    <row r="539" spans="3:10" s="2" customFormat="1" ht="35.1" hidden="1" customHeight="1">
      <c r="C539" s="881"/>
      <c r="D539" s="859" t="s">
        <v>3948</v>
      </c>
      <c r="E539" s="1054">
        <v>1255000000</v>
      </c>
      <c r="F539" s="1136">
        <v>1229391000</v>
      </c>
      <c r="G539" s="854">
        <f t="shared" si="25"/>
        <v>97.959442231075698</v>
      </c>
      <c r="H539" s="854">
        <v>70</v>
      </c>
      <c r="I539" s="852"/>
      <c r="J539" s="802"/>
    </row>
    <row r="540" spans="3:10" s="2" customFormat="1" ht="20.100000000000001" hidden="1" customHeight="1">
      <c r="C540" s="881"/>
      <c r="D540" s="859" t="s">
        <v>3051</v>
      </c>
      <c r="E540" s="1054">
        <v>58310000</v>
      </c>
      <c r="F540" s="1136">
        <v>49570000</v>
      </c>
      <c r="G540" s="854">
        <f t="shared" si="25"/>
        <v>85.011147316069284</v>
      </c>
      <c r="H540" s="854">
        <f>+G540</f>
        <v>85.011147316069284</v>
      </c>
      <c r="I540" s="852"/>
      <c r="J540" s="802"/>
    </row>
    <row r="541" spans="3:10" s="2" customFormat="1" ht="20.100000000000001" hidden="1" customHeight="1">
      <c r="C541" s="881"/>
      <c r="D541" s="859" t="s">
        <v>3947</v>
      </c>
      <c r="E541" s="1054">
        <v>3960000000</v>
      </c>
      <c r="F541" s="1136">
        <v>3960000000</v>
      </c>
      <c r="G541" s="854">
        <f t="shared" si="25"/>
        <v>100</v>
      </c>
      <c r="H541" s="854">
        <v>90</v>
      </c>
      <c r="I541" s="852"/>
      <c r="J541" s="802"/>
    </row>
    <row r="542" spans="3:10" s="2" customFormat="1" ht="20.100000000000001" hidden="1" customHeight="1">
      <c r="C542" s="881"/>
      <c r="D542" s="856" t="s">
        <v>3946</v>
      </c>
      <c r="E542" s="1056">
        <f>SUM(E543:E543)</f>
        <v>62880000</v>
      </c>
      <c r="F542" s="1137">
        <v>62880000</v>
      </c>
      <c r="G542" s="854">
        <f t="shared" si="25"/>
        <v>100</v>
      </c>
      <c r="H542" s="854">
        <f>+G542</f>
        <v>100</v>
      </c>
      <c r="I542" s="852"/>
      <c r="J542" s="802"/>
    </row>
    <row r="543" spans="3:10" s="2" customFormat="1" ht="35.1" hidden="1" customHeight="1">
      <c r="C543" s="881"/>
      <c r="D543" s="859" t="s">
        <v>3945</v>
      </c>
      <c r="E543" s="1138">
        <v>62880000</v>
      </c>
      <c r="F543" s="1136">
        <v>62880000</v>
      </c>
      <c r="G543" s="854">
        <f t="shared" si="25"/>
        <v>100</v>
      </c>
      <c r="H543" s="854">
        <f>+G543</f>
        <v>100</v>
      </c>
      <c r="I543" s="852"/>
      <c r="J543" s="802"/>
    </row>
    <row r="544" spans="3:10" s="2" customFormat="1" ht="20.100000000000001" hidden="1" customHeight="1">
      <c r="C544" s="881"/>
      <c r="D544" s="856" t="s">
        <v>602</v>
      </c>
      <c r="E544" s="1056">
        <f>SUM(E545:E546)</f>
        <v>268240150</v>
      </c>
      <c r="F544" s="1137">
        <f>+F545+F546</f>
        <v>251109650</v>
      </c>
      <c r="G544" s="854">
        <f t="shared" si="25"/>
        <v>93.613744996787389</v>
      </c>
      <c r="H544" s="854">
        <f>SUM((H545:H546))/2</f>
        <v>57.5</v>
      </c>
      <c r="I544" s="852"/>
      <c r="J544" s="802"/>
    </row>
    <row r="545" spans="3:10" s="2" customFormat="1" ht="20.100000000000001" hidden="1" customHeight="1">
      <c r="C545" s="881"/>
      <c r="D545" s="859" t="s">
        <v>3944</v>
      </c>
      <c r="E545" s="1054">
        <v>143985150</v>
      </c>
      <c r="F545" s="1136">
        <v>143974650</v>
      </c>
      <c r="G545" s="854">
        <f t="shared" si="25"/>
        <v>99.992707581302653</v>
      </c>
      <c r="H545" s="854">
        <v>90</v>
      </c>
      <c r="I545" s="852"/>
      <c r="J545" s="802"/>
    </row>
    <row r="546" spans="3:10" s="2" customFormat="1" ht="20.100000000000001" hidden="1" customHeight="1">
      <c r="C546" s="881"/>
      <c r="D546" s="859" t="s">
        <v>1408</v>
      </c>
      <c r="E546" s="1054">
        <v>124255000</v>
      </c>
      <c r="F546" s="1136">
        <v>107135000</v>
      </c>
      <c r="G546" s="854">
        <f t="shared" si="25"/>
        <v>86.221882419218545</v>
      </c>
      <c r="H546" s="854">
        <v>25</v>
      </c>
      <c r="I546" s="852"/>
      <c r="J546" s="802"/>
    </row>
    <row r="547" spans="3:10" s="2" customFormat="1" ht="35.1" hidden="1" customHeight="1">
      <c r="C547" s="881"/>
      <c r="D547" s="856" t="s">
        <v>3943</v>
      </c>
      <c r="E547" s="432">
        <f>SUM(E548:E548)</f>
        <v>135000000</v>
      </c>
      <c r="F547" s="1137">
        <f>+F548</f>
        <v>117205000</v>
      </c>
      <c r="G547" s="854">
        <f t="shared" si="25"/>
        <v>86.818518518518516</v>
      </c>
      <c r="H547" s="854">
        <f>+G547</f>
        <v>86.818518518518516</v>
      </c>
      <c r="I547" s="852"/>
      <c r="J547" s="802"/>
    </row>
    <row r="548" spans="3:10" s="2" customFormat="1" ht="20.100000000000001" hidden="1" customHeight="1">
      <c r="C548" s="881"/>
      <c r="D548" s="859" t="s">
        <v>3041</v>
      </c>
      <c r="E548" s="1054">
        <v>135000000</v>
      </c>
      <c r="F548" s="1136">
        <v>117205000</v>
      </c>
      <c r="G548" s="854">
        <f t="shared" si="25"/>
        <v>86.818518518518516</v>
      </c>
      <c r="H548" s="854">
        <f>+G548</f>
        <v>86.818518518518516</v>
      </c>
      <c r="I548" s="852"/>
      <c r="J548" s="802"/>
    </row>
    <row r="549" spans="3:10" s="2" customFormat="1" ht="15" hidden="1" customHeight="1">
      <c r="C549" s="881"/>
      <c r="D549" s="856"/>
      <c r="E549" s="1056"/>
      <c r="F549" s="1137"/>
      <c r="G549" s="854"/>
      <c r="H549" s="854"/>
      <c r="I549" s="852"/>
      <c r="J549" s="802"/>
    </row>
    <row r="550" spans="3:10" s="2" customFormat="1" ht="20.100000000000001" hidden="1" customHeight="1">
      <c r="C550" s="881"/>
      <c r="D550" s="856" t="s">
        <v>3942</v>
      </c>
      <c r="E550" s="1056">
        <f>E551</f>
        <v>1500000000</v>
      </c>
      <c r="F550" s="1137">
        <f>+F551</f>
        <v>1499316968</v>
      </c>
      <c r="G550" s="854">
        <f>+F550/E550*100</f>
        <v>99.954464533333336</v>
      </c>
      <c r="H550" s="854">
        <f>285/3</f>
        <v>95</v>
      </c>
      <c r="I550" s="852"/>
      <c r="J550" s="802"/>
    </row>
    <row r="551" spans="3:10" s="2" customFormat="1" ht="20.100000000000001" hidden="1" customHeight="1">
      <c r="C551" s="881"/>
      <c r="D551" s="856" t="s">
        <v>597</v>
      </c>
      <c r="E551" s="1056">
        <f>SUM(E552:E553)</f>
        <v>1500000000</v>
      </c>
      <c r="F551" s="1137">
        <f>+F552+F553</f>
        <v>1499316968</v>
      </c>
      <c r="G551" s="854">
        <f>+F551/E551*100</f>
        <v>99.954464533333336</v>
      </c>
      <c r="H551" s="854">
        <f>190/2</f>
        <v>95</v>
      </c>
      <c r="I551" s="852"/>
      <c r="J551" s="802"/>
    </row>
    <row r="552" spans="3:10" s="2" customFormat="1" ht="20.100000000000001" hidden="1" customHeight="1">
      <c r="C552" s="881"/>
      <c r="D552" s="859" t="s">
        <v>3941</v>
      </c>
      <c r="E552" s="1054">
        <v>594000000</v>
      </c>
      <c r="F552" s="1136">
        <v>593552070</v>
      </c>
      <c r="G552" s="854">
        <f>+F552/E552*100</f>
        <v>99.924590909090909</v>
      </c>
      <c r="H552" s="854">
        <v>90</v>
      </c>
      <c r="I552" s="852"/>
      <c r="J552" s="802"/>
    </row>
    <row r="553" spans="3:10" s="2" customFormat="1" ht="20.100000000000001" hidden="1" customHeight="1">
      <c r="C553" s="881"/>
      <c r="D553" s="859" t="s">
        <v>3940</v>
      </c>
      <c r="E553" s="1054">
        <v>906000000</v>
      </c>
      <c r="F553" s="1136">
        <v>905764898</v>
      </c>
      <c r="G553" s="854">
        <f>+F553/E553*100</f>
        <v>99.974050551876388</v>
      </c>
      <c r="H553" s="854">
        <v>100</v>
      </c>
      <c r="I553" s="852"/>
      <c r="J553" s="802"/>
    </row>
    <row r="554" spans="3:10" s="2" customFormat="1" ht="15" hidden="1" customHeight="1">
      <c r="C554" s="881"/>
      <c r="D554" s="859"/>
      <c r="E554" s="1054"/>
      <c r="F554" s="1137"/>
      <c r="G554" s="854"/>
      <c r="H554" s="854"/>
      <c r="I554" s="852"/>
      <c r="J554" s="802"/>
    </row>
    <row r="555" spans="3:10" s="2" customFormat="1" ht="20.100000000000001" hidden="1" customHeight="1">
      <c r="C555" s="881"/>
      <c r="D555" s="856" t="s">
        <v>617</v>
      </c>
      <c r="E555" s="1056">
        <f>+E556+E558</f>
        <v>1000000000</v>
      </c>
      <c r="F555" s="1137">
        <f>+F556+F558</f>
        <v>998171720</v>
      </c>
      <c r="G555" s="854">
        <f>+F555/E555*100</f>
        <v>99.817171999999999</v>
      </c>
      <c r="H555" s="854">
        <v>20</v>
      </c>
      <c r="I555" s="852"/>
      <c r="J555" s="802"/>
    </row>
    <row r="556" spans="3:10" s="2" customFormat="1" ht="20.100000000000001" hidden="1" customHeight="1">
      <c r="C556" s="881"/>
      <c r="D556" s="856" t="s">
        <v>709</v>
      </c>
      <c r="E556" s="1056">
        <f>E557</f>
        <v>789920000</v>
      </c>
      <c r="F556" s="1137">
        <f>+F557</f>
        <v>789548000</v>
      </c>
      <c r="G556" s="854">
        <f>+F556/E556*100</f>
        <v>99.952906623455533</v>
      </c>
      <c r="H556" s="854">
        <v>10</v>
      </c>
      <c r="I556" s="852"/>
      <c r="J556" s="802"/>
    </row>
    <row r="557" spans="3:10" s="2" customFormat="1" ht="20.100000000000001" hidden="1" customHeight="1">
      <c r="C557" s="881"/>
      <c r="D557" s="859" t="s">
        <v>621</v>
      </c>
      <c r="E557" s="1054">
        <v>789920000</v>
      </c>
      <c r="F557" s="1136">
        <v>789548000</v>
      </c>
      <c r="G557" s="854">
        <f>+F557/E557*100</f>
        <v>99.952906623455533</v>
      </c>
      <c r="H557" s="854">
        <v>10</v>
      </c>
      <c r="I557" s="852"/>
      <c r="J557" s="802"/>
    </row>
    <row r="558" spans="3:10" s="2" customFormat="1" ht="20.100000000000001" hidden="1" customHeight="1">
      <c r="C558" s="881"/>
      <c r="D558" s="856" t="s">
        <v>622</v>
      </c>
      <c r="E558" s="1056">
        <f>E559</f>
        <v>210080000</v>
      </c>
      <c r="F558" s="1137">
        <f>+F559</f>
        <v>208623720</v>
      </c>
      <c r="G558" s="854">
        <f>+F558/E558*100</f>
        <v>99.306797410510285</v>
      </c>
      <c r="H558" s="854">
        <v>30</v>
      </c>
      <c r="I558" s="852"/>
      <c r="J558" s="802"/>
    </row>
    <row r="559" spans="3:10" s="2" customFormat="1" ht="20.100000000000001" hidden="1" customHeight="1">
      <c r="C559" s="881"/>
      <c r="D559" s="859" t="s">
        <v>3939</v>
      </c>
      <c r="E559" s="1054">
        <v>210080000</v>
      </c>
      <c r="F559" s="1136">
        <v>208623720</v>
      </c>
      <c r="G559" s="854">
        <f>+F559/E559*100</f>
        <v>99.306797410510285</v>
      </c>
      <c r="H559" s="854">
        <v>30</v>
      </c>
      <c r="I559" s="852"/>
      <c r="J559" s="802"/>
    </row>
    <row r="560" spans="3:10" s="895" customFormat="1" ht="15" hidden="1" customHeight="1">
      <c r="C560" s="881"/>
      <c r="D560" s="859"/>
      <c r="E560" s="1054"/>
      <c r="F560" s="1137"/>
      <c r="G560" s="854"/>
      <c r="H560" s="854"/>
      <c r="I560" s="863"/>
      <c r="J560" s="44"/>
    </row>
    <row r="561" spans="3:10" s="2" customFormat="1" ht="20.100000000000001" hidden="1" customHeight="1">
      <c r="C561" s="881"/>
      <c r="D561" s="856" t="s">
        <v>3938</v>
      </c>
      <c r="E561" s="1056">
        <f>+E562</f>
        <v>1000000000</v>
      </c>
      <c r="F561" s="1137">
        <f>+F562</f>
        <v>568659550</v>
      </c>
      <c r="G561" s="854">
        <f>+F561/E561*100</f>
        <v>56.865955</v>
      </c>
      <c r="H561" s="854">
        <f>H562</f>
        <v>5</v>
      </c>
      <c r="I561" s="852"/>
      <c r="J561" s="802"/>
    </row>
    <row r="562" spans="3:10" s="2" customFormat="1" ht="20.100000000000001" hidden="1" customHeight="1">
      <c r="C562" s="881"/>
      <c r="D562" s="856" t="s">
        <v>3937</v>
      </c>
      <c r="E562" s="1056">
        <f>SUM(E563:E565)</f>
        <v>1000000000</v>
      </c>
      <c r="F562" s="1137">
        <f>+F563+F564+F565</f>
        <v>568659550</v>
      </c>
      <c r="G562" s="854">
        <f>+F562/E562*100</f>
        <v>56.865955</v>
      </c>
      <c r="H562" s="854">
        <f>15/3</f>
        <v>5</v>
      </c>
      <c r="I562" s="852"/>
      <c r="J562" s="802"/>
    </row>
    <row r="563" spans="3:10" s="895" customFormat="1" ht="20.100000000000001" hidden="1" customHeight="1">
      <c r="C563" s="881"/>
      <c r="D563" s="859" t="s">
        <v>629</v>
      </c>
      <c r="E563" s="1054">
        <v>225000000</v>
      </c>
      <c r="F563" s="1137">
        <v>12760300</v>
      </c>
      <c r="G563" s="854">
        <f>+F563/E563*100</f>
        <v>5.6712444444444445</v>
      </c>
      <c r="H563" s="854">
        <v>10</v>
      </c>
      <c r="I563" s="863"/>
      <c r="J563" s="44"/>
    </row>
    <row r="564" spans="3:10" ht="20.100000000000001" hidden="1" customHeight="1">
      <c r="C564" s="881"/>
      <c r="D564" s="859" t="s">
        <v>630</v>
      </c>
      <c r="E564" s="1054">
        <v>225000000</v>
      </c>
      <c r="F564" s="1137">
        <v>6300000</v>
      </c>
      <c r="G564" s="854">
        <f>+F564/E564*100</f>
        <v>2.8000000000000003</v>
      </c>
      <c r="H564" s="854">
        <v>5</v>
      </c>
      <c r="I564" s="852"/>
      <c r="J564" s="802"/>
    </row>
    <row r="565" spans="3:10" ht="20.100000000000001" hidden="1" customHeight="1">
      <c r="C565" s="881"/>
      <c r="D565" s="859" t="s">
        <v>3936</v>
      </c>
      <c r="E565" s="1054">
        <v>550000000</v>
      </c>
      <c r="F565" s="1137">
        <v>549599250</v>
      </c>
      <c r="G565" s="854">
        <f>+F565/E565*100</f>
        <v>99.927136363636365</v>
      </c>
      <c r="H565" s="854">
        <f>+G565</f>
        <v>99.927136363636365</v>
      </c>
      <c r="I565" s="852"/>
      <c r="J565" s="802"/>
    </row>
    <row r="566" spans="3:10" ht="15" hidden="1" customHeight="1">
      <c r="C566" s="881"/>
      <c r="D566" s="859"/>
      <c r="E566" s="1054"/>
      <c r="F566" s="1137"/>
      <c r="G566" s="854"/>
      <c r="H566" s="854"/>
      <c r="I566" s="852"/>
      <c r="J566" s="802"/>
    </row>
    <row r="567" spans="3:10" ht="20.100000000000001" hidden="1" customHeight="1">
      <c r="C567" s="881"/>
      <c r="D567" s="856" t="s">
        <v>632</v>
      </c>
      <c r="E567" s="1056">
        <f>+E568+E570+E572</f>
        <v>1000000000</v>
      </c>
      <c r="F567" s="1137">
        <f>+F568+F570+F572</f>
        <v>991047150</v>
      </c>
      <c r="G567" s="855">
        <f t="shared" ref="G567:G573" si="26">+F567/E567*100</f>
        <v>99.104714999999999</v>
      </c>
      <c r="H567" s="855">
        <f>1/3</f>
        <v>0.33333333333333331</v>
      </c>
      <c r="I567" s="852"/>
      <c r="J567" s="802"/>
    </row>
    <row r="568" spans="3:10" ht="20.100000000000001" hidden="1" customHeight="1">
      <c r="C568" s="881"/>
      <c r="D568" s="856" t="s">
        <v>635</v>
      </c>
      <c r="E568" s="1056">
        <f>SUM(E569:E569)</f>
        <v>300000000</v>
      </c>
      <c r="F568" s="1137">
        <f>+F569</f>
        <v>299551000</v>
      </c>
      <c r="G568" s="854">
        <f t="shared" si="26"/>
        <v>99.850333333333325</v>
      </c>
      <c r="H568" s="854">
        <f>+G568</f>
        <v>99.850333333333325</v>
      </c>
      <c r="I568" s="852"/>
      <c r="J568" s="802"/>
    </row>
    <row r="569" spans="3:10" ht="20.100000000000001" hidden="1" customHeight="1">
      <c r="C569" s="881"/>
      <c r="D569" s="859" t="s">
        <v>636</v>
      </c>
      <c r="E569" s="1054">
        <v>300000000</v>
      </c>
      <c r="F569" s="1136">
        <v>299551000</v>
      </c>
      <c r="G569" s="854">
        <f t="shared" si="26"/>
        <v>99.850333333333325</v>
      </c>
      <c r="H569" s="854">
        <f>+G569</f>
        <v>99.850333333333325</v>
      </c>
      <c r="I569" s="852"/>
      <c r="J569" s="802"/>
    </row>
    <row r="570" spans="3:10" ht="20.100000000000001" hidden="1" customHeight="1">
      <c r="C570" s="881"/>
      <c r="D570" s="856" t="s">
        <v>638</v>
      </c>
      <c r="E570" s="1056">
        <f>E571</f>
        <v>300000000</v>
      </c>
      <c r="F570" s="1137">
        <f>+F571</f>
        <v>292216150</v>
      </c>
      <c r="G570" s="854">
        <f t="shared" si="26"/>
        <v>97.405383333333333</v>
      </c>
      <c r="H570" s="854">
        <v>1</v>
      </c>
      <c r="I570" s="852"/>
      <c r="J570" s="802"/>
    </row>
    <row r="571" spans="3:10" ht="20.100000000000001" hidden="1" customHeight="1">
      <c r="C571" s="881"/>
      <c r="D571" s="859" t="s">
        <v>639</v>
      </c>
      <c r="E571" s="1054">
        <v>300000000</v>
      </c>
      <c r="F571" s="1136">
        <v>292216150</v>
      </c>
      <c r="G571" s="854">
        <f t="shared" si="26"/>
        <v>97.405383333333333</v>
      </c>
      <c r="H571" s="854">
        <f>+G571</f>
        <v>97.405383333333333</v>
      </c>
      <c r="I571" s="852"/>
      <c r="J571" s="802"/>
    </row>
    <row r="572" spans="3:10" ht="20.100000000000001" hidden="1" customHeight="1">
      <c r="C572" s="881"/>
      <c r="D572" s="856" t="s">
        <v>640</v>
      </c>
      <c r="E572" s="1056">
        <f>SUM(E573:E573)</f>
        <v>400000000</v>
      </c>
      <c r="F572" s="1137">
        <f>+F573</f>
        <v>399280000</v>
      </c>
      <c r="G572" s="854">
        <f t="shared" si="26"/>
        <v>99.82</v>
      </c>
      <c r="H572" s="854">
        <f>+G572</f>
        <v>99.82</v>
      </c>
      <c r="I572" s="852"/>
      <c r="J572" s="802"/>
    </row>
    <row r="573" spans="3:10" ht="20.100000000000001" hidden="1" customHeight="1">
      <c r="C573" s="881"/>
      <c r="D573" s="859" t="s">
        <v>3935</v>
      </c>
      <c r="E573" s="1054">
        <v>400000000</v>
      </c>
      <c r="F573" s="1136">
        <v>399280000</v>
      </c>
      <c r="G573" s="854">
        <f t="shared" si="26"/>
        <v>99.82</v>
      </c>
      <c r="H573" s="854">
        <f>+G573</f>
        <v>99.82</v>
      </c>
      <c r="I573" s="852"/>
      <c r="J573" s="802"/>
    </row>
    <row r="574" spans="3:10" ht="15" hidden="1" customHeight="1">
      <c r="C574" s="881"/>
      <c r="D574" s="859"/>
      <c r="E574" s="1054"/>
      <c r="F574" s="1137"/>
      <c r="G574" s="854"/>
      <c r="H574" s="854"/>
      <c r="I574" s="852"/>
      <c r="J574" s="802"/>
    </row>
    <row r="575" spans="3:10" ht="20.100000000000001" hidden="1" customHeight="1">
      <c r="C575" s="881"/>
      <c r="D575" s="856" t="s">
        <v>3934</v>
      </c>
      <c r="E575" s="1056">
        <f>E576</f>
        <v>1000000000</v>
      </c>
      <c r="F575" s="1137">
        <f>+F576</f>
        <v>751494000</v>
      </c>
      <c r="G575" s="855">
        <f>+F575/E575*100</f>
        <v>75.1494</v>
      </c>
      <c r="H575" s="855">
        <v>15</v>
      </c>
      <c r="I575" s="852"/>
      <c r="J575" s="802"/>
    </row>
    <row r="576" spans="3:10" ht="20.100000000000001" hidden="1" customHeight="1">
      <c r="C576" s="881"/>
      <c r="D576" s="856" t="s">
        <v>3933</v>
      </c>
      <c r="E576" s="1056">
        <f>+E577</f>
        <v>1000000000</v>
      </c>
      <c r="F576" s="1137">
        <f>+F577</f>
        <v>751494000</v>
      </c>
      <c r="G576" s="855">
        <f>+F576/E576*100</f>
        <v>75.1494</v>
      </c>
      <c r="H576" s="855">
        <v>15</v>
      </c>
      <c r="I576" s="852"/>
      <c r="J576" s="802"/>
    </row>
    <row r="577" spans="3:10" ht="20.100000000000001" hidden="1" customHeight="1">
      <c r="C577" s="881"/>
      <c r="D577" s="856" t="s">
        <v>1161</v>
      </c>
      <c r="E577" s="1056">
        <f>SUM(E578:E578)</f>
        <v>1000000000</v>
      </c>
      <c r="F577" s="1137">
        <f>+F578</f>
        <v>751494000</v>
      </c>
      <c r="G577" s="855">
        <f>+F577/E577*100</f>
        <v>75.1494</v>
      </c>
      <c r="H577" s="855">
        <v>15</v>
      </c>
      <c r="I577" s="852"/>
      <c r="J577" s="802"/>
    </row>
    <row r="578" spans="3:10" ht="20.100000000000001" hidden="1" customHeight="1">
      <c r="C578" s="881"/>
      <c r="D578" s="859" t="s">
        <v>3932</v>
      </c>
      <c r="E578" s="1054">
        <v>1000000000</v>
      </c>
      <c r="F578" s="1136">
        <v>751494000</v>
      </c>
      <c r="G578" s="854">
        <f>+F578/E578*100</f>
        <v>75.1494</v>
      </c>
      <c r="H578" s="854">
        <v>15</v>
      </c>
      <c r="I578" s="852"/>
      <c r="J578" s="802"/>
    </row>
    <row r="579" spans="3:10" ht="15" hidden="1" customHeight="1">
      <c r="C579" s="881"/>
      <c r="D579" s="859"/>
      <c r="E579" s="1054"/>
      <c r="F579" s="1137"/>
      <c r="G579" s="854"/>
      <c r="H579" s="854"/>
      <c r="I579" s="852"/>
      <c r="J579" s="802"/>
    </row>
    <row r="580" spans="3:10" ht="20.100000000000001" hidden="1" customHeight="1">
      <c r="C580" s="881"/>
      <c r="D580" s="856" t="s">
        <v>3931</v>
      </c>
      <c r="E580" s="1056">
        <f>E581</f>
        <v>1000000000</v>
      </c>
      <c r="F580" s="1137">
        <f>+F581</f>
        <v>654278000</v>
      </c>
      <c r="G580" s="854">
        <f>+F580/E580*100</f>
        <v>65.427800000000005</v>
      </c>
      <c r="H580" s="854">
        <f>+G580</f>
        <v>65.427800000000005</v>
      </c>
      <c r="I580" s="852"/>
      <c r="J580" s="802"/>
    </row>
    <row r="581" spans="3:10" ht="20.100000000000001" hidden="1" customHeight="1">
      <c r="C581" s="881"/>
      <c r="D581" s="856" t="s">
        <v>3930</v>
      </c>
      <c r="E581" s="1056">
        <f>+E582</f>
        <v>1000000000</v>
      </c>
      <c r="F581" s="1137">
        <f>+F582</f>
        <v>654278000</v>
      </c>
      <c r="G581" s="854">
        <f>+F581/E581*100</f>
        <v>65.427800000000005</v>
      </c>
      <c r="H581" s="854">
        <f>+G581</f>
        <v>65.427800000000005</v>
      </c>
      <c r="I581" s="852"/>
      <c r="J581" s="802"/>
    </row>
    <row r="582" spans="3:10" ht="35.1" hidden="1" customHeight="1">
      <c r="C582" s="881"/>
      <c r="D582" s="856" t="s">
        <v>3929</v>
      </c>
      <c r="E582" s="1056">
        <f>E583+E584</f>
        <v>1000000000</v>
      </c>
      <c r="F582" s="1137">
        <f>+F583+F584</f>
        <v>654278000</v>
      </c>
      <c r="G582" s="854">
        <f>+F582/E582*100</f>
        <v>65.427800000000005</v>
      </c>
      <c r="H582" s="854">
        <f>+G582</f>
        <v>65.427800000000005</v>
      </c>
      <c r="I582" s="852"/>
      <c r="J582" s="802"/>
    </row>
    <row r="583" spans="3:10" ht="20.100000000000001" hidden="1" customHeight="1">
      <c r="C583" s="881"/>
      <c r="D583" s="859" t="s">
        <v>3928</v>
      </c>
      <c r="E583" s="1054">
        <v>113250000</v>
      </c>
      <c r="F583" s="1136">
        <v>110150000</v>
      </c>
      <c r="G583" s="854">
        <f>+F583/E583*100</f>
        <v>97.262693156732894</v>
      </c>
      <c r="H583" s="854">
        <f>+G583</f>
        <v>97.262693156732894</v>
      </c>
      <c r="I583" s="852"/>
      <c r="J583" s="802"/>
    </row>
    <row r="584" spans="3:10" ht="20.100000000000001" hidden="1" customHeight="1">
      <c r="C584" s="881"/>
      <c r="D584" s="859" t="s">
        <v>614</v>
      </c>
      <c r="E584" s="1054">
        <v>886750000</v>
      </c>
      <c r="F584" s="1136">
        <v>544128000</v>
      </c>
      <c r="G584" s="854">
        <f>+F584/E584*100</f>
        <v>61.362052438680571</v>
      </c>
      <c r="H584" s="854">
        <f>+G584</f>
        <v>61.362052438680571</v>
      </c>
      <c r="I584" s="852"/>
      <c r="J584" s="802"/>
    </row>
    <row r="585" spans="3:10" ht="15" hidden="1" customHeight="1">
      <c r="C585" s="881"/>
      <c r="D585" s="859"/>
      <c r="E585" s="1054"/>
      <c r="F585" s="1137"/>
      <c r="G585" s="854"/>
      <c r="H585" s="854"/>
      <c r="I585" s="852"/>
      <c r="J585" s="802"/>
    </row>
    <row r="586" spans="3:10" ht="20.100000000000001" hidden="1" customHeight="1">
      <c r="C586" s="881"/>
      <c r="D586" s="856" t="s">
        <v>3927</v>
      </c>
      <c r="E586" s="1056">
        <f>E587</f>
        <v>669411191</v>
      </c>
      <c r="F586" s="1137">
        <f>+F587</f>
        <v>667389765</v>
      </c>
      <c r="G586" s="854">
        <f t="shared" ref="G586:G592" si="27">+F586/E586*100</f>
        <v>99.698029249110647</v>
      </c>
      <c r="H586" s="854">
        <v>75</v>
      </c>
      <c r="I586" s="852"/>
      <c r="J586" s="802"/>
    </row>
    <row r="587" spans="3:10" ht="20.100000000000001" hidden="1" customHeight="1">
      <c r="C587" s="881"/>
      <c r="D587" s="856" t="s">
        <v>642</v>
      </c>
      <c r="E587" s="1056">
        <f>E588+E591</f>
        <v>669411191</v>
      </c>
      <c r="F587" s="1137">
        <f>+F588+F591</f>
        <v>667389765</v>
      </c>
      <c r="G587" s="854">
        <f t="shared" si="27"/>
        <v>99.698029249110647</v>
      </c>
      <c r="H587" s="854">
        <v>75</v>
      </c>
      <c r="I587" s="852"/>
      <c r="J587" s="802"/>
    </row>
    <row r="588" spans="3:10" ht="35.1" hidden="1" customHeight="1">
      <c r="C588" s="881"/>
      <c r="D588" s="856" t="s">
        <v>3926</v>
      </c>
      <c r="E588" s="432">
        <f>SUM(E589:E590)</f>
        <v>518704191</v>
      </c>
      <c r="F588" s="1137">
        <f>+F589+F590</f>
        <v>517682765</v>
      </c>
      <c r="G588" s="854">
        <f t="shared" si="27"/>
        <v>99.803081213199604</v>
      </c>
      <c r="H588" s="854">
        <v>50</v>
      </c>
      <c r="I588" s="852"/>
      <c r="J588" s="802"/>
    </row>
    <row r="589" spans="3:10" ht="20.100000000000001" hidden="1" customHeight="1">
      <c r="C589" s="881"/>
      <c r="D589" s="859" t="s">
        <v>3925</v>
      </c>
      <c r="E589" s="1054">
        <v>400000000</v>
      </c>
      <c r="F589" s="1136">
        <v>399086465</v>
      </c>
      <c r="G589" s="854">
        <f t="shared" si="27"/>
        <v>99.771616249999994</v>
      </c>
      <c r="H589" s="854">
        <v>100</v>
      </c>
      <c r="I589" s="852"/>
      <c r="J589" s="802"/>
    </row>
    <row r="590" spans="3:10" ht="20.100000000000001" hidden="1" customHeight="1">
      <c r="C590" s="881"/>
      <c r="D590" s="859" t="s">
        <v>3924</v>
      </c>
      <c r="E590" s="1054">
        <v>118704191</v>
      </c>
      <c r="F590" s="1136">
        <v>118596300</v>
      </c>
      <c r="G590" s="854">
        <f t="shared" si="27"/>
        <v>99.909109359078982</v>
      </c>
      <c r="H590" s="854">
        <f>+G590</f>
        <v>99.909109359078982</v>
      </c>
      <c r="I590" s="852"/>
      <c r="J590" s="802"/>
    </row>
    <row r="591" spans="3:10" ht="20.100000000000001" hidden="1" customHeight="1">
      <c r="C591" s="881"/>
      <c r="D591" s="856" t="s">
        <v>646</v>
      </c>
      <c r="E591" s="1056">
        <f>E592</f>
        <v>150707000</v>
      </c>
      <c r="F591" s="1137">
        <f>+F592</f>
        <v>149707000</v>
      </c>
      <c r="G591" s="854">
        <f t="shared" si="27"/>
        <v>99.33646081469341</v>
      </c>
      <c r="H591" s="854">
        <v>100</v>
      </c>
      <c r="I591" s="852"/>
      <c r="J591" s="802"/>
    </row>
    <row r="592" spans="3:10" ht="20.100000000000001" hidden="1" customHeight="1">
      <c r="C592" s="881"/>
      <c r="D592" s="859" t="s">
        <v>3923</v>
      </c>
      <c r="E592" s="1054">
        <v>150707000</v>
      </c>
      <c r="F592" s="1136">
        <v>149707000</v>
      </c>
      <c r="G592" s="854">
        <f t="shared" si="27"/>
        <v>99.33646081469341</v>
      </c>
      <c r="H592" s="854">
        <v>100</v>
      </c>
      <c r="I592" s="852"/>
      <c r="J592" s="802"/>
    </row>
    <row r="593" spans="3:10" ht="15" hidden="1" customHeight="1">
      <c r="C593" s="881"/>
      <c r="D593" s="859"/>
      <c r="E593" s="1054"/>
      <c r="F593" s="1137"/>
      <c r="G593" s="854"/>
      <c r="H593" s="854"/>
      <c r="I593" s="852"/>
      <c r="J593" s="802"/>
    </row>
    <row r="594" spans="3:10" ht="20.100000000000001" hidden="1" customHeight="1">
      <c r="C594" s="881"/>
      <c r="D594" s="856" t="s">
        <v>654</v>
      </c>
      <c r="E594" s="1056">
        <f>E595</f>
        <v>1000000000</v>
      </c>
      <c r="F594" s="1137">
        <v>1000000000</v>
      </c>
      <c r="G594" s="854">
        <f>+F594/E594*100</f>
        <v>100</v>
      </c>
      <c r="H594" s="854">
        <f>+G594</f>
        <v>100</v>
      </c>
      <c r="I594" s="852"/>
      <c r="J594" s="802"/>
    </row>
    <row r="595" spans="3:10" ht="35.1" hidden="1" customHeight="1">
      <c r="C595" s="881"/>
      <c r="D595" s="856" t="s">
        <v>740</v>
      </c>
      <c r="E595" s="1056">
        <f>E596</f>
        <v>1000000000</v>
      </c>
      <c r="F595" s="1137">
        <v>1000000000</v>
      </c>
      <c r="G595" s="854">
        <f>+F595/E595*100</f>
        <v>100</v>
      </c>
      <c r="H595" s="854">
        <f>+G595</f>
        <v>100</v>
      </c>
      <c r="I595" s="852"/>
      <c r="J595" s="802"/>
    </row>
    <row r="596" spans="3:10" ht="20.100000000000001" hidden="1" customHeight="1">
      <c r="C596" s="881"/>
      <c r="D596" s="859" t="s">
        <v>3922</v>
      </c>
      <c r="E596" s="1054">
        <v>1000000000</v>
      </c>
      <c r="F596" s="1136">
        <v>1000000000</v>
      </c>
      <c r="G596" s="854">
        <f>+F596/E596*100</f>
        <v>100</v>
      </c>
      <c r="H596" s="854">
        <f>+G596</f>
        <v>100</v>
      </c>
      <c r="I596" s="852"/>
      <c r="J596" s="802"/>
    </row>
    <row r="597" spans="3:10" ht="15" hidden="1" customHeight="1">
      <c r="C597" s="881"/>
      <c r="D597" s="859"/>
      <c r="E597" s="1054"/>
      <c r="F597" s="1137"/>
      <c r="G597" s="854"/>
      <c r="H597" s="854"/>
      <c r="I597" s="852"/>
      <c r="J597" s="802"/>
    </row>
    <row r="598" spans="3:10" ht="20.100000000000001" hidden="1" customHeight="1">
      <c r="C598" s="881"/>
      <c r="D598" s="856" t="s">
        <v>3921</v>
      </c>
      <c r="E598" s="1056">
        <f>E599</f>
        <v>1000000000</v>
      </c>
      <c r="F598" s="1137">
        <f>+F599</f>
        <v>1000000000</v>
      </c>
      <c r="G598" s="854">
        <f>+F598/E598*100</f>
        <v>100</v>
      </c>
      <c r="H598" s="854">
        <f>+G598</f>
        <v>100</v>
      </c>
      <c r="I598" s="852"/>
      <c r="J598" s="802"/>
    </row>
    <row r="599" spans="3:10" ht="20.100000000000001" hidden="1" customHeight="1">
      <c r="C599" s="881"/>
      <c r="D599" s="856" t="s">
        <v>625</v>
      </c>
      <c r="E599" s="1056">
        <f>E600</f>
        <v>1000000000</v>
      </c>
      <c r="F599" s="1137">
        <f>+F600</f>
        <v>1000000000</v>
      </c>
      <c r="G599" s="854">
        <f>+F599/E599*100</f>
        <v>100</v>
      </c>
      <c r="H599" s="854">
        <f>+G599</f>
        <v>100</v>
      </c>
      <c r="I599" s="852"/>
      <c r="J599" s="802"/>
    </row>
    <row r="600" spans="3:10" ht="20.100000000000001" hidden="1" customHeight="1">
      <c r="C600" s="881"/>
      <c r="D600" s="859" t="s">
        <v>626</v>
      </c>
      <c r="E600" s="1054">
        <v>1000000000</v>
      </c>
      <c r="F600" s="1136">
        <f>+E600</f>
        <v>1000000000</v>
      </c>
      <c r="G600" s="854">
        <f>+F600/E600*100</f>
        <v>100</v>
      </c>
      <c r="H600" s="854">
        <f>+G600</f>
        <v>100</v>
      </c>
      <c r="I600" s="852"/>
      <c r="J600" s="802"/>
    </row>
    <row r="601" spans="3:10" ht="15" hidden="1" customHeight="1">
      <c r="C601" s="881"/>
      <c r="D601" s="859"/>
      <c r="E601" s="1054"/>
      <c r="F601" s="1137"/>
      <c r="G601" s="854"/>
      <c r="H601" s="854"/>
      <c r="I601" s="852"/>
      <c r="J601" s="802"/>
    </row>
    <row r="602" spans="3:10" ht="20.100000000000001" hidden="1" customHeight="1">
      <c r="C602" s="881"/>
      <c r="D602" s="856" t="s">
        <v>610</v>
      </c>
      <c r="E602" s="1056">
        <f>+E603</f>
        <v>1000000000</v>
      </c>
      <c r="F602" s="1137">
        <f>+F603</f>
        <v>400000000</v>
      </c>
      <c r="G602" s="854">
        <f>+F602/E602*100</f>
        <v>40</v>
      </c>
      <c r="H602" s="854">
        <f>+G602</f>
        <v>40</v>
      </c>
      <c r="I602" s="852"/>
      <c r="J602" s="802"/>
    </row>
    <row r="603" spans="3:10" ht="35.1" hidden="1" customHeight="1">
      <c r="C603" s="881"/>
      <c r="D603" s="856" t="s">
        <v>833</v>
      </c>
      <c r="E603" s="1056">
        <f>E604</f>
        <v>1000000000</v>
      </c>
      <c r="F603" s="1137">
        <f>+F604</f>
        <v>400000000</v>
      </c>
      <c r="G603" s="854">
        <f>+F603/E603*100</f>
        <v>40</v>
      </c>
      <c r="H603" s="854">
        <f>+G603</f>
        <v>40</v>
      </c>
      <c r="I603" s="852"/>
      <c r="J603" s="802"/>
    </row>
    <row r="604" spans="3:10" ht="20.100000000000001" hidden="1" customHeight="1">
      <c r="C604" s="881"/>
      <c r="D604" s="859" t="s">
        <v>612</v>
      </c>
      <c r="E604" s="1054">
        <v>1000000000</v>
      </c>
      <c r="F604" s="1136">
        <v>400000000</v>
      </c>
      <c r="G604" s="854">
        <f>+F604/E604*100</f>
        <v>40</v>
      </c>
      <c r="H604" s="854">
        <f>+G604</f>
        <v>40</v>
      </c>
      <c r="I604" s="852"/>
      <c r="J604" s="802"/>
    </row>
    <row r="605" spans="3:10" ht="15" hidden="1" customHeight="1">
      <c r="C605" s="881"/>
      <c r="D605" s="859"/>
      <c r="E605" s="1054"/>
      <c r="F605" s="1137"/>
      <c r="G605" s="854"/>
      <c r="H605" s="854"/>
      <c r="I605" s="852"/>
      <c r="J605" s="802"/>
    </row>
    <row r="606" spans="3:10" ht="20.100000000000001" hidden="1" customHeight="1">
      <c r="C606" s="881"/>
      <c r="D606" s="856" t="s">
        <v>3920</v>
      </c>
      <c r="E606" s="1056">
        <f>E607</f>
        <v>2000000000</v>
      </c>
      <c r="F606" s="1137">
        <f>+F607</f>
        <v>1410000000</v>
      </c>
      <c r="G606" s="854">
        <f>+F606/E606*100</f>
        <v>70.5</v>
      </c>
      <c r="H606" s="854">
        <f>H607</f>
        <v>65</v>
      </c>
      <c r="I606" s="852"/>
      <c r="J606" s="802"/>
    </row>
    <row r="607" spans="3:10" ht="20.100000000000001" hidden="1" customHeight="1">
      <c r="C607" s="881"/>
      <c r="D607" s="856" t="s">
        <v>3919</v>
      </c>
      <c r="E607" s="1056">
        <f>SUM(E608:E610)</f>
        <v>2000000000</v>
      </c>
      <c r="F607" s="1137">
        <f>+F608+F609+F610</f>
        <v>1410000000</v>
      </c>
      <c r="G607" s="854">
        <f>+F607/E607*100</f>
        <v>70.5</v>
      </c>
      <c r="H607" s="854">
        <f>195/3</f>
        <v>65</v>
      </c>
      <c r="I607" s="852"/>
      <c r="J607" s="802"/>
    </row>
    <row r="608" spans="3:10" ht="20.100000000000001" hidden="1" customHeight="1">
      <c r="C608" s="881"/>
      <c r="D608" s="859" t="s">
        <v>3918</v>
      </c>
      <c r="E608" s="1054">
        <v>1300000000</v>
      </c>
      <c r="F608" s="1136">
        <v>740000000</v>
      </c>
      <c r="G608" s="854">
        <f>+F608/E608*100</f>
        <v>56.92307692307692</v>
      </c>
      <c r="H608" s="854">
        <v>60</v>
      </c>
      <c r="I608" s="852"/>
      <c r="J608" s="802"/>
    </row>
    <row r="609" spans="3:10" ht="20.100000000000001" hidden="1" customHeight="1">
      <c r="C609" s="881"/>
      <c r="D609" s="859" t="s">
        <v>3917</v>
      </c>
      <c r="E609" s="1054">
        <v>400000000</v>
      </c>
      <c r="F609" s="1136">
        <f>+E609</f>
        <v>400000000</v>
      </c>
      <c r="G609" s="854">
        <f>+F609/E609*100</f>
        <v>100</v>
      </c>
      <c r="H609" s="854">
        <f>+G609</f>
        <v>100</v>
      </c>
      <c r="I609" s="852"/>
      <c r="J609" s="802"/>
    </row>
    <row r="610" spans="3:10" ht="20.100000000000001" hidden="1" customHeight="1">
      <c r="C610" s="881"/>
      <c r="D610" s="859" t="s">
        <v>3916</v>
      </c>
      <c r="E610" s="1054">
        <v>300000000</v>
      </c>
      <c r="F610" s="1136">
        <v>270000000</v>
      </c>
      <c r="G610" s="854">
        <f>+F610/E610*100</f>
        <v>90</v>
      </c>
      <c r="H610" s="854">
        <v>35</v>
      </c>
      <c r="I610" s="852"/>
      <c r="J610" s="802"/>
    </row>
    <row r="611" spans="3:10" ht="15" hidden="1" customHeight="1">
      <c r="C611" s="881"/>
      <c r="D611" s="859"/>
      <c r="E611" s="1054"/>
      <c r="F611" s="1137"/>
      <c r="G611" s="854"/>
      <c r="H611" s="854"/>
      <c r="I611" s="852"/>
      <c r="J611" s="802"/>
    </row>
    <row r="612" spans="3:10" ht="20.100000000000001" hidden="1" customHeight="1">
      <c r="C612" s="881"/>
      <c r="D612" s="856" t="s">
        <v>651</v>
      </c>
      <c r="E612" s="1056">
        <f>E613</f>
        <v>586650900.38999999</v>
      </c>
      <c r="F612" s="1137">
        <f>+F613</f>
        <v>564462130</v>
      </c>
      <c r="G612" s="854">
        <f>+F612/E612*100</f>
        <v>96.217721582759168</v>
      </c>
      <c r="H612" s="854">
        <v>35</v>
      </c>
      <c r="I612" s="852"/>
      <c r="J612" s="802"/>
    </row>
    <row r="613" spans="3:10" ht="20.100000000000001" hidden="1" customHeight="1">
      <c r="C613" s="881"/>
      <c r="D613" s="856" t="s">
        <v>652</v>
      </c>
      <c r="E613" s="1056">
        <f>E614</f>
        <v>586650900.38999999</v>
      </c>
      <c r="F613" s="1137">
        <f>+F614</f>
        <v>564462130</v>
      </c>
      <c r="G613" s="854">
        <f>+F613/E613*100</f>
        <v>96.217721582759168</v>
      </c>
      <c r="H613" s="854">
        <v>35</v>
      </c>
      <c r="I613" s="852"/>
      <c r="J613" s="802"/>
    </row>
    <row r="614" spans="3:10" ht="20.100000000000001" hidden="1" customHeight="1">
      <c r="C614" s="881"/>
      <c r="D614" s="859" t="s">
        <v>3915</v>
      </c>
      <c r="E614" s="1054">
        <v>586650900.38999999</v>
      </c>
      <c r="F614" s="1136">
        <v>564462130</v>
      </c>
      <c r="G614" s="854">
        <f>+F614/E614*100</f>
        <v>96.217721582759168</v>
      </c>
      <c r="H614" s="854">
        <v>35</v>
      </c>
      <c r="I614" s="852"/>
      <c r="J614" s="802"/>
    </row>
    <row r="615" spans="3:10" ht="15" hidden="1" customHeight="1">
      <c r="C615" s="881"/>
      <c r="D615" s="859"/>
      <c r="E615" s="1054"/>
      <c r="F615" s="1137"/>
      <c r="G615" s="854"/>
      <c r="H615" s="854"/>
      <c r="I615" s="852"/>
      <c r="J615" s="802"/>
    </row>
    <row r="616" spans="3:10" ht="20.100000000000001" hidden="1" customHeight="1">
      <c r="C616" s="881"/>
      <c r="D616" s="856" t="s">
        <v>648</v>
      </c>
      <c r="E616" s="1056">
        <f>E617</f>
        <v>100000000</v>
      </c>
      <c r="F616" s="1137">
        <f>+F617</f>
        <v>99980000</v>
      </c>
      <c r="G616" s="854">
        <f>+F616/E616*100</f>
        <v>99.98</v>
      </c>
      <c r="H616" s="854">
        <v>25</v>
      </c>
      <c r="I616" s="852"/>
      <c r="J616" s="802"/>
    </row>
    <row r="617" spans="3:10" ht="35.1" hidden="1" customHeight="1">
      <c r="C617" s="881"/>
      <c r="D617" s="856" t="s">
        <v>3914</v>
      </c>
      <c r="E617" s="432">
        <f>E618</f>
        <v>100000000</v>
      </c>
      <c r="F617" s="1137">
        <f>+F618</f>
        <v>99980000</v>
      </c>
      <c r="G617" s="854">
        <f>+F617/E617*100</f>
        <v>99.98</v>
      </c>
      <c r="H617" s="854">
        <v>25</v>
      </c>
      <c r="I617" s="852"/>
      <c r="J617" s="802"/>
    </row>
    <row r="618" spans="3:10" ht="20.100000000000001" hidden="1" customHeight="1">
      <c r="C618" s="881"/>
      <c r="D618" s="859" t="s">
        <v>3913</v>
      </c>
      <c r="E618" s="1054">
        <v>100000000</v>
      </c>
      <c r="F618" s="1136">
        <v>99980000</v>
      </c>
      <c r="G618" s="854">
        <f>+F618/E618*100</f>
        <v>99.98</v>
      </c>
      <c r="H618" s="854">
        <v>25</v>
      </c>
      <c r="I618" s="852"/>
      <c r="J618" s="802"/>
    </row>
    <row r="619" spans="3:10" ht="15" hidden="1" customHeight="1">
      <c r="C619" s="881"/>
      <c r="D619" s="886"/>
      <c r="E619" s="855"/>
      <c r="F619" s="854"/>
      <c r="G619" s="854"/>
      <c r="H619" s="876"/>
      <c r="I619" s="852"/>
      <c r="J619" s="802"/>
    </row>
    <row r="620" spans="3:10" s="656" customFormat="1" ht="20.100000000000001" customHeight="1">
      <c r="C620" s="881" t="s">
        <v>659</v>
      </c>
      <c r="D620" s="1135" t="s">
        <v>2565</v>
      </c>
      <c r="E620" s="1131">
        <f>+E621+E629+E632+E636+E640+E644+E652+E667+E673+E678+E684+E688+E695+E699</f>
        <v>45756973242.93</v>
      </c>
      <c r="F620" s="1131">
        <f>+F621+F629+F632+F636+F640+F644+F652+F667+F673+F678+F684+F688+F695+F699</f>
        <v>28397788561</v>
      </c>
      <c r="G620" s="1122">
        <f t="shared" ref="G620:G627" si="28">F620/E620*100</f>
        <v>62.06220942594318</v>
      </c>
      <c r="H620" s="1121">
        <f>(H621+H629+H632+H636+H644+H640+H652+H667+H673+H678+H684+H688+H695+H699)/15</f>
        <v>78.188888888888883</v>
      </c>
      <c r="I620" s="863"/>
      <c r="J620" s="44"/>
    </row>
    <row r="621" spans="3:10" ht="20.100000000000001" hidden="1" customHeight="1">
      <c r="C621" s="881"/>
      <c r="D621" s="917" t="s">
        <v>444</v>
      </c>
      <c r="E621" s="1070">
        <f>E622+E624+E626</f>
        <v>3225000000</v>
      </c>
      <c r="F621" s="1131">
        <f>F622+F624+F626</f>
        <v>3224950000</v>
      </c>
      <c r="G621" s="1122">
        <f t="shared" si="28"/>
        <v>99.998449612403093</v>
      </c>
      <c r="H621" s="1121">
        <v>100</v>
      </c>
      <c r="I621" s="852"/>
      <c r="J621" s="802"/>
    </row>
    <row r="622" spans="3:10" ht="20.100000000000001" hidden="1" customHeight="1">
      <c r="C622" s="881"/>
      <c r="D622" s="917" t="s">
        <v>588</v>
      </c>
      <c r="E622" s="1070">
        <f>SUM(E623:E623)</f>
        <v>225000000</v>
      </c>
      <c r="F622" s="1131">
        <f>SUM(F623:F623)</f>
        <v>224950000</v>
      </c>
      <c r="G622" s="1122">
        <f t="shared" si="28"/>
        <v>99.977777777777774</v>
      </c>
      <c r="H622" s="1121">
        <v>100</v>
      </c>
      <c r="I622" s="852"/>
      <c r="J622" s="802"/>
    </row>
    <row r="623" spans="3:10" ht="20.100000000000001" hidden="1" customHeight="1">
      <c r="C623" s="881"/>
      <c r="D623" s="914" t="s">
        <v>662</v>
      </c>
      <c r="E623" s="1069">
        <v>225000000</v>
      </c>
      <c r="F623" s="1123">
        <v>224950000</v>
      </c>
      <c r="G623" s="1122">
        <f t="shared" si="28"/>
        <v>99.977777777777774</v>
      </c>
      <c r="H623" s="1121">
        <v>100</v>
      </c>
      <c r="I623" s="852"/>
      <c r="J623" s="802"/>
    </row>
    <row r="624" spans="3:10" ht="20.100000000000001" hidden="1" customHeight="1">
      <c r="C624" s="881"/>
      <c r="D624" s="917" t="s">
        <v>663</v>
      </c>
      <c r="E624" s="1070">
        <f>SUM(E625:E625)</f>
        <v>2250000000</v>
      </c>
      <c r="F624" s="1131">
        <f>SUM(F625:F625)</f>
        <v>2250000000</v>
      </c>
      <c r="G624" s="1122">
        <f t="shared" si="28"/>
        <v>100</v>
      </c>
      <c r="H624" s="1121">
        <v>100</v>
      </c>
      <c r="I624" s="852"/>
      <c r="J624" s="802"/>
    </row>
    <row r="625" spans="3:10" ht="20.100000000000001" hidden="1" customHeight="1">
      <c r="C625" s="881"/>
      <c r="D625" s="914" t="s">
        <v>664</v>
      </c>
      <c r="E625" s="1069">
        <v>2250000000</v>
      </c>
      <c r="F625" s="1123">
        <v>2250000000</v>
      </c>
      <c r="G625" s="1122">
        <f t="shared" si="28"/>
        <v>100</v>
      </c>
      <c r="H625" s="1121">
        <v>100</v>
      </c>
      <c r="I625" s="852"/>
      <c r="J625" s="802"/>
    </row>
    <row r="626" spans="3:10" ht="20.100000000000001" hidden="1" customHeight="1">
      <c r="C626" s="881"/>
      <c r="D626" s="917" t="s">
        <v>666</v>
      </c>
      <c r="E626" s="1070">
        <f>SUM(E627:E627)</f>
        <v>750000000</v>
      </c>
      <c r="F626" s="1131">
        <f>SUM(F627:F627)</f>
        <v>750000000</v>
      </c>
      <c r="G626" s="1122">
        <f t="shared" si="28"/>
        <v>100</v>
      </c>
      <c r="H626" s="1121">
        <v>100</v>
      </c>
      <c r="I626" s="852"/>
      <c r="J626" s="802"/>
    </row>
    <row r="627" spans="3:10" ht="20.100000000000001" hidden="1" customHeight="1">
      <c r="C627" s="881"/>
      <c r="D627" s="914" t="s">
        <v>667</v>
      </c>
      <c r="E627" s="1069">
        <v>750000000</v>
      </c>
      <c r="F627" s="1123">
        <v>750000000</v>
      </c>
      <c r="G627" s="1122">
        <f t="shared" si="28"/>
        <v>100</v>
      </c>
      <c r="H627" s="1121">
        <v>100</v>
      </c>
      <c r="I627" s="852"/>
      <c r="J627" s="802"/>
    </row>
    <row r="628" spans="3:10" ht="15" hidden="1" customHeight="1">
      <c r="C628" s="881"/>
      <c r="D628" s="917"/>
      <c r="E628" s="1070"/>
      <c r="F628" s="1126"/>
      <c r="G628" s="1122"/>
      <c r="H628" s="1121"/>
      <c r="I628" s="852"/>
      <c r="J628" s="802"/>
    </row>
    <row r="629" spans="3:10" ht="20.100000000000001" hidden="1" customHeight="1">
      <c r="C629" s="881"/>
      <c r="D629" s="917" t="s">
        <v>161</v>
      </c>
      <c r="E629" s="1070">
        <f>E630</f>
        <v>1000000000</v>
      </c>
      <c r="F629" s="1124">
        <f>F630</f>
        <v>979686400</v>
      </c>
      <c r="G629" s="1122">
        <f t="shared" ref="G629:G634" si="29">F629/E629*100</f>
        <v>97.968639999999994</v>
      </c>
      <c r="H629" s="1121">
        <v>100</v>
      </c>
      <c r="I629" s="852"/>
      <c r="J629" s="802"/>
    </row>
    <row r="630" spans="3:10" ht="20.100000000000001" hidden="1" customHeight="1">
      <c r="C630" s="881"/>
      <c r="D630" s="917" t="s">
        <v>606</v>
      </c>
      <c r="E630" s="1070">
        <v>1000000000</v>
      </c>
      <c r="F630" s="1124">
        <f>F631</f>
        <v>979686400</v>
      </c>
      <c r="G630" s="1122">
        <f t="shared" si="29"/>
        <v>97.968639999999994</v>
      </c>
      <c r="H630" s="1121">
        <v>100</v>
      </c>
      <c r="I630" s="852"/>
      <c r="J630" s="802"/>
    </row>
    <row r="631" spans="3:10" ht="20.100000000000001" hidden="1" customHeight="1">
      <c r="C631" s="881"/>
      <c r="D631" s="914" t="s">
        <v>607</v>
      </c>
      <c r="E631" s="1069">
        <v>1000000000</v>
      </c>
      <c r="F631" s="1123">
        <v>979686400</v>
      </c>
      <c r="G631" s="1122">
        <f t="shared" si="29"/>
        <v>97.968639999999994</v>
      </c>
      <c r="H631" s="1121">
        <v>100</v>
      </c>
      <c r="I631" s="852"/>
      <c r="J631" s="802"/>
    </row>
    <row r="632" spans="3:10" ht="20.100000000000001" hidden="1" customHeight="1">
      <c r="C632" s="881"/>
      <c r="D632" s="917" t="s">
        <v>425</v>
      </c>
      <c r="E632" s="1070">
        <v>3000000000</v>
      </c>
      <c r="F632" s="1124">
        <f>F633</f>
        <v>2944553000</v>
      </c>
      <c r="G632" s="1122">
        <f t="shared" si="29"/>
        <v>98.15176666666666</v>
      </c>
      <c r="H632" s="1121">
        <v>100</v>
      </c>
      <c r="I632" s="852"/>
      <c r="J632" s="802"/>
    </row>
    <row r="633" spans="3:10" ht="35.1" hidden="1" customHeight="1">
      <c r="C633" s="881"/>
      <c r="D633" s="917" t="s">
        <v>3912</v>
      </c>
      <c r="E633" s="1070">
        <v>3000000000</v>
      </c>
      <c r="F633" s="1124">
        <f>F634</f>
        <v>2944553000</v>
      </c>
      <c r="G633" s="1122">
        <f t="shared" si="29"/>
        <v>98.15176666666666</v>
      </c>
      <c r="H633" s="1121">
        <v>100</v>
      </c>
      <c r="I633" s="852"/>
      <c r="J633" s="802"/>
    </row>
    <row r="634" spans="3:10" ht="20.100000000000001" hidden="1" customHeight="1">
      <c r="C634" s="881"/>
      <c r="D634" s="914" t="s">
        <v>1415</v>
      </c>
      <c r="E634" s="1069">
        <v>3000000000</v>
      </c>
      <c r="F634" s="1123">
        <v>2944553000</v>
      </c>
      <c r="G634" s="1122">
        <f t="shared" si="29"/>
        <v>98.15176666666666</v>
      </c>
      <c r="H634" s="1121">
        <v>100</v>
      </c>
      <c r="I634" s="852"/>
      <c r="J634" s="802"/>
    </row>
    <row r="635" spans="3:10" ht="15" hidden="1" customHeight="1">
      <c r="C635" s="881"/>
      <c r="D635" s="917"/>
      <c r="E635" s="1070"/>
      <c r="F635" s="1124"/>
      <c r="G635" s="1122"/>
      <c r="H635" s="1121"/>
      <c r="I635" s="852"/>
      <c r="J635" s="802"/>
    </row>
    <row r="636" spans="3:10" ht="20.100000000000001" hidden="1" customHeight="1">
      <c r="C636" s="881"/>
      <c r="D636" s="917" t="s">
        <v>489</v>
      </c>
      <c r="E636" s="1070">
        <f>E637</f>
        <v>3000000000</v>
      </c>
      <c r="F636" s="1124">
        <f>F637</f>
        <v>2880309921</v>
      </c>
      <c r="G636" s="1122">
        <f>F636/E636*100</f>
        <v>96.010330699999997</v>
      </c>
      <c r="H636" s="1121">
        <v>100</v>
      </c>
      <c r="I636" s="852"/>
      <c r="J636" s="802"/>
    </row>
    <row r="637" spans="3:10" ht="20.100000000000001" hidden="1" customHeight="1">
      <c r="C637" s="881"/>
      <c r="D637" s="917" t="s">
        <v>722</v>
      </c>
      <c r="E637" s="1070">
        <f>E638</f>
        <v>3000000000</v>
      </c>
      <c r="F637" s="1124">
        <f>F638</f>
        <v>2880309921</v>
      </c>
      <c r="G637" s="1122">
        <f>F637/E637*100</f>
        <v>96.010330699999997</v>
      </c>
      <c r="H637" s="1121">
        <v>100</v>
      </c>
      <c r="I637" s="852"/>
      <c r="J637" s="802"/>
    </row>
    <row r="638" spans="3:10" ht="20.100000000000001" hidden="1" customHeight="1">
      <c r="C638" s="881"/>
      <c r="D638" s="914" t="s">
        <v>723</v>
      </c>
      <c r="E638" s="1069">
        <v>3000000000</v>
      </c>
      <c r="F638" s="1123">
        <v>2880309921</v>
      </c>
      <c r="G638" s="1122">
        <f>F638/E638*100</f>
        <v>96.010330699999997</v>
      </c>
      <c r="H638" s="1121">
        <v>100</v>
      </c>
      <c r="I638" s="852"/>
      <c r="J638" s="802"/>
    </row>
    <row r="639" spans="3:10" ht="15" hidden="1" customHeight="1">
      <c r="C639" s="881"/>
      <c r="D639" s="917"/>
      <c r="E639" s="1070"/>
      <c r="F639" s="1124"/>
      <c r="G639" s="1122"/>
      <c r="H639" s="1121"/>
      <c r="I639" s="852"/>
      <c r="J639" s="802"/>
    </row>
    <row r="640" spans="3:10" ht="20.100000000000001" hidden="1" customHeight="1">
      <c r="C640" s="881"/>
      <c r="D640" s="917" t="s">
        <v>731</v>
      </c>
      <c r="E640" s="1070">
        <f>E641</f>
        <v>1500000000</v>
      </c>
      <c r="F640" s="1124">
        <f>F641</f>
        <v>1020500000</v>
      </c>
      <c r="G640" s="1122">
        <f>F640/E640*100</f>
        <v>68.033333333333331</v>
      </c>
      <c r="H640" s="1121">
        <v>70</v>
      </c>
      <c r="I640" s="852"/>
      <c r="J640" s="802"/>
    </row>
    <row r="641" spans="3:10" ht="20.100000000000001" hidden="1" customHeight="1">
      <c r="C641" s="881"/>
      <c r="D641" s="917" t="s">
        <v>732</v>
      </c>
      <c r="E641" s="1070">
        <f>E642</f>
        <v>1500000000</v>
      </c>
      <c r="F641" s="1124">
        <f>F642</f>
        <v>1020500000</v>
      </c>
      <c r="G641" s="1122">
        <f>F641/E641*100</f>
        <v>68.033333333333331</v>
      </c>
      <c r="H641" s="1121">
        <v>70</v>
      </c>
      <c r="I641" s="852"/>
      <c r="J641" s="802"/>
    </row>
    <row r="642" spans="3:10" ht="20.100000000000001" hidden="1" customHeight="1">
      <c r="C642" s="881"/>
      <c r="D642" s="914" t="s">
        <v>966</v>
      </c>
      <c r="E642" s="1069">
        <v>1500000000</v>
      </c>
      <c r="F642" s="1125">
        <v>1020500000</v>
      </c>
      <c r="G642" s="1122">
        <f>F642/E642*100</f>
        <v>68.033333333333331</v>
      </c>
      <c r="H642" s="1121">
        <v>70</v>
      </c>
      <c r="I642" s="852"/>
      <c r="J642" s="802"/>
    </row>
    <row r="643" spans="3:10" ht="15" hidden="1" customHeight="1">
      <c r="C643" s="881"/>
      <c r="D643" s="914"/>
      <c r="E643" s="1069"/>
      <c r="F643" s="1125"/>
      <c r="G643" s="1122"/>
      <c r="H643" s="1121"/>
      <c r="I643" s="852"/>
      <c r="J643" s="802"/>
    </row>
    <row r="644" spans="3:10" ht="20.100000000000001" hidden="1" customHeight="1">
      <c r="C644" s="881"/>
      <c r="D644" s="917" t="s">
        <v>669</v>
      </c>
      <c r="E644" s="1070">
        <f>SUM(E645+E647+E649)</f>
        <v>8000000000</v>
      </c>
      <c r="F644" s="1131">
        <f>F645+F647+F649</f>
        <v>4450000000</v>
      </c>
      <c r="G644" s="1122">
        <f t="shared" ref="G644:G650" si="30">F644/E644*100</f>
        <v>55.625</v>
      </c>
      <c r="H644" s="1121">
        <f>160/3</f>
        <v>53.333333333333336</v>
      </c>
      <c r="I644" s="852"/>
      <c r="J644" s="802"/>
    </row>
    <row r="645" spans="3:10" ht="20.100000000000001" hidden="1" customHeight="1">
      <c r="C645" s="881"/>
      <c r="D645" s="917" t="s">
        <v>1275</v>
      </c>
      <c r="E645" s="1070">
        <f>E646</f>
        <v>500000000</v>
      </c>
      <c r="F645" s="1131">
        <f>F646</f>
        <v>0</v>
      </c>
      <c r="G645" s="1122">
        <f t="shared" si="30"/>
        <v>0</v>
      </c>
      <c r="H645" s="1121">
        <f>+G645</f>
        <v>0</v>
      </c>
      <c r="I645" s="852"/>
      <c r="J645" s="802"/>
    </row>
    <row r="646" spans="3:10" ht="20.100000000000001" hidden="1" customHeight="1">
      <c r="C646" s="881"/>
      <c r="D646" s="886" t="s">
        <v>3043</v>
      </c>
      <c r="E646" s="1134">
        <v>500000000</v>
      </c>
      <c r="F646" s="1133">
        <v>0</v>
      </c>
      <c r="G646" s="1132">
        <f t="shared" si="30"/>
        <v>0</v>
      </c>
      <c r="H646" s="1121">
        <f>+G646</f>
        <v>0</v>
      </c>
      <c r="I646" s="852"/>
      <c r="J646" s="802"/>
    </row>
    <row r="647" spans="3:10" ht="20.100000000000001" hidden="1" customHeight="1">
      <c r="C647" s="881"/>
      <c r="D647" s="917" t="s">
        <v>595</v>
      </c>
      <c r="E647" s="1070">
        <f>E648</f>
        <v>6500000000</v>
      </c>
      <c r="F647" s="1131">
        <f>F648</f>
        <v>3450000000</v>
      </c>
      <c r="G647" s="1122">
        <f t="shared" si="30"/>
        <v>53.07692307692308</v>
      </c>
      <c r="H647" s="1121">
        <v>60</v>
      </c>
      <c r="I647" s="852"/>
      <c r="J647" s="802"/>
    </row>
    <row r="648" spans="3:10" ht="35.1" hidden="1" customHeight="1">
      <c r="C648" s="881"/>
      <c r="D648" s="914" t="s">
        <v>670</v>
      </c>
      <c r="E648" s="1069">
        <v>6500000000</v>
      </c>
      <c r="F648" s="1123">
        <v>3450000000</v>
      </c>
      <c r="G648" s="1122">
        <f t="shared" si="30"/>
        <v>53.07692307692308</v>
      </c>
      <c r="H648" s="1121">
        <v>60</v>
      </c>
      <c r="I648" s="852"/>
      <c r="J648" s="802"/>
    </row>
    <row r="649" spans="3:10" ht="20.100000000000001" hidden="1" customHeight="1">
      <c r="C649" s="881"/>
      <c r="D649" s="917" t="s">
        <v>1133</v>
      </c>
      <c r="E649" s="1070">
        <f>SUM(E650:E650)</f>
        <v>1000000000</v>
      </c>
      <c r="F649" s="1131">
        <f>SUM(F650:F650)</f>
        <v>1000000000</v>
      </c>
      <c r="G649" s="1122">
        <f t="shared" si="30"/>
        <v>100</v>
      </c>
      <c r="H649" s="1121">
        <v>100</v>
      </c>
      <c r="I649" s="852"/>
      <c r="J649" s="802"/>
    </row>
    <row r="650" spans="3:10" ht="35.1" hidden="1" customHeight="1">
      <c r="C650" s="881"/>
      <c r="D650" s="914" t="s">
        <v>3911</v>
      </c>
      <c r="E650" s="1069">
        <v>1000000000</v>
      </c>
      <c r="F650" s="1130">
        <v>1000000000</v>
      </c>
      <c r="G650" s="1122">
        <f t="shared" si="30"/>
        <v>100</v>
      </c>
      <c r="H650" s="1121">
        <v>100</v>
      </c>
      <c r="I650" s="852"/>
      <c r="J650" s="802"/>
    </row>
    <row r="651" spans="3:10" ht="15" hidden="1" customHeight="1">
      <c r="C651" s="881"/>
      <c r="D651" s="917"/>
      <c r="E651" s="1070"/>
      <c r="F651" s="1124"/>
      <c r="G651" s="1122"/>
      <c r="H651" s="1121"/>
      <c r="I651" s="852"/>
      <c r="J651" s="802"/>
    </row>
    <row r="652" spans="3:10" ht="20.100000000000001" hidden="1" customHeight="1">
      <c r="C652" s="881"/>
      <c r="D652" s="917" t="s">
        <v>688</v>
      </c>
      <c r="E652" s="1070">
        <v>3000000000</v>
      </c>
      <c r="F652" s="1124">
        <f>F653+F656+F661</f>
        <v>2914600000</v>
      </c>
      <c r="G652" s="1122">
        <f t="shared" ref="G652:G665" si="31">F652/E652*100</f>
        <v>97.153333333333336</v>
      </c>
      <c r="H652" s="1121">
        <f>(H653+H656+H661)/3</f>
        <v>97.5</v>
      </c>
      <c r="I652" s="852"/>
      <c r="J652" s="802"/>
    </row>
    <row r="653" spans="3:10" ht="35.1" hidden="1" customHeight="1">
      <c r="C653" s="881"/>
      <c r="D653" s="917" t="s">
        <v>3910</v>
      </c>
      <c r="E653" s="1129">
        <v>625000000</v>
      </c>
      <c r="F653" s="1126">
        <f>F654+F655</f>
        <v>625000000</v>
      </c>
      <c r="G653" s="1122">
        <f t="shared" si="31"/>
        <v>100</v>
      </c>
      <c r="H653" s="1121">
        <v>100</v>
      </c>
      <c r="I653" s="852"/>
      <c r="J653" s="802"/>
    </row>
    <row r="654" spans="3:10" ht="20.100000000000001" hidden="1" customHeight="1">
      <c r="C654" s="881"/>
      <c r="D654" s="914" t="s">
        <v>3909</v>
      </c>
      <c r="E654" s="1128">
        <v>225000000</v>
      </c>
      <c r="F654" s="1125">
        <v>225000000</v>
      </c>
      <c r="G654" s="1122">
        <f t="shared" si="31"/>
        <v>100</v>
      </c>
      <c r="H654" s="1121">
        <v>100</v>
      </c>
      <c r="I654" s="852"/>
      <c r="J654" s="802"/>
    </row>
    <row r="655" spans="3:10" ht="20.100000000000001" hidden="1" customHeight="1">
      <c r="C655" s="881"/>
      <c r="D655" s="914" t="s">
        <v>1457</v>
      </c>
      <c r="E655" s="1128">
        <v>400000000</v>
      </c>
      <c r="F655" s="1125">
        <v>400000000</v>
      </c>
      <c r="G655" s="1122">
        <f t="shared" si="31"/>
        <v>100</v>
      </c>
      <c r="H655" s="1121">
        <v>100</v>
      </c>
      <c r="I655" s="852"/>
      <c r="J655" s="802"/>
    </row>
    <row r="656" spans="3:10" ht="20.100000000000001" hidden="1" customHeight="1">
      <c r="C656" s="881"/>
      <c r="D656" s="917" t="s">
        <v>735</v>
      </c>
      <c r="E656" s="1070">
        <v>1060000000</v>
      </c>
      <c r="F656" s="1124">
        <f>F657+F658+F659+F660</f>
        <v>1060000000</v>
      </c>
      <c r="G656" s="1122">
        <f t="shared" si="31"/>
        <v>100</v>
      </c>
      <c r="H656" s="1121">
        <v>100</v>
      </c>
      <c r="I656" s="852"/>
      <c r="J656" s="802"/>
    </row>
    <row r="657" spans="3:10" ht="20.100000000000001" hidden="1" customHeight="1">
      <c r="C657" s="881"/>
      <c r="D657" s="914" t="s">
        <v>3908</v>
      </c>
      <c r="E657" s="1069">
        <v>250000000</v>
      </c>
      <c r="F657" s="1123">
        <v>250000000</v>
      </c>
      <c r="G657" s="1122">
        <f t="shared" si="31"/>
        <v>100</v>
      </c>
      <c r="H657" s="1121">
        <v>100</v>
      </c>
      <c r="I657" s="852"/>
      <c r="J657" s="802"/>
    </row>
    <row r="658" spans="3:10" ht="35.1" hidden="1" customHeight="1">
      <c r="C658" s="881"/>
      <c r="D658" s="914" t="s">
        <v>3907</v>
      </c>
      <c r="E658" s="1069">
        <v>235000000</v>
      </c>
      <c r="F658" s="1125">
        <v>235000000</v>
      </c>
      <c r="G658" s="1122">
        <f t="shared" si="31"/>
        <v>100</v>
      </c>
      <c r="H658" s="1121">
        <v>100</v>
      </c>
      <c r="I658" s="852"/>
      <c r="J658" s="802"/>
    </row>
    <row r="659" spans="3:10" ht="35.1" hidden="1" customHeight="1">
      <c r="C659" s="881"/>
      <c r="D659" s="914" t="s">
        <v>3906</v>
      </c>
      <c r="E659" s="1069">
        <v>225000000</v>
      </c>
      <c r="F659" s="1125">
        <v>225000000</v>
      </c>
      <c r="G659" s="1122">
        <f t="shared" si="31"/>
        <v>100</v>
      </c>
      <c r="H659" s="1121">
        <v>100</v>
      </c>
      <c r="I659" s="852"/>
      <c r="J659" s="802"/>
    </row>
    <row r="660" spans="3:10" ht="35.1" hidden="1" customHeight="1">
      <c r="C660" s="881"/>
      <c r="D660" s="914" t="s">
        <v>3905</v>
      </c>
      <c r="E660" s="1069">
        <v>350000000</v>
      </c>
      <c r="F660" s="1125">
        <v>350000000</v>
      </c>
      <c r="G660" s="1122">
        <f t="shared" si="31"/>
        <v>100</v>
      </c>
      <c r="H660" s="1121">
        <v>100</v>
      </c>
      <c r="I660" s="852"/>
      <c r="J660" s="802"/>
    </row>
    <row r="661" spans="3:10" ht="35.1" hidden="1" customHeight="1">
      <c r="C661" s="881"/>
      <c r="D661" s="917" t="s">
        <v>1283</v>
      </c>
      <c r="E661" s="1070">
        <v>1315000000</v>
      </c>
      <c r="F661" s="1124">
        <f>F662+F663+F664+F665</f>
        <v>1229600000</v>
      </c>
      <c r="G661" s="1122">
        <f t="shared" si="31"/>
        <v>93.50570342205323</v>
      </c>
      <c r="H661" s="1121">
        <f>370/4</f>
        <v>92.5</v>
      </c>
      <c r="I661" s="852"/>
      <c r="J661" s="802"/>
    </row>
    <row r="662" spans="3:10" ht="20.100000000000001" hidden="1" customHeight="1">
      <c r="C662" s="881"/>
      <c r="D662" s="914" t="s">
        <v>3904</v>
      </c>
      <c r="E662" s="1069">
        <v>250000000</v>
      </c>
      <c r="F662" s="1125">
        <v>201000000</v>
      </c>
      <c r="G662" s="1122">
        <f t="shared" si="31"/>
        <v>80.400000000000006</v>
      </c>
      <c r="H662" s="1127">
        <v>80</v>
      </c>
      <c r="I662" s="852"/>
      <c r="J662" s="802"/>
    </row>
    <row r="663" spans="3:10" ht="35.1" hidden="1" customHeight="1">
      <c r="C663" s="881"/>
      <c r="D663" s="914" t="s">
        <v>3127</v>
      </c>
      <c r="E663" s="1069">
        <v>250000000</v>
      </c>
      <c r="F663" s="1123">
        <v>250000000</v>
      </c>
      <c r="G663" s="1122">
        <f t="shared" si="31"/>
        <v>100</v>
      </c>
      <c r="H663" s="1121">
        <v>100</v>
      </c>
      <c r="I663" s="852"/>
      <c r="J663" s="802"/>
    </row>
    <row r="664" spans="3:10" ht="20.100000000000001" hidden="1" customHeight="1">
      <c r="C664" s="881"/>
      <c r="D664" s="914" t="s">
        <v>3903</v>
      </c>
      <c r="E664" s="1069">
        <v>265000000</v>
      </c>
      <c r="F664" s="1123">
        <v>228600000</v>
      </c>
      <c r="G664" s="1122">
        <f t="shared" si="31"/>
        <v>86.264150943396217</v>
      </c>
      <c r="H664" s="1127">
        <v>90</v>
      </c>
      <c r="I664" s="852"/>
      <c r="J664" s="802"/>
    </row>
    <row r="665" spans="3:10" ht="20.100000000000001" hidden="1" customHeight="1">
      <c r="C665" s="881"/>
      <c r="D665" s="914" t="s">
        <v>3902</v>
      </c>
      <c r="E665" s="1069">
        <v>550000000</v>
      </c>
      <c r="F665" s="1123">
        <v>550000000</v>
      </c>
      <c r="G665" s="1122">
        <f t="shared" si="31"/>
        <v>100</v>
      </c>
      <c r="H665" s="1127">
        <f>+G665</f>
        <v>100</v>
      </c>
      <c r="I665" s="852"/>
      <c r="J665" s="802"/>
    </row>
    <row r="666" spans="3:10" ht="15" hidden="1" customHeight="1">
      <c r="C666" s="881"/>
      <c r="D666" s="917"/>
      <c r="E666" s="1070"/>
      <c r="F666" s="1126"/>
      <c r="G666" s="1122"/>
      <c r="H666" s="1121"/>
      <c r="I666" s="852"/>
      <c r="J666" s="802"/>
    </row>
    <row r="667" spans="3:10" ht="20.100000000000001" hidden="1" customHeight="1">
      <c r="C667" s="881"/>
      <c r="D667" s="917" t="s">
        <v>518</v>
      </c>
      <c r="E667" s="1070">
        <f>SUM(E668+E670)</f>
        <v>5581327902.9300003</v>
      </c>
      <c r="F667" s="1124">
        <f>F668+F670</f>
        <v>659125000</v>
      </c>
      <c r="G667" s="1122">
        <f>F667/E667*100</f>
        <v>11.809465622938632</v>
      </c>
      <c r="H667" s="1121">
        <v>50</v>
      </c>
      <c r="I667" s="852"/>
      <c r="J667" s="802"/>
    </row>
    <row r="668" spans="3:10" ht="20.100000000000001" hidden="1" customHeight="1">
      <c r="C668" s="881"/>
      <c r="D668" s="917" t="s">
        <v>728</v>
      </c>
      <c r="E668" s="1070">
        <f>E669</f>
        <v>4899000000</v>
      </c>
      <c r="F668" s="1126">
        <f>F669</f>
        <v>0</v>
      </c>
      <c r="G668" s="1122">
        <f>F668/E668*100</f>
        <v>0</v>
      </c>
      <c r="H668" s="1121">
        <f>+G668</f>
        <v>0</v>
      </c>
      <c r="I668" s="852"/>
      <c r="J668" s="802"/>
    </row>
    <row r="669" spans="3:10" ht="20.100000000000001" hidden="1" customHeight="1">
      <c r="C669" s="881"/>
      <c r="D669" s="914" t="s">
        <v>3771</v>
      </c>
      <c r="E669" s="1069">
        <v>4899000000</v>
      </c>
      <c r="F669" s="1069">
        <v>0</v>
      </c>
      <c r="G669" s="1122">
        <f>F669/E669*100</f>
        <v>0</v>
      </c>
      <c r="H669" s="1121">
        <f>+G669</f>
        <v>0</v>
      </c>
      <c r="I669" s="852"/>
      <c r="J669" s="802"/>
    </row>
    <row r="670" spans="3:10" ht="20.100000000000001" hidden="1" customHeight="1">
      <c r="C670" s="881"/>
      <c r="D670" s="917" t="s">
        <v>722</v>
      </c>
      <c r="E670" s="1070">
        <f>E671</f>
        <v>682327902.92999995</v>
      </c>
      <c r="F670" s="1126">
        <f>F671</f>
        <v>659125000</v>
      </c>
      <c r="G670" s="1122">
        <f>F670/E670*100</f>
        <v>96.599449790875653</v>
      </c>
      <c r="H670" s="1121">
        <v>100</v>
      </c>
      <c r="I670" s="852"/>
      <c r="J670" s="802"/>
    </row>
    <row r="671" spans="3:10" ht="20.100000000000001" hidden="1" customHeight="1">
      <c r="C671" s="878"/>
      <c r="D671" s="914" t="s">
        <v>1946</v>
      </c>
      <c r="E671" s="1069">
        <v>682327902.92999995</v>
      </c>
      <c r="F671" s="1125">
        <v>659125000</v>
      </c>
      <c r="G671" s="1122">
        <f>F671/E671*100</f>
        <v>96.599449790875653</v>
      </c>
      <c r="H671" s="1121">
        <v>100</v>
      </c>
      <c r="I671" s="852"/>
      <c r="J671" s="802"/>
    </row>
    <row r="672" spans="3:10" ht="15" hidden="1" customHeight="1">
      <c r="C672" s="881"/>
      <c r="D672" s="917"/>
      <c r="E672" s="1070"/>
      <c r="F672" s="1124"/>
      <c r="G672" s="1122"/>
      <c r="H672" s="1121"/>
      <c r="I672" s="852"/>
      <c r="J672" s="802"/>
    </row>
    <row r="673" spans="3:10" ht="20.100000000000001" hidden="1" customHeight="1">
      <c r="C673" s="881"/>
      <c r="D673" s="917" t="s">
        <v>724</v>
      </c>
      <c r="E673" s="1070">
        <f>E674</f>
        <v>737859400</v>
      </c>
      <c r="F673" s="1124">
        <f>F674</f>
        <v>735359400</v>
      </c>
      <c r="G673" s="1122">
        <f>F673/E673*100</f>
        <v>99.661182062598925</v>
      </c>
      <c r="H673" s="1121">
        <v>100</v>
      </c>
      <c r="I673" s="852"/>
      <c r="J673" s="802"/>
    </row>
    <row r="674" spans="3:10" ht="20.100000000000001" hidden="1" customHeight="1">
      <c r="C674" s="881"/>
      <c r="D674" s="917" t="s">
        <v>725</v>
      </c>
      <c r="E674" s="1070">
        <f>SUM(E675:E676)</f>
        <v>737859400</v>
      </c>
      <c r="F674" s="1124">
        <f>F675+F676</f>
        <v>735359400</v>
      </c>
      <c r="G674" s="1122">
        <f>F674/E674*100</f>
        <v>99.661182062598925</v>
      </c>
      <c r="H674" s="1121">
        <v>100</v>
      </c>
      <c r="I674" s="852"/>
      <c r="J674" s="802"/>
    </row>
    <row r="675" spans="3:10" ht="20.100000000000001" hidden="1" customHeight="1">
      <c r="C675" s="881"/>
      <c r="D675" s="914" t="s">
        <v>727</v>
      </c>
      <c r="E675" s="1069">
        <v>79950000</v>
      </c>
      <c r="F675" s="1123">
        <v>79950000</v>
      </c>
      <c r="G675" s="1122">
        <f>F675/E675*100</f>
        <v>100</v>
      </c>
      <c r="H675" s="1121">
        <f>+G675</f>
        <v>100</v>
      </c>
      <c r="I675" s="852"/>
      <c r="J675" s="802"/>
    </row>
    <row r="676" spans="3:10" ht="20.100000000000001" hidden="1" customHeight="1">
      <c r="C676" s="881"/>
      <c r="D676" s="914" t="s">
        <v>726</v>
      </c>
      <c r="E676" s="1069">
        <v>657909400</v>
      </c>
      <c r="F676" s="1123">
        <v>655409400</v>
      </c>
      <c r="G676" s="1122">
        <f>F676/E676*100</f>
        <v>99.620008469251246</v>
      </c>
      <c r="H676" s="1121">
        <v>100</v>
      </c>
      <c r="I676" s="852"/>
      <c r="J676" s="802"/>
    </row>
    <row r="677" spans="3:10" ht="15" hidden="1" customHeight="1">
      <c r="C677" s="881"/>
      <c r="D677" s="917"/>
      <c r="E677" s="1070"/>
      <c r="F677" s="1126"/>
      <c r="G677" s="1122"/>
      <c r="H677" s="1121"/>
      <c r="I677" s="852"/>
      <c r="J677" s="802"/>
    </row>
    <row r="678" spans="3:10" ht="20.100000000000001" hidden="1" customHeight="1">
      <c r="C678" s="881"/>
      <c r="D678" s="917" t="s">
        <v>69</v>
      </c>
      <c r="E678" s="1070">
        <f>E679</f>
        <v>2693000000</v>
      </c>
      <c r="F678" s="1124">
        <f>F679</f>
        <v>2519434000</v>
      </c>
      <c r="G678" s="1122">
        <f>F678/E678*100</f>
        <v>93.554920163386555</v>
      </c>
      <c r="H678" s="1121">
        <v>100</v>
      </c>
      <c r="I678" s="852"/>
      <c r="J678" s="802"/>
    </row>
    <row r="679" spans="3:10" ht="20.100000000000001" hidden="1" customHeight="1">
      <c r="C679" s="881"/>
      <c r="D679" s="917" t="s">
        <v>625</v>
      </c>
      <c r="E679" s="1070">
        <v>2693000000</v>
      </c>
      <c r="F679" s="1126">
        <f>SUM(F680:F682)</f>
        <v>2519434000</v>
      </c>
      <c r="G679" s="1122">
        <f>F679/E679*100</f>
        <v>93.554920163386555</v>
      </c>
      <c r="H679" s="1121">
        <v>100</v>
      </c>
      <c r="I679" s="852"/>
      <c r="J679" s="802"/>
    </row>
    <row r="680" spans="3:10" ht="20.100000000000001" hidden="1" customHeight="1">
      <c r="C680" s="881"/>
      <c r="D680" s="914" t="s">
        <v>626</v>
      </c>
      <c r="E680" s="1069">
        <v>0</v>
      </c>
      <c r="F680" s="1125">
        <v>0</v>
      </c>
      <c r="G680" s="1122">
        <v>0</v>
      </c>
      <c r="H680" s="1121">
        <f>+G680</f>
        <v>0</v>
      </c>
      <c r="I680" s="852"/>
      <c r="J680" s="802"/>
    </row>
    <row r="681" spans="3:10" ht="20.100000000000001" hidden="1" customHeight="1">
      <c r="C681" s="881"/>
      <c r="D681" s="914" t="s">
        <v>3901</v>
      </c>
      <c r="E681" s="1069">
        <v>2000000000</v>
      </c>
      <c r="F681" s="1125">
        <v>1857820000</v>
      </c>
      <c r="G681" s="1122">
        <f>F681/E681*100</f>
        <v>92.891000000000005</v>
      </c>
      <c r="H681" s="1121">
        <v>100</v>
      </c>
      <c r="I681" s="852"/>
      <c r="J681" s="802"/>
    </row>
    <row r="682" spans="3:10" ht="20.100000000000001" hidden="1" customHeight="1">
      <c r="C682" s="881"/>
      <c r="D682" s="914" t="s">
        <v>2183</v>
      </c>
      <c r="E682" s="1069">
        <v>693000000</v>
      </c>
      <c r="F682" s="1123">
        <v>661614000</v>
      </c>
      <c r="G682" s="1122">
        <f>F682/E682*100</f>
        <v>95.470995670995677</v>
      </c>
      <c r="H682" s="1121">
        <v>100</v>
      </c>
      <c r="I682" s="852"/>
      <c r="J682" s="802"/>
    </row>
    <row r="683" spans="3:10" ht="15" hidden="1" customHeight="1">
      <c r="C683" s="881"/>
      <c r="D683" s="917"/>
      <c r="E683" s="1070"/>
      <c r="F683" s="1124"/>
      <c r="G683" s="1122"/>
      <c r="H683" s="1121"/>
      <c r="I683" s="852"/>
      <c r="J683" s="802"/>
    </row>
    <row r="684" spans="3:10" ht="20.100000000000001" hidden="1" customHeight="1">
      <c r="C684" s="881"/>
      <c r="D684" s="917" t="s">
        <v>3900</v>
      </c>
      <c r="E684" s="1070">
        <f>E685</f>
        <v>8000000000</v>
      </c>
      <c r="F684" s="1124">
        <f>F685</f>
        <v>95700000</v>
      </c>
      <c r="G684" s="1122">
        <f>F684/E684*100</f>
        <v>1.1962499999999998</v>
      </c>
      <c r="H684" s="1121">
        <v>2</v>
      </c>
      <c r="I684" s="852"/>
      <c r="J684" s="802"/>
    </row>
    <row r="685" spans="3:10" ht="20.100000000000001" hidden="1" customHeight="1">
      <c r="C685" s="881"/>
      <c r="D685" s="917" t="s">
        <v>3899</v>
      </c>
      <c r="E685" s="1070">
        <f>SUM(E686)</f>
        <v>8000000000</v>
      </c>
      <c r="F685" s="1124">
        <f>F686</f>
        <v>95700000</v>
      </c>
      <c r="G685" s="1122">
        <f>F685/E685*100</f>
        <v>1.1962499999999998</v>
      </c>
      <c r="H685" s="1121">
        <v>2</v>
      </c>
      <c r="I685" s="852"/>
      <c r="J685" s="802"/>
    </row>
    <row r="686" spans="3:10" ht="20.100000000000001" hidden="1" customHeight="1">
      <c r="C686" s="881"/>
      <c r="D686" s="914" t="s">
        <v>3898</v>
      </c>
      <c r="E686" s="1069">
        <v>8000000000</v>
      </c>
      <c r="F686" s="1125">
        <v>95700000</v>
      </c>
      <c r="G686" s="1122">
        <f>F686/E686*100</f>
        <v>1.1962499999999998</v>
      </c>
      <c r="H686" s="1121">
        <v>2</v>
      </c>
      <c r="I686" s="852"/>
      <c r="J686" s="802"/>
    </row>
    <row r="687" spans="3:10" ht="15" hidden="1" customHeight="1">
      <c r="C687" s="881"/>
      <c r="D687" s="917"/>
      <c r="E687" s="1070"/>
      <c r="F687" s="1126"/>
      <c r="G687" s="1122"/>
      <c r="H687" s="1121"/>
      <c r="I687" s="852"/>
      <c r="J687" s="802"/>
    </row>
    <row r="688" spans="3:10" ht="20.100000000000001" hidden="1" customHeight="1">
      <c r="C688" s="881"/>
      <c r="D688" s="917" t="s">
        <v>701</v>
      </c>
      <c r="E688" s="1070">
        <f>E689</f>
        <v>4000000000</v>
      </c>
      <c r="F688" s="1126">
        <f>F689</f>
        <v>3974520000</v>
      </c>
      <c r="G688" s="1122">
        <f t="shared" ref="G688:G693" si="32">F688/E688*100</f>
        <v>99.363</v>
      </c>
      <c r="H688" s="1121">
        <v>100</v>
      </c>
      <c r="I688" s="852"/>
      <c r="J688" s="802"/>
    </row>
    <row r="689" spans="3:10" ht="20.100000000000001" hidden="1" customHeight="1">
      <c r="C689" s="881"/>
      <c r="D689" s="917" t="s">
        <v>1294</v>
      </c>
      <c r="E689" s="1070">
        <f>SUM(E690:E693)</f>
        <v>4000000000</v>
      </c>
      <c r="F689" s="1124">
        <f>F690+F691+F692+F693</f>
        <v>3974520000</v>
      </c>
      <c r="G689" s="1122">
        <f t="shared" si="32"/>
        <v>99.363</v>
      </c>
      <c r="H689" s="1121">
        <v>100</v>
      </c>
      <c r="I689" s="852"/>
      <c r="J689" s="802"/>
    </row>
    <row r="690" spans="3:10" ht="20.100000000000001" hidden="1" customHeight="1">
      <c r="C690" s="881"/>
      <c r="D690" s="914" t="s">
        <v>704</v>
      </c>
      <c r="E690" s="1069">
        <v>1000000000</v>
      </c>
      <c r="F690" s="1125">
        <v>995000000</v>
      </c>
      <c r="G690" s="1122">
        <f t="shared" si="32"/>
        <v>99.5</v>
      </c>
      <c r="H690" s="1121">
        <v>100</v>
      </c>
      <c r="I690" s="852"/>
      <c r="J690" s="802"/>
    </row>
    <row r="691" spans="3:10" ht="35.1" hidden="1" customHeight="1">
      <c r="C691" s="881"/>
      <c r="D691" s="914" t="s">
        <v>3897</v>
      </c>
      <c r="E691" s="1069">
        <v>1000000000</v>
      </c>
      <c r="F691" s="1123">
        <v>994170000</v>
      </c>
      <c r="G691" s="1122">
        <f t="shared" si="32"/>
        <v>99.417000000000002</v>
      </c>
      <c r="H691" s="1121">
        <v>100</v>
      </c>
      <c r="I691" s="852"/>
      <c r="J691" s="802"/>
    </row>
    <row r="692" spans="3:10" ht="35.1" hidden="1" customHeight="1">
      <c r="C692" s="881"/>
      <c r="D692" s="914" t="s">
        <v>705</v>
      </c>
      <c r="E692" s="1069">
        <v>1000000000</v>
      </c>
      <c r="F692" s="1125">
        <v>994250000</v>
      </c>
      <c r="G692" s="1122">
        <f t="shared" si="32"/>
        <v>99.424999999999997</v>
      </c>
      <c r="H692" s="1121">
        <v>100</v>
      </c>
      <c r="I692" s="852"/>
      <c r="J692" s="802"/>
    </row>
    <row r="693" spans="3:10" ht="20.100000000000001" hidden="1" customHeight="1">
      <c r="C693" s="881"/>
      <c r="D693" s="914" t="s">
        <v>3896</v>
      </c>
      <c r="E693" s="1069">
        <v>1000000000</v>
      </c>
      <c r="F693" s="1123">
        <v>991100000</v>
      </c>
      <c r="G693" s="1122">
        <f t="shared" si="32"/>
        <v>99.11</v>
      </c>
      <c r="H693" s="1121">
        <v>100</v>
      </c>
      <c r="I693" s="852"/>
      <c r="J693" s="802"/>
    </row>
    <row r="694" spans="3:10" ht="15" hidden="1" customHeight="1">
      <c r="C694" s="881"/>
      <c r="D694" s="917"/>
      <c r="E694" s="1070"/>
      <c r="F694" s="1124"/>
      <c r="G694" s="1122"/>
      <c r="H694" s="1121"/>
      <c r="I694" s="852"/>
      <c r="J694" s="802"/>
    </row>
    <row r="695" spans="3:10" ht="20.100000000000001" hidden="1" customHeight="1">
      <c r="C695" s="881"/>
      <c r="D695" s="917" t="s">
        <v>363</v>
      </c>
      <c r="E695" s="1070">
        <v>500000000</v>
      </c>
      <c r="F695" s="1124">
        <f>F696</f>
        <v>480150000</v>
      </c>
      <c r="G695" s="1122">
        <f>F695/E695*100</f>
        <v>96.03</v>
      </c>
      <c r="H695" s="1121">
        <v>100</v>
      </c>
      <c r="I695" s="852"/>
      <c r="J695" s="802"/>
    </row>
    <row r="696" spans="3:10" ht="20.100000000000001" hidden="1" customHeight="1">
      <c r="C696" s="881"/>
      <c r="D696" s="917" t="s">
        <v>753</v>
      </c>
      <c r="E696" s="1070">
        <v>500000000</v>
      </c>
      <c r="F696" s="1126">
        <f>F697</f>
        <v>480150000</v>
      </c>
      <c r="G696" s="1122">
        <f>F696/E696*100</f>
        <v>96.03</v>
      </c>
      <c r="H696" s="1121">
        <v>100</v>
      </c>
      <c r="I696" s="852"/>
      <c r="J696" s="802"/>
    </row>
    <row r="697" spans="3:10" ht="47.25" hidden="1" customHeight="1">
      <c r="C697" s="881"/>
      <c r="D697" s="914" t="s">
        <v>756</v>
      </c>
      <c r="E697" s="1069">
        <v>500000000</v>
      </c>
      <c r="F697" s="1125">
        <v>480150000</v>
      </c>
      <c r="G697" s="1122">
        <f>F697/E697*100</f>
        <v>96.03</v>
      </c>
      <c r="H697" s="1121">
        <v>100</v>
      </c>
      <c r="I697" s="852"/>
      <c r="J697" s="802"/>
    </row>
    <row r="698" spans="3:10" ht="15" hidden="1" customHeight="1">
      <c r="C698" s="881"/>
      <c r="D698" s="917"/>
      <c r="E698" s="1070"/>
      <c r="F698" s="1124"/>
      <c r="G698" s="1122"/>
      <c r="H698" s="1121"/>
      <c r="I698" s="852"/>
      <c r="J698" s="802"/>
    </row>
    <row r="699" spans="3:10" ht="20.100000000000001" hidden="1" customHeight="1">
      <c r="C699" s="881"/>
      <c r="D699" s="917" t="s">
        <v>745</v>
      </c>
      <c r="E699" s="1070">
        <v>1519785940</v>
      </c>
      <c r="F699" s="1124">
        <f>F700+F703+F706</f>
        <v>1518900840</v>
      </c>
      <c r="G699" s="1122">
        <f t="shared" ref="G699:G709" si="33">F699/E699*100</f>
        <v>99.941761535180405</v>
      </c>
      <c r="H699" s="1121">
        <v>100</v>
      </c>
      <c r="I699" s="852"/>
      <c r="J699" s="802"/>
    </row>
    <row r="700" spans="3:10" ht="20.100000000000001" hidden="1" customHeight="1">
      <c r="C700" s="881"/>
      <c r="D700" s="917" t="s">
        <v>746</v>
      </c>
      <c r="E700" s="1070">
        <v>800000000</v>
      </c>
      <c r="F700" s="1126">
        <f>F701+F702</f>
        <v>799928600</v>
      </c>
      <c r="G700" s="1122">
        <f t="shared" si="33"/>
        <v>99.991074999999995</v>
      </c>
      <c r="H700" s="1121">
        <v>100</v>
      </c>
      <c r="I700" s="852"/>
      <c r="J700" s="802"/>
    </row>
    <row r="701" spans="3:10" ht="35.1" hidden="1" customHeight="1">
      <c r="C701" s="881"/>
      <c r="D701" s="914" t="s">
        <v>748</v>
      </c>
      <c r="E701" s="1069">
        <v>400000000</v>
      </c>
      <c r="F701" s="1125">
        <v>399968600</v>
      </c>
      <c r="G701" s="1122">
        <f t="shared" si="33"/>
        <v>99.992149999999995</v>
      </c>
      <c r="H701" s="1121">
        <v>100</v>
      </c>
      <c r="I701" s="852"/>
      <c r="J701" s="802"/>
    </row>
    <row r="702" spans="3:10" ht="35.1" hidden="1" customHeight="1">
      <c r="C702" s="881"/>
      <c r="D702" s="914" t="s">
        <v>747</v>
      </c>
      <c r="E702" s="1069">
        <v>400000000</v>
      </c>
      <c r="F702" s="1125">
        <v>399960000</v>
      </c>
      <c r="G702" s="1122">
        <f t="shared" si="33"/>
        <v>99.99</v>
      </c>
      <c r="H702" s="1121">
        <v>100</v>
      </c>
      <c r="I702" s="852"/>
      <c r="J702" s="802"/>
    </row>
    <row r="703" spans="3:10" ht="20.100000000000001" hidden="1" customHeight="1">
      <c r="C703" s="881"/>
      <c r="D703" s="917" t="s">
        <v>753</v>
      </c>
      <c r="E703" s="1070">
        <v>180000000</v>
      </c>
      <c r="F703" s="1124">
        <f>F704+F705</f>
        <v>179338000</v>
      </c>
      <c r="G703" s="1122">
        <f t="shared" si="33"/>
        <v>99.632222222222225</v>
      </c>
      <c r="H703" s="1121">
        <v>100</v>
      </c>
      <c r="I703" s="852"/>
      <c r="J703" s="802"/>
    </row>
    <row r="704" spans="3:10" ht="35.1" hidden="1" customHeight="1">
      <c r="C704" s="881"/>
      <c r="D704" s="914" t="s">
        <v>755</v>
      </c>
      <c r="E704" s="1069">
        <v>80000000</v>
      </c>
      <c r="F704" s="1123">
        <v>79350000</v>
      </c>
      <c r="G704" s="1122">
        <f t="shared" si="33"/>
        <v>99.1875</v>
      </c>
      <c r="H704" s="1121">
        <v>100</v>
      </c>
      <c r="I704" s="852"/>
      <c r="J704" s="802"/>
    </row>
    <row r="705" spans="3:10" ht="35.1" hidden="1" customHeight="1">
      <c r="C705" s="881"/>
      <c r="D705" s="914" t="s">
        <v>754</v>
      </c>
      <c r="E705" s="1069">
        <v>100000000</v>
      </c>
      <c r="F705" s="1125">
        <v>99988000</v>
      </c>
      <c r="G705" s="1122">
        <f t="shared" si="33"/>
        <v>99.988</v>
      </c>
      <c r="H705" s="1121">
        <v>100</v>
      </c>
      <c r="I705" s="852"/>
      <c r="J705" s="802"/>
    </row>
    <row r="706" spans="3:10" ht="20.100000000000001" hidden="1" customHeight="1">
      <c r="C706" s="881"/>
      <c r="D706" s="917" t="s">
        <v>3895</v>
      </c>
      <c r="E706" s="1070">
        <v>539785940</v>
      </c>
      <c r="F706" s="1124">
        <f>F707+F708+F709</f>
        <v>539634240</v>
      </c>
      <c r="G706" s="1122">
        <f t="shared" si="33"/>
        <v>99.971896266879426</v>
      </c>
      <c r="H706" s="1121">
        <v>100</v>
      </c>
      <c r="I706" s="852"/>
      <c r="J706" s="802"/>
    </row>
    <row r="707" spans="3:10" ht="44.25" hidden="1" customHeight="1">
      <c r="C707" s="881"/>
      <c r="D707" s="914" t="s">
        <v>750</v>
      </c>
      <c r="E707" s="1069">
        <v>419785940</v>
      </c>
      <c r="F707" s="1123">
        <v>419665940</v>
      </c>
      <c r="G707" s="1122">
        <f t="shared" si="33"/>
        <v>99.9714140020983</v>
      </c>
      <c r="H707" s="1121">
        <v>100</v>
      </c>
      <c r="I707" s="852"/>
      <c r="J707" s="802"/>
    </row>
    <row r="708" spans="3:10" ht="41.25" hidden="1" customHeight="1">
      <c r="C708" s="881"/>
      <c r="D708" s="914" t="s">
        <v>752</v>
      </c>
      <c r="E708" s="1069">
        <v>40000000</v>
      </c>
      <c r="F708" s="1123">
        <v>39983300</v>
      </c>
      <c r="G708" s="1122">
        <f t="shared" si="33"/>
        <v>99.958250000000007</v>
      </c>
      <c r="H708" s="1121">
        <v>100</v>
      </c>
      <c r="I708" s="852"/>
      <c r="J708" s="802"/>
    </row>
    <row r="709" spans="3:10" ht="35.1" hidden="1" customHeight="1">
      <c r="C709" s="878"/>
      <c r="D709" s="914" t="s">
        <v>751</v>
      </c>
      <c r="E709" s="1069">
        <v>80000000</v>
      </c>
      <c r="F709" s="1123">
        <v>79985000</v>
      </c>
      <c r="G709" s="1122">
        <f t="shared" si="33"/>
        <v>99.981250000000003</v>
      </c>
      <c r="H709" s="1121">
        <v>100</v>
      </c>
      <c r="I709" s="852"/>
      <c r="J709" s="802"/>
    </row>
    <row r="710" spans="3:10" ht="15" hidden="1" customHeight="1">
      <c r="C710" s="881"/>
      <c r="D710" s="886"/>
      <c r="E710" s="855"/>
      <c r="F710" s="854"/>
      <c r="G710" s="854"/>
      <c r="H710" s="876"/>
      <c r="I710" s="852"/>
      <c r="J710" s="802"/>
    </row>
    <row r="711" spans="3:10" s="656" customFormat="1" ht="20.100000000000001" customHeight="1">
      <c r="C711" s="881" t="s">
        <v>765</v>
      </c>
      <c r="D711" s="893" t="s">
        <v>766</v>
      </c>
      <c r="E711" s="855">
        <f>+E712+E752+E760+E789+E799+E803+E807+E811+E815</f>
        <v>45992775231.57</v>
      </c>
      <c r="F711" s="855">
        <f>+F712+F752+F760+F789+F799+F803+F807+F811+F815</f>
        <v>42696923896</v>
      </c>
      <c r="G711" s="855">
        <f>+F711/E711*100</f>
        <v>92.833980295871157</v>
      </c>
      <c r="H711" s="887">
        <f>(H712+H752+H760+H789+H799+H803+H807+H811+H815)/9</f>
        <v>98.12444444444445</v>
      </c>
      <c r="I711" s="863"/>
      <c r="J711" s="44"/>
    </row>
    <row r="712" spans="3:10" ht="20.100000000000001" hidden="1" customHeight="1">
      <c r="C712" s="878"/>
      <c r="D712" s="1114" t="s">
        <v>767</v>
      </c>
      <c r="E712" s="1120">
        <f>+E713+E716+E728+E740+E745</f>
        <v>21969452173</v>
      </c>
      <c r="F712" s="140">
        <f>F713+F716+F728+F740+F745</f>
        <v>20217110553</v>
      </c>
      <c r="G712" s="1111">
        <f t="shared" ref="G712:G750" si="34">F712/E712*100</f>
        <v>92.023735475053897</v>
      </c>
      <c r="H712" s="1110">
        <v>97</v>
      </c>
      <c r="I712" s="852"/>
      <c r="J712" s="802"/>
    </row>
    <row r="713" spans="3:10" ht="20.100000000000001" hidden="1" customHeight="1">
      <c r="C713" s="878"/>
      <c r="D713" s="1114" t="s">
        <v>388</v>
      </c>
      <c r="E713" s="1119">
        <v>1155873750</v>
      </c>
      <c r="F713" s="140">
        <f>SUM(F714:F715)</f>
        <v>1002750000</v>
      </c>
      <c r="G713" s="1111">
        <f t="shared" si="34"/>
        <v>86.752554074352844</v>
      </c>
      <c r="H713" s="1110">
        <v>92</v>
      </c>
      <c r="I713" s="852"/>
      <c r="J713" s="802"/>
    </row>
    <row r="714" spans="3:10" ht="20.100000000000001" hidden="1" customHeight="1">
      <c r="C714" s="878"/>
      <c r="D714" s="1109" t="s">
        <v>3894</v>
      </c>
      <c r="E714" s="1117">
        <v>206073750</v>
      </c>
      <c r="F714" s="141">
        <v>104550000</v>
      </c>
      <c r="G714" s="1106">
        <f t="shared" si="34"/>
        <v>50.734263825450846</v>
      </c>
      <c r="H714" s="1116">
        <v>85</v>
      </c>
      <c r="I714" s="852"/>
      <c r="J714" s="802"/>
    </row>
    <row r="715" spans="3:10" ht="20.100000000000001" hidden="1" customHeight="1">
      <c r="C715" s="878"/>
      <c r="D715" s="1109" t="s">
        <v>3893</v>
      </c>
      <c r="E715" s="1117">
        <v>949800000</v>
      </c>
      <c r="F715" s="141">
        <v>898200000</v>
      </c>
      <c r="G715" s="1106">
        <f t="shared" si="34"/>
        <v>94.567277321541383</v>
      </c>
      <c r="H715" s="1105">
        <v>100</v>
      </c>
      <c r="I715" s="852"/>
      <c r="J715" s="802"/>
    </row>
    <row r="716" spans="3:10" ht="20.100000000000001" hidden="1" customHeight="1">
      <c r="C716" s="878"/>
      <c r="D716" s="1114" t="s">
        <v>394</v>
      </c>
      <c r="E716" s="1119">
        <v>9221095348</v>
      </c>
      <c r="F716" s="140">
        <f>SUM(F717:F727)</f>
        <v>7964201680</v>
      </c>
      <c r="G716" s="1111">
        <f t="shared" si="34"/>
        <v>86.369366972519018</v>
      </c>
      <c r="H716" s="1110">
        <v>100</v>
      </c>
      <c r="I716" s="852"/>
      <c r="J716" s="802"/>
    </row>
    <row r="717" spans="3:10" ht="20.100000000000001" hidden="1" customHeight="1">
      <c r="C717" s="878"/>
      <c r="D717" s="1109" t="s">
        <v>3892</v>
      </c>
      <c r="E717" s="1117">
        <v>262254000</v>
      </c>
      <c r="F717" s="141">
        <v>262200000</v>
      </c>
      <c r="G717" s="1106">
        <f t="shared" si="34"/>
        <v>99.979409274977698</v>
      </c>
      <c r="H717" s="1116">
        <v>100</v>
      </c>
      <c r="I717" s="852"/>
      <c r="J717" s="802"/>
    </row>
    <row r="718" spans="3:10" ht="20.100000000000001" hidden="1" customHeight="1">
      <c r="C718" s="878"/>
      <c r="D718" s="1109" t="s">
        <v>3891</v>
      </c>
      <c r="E718" s="1117">
        <v>40000000</v>
      </c>
      <c r="F718" s="141">
        <v>36136100</v>
      </c>
      <c r="G718" s="1106">
        <f t="shared" si="34"/>
        <v>90.340249999999997</v>
      </c>
      <c r="H718" s="1105">
        <v>100</v>
      </c>
      <c r="I718" s="852"/>
      <c r="J718" s="802"/>
    </row>
    <row r="719" spans="3:10" ht="20.100000000000001" hidden="1" customHeight="1">
      <c r="C719" s="878"/>
      <c r="D719" s="1109" t="s">
        <v>3890</v>
      </c>
      <c r="E719" s="1117">
        <v>65000000</v>
      </c>
      <c r="F719" s="141">
        <v>64386100</v>
      </c>
      <c r="G719" s="1106">
        <f t="shared" si="34"/>
        <v>99.055538461538461</v>
      </c>
      <c r="H719" s="1105">
        <v>100</v>
      </c>
      <c r="I719" s="852"/>
      <c r="J719" s="802"/>
    </row>
    <row r="720" spans="3:10" ht="20.100000000000001" hidden="1" customHeight="1">
      <c r="C720" s="878"/>
      <c r="D720" s="1109" t="s">
        <v>3889</v>
      </c>
      <c r="E720" s="1117">
        <v>850000000</v>
      </c>
      <c r="F720" s="141">
        <v>845998500</v>
      </c>
      <c r="G720" s="1106">
        <f t="shared" si="34"/>
        <v>99.52923529411764</v>
      </c>
      <c r="H720" s="1105">
        <v>100</v>
      </c>
      <c r="I720" s="852"/>
      <c r="J720" s="802"/>
    </row>
    <row r="721" spans="3:10" ht="20.100000000000001" hidden="1" customHeight="1">
      <c r="C721" s="878"/>
      <c r="D721" s="1109" t="s">
        <v>3888</v>
      </c>
      <c r="E721" s="1117">
        <v>800000000</v>
      </c>
      <c r="F721" s="141">
        <v>800000000</v>
      </c>
      <c r="G721" s="1106">
        <f t="shared" si="34"/>
        <v>100</v>
      </c>
      <c r="H721" s="1105">
        <v>100</v>
      </c>
      <c r="I721" s="852"/>
      <c r="J721" s="802"/>
    </row>
    <row r="722" spans="3:10" ht="20.100000000000001" hidden="1" customHeight="1">
      <c r="C722" s="878"/>
      <c r="D722" s="1109" t="s">
        <v>3887</v>
      </c>
      <c r="E722" s="1117">
        <v>1100000000</v>
      </c>
      <c r="F722" s="141">
        <v>1087763000</v>
      </c>
      <c r="G722" s="1106">
        <f t="shared" si="34"/>
        <v>98.88754545454546</v>
      </c>
      <c r="H722" s="1105">
        <v>100</v>
      </c>
      <c r="I722" s="852"/>
      <c r="J722" s="802"/>
    </row>
    <row r="723" spans="3:10" ht="20.100000000000001" hidden="1" customHeight="1">
      <c r="C723" s="878"/>
      <c r="D723" s="1109" t="s">
        <v>3886</v>
      </c>
      <c r="E723" s="1117">
        <v>2689277708</v>
      </c>
      <c r="F723" s="141">
        <v>1992852480</v>
      </c>
      <c r="G723" s="1106">
        <f t="shared" si="34"/>
        <v>74.103632885205911</v>
      </c>
      <c r="H723" s="1105">
        <v>100</v>
      </c>
      <c r="I723" s="852"/>
      <c r="J723" s="802"/>
    </row>
    <row r="724" spans="3:10" ht="20.100000000000001" hidden="1" customHeight="1">
      <c r="C724" s="878"/>
      <c r="D724" s="1109" t="s">
        <v>3885</v>
      </c>
      <c r="E724" s="1117">
        <v>2816390640</v>
      </c>
      <c r="F724" s="141">
        <v>2278055500</v>
      </c>
      <c r="G724" s="1106">
        <f t="shared" si="34"/>
        <v>80.885636660119005</v>
      </c>
      <c r="H724" s="1105">
        <v>100</v>
      </c>
      <c r="I724" s="852"/>
      <c r="J724" s="802"/>
    </row>
    <row r="725" spans="3:10" ht="20.100000000000001" hidden="1" customHeight="1">
      <c r="C725" s="878"/>
      <c r="D725" s="1109" t="s">
        <v>3884</v>
      </c>
      <c r="E725" s="1117">
        <v>150000000</v>
      </c>
      <c r="F725" s="141">
        <v>149710000</v>
      </c>
      <c r="G725" s="1106">
        <f t="shared" si="34"/>
        <v>99.806666666666672</v>
      </c>
      <c r="H725" s="1105">
        <v>100</v>
      </c>
      <c r="I725" s="852"/>
      <c r="J725" s="802"/>
    </row>
    <row r="726" spans="3:10" ht="20.100000000000001" hidden="1" customHeight="1">
      <c r="C726" s="878"/>
      <c r="D726" s="1109" t="s">
        <v>3883</v>
      </c>
      <c r="E726" s="1108">
        <v>316590000</v>
      </c>
      <c r="F726" s="141">
        <v>316000000</v>
      </c>
      <c r="G726" s="1106">
        <f t="shared" si="34"/>
        <v>99.813639091569542</v>
      </c>
      <c r="H726" s="1116">
        <v>100</v>
      </c>
      <c r="I726" s="852"/>
      <c r="J726" s="802"/>
    </row>
    <row r="727" spans="3:10" ht="20.100000000000001" hidden="1" customHeight="1">
      <c r="C727" s="878"/>
      <c r="D727" s="1109" t="s">
        <v>3882</v>
      </c>
      <c r="E727" s="1108">
        <v>131583000</v>
      </c>
      <c r="F727" s="141">
        <v>131100000</v>
      </c>
      <c r="G727" s="1106">
        <f t="shared" si="34"/>
        <v>99.632931305715786</v>
      </c>
      <c r="H727" s="1116">
        <v>100</v>
      </c>
      <c r="I727" s="852"/>
      <c r="J727" s="802"/>
    </row>
    <row r="728" spans="3:10" ht="20.100000000000001" hidden="1" customHeight="1">
      <c r="C728" s="878"/>
      <c r="D728" s="1114" t="s">
        <v>404</v>
      </c>
      <c r="E728" s="1113">
        <v>3231283075</v>
      </c>
      <c r="F728" s="1112">
        <f>SUM(F729:F739)</f>
        <v>3215499955</v>
      </c>
      <c r="G728" s="1111">
        <f t="shared" si="34"/>
        <v>99.511552543257139</v>
      </c>
      <c r="H728" s="1110">
        <v>100</v>
      </c>
      <c r="I728" s="852"/>
      <c r="J728" s="802"/>
    </row>
    <row r="729" spans="3:10" ht="20.100000000000001" hidden="1" customHeight="1">
      <c r="C729" s="878"/>
      <c r="D729" s="1109" t="s">
        <v>3881</v>
      </c>
      <c r="E729" s="1108">
        <v>35350000</v>
      </c>
      <c r="F729" s="141">
        <v>33175000</v>
      </c>
      <c r="G729" s="1106">
        <f t="shared" si="34"/>
        <v>93.847241867043849</v>
      </c>
      <c r="H729" s="1116">
        <v>100</v>
      </c>
      <c r="I729" s="852"/>
      <c r="J729" s="802"/>
    </row>
    <row r="730" spans="3:10" ht="20.100000000000001" hidden="1" customHeight="1">
      <c r="C730" s="878"/>
      <c r="D730" s="1109" t="s">
        <v>3880</v>
      </c>
      <c r="E730" s="1108">
        <v>153597575</v>
      </c>
      <c r="F730" s="1115">
        <v>153597575</v>
      </c>
      <c r="G730" s="1106">
        <f t="shared" si="34"/>
        <v>100</v>
      </c>
      <c r="H730" s="1105">
        <v>100</v>
      </c>
      <c r="I730" s="852"/>
      <c r="J730" s="802"/>
    </row>
    <row r="731" spans="3:10" ht="20.100000000000001" hidden="1" customHeight="1">
      <c r="C731" s="878"/>
      <c r="D731" s="1109" t="s">
        <v>3879</v>
      </c>
      <c r="E731" s="1108">
        <v>50000000</v>
      </c>
      <c r="F731" s="141">
        <v>49575000</v>
      </c>
      <c r="G731" s="1106">
        <f t="shared" si="34"/>
        <v>99.15</v>
      </c>
      <c r="H731" s="1116">
        <v>100</v>
      </c>
      <c r="I731" s="852"/>
      <c r="J731" s="802"/>
    </row>
    <row r="732" spans="3:10" ht="20.100000000000001" hidden="1" customHeight="1">
      <c r="C732" s="878"/>
      <c r="D732" s="1109" t="s">
        <v>3878</v>
      </c>
      <c r="E732" s="1108">
        <v>112575000</v>
      </c>
      <c r="F732" s="1115">
        <v>112575000</v>
      </c>
      <c r="G732" s="1106">
        <f t="shared" si="34"/>
        <v>100</v>
      </c>
      <c r="H732" s="1105">
        <v>100</v>
      </c>
      <c r="I732" s="852"/>
      <c r="J732" s="802"/>
    </row>
    <row r="733" spans="3:10" ht="20.100000000000001" hidden="1" customHeight="1">
      <c r="C733" s="878"/>
      <c r="D733" s="1109" t="s">
        <v>3877</v>
      </c>
      <c r="E733" s="1108">
        <v>70480000</v>
      </c>
      <c r="F733" s="1115">
        <v>66785000</v>
      </c>
      <c r="G733" s="1106">
        <f t="shared" si="34"/>
        <v>94.757377979568673</v>
      </c>
      <c r="H733" s="1105">
        <v>100</v>
      </c>
      <c r="I733" s="852"/>
      <c r="J733" s="802"/>
    </row>
    <row r="734" spans="3:10" ht="20.100000000000001" hidden="1" customHeight="1">
      <c r="C734" s="878"/>
      <c r="D734" s="1109" t="s">
        <v>3876</v>
      </c>
      <c r="E734" s="1108">
        <v>100000000</v>
      </c>
      <c r="F734" s="1115">
        <v>99556100</v>
      </c>
      <c r="G734" s="1106">
        <f t="shared" si="34"/>
        <v>99.556100000000001</v>
      </c>
      <c r="H734" s="1105">
        <v>100</v>
      </c>
      <c r="I734" s="852"/>
      <c r="J734" s="802"/>
    </row>
    <row r="735" spans="3:10" ht="20.100000000000001" hidden="1" customHeight="1">
      <c r="C735" s="878"/>
      <c r="D735" s="1109" t="s">
        <v>3875</v>
      </c>
      <c r="E735" s="1108">
        <v>523240000</v>
      </c>
      <c r="F735" s="1115">
        <v>523240000</v>
      </c>
      <c r="G735" s="1106">
        <f t="shared" si="34"/>
        <v>100</v>
      </c>
      <c r="H735" s="1105">
        <v>100</v>
      </c>
      <c r="I735" s="852"/>
      <c r="J735" s="802"/>
    </row>
    <row r="736" spans="3:10" ht="20.100000000000001" hidden="1" customHeight="1">
      <c r="C736" s="878"/>
      <c r="D736" s="1109" t="s">
        <v>3874</v>
      </c>
      <c r="E736" s="1108">
        <v>211644000</v>
      </c>
      <c r="F736" s="1115">
        <v>206878480</v>
      </c>
      <c r="G736" s="1106">
        <f t="shared" si="34"/>
        <v>97.748332104855322</v>
      </c>
      <c r="H736" s="1105">
        <v>100</v>
      </c>
      <c r="I736" s="852"/>
      <c r="J736" s="802"/>
    </row>
    <row r="737" spans="3:10" ht="20.100000000000001" hidden="1" customHeight="1">
      <c r="C737" s="878"/>
      <c r="D737" s="1109" t="s">
        <v>3873</v>
      </c>
      <c r="E737" s="1108">
        <v>857760000</v>
      </c>
      <c r="F737" s="1115">
        <v>857760000</v>
      </c>
      <c r="G737" s="1106">
        <f t="shared" si="34"/>
        <v>100</v>
      </c>
      <c r="H737" s="1105">
        <v>100</v>
      </c>
      <c r="I737" s="852"/>
      <c r="J737" s="802"/>
    </row>
    <row r="738" spans="3:10" ht="20.100000000000001" hidden="1" customHeight="1">
      <c r="C738" s="878"/>
      <c r="D738" s="1109" t="s">
        <v>3872</v>
      </c>
      <c r="E738" s="1108">
        <v>1088376500</v>
      </c>
      <c r="F738" s="1115">
        <v>1084097800</v>
      </c>
      <c r="G738" s="1106">
        <f t="shared" si="34"/>
        <v>99.606873173024226</v>
      </c>
      <c r="H738" s="1105">
        <v>100</v>
      </c>
      <c r="I738" s="852"/>
      <c r="J738" s="802"/>
    </row>
    <row r="739" spans="3:10" ht="20.100000000000001" hidden="1" customHeight="1">
      <c r="C739" s="878"/>
      <c r="D739" s="1109" t="s">
        <v>3871</v>
      </c>
      <c r="E739" s="1108">
        <v>28260000</v>
      </c>
      <c r="F739" s="1115">
        <v>28260000</v>
      </c>
      <c r="G739" s="1106">
        <f t="shared" si="34"/>
        <v>100</v>
      </c>
      <c r="H739" s="1105">
        <v>100</v>
      </c>
      <c r="I739" s="852"/>
      <c r="J739" s="802"/>
    </row>
    <row r="740" spans="3:10" ht="20.100000000000001" hidden="1" customHeight="1">
      <c r="C740" s="878"/>
      <c r="D740" s="1114" t="s">
        <v>106</v>
      </c>
      <c r="E740" s="1113">
        <v>654000000</v>
      </c>
      <c r="F740" s="1112">
        <f>SUM(F741:F744)</f>
        <v>654000000</v>
      </c>
      <c r="G740" s="1111">
        <f t="shared" si="34"/>
        <v>100</v>
      </c>
      <c r="H740" s="1110">
        <v>100</v>
      </c>
      <c r="I740" s="852"/>
      <c r="J740" s="802"/>
    </row>
    <row r="741" spans="3:10" ht="20.100000000000001" hidden="1" customHeight="1">
      <c r="C741" s="878"/>
      <c r="D741" s="1109" t="s">
        <v>3870</v>
      </c>
      <c r="E741" s="1108">
        <v>144000000</v>
      </c>
      <c r="F741" s="1115">
        <v>144000000</v>
      </c>
      <c r="G741" s="1106">
        <f t="shared" si="34"/>
        <v>100</v>
      </c>
      <c r="H741" s="1105">
        <v>100</v>
      </c>
      <c r="I741" s="852"/>
      <c r="J741" s="802"/>
    </row>
    <row r="742" spans="3:10" ht="20.100000000000001" hidden="1" customHeight="1">
      <c r="C742" s="878"/>
      <c r="D742" s="1109" t="s">
        <v>3869</v>
      </c>
      <c r="E742" s="1108">
        <v>60000000</v>
      </c>
      <c r="F742" s="1115">
        <v>60000000</v>
      </c>
      <c r="G742" s="1106">
        <f t="shared" si="34"/>
        <v>100</v>
      </c>
      <c r="H742" s="1105">
        <v>100</v>
      </c>
      <c r="I742" s="852"/>
      <c r="J742" s="802"/>
    </row>
    <row r="743" spans="3:10" ht="20.100000000000001" hidden="1" customHeight="1">
      <c r="C743" s="878"/>
      <c r="D743" s="1109" t="s">
        <v>3868</v>
      </c>
      <c r="E743" s="1108">
        <v>150000000</v>
      </c>
      <c r="F743" s="1115">
        <v>150000000</v>
      </c>
      <c r="G743" s="1106">
        <f t="shared" si="34"/>
        <v>100</v>
      </c>
      <c r="H743" s="1105">
        <v>100</v>
      </c>
      <c r="I743" s="852"/>
      <c r="J743" s="802"/>
    </row>
    <row r="744" spans="3:10" ht="20.100000000000001" hidden="1" customHeight="1">
      <c r="C744" s="878"/>
      <c r="D744" s="1109" t="s">
        <v>3867</v>
      </c>
      <c r="E744" s="1108">
        <v>300000000</v>
      </c>
      <c r="F744" s="1115">
        <v>300000000</v>
      </c>
      <c r="G744" s="1106">
        <f t="shared" si="34"/>
        <v>100</v>
      </c>
      <c r="H744" s="1105">
        <v>100</v>
      </c>
      <c r="I744" s="852"/>
      <c r="J744" s="802"/>
    </row>
    <row r="745" spans="3:10" ht="20.100000000000001" hidden="1" customHeight="1">
      <c r="C745" s="878"/>
      <c r="D745" s="1114" t="s">
        <v>2075</v>
      </c>
      <c r="E745" s="1113">
        <v>7707200000</v>
      </c>
      <c r="F745" s="1112">
        <f>SUM(F746:F750)</f>
        <v>7380658918</v>
      </c>
      <c r="G745" s="1111">
        <f t="shared" si="34"/>
        <v>95.763168439900355</v>
      </c>
      <c r="H745" s="1110">
        <v>100</v>
      </c>
      <c r="I745" s="852"/>
      <c r="J745" s="802"/>
    </row>
    <row r="746" spans="3:10" ht="20.100000000000001" hidden="1" customHeight="1">
      <c r="C746" s="878"/>
      <c r="D746" s="1109" t="s">
        <v>3866</v>
      </c>
      <c r="E746" s="1108">
        <v>5443250000</v>
      </c>
      <c r="F746" s="1115">
        <v>5310834380</v>
      </c>
      <c r="G746" s="1106">
        <f t="shared" si="34"/>
        <v>97.567342672116837</v>
      </c>
      <c r="H746" s="1105">
        <v>100</v>
      </c>
      <c r="I746" s="852"/>
      <c r="J746" s="802"/>
    </row>
    <row r="747" spans="3:10" ht="20.100000000000001" hidden="1" customHeight="1">
      <c r="C747" s="878"/>
      <c r="D747" s="1109" t="s">
        <v>3865</v>
      </c>
      <c r="E747" s="1108">
        <v>90000000</v>
      </c>
      <c r="F747" s="141">
        <v>90000000</v>
      </c>
      <c r="G747" s="1106">
        <f t="shared" si="34"/>
        <v>100</v>
      </c>
      <c r="H747" s="1116">
        <v>100</v>
      </c>
      <c r="I747" s="852"/>
      <c r="J747" s="802"/>
    </row>
    <row r="748" spans="3:10" ht="20.100000000000001" hidden="1" customHeight="1">
      <c r="C748" s="878"/>
      <c r="D748" s="1109" t="s">
        <v>3864</v>
      </c>
      <c r="E748" s="1108">
        <v>808950000</v>
      </c>
      <c r="F748" s="1115">
        <v>806814390</v>
      </c>
      <c r="G748" s="1106">
        <f t="shared" si="34"/>
        <v>99.736002225106617</v>
      </c>
      <c r="H748" s="1105">
        <v>100</v>
      </c>
      <c r="I748" s="852"/>
      <c r="J748" s="802"/>
    </row>
    <row r="749" spans="3:10" ht="20.100000000000001" hidden="1" customHeight="1">
      <c r="C749" s="878"/>
      <c r="D749" s="1109" t="s">
        <v>3863</v>
      </c>
      <c r="E749" s="1108">
        <v>365000000</v>
      </c>
      <c r="F749" s="1115">
        <v>362936348</v>
      </c>
      <c r="G749" s="1106">
        <f t="shared" si="34"/>
        <v>99.434615890410953</v>
      </c>
      <c r="H749" s="1105">
        <v>100</v>
      </c>
      <c r="I749" s="852"/>
      <c r="J749" s="802"/>
    </row>
    <row r="750" spans="3:10" ht="20.100000000000001" hidden="1" customHeight="1">
      <c r="C750" s="878"/>
      <c r="D750" s="1109" t="s">
        <v>3862</v>
      </c>
      <c r="E750" s="1108">
        <v>1000000000</v>
      </c>
      <c r="F750" s="1115">
        <v>810073800</v>
      </c>
      <c r="G750" s="1106">
        <f t="shared" si="34"/>
        <v>81.007379999999998</v>
      </c>
      <c r="H750" s="1105">
        <v>100</v>
      </c>
      <c r="I750" s="852"/>
      <c r="J750" s="802"/>
    </row>
    <row r="751" spans="3:10" ht="15" hidden="1" customHeight="1">
      <c r="C751" s="878"/>
      <c r="D751" s="1109"/>
      <c r="E751" s="1108"/>
      <c r="F751" s="1115"/>
      <c r="G751" s="1106"/>
      <c r="H751" s="1105"/>
      <c r="I751" s="852"/>
      <c r="J751" s="802"/>
    </row>
    <row r="752" spans="3:10" ht="20.100000000000001" hidden="1" customHeight="1">
      <c r="C752" s="878"/>
      <c r="D752" s="1114" t="s">
        <v>820</v>
      </c>
      <c r="E752" s="1113">
        <f>+E753+E755</f>
        <v>5547631652</v>
      </c>
      <c r="F752" s="1112">
        <f>SUM(F753+F755)</f>
        <v>4914005548</v>
      </c>
      <c r="G752" s="1111">
        <f t="shared" ref="G752:G758" si="35">F752/E752*100</f>
        <v>88.578439526143214</v>
      </c>
      <c r="H752" s="1110">
        <v>100</v>
      </c>
      <c r="I752" s="852"/>
      <c r="J752" s="802"/>
    </row>
    <row r="753" spans="3:10" ht="20.100000000000001" hidden="1" customHeight="1">
      <c r="C753" s="878"/>
      <c r="D753" s="1114" t="s">
        <v>3861</v>
      </c>
      <c r="E753" s="1113">
        <v>1000000000</v>
      </c>
      <c r="F753" s="1112">
        <f>SUM(F754)</f>
        <v>1000000000</v>
      </c>
      <c r="G753" s="1111">
        <f t="shared" si="35"/>
        <v>100</v>
      </c>
      <c r="H753" s="1110">
        <v>100</v>
      </c>
      <c r="I753" s="852"/>
      <c r="J753" s="802"/>
    </row>
    <row r="754" spans="3:10" ht="20.100000000000001" hidden="1" customHeight="1">
      <c r="C754" s="878"/>
      <c r="D754" s="1109" t="s">
        <v>3860</v>
      </c>
      <c r="E754" s="1108">
        <v>1000000000</v>
      </c>
      <c r="F754" s="1115">
        <v>1000000000</v>
      </c>
      <c r="G754" s="1106">
        <f t="shared" si="35"/>
        <v>100</v>
      </c>
      <c r="H754" s="1105">
        <v>100</v>
      </c>
      <c r="I754" s="852"/>
      <c r="J754" s="802"/>
    </row>
    <row r="755" spans="3:10" ht="20.100000000000001" hidden="1" customHeight="1">
      <c r="C755" s="878"/>
      <c r="D755" s="1114" t="s">
        <v>3859</v>
      </c>
      <c r="E755" s="1113">
        <v>4547631652</v>
      </c>
      <c r="F755" s="1112">
        <f>SUM(F756:F758)</f>
        <v>3914005548</v>
      </c>
      <c r="G755" s="1111">
        <f t="shared" si="35"/>
        <v>86.066899157909191</v>
      </c>
      <c r="H755" s="1110">
        <v>100</v>
      </c>
      <c r="I755" s="852"/>
      <c r="J755" s="802"/>
    </row>
    <row r="756" spans="3:10" ht="20.100000000000001" hidden="1" customHeight="1">
      <c r="C756" s="878"/>
      <c r="D756" s="1109" t="s">
        <v>3858</v>
      </c>
      <c r="E756" s="1108">
        <v>634320000</v>
      </c>
      <c r="F756" s="1115">
        <v>634320000</v>
      </c>
      <c r="G756" s="1106">
        <f t="shared" si="35"/>
        <v>100</v>
      </c>
      <c r="H756" s="1105">
        <v>100</v>
      </c>
      <c r="I756" s="852"/>
      <c r="J756" s="802"/>
    </row>
    <row r="757" spans="3:10" ht="20.100000000000001" hidden="1" customHeight="1">
      <c r="C757" s="878"/>
      <c r="D757" s="1109" t="s">
        <v>794</v>
      </c>
      <c r="E757" s="1108">
        <v>2985222292</v>
      </c>
      <c r="F757" s="1115">
        <v>2542866192</v>
      </c>
      <c r="G757" s="1106">
        <f t="shared" si="35"/>
        <v>85.181803673868586</v>
      </c>
      <c r="H757" s="1105">
        <v>100</v>
      </c>
      <c r="I757" s="852"/>
      <c r="J757" s="802"/>
    </row>
    <row r="758" spans="3:10" s="898" customFormat="1" ht="20.100000000000001" hidden="1" customHeight="1">
      <c r="C758" s="878"/>
      <c r="D758" s="1109" t="s">
        <v>3857</v>
      </c>
      <c r="E758" s="1108">
        <v>928089360</v>
      </c>
      <c r="F758" s="1115">
        <v>736819356</v>
      </c>
      <c r="G758" s="1106">
        <f t="shared" si="35"/>
        <v>79.390992694927562</v>
      </c>
      <c r="H758" s="1105">
        <v>100</v>
      </c>
      <c r="I758" s="852"/>
      <c r="J758" s="802"/>
    </row>
    <row r="759" spans="3:10" ht="15" hidden="1" customHeight="1">
      <c r="C759" s="878"/>
      <c r="D759" s="1114"/>
      <c r="E759" s="1113"/>
      <c r="F759" s="1112"/>
      <c r="G759" s="1111"/>
      <c r="H759" s="1110"/>
      <c r="I759" s="852"/>
      <c r="J759" s="802"/>
    </row>
    <row r="760" spans="3:10" ht="20.100000000000001" hidden="1" customHeight="1">
      <c r="C760" s="878"/>
      <c r="D760" s="1114" t="s">
        <v>65</v>
      </c>
      <c r="E760" s="1113">
        <f>+E761+E764+E768+E770+E772+E775+E781+E783+E785</f>
        <v>7722015656</v>
      </c>
      <c r="F760" s="1112">
        <f>F761+F764+F768+F770+F772+F775+F781+F783+F785</f>
        <v>7640105465</v>
      </c>
      <c r="G760" s="1111">
        <f t="shared" ref="G760:G787" si="36">F760/E760*100</f>
        <v>98.939264116405198</v>
      </c>
      <c r="H760" s="1110">
        <v>100</v>
      </c>
      <c r="I760" s="852"/>
      <c r="J760" s="802"/>
    </row>
    <row r="761" spans="3:10" ht="20.100000000000001" hidden="1" customHeight="1">
      <c r="C761" s="878"/>
      <c r="D761" s="1114" t="s">
        <v>162</v>
      </c>
      <c r="E761" s="1113">
        <v>1450000000</v>
      </c>
      <c r="F761" s="1112">
        <f>SUM(F762:F763)</f>
        <v>1449991465</v>
      </c>
      <c r="G761" s="1111">
        <f t="shared" si="36"/>
        <v>99.999411379310345</v>
      </c>
      <c r="H761" s="1110">
        <v>100</v>
      </c>
      <c r="I761" s="852"/>
      <c r="J761" s="802"/>
    </row>
    <row r="762" spans="3:10" ht="20.100000000000001" hidden="1" customHeight="1">
      <c r="C762" s="878"/>
      <c r="D762" s="1109" t="s">
        <v>2593</v>
      </c>
      <c r="E762" s="1108">
        <v>450000000</v>
      </c>
      <c r="F762" s="1115">
        <v>450000000</v>
      </c>
      <c r="G762" s="1106">
        <f t="shared" si="36"/>
        <v>100</v>
      </c>
      <c r="H762" s="1105">
        <v>100</v>
      </c>
      <c r="I762" s="852"/>
      <c r="J762" s="802"/>
    </row>
    <row r="763" spans="3:10" ht="20.100000000000001" hidden="1" customHeight="1">
      <c r="C763" s="878"/>
      <c r="D763" s="1109" t="s">
        <v>1222</v>
      </c>
      <c r="E763" s="1108">
        <v>1000000000</v>
      </c>
      <c r="F763" s="141">
        <v>999991465</v>
      </c>
      <c r="G763" s="1106">
        <f t="shared" si="36"/>
        <v>99.999146500000009</v>
      </c>
      <c r="H763" s="1116">
        <v>100</v>
      </c>
      <c r="I763" s="852"/>
      <c r="J763" s="802"/>
    </row>
    <row r="764" spans="3:10" ht="20.100000000000001" hidden="1" customHeight="1">
      <c r="C764" s="878"/>
      <c r="D764" s="1114" t="s">
        <v>173</v>
      </c>
      <c r="E764" s="1113">
        <v>4579150000</v>
      </c>
      <c r="F764" s="1112">
        <f>SUM(F765:F767)</f>
        <v>4554150000</v>
      </c>
      <c r="G764" s="1111">
        <f t="shared" si="36"/>
        <v>99.454047148488257</v>
      </c>
      <c r="H764" s="1110">
        <v>100</v>
      </c>
      <c r="I764" s="852"/>
      <c r="J764" s="802"/>
    </row>
    <row r="765" spans="3:10" ht="20.100000000000001" hidden="1" customHeight="1">
      <c r="C765" s="878"/>
      <c r="D765" s="1109" t="s">
        <v>2594</v>
      </c>
      <c r="E765" s="1108">
        <v>240000000</v>
      </c>
      <c r="F765" s="1115">
        <v>240000000</v>
      </c>
      <c r="G765" s="1106">
        <f t="shared" si="36"/>
        <v>100</v>
      </c>
      <c r="H765" s="1105">
        <v>100</v>
      </c>
      <c r="I765" s="852"/>
      <c r="J765" s="802"/>
    </row>
    <row r="766" spans="3:10" ht="20.100000000000001" hidden="1" customHeight="1">
      <c r="C766" s="878"/>
      <c r="D766" s="1109" t="s">
        <v>2595</v>
      </c>
      <c r="E766" s="1108">
        <v>150000000</v>
      </c>
      <c r="F766" s="1115">
        <v>150000000</v>
      </c>
      <c r="G766" s="1106">
        <f t="shared" si="36"/>
        <v>100</v>
      </c>
      <c r="H766" s="1105">
        <v>100</v>
      </c>
      <c r="I766" s="852"/>
      <c r="J766" s="802"/>
    </row>
    <row r="767" spans="3:10" ht="20.100000000000001" hidden="1" customHeight="1">
      <c r="C767" s="878"/>
      <c r="D767" s="1109" t="s">
        <v>2596</v>
      </c>
      <c r="E767" s="1108">
        <v>4189150000</v>
      </c>
      <c r="F767" s="1115">
        <v>4164150000</v>
      </c>
      <c r="G767" s="1106">
        <f t="shared" si="36"/>
        <v>99.40322022367306</v>
      </c>
      <c r="H767" s="1105">
        <v>100</v>
      </c>
      <c r="I767" s="852"/>
      <c r="J767" s="802"/>
    </row>
    <row r="768" spans="3:10" ht="20.100000000000001" hidden="1" customHeight="1">
      <c r="C768" s="878"/>
      <c r="D768" s="1114" t="s">
        <v>177</v>
      </c>
      <c r="E768" s="1119">
        <v>150000000</v>
      </c>
      <c r="F768" s="140">
        <f>SUM(F769)</f>
        <v>150000000</v>
      </c>
      <c r="G768" s="1111">
        <f t="shared" si="36"/>
        <v>100</v>
      </c>
      <c r="H768" s="1110">
        <v>100</v>
      </c>
      <c r="I768" s="852"/>
      <c r="J768" s="802"/>
    </row>
    <row r="769" spans="3:10" ht="35.1" hidden="1" customHeight="1">
      <c r="C769" s="878"/>
      <c r="D769" s="1109" t="s">
        <v>2597</v>
      </c>
      <c r="E769" s="1117">
        <v>150000000</v>
      </c>
      <c r="F769" s="141">
        <v>150000000</v>
      </c>
      <c r="G769" s="1106">
        <f t="shared" si="36"/>
        <v>100</v>
      </c>
      <c r="H769" s="1105">
        <v>100</v>
      </c>
      <c r="I769" s="852"/>
      <c r="J769" s="802"/>
    </row>
    <row r="770" spans="3:10" ht="20.100000000000001" hidden="1" customHeight="1">
      <c r="C770" s="878"/>
      <c r="D770" s="1114" t="s">
        <v>179</v>
      </c>
      <c r="E770" s="1119">
        <v>60000000</v>
      </c>
      <c r="F770" s="140">
        <f>SUM(F771)</f>
        <v>60000000</v>
      </c>
      <c r="G770" s="1111">
        <f t="shared" si="36"/>
        <v>100</v>
      </c>
      <c r="H770" s="1110">
        <v>100</v>
      </c>
      <c r="I770" s="852"/>
      <c r="J770" s="802"/>
    </row>
    <row r="771" spans="3:10" ht="35.1" hidden="1" customHeight="1">
      <c r="C771" s="878"/>
      <c r="D771" s="1109" t="s">
        <v>3856</v>
      </c>
      <c r="E771" s="1117">
        <v>60000000</v>
      </c>
      <c r="F771" s="141">
        <v>60000000</v>
      </c>
      <c r="G771" s="1106">
        <f t="shared" si="36"/>
        <v>100</v>
      </c>
      <c r="H771" s="1105">
        <v>100</v>
      </c>
      <c r="I771" s="852"/>
      <c r="J771" s="802"/>
    </row>
    <row r="772" spans="3:10" ht="20.100000000000001" hidden="1" customHeight="1">
      <c r="C772" s="878"/>
      <c r="D772" s="1114" t="s">
        <v>190</v>
      </c>
      <c r="E772" s="1119">
        <v>200000000</v>
      </c>
      <c r="F772" s="140">
        <f>SUM(F773:F774)</f>
        <v>200000000</v>
      </c>
      <c r="G772" s="1111">
        <f t="shared" si="36"/>
        <v>100</v>
      </c>
      <c r="H772" s="1118">
        <v>100</v>
      </c>
      <c r="I772" s="852"/>
      <c r="J772" s="802"/>
    </row>
    <row r="773" spans="3:10" ht="20.100000000000001" hidden="1" customHeight="1">
      <c r="C773" s="878"/>
      <c r="D773" s="1109" t="s">
        <v>417</v>
      </c>
      <c r="E773" s="1117">
        <v>100000000</v>
      </c>
      <c r="F773" s="141">
        <v>100000000</v>
      </c>
      <c r="G773" s="1106">
        <f t="shared" si="36"/>
        <v>100</v>
      </c>
      <c r="H773" s="1116">
        <v>100</v>
      </c>
      <c r="I773" s="852"/>
      <c r="J773" s="802"/>
    </row>
    <row r="774" spans="3:10" ht="20.100000000000001" hidden="1" customHeight="1">
      <c r="C774" s="878"/>
      <c r="D774" s="1109" t="s">
        <v>3855</v>
      </c>
      <c r="E774" s="1117">
        <v>100000000</v>
      </c>
      <c r="F774" s="141">
        <v>100000000</v>
      </c>
      <c r="G774" s="1106">
        <f t="shared" si="36"/>
        <v>100</v>
      </c>
      <c r="H774" s="1116">
        <v>100</v>
      </c>
      <c r="I774" s="852"/>
      <c r="J774" s="802"/>
    </row>
    <row r="775" spans="3:10" ht="20.100000000000001" hidden="1" customHeight="1">
      <c r="C775" s="878"/>
      <c r="D775" s="1114" t="s">
        <v>196</v>
      </c>
      <c r="E775" s="1119">
        <v>707015656</v>
      </c>
      <c r="F775" s="140">
        <f>SUM(F776:F780)</f>
        <v>656714000</v>
      </c>
      <c r="G775" s="1111">
        <f t="shared" si="36"/>
        <v>92.885354719782896</v>
      </c>
      <c r="H775" s="1110">
        <v>100</v>
      </c>
      <c r="I775" s="852"/>
      <c r="J775" s="802"/>
    </row>
    <row r="776" spans="3:10" ht="20.100000000000001" hidden="1" customHeight="1">
      <c r="C776" s="878"/>
      <c r="D776" s="1109" t="s">
        <v>2601</v>
      </c>
      <c r="E776" s="1117">
        <v>100000000</v>
      </c>
      <c r="F776" s="141">
        <v>100000000</v>
      </c>
      <c r="G776" s="1106">
        <f t="shared" si="36"/>
        <v>100</v>
      </c>
      <c r="H776" s="1105">
        <v>100</v>
      </c>
      <c r="I776" s="852"/>
      <c r="J776" s="802"/>
    </row>
    <row r="777" spans="3:10" ht="20.100000000000001" hidden="1" customHeight="1">
      <c r="C777" s="878"/>
      <c r="D777" s="1109" t="s">
        <v>3850</v>
      </c>
      <c r="E777" s="1117">
        <v>178515656</v>
      </c>
      <c r="F777" s="141">
        <v>178214000</v>
      </c>
      <c r="G777" s="1106">
        <f t="shared" si="36"/>
        <v>99.831019863042144</v>
      </c>
      <c r="H777" s="1105">
        <v>100</v>
      </c>
      <c r="I777" s="852"/>
      <c r="J777" s="802"/>
    </row>
    <row r="778" spans="3:10" ht="20.100000000000001" hidden="1" customHeight="1">
      <c r="C778" s="878"/>
      <c r="D778" s="1109" t="s">
        <v>2602</v>
      </c>
      <c r="E778" s="1117">
        <v>100000000</v>
      </c>
      <c r="F778" s="141">
        <v>50000000</v>
      </c>
      <c r="G778" s="1106">
        <f t="shared" si="36"/>
        <v>50</v>
      </c>
      <c r="H778" s="1116">
        <v>100</v>
      </c>
      <c r="I778" s="852"/>
      <c r="J778" s="802"/>
    </row>
    <row r="779" spans="3:10" ht="20.100000000000001" hidden="1" customHeight="1">
      <c r="C779" s="878"/>
      <c r="D779" s="1109" t="s">
        <v>2603</v>
      </c>
      <c r="E779" s="1117">
        <v>128500000</v>
      </c>
      <c r="F779" s="141">
        <v>128500000</v>
      </c>
      <c r="G779" s="1106">
        <f t="shared" si="36"/>
        <v>100</v>
      </c>
      <c r="H779" s="1105">
        <v>100</v>
      </c>
      <c r="I779" s="852"/>
      <c r="J779" s="802"/>
    </row>
    <row r="780" spans="3:10" ht="20.100000000000001" hidden="1" customHeight="1">
      <c r="C780" s="878"/>
      <c r="D780" s="1109" t="s">
        <v>3854</v>
      </c>
      <c r="E780" s="1117">
        <v>200000000</v>
      </c>
      <c r="F780" s="141">
        <v>200000000</v>
      </c>
      <c r="G780" s="1106">
        <f t="shared" si="36"/>
        <v>100</v>
      </c>
      <c r="H780" s="1105">
        <v>100</v>
      </c>
      <c r="I780" s="852"/>
      <c r="J780" s="802"/>
    </row>
    <row r="781" spans="3:10" ht="20.100000000000001" hidden="1" customHeight="1">
      <c r="C781" s="878"/>
      <c r="D781" s="1114" t="s">
        <v>2390</v>
      </c>
      <c r="E781" s="1120">
        <v>110850000</v>
      </c>
      <c r="F781" s="140">
        <f>SUM(F782)</f>
        <v>104250000</v>
      </c>
      <c r="G781" s="1111">
        <f t="shared" si="36"/>
        <v>94.046008119079843</v>
      </c>
      <c r="H781" s="1110">
        <v>100</v>
      </c>
      <c r="I781" s="852"/>
      <c r="J781" s="802"/>
    </row>
    <row r="782" spans="3:10" ht="20.100000000000001" hidden="1" customHeight="1">
      <c r="C782" s="878"/>
      <c r="D782" s="1109" t="s">
        <v>3853</v>
      </c>
      <c r="E782" s="1117">
        <v>110850000</v>
      </c>
      <c r="F782" s="141">
        <v>104250000</v>
      </c>
      <c r="G782" s="1106">
        <f t="shared" si="36"/>
        <v>94.046008119079843</v>
      </c>
      <c r="H782" s="1105">
        <v>100</v>
      </c>
      <c r="I782" s="852"/>
      <c r="J782" s="802"/>
    </row>
    <row r="783" spans="3:10" ht="20.100000000000001" hidden="1" customHeight="1">
      <c r="C783" s="878"/>
      <c r="D783" s="1114" t="s">
        <v>426</v>
      </c>
      <c r="E783" s="1119">
        <v>175000000</v>
      </c>
      <c r="F783" s="140">
        <f>SUM(F784)</f>
        <v>175000000</v>
      </c>
      <c r="G783" s="1111">
        <f t="shared" si="36"/>
        <v>100</v>
      </c>
      <c r="H783" s="1118">
        <v>100</v>
      </c>
      <c r="I783" s="852"/>
      <c r="J783" s="802"/>
    </row>
    <row r="784" spans="3:10" ht="20.100000000000001" hidden="1" customHeight="1">
      <c r="C784" s="878"/>
      <c r="D784" s="1109" t="s">
        <v>3852</v>
      </c>
      <c r="E784" s="1117">
        <v>175000000</v>
      </c>
      <c r="F784" s="141">
        <v>175000000</v>
      </c>
      <c r="G784" s="1106">
        <f t="shared" si="36"/>
        <v>100</v>
      </c>
      <c r="H784" s="1116">
        <v>100</v>
      </c>
      <c r="I784" s="852"/>
      <c r="J784" s="802"/>
    </row>
    <row r="785" spans="3:10" ht="20.100000000000001" hidden="1" customHeight="1">
      <c r="C785" s="878"/>
      <c r="D785" s="1114" t="s">
        <v>212</v>
      </c>
      <c r="E785" s="1119">
        <v>290000000</v>
      </c>
      <c r="F785" s="140">
        <f>SUM(F786:F787)</f>
        <v>290000000</v>
      </c>
      <c r="G785" s="1111">
        <f t="shared" si="36"/>
        <v>100</v>
      </c>
      <c r="H785" s="1118">
        <v>100</v>
      </c>
      <c r="I785" s="852"/>
      <c r="J785" s="802"/>
    </row>
    <row r="786" spans="3:10" ht="20.100000000000001" hidden="1" customHeight="1">
      <c r="C786" s="878"/>
      <c r="D786" s="1109" t="s">
        <v>3851</v>
      </c>
      <c r="E786" s="1117">
        <v>90000000</v>
      </c>
      <c r="F786" s="141">
        <v>90000000</v>
      </c>
      <c r="G786" s="1106">
        <f t="shared" si="36"/>
        <v>100</v>
      </c>
      <c r="H786" s="1116">
        <v>100</v>
      </c>
      <c r="I786" s="852"/>
      <c r="J786" s="802"/>
    </row>
    <row r="787" spans="3:10" ht="20.100000000000001" hidden="1" customHeight="1">
      <c r="C787" s="878"/>
      <c r="D787" s="1109" t="s">
        <v>2606</v>
      </c>
      <c r="E787" s="1117">
        <v>200000000</v>
      </c>
      <c r="F787" s="141">
        <v>200000000</v>
      </c>
      <c r="G787" s="1106">
        <f t="shared" si="36"/>
        <v>100</v>
      </c>
      <c r="H787" s="1116">
        <v>100</v>
      </c>
      <c r="I787" s="852"/>
      <c r="J787" s="802"/>
    </row>
    <row r="788" spans="3:10" ht="15" hidden="1" customHeight="1">
      <c r="C788" s="878"/>
      <c r="D788" s="1109"/>
      <c r="E788" s="1117"/>
      <c r="F788" s="141"/>
      <c r="G788" s="1106"/>
      <c r="H788" s="1116"/>
      <c r="I788" s="852"/>
      <c r="J788" s="802"/>
    </row>
    <row r="789" spans="3:10" ht="20.100000000000001" hidden="1" customHeight="1">
      <c r="C789" s="878"/>
      <c r="D789" s="1114" t="s">
        <v>1231</v>
      </c>
      <c r="E789" s="1113">
        <f>+E790+E793+E796</f>
        <v>4933475750</v>
      </c>
      <c r="F789" s="1112">
        <f>F790+F793+F796</f>
        <v>4308042330</v>
      </c>
      <c r="G789" s="1111">
        <f t="shared" ref="G789:G797" si="37">F789/E789*100</f>
        <v>87.322661513031662</v>
      </c>
      <c r="H789" s="1110">
        <v>93</v>
      </c>
      <c r="I789" s="852"/>
      <c r="J789" s="802"/>
    </row>
    <row r="790" spans="3:10" ht="20.100000000000001" hidden="1" customHeight="1">
      <c r="C790" s="878"/>
      <c r="D790" s="1114" t="s">
        <v>162</v>
      </c>
      <c r="E790" s="1113">
        <v>2983475750</v>
      </c>
      <c r="F790" s="1112">
        <f>SUM(F791:F792)</f>
        <v>2567321230</v>
      </c>
      <c r="G790" s="1111">
        <f t="shared" si="37"/>
        <v>86.051352353039917</v>
      </c>
      <c r="H790" s="1110">
        <v>91</v>
      </c>
      <c r="I790" s="852"/>
      <c r="J790" s="802"/>
    </row>
    <row r="791" spans="3:10" ht="20.100000000000001" hidden="1" customHeight="1">
      <c r="C791" s="878"/>
      <c r="D791" s="1109" t="s">
        <v>2593</v>
      </c>
      <c r="E791" s="1108">
        <v>1000000000</v>
      </c>
      <c r="F791" s="1115">
        <v>685096549</v>
      </c>
      <c r="G791" s="1106">
        <f t="shared" si="37"/>
        <v>68.509654900000001</v>
      </c>
      <c r="H791" s="1105">
        <v>74</v>
      </c>
      <c r="I791" s="852"/>
      <c r="J791" s="802"/>
    </row>
    <row r="792" spans="3:10" ht="20.100000000000001" hidden="1" customHeight="1">
      <c r="C792" s="878"/>
      <c r="D792" s="1109" t="s">
        <v>1222</v>
      </c>
      <c r="E792" s="1108">
        <v>1983475750</v>
      </c>
      <c r="F792" s="1115">
        <v>1882224681</v>
      </c>
      <c r="G792" s="1106">
        <f t="shared" si="37"/>
        <v>94.89527063791931</v>
      </c>
      <c r="H792" s="1105">
        <v>100</v>
      </c>
      <c r="I792" s="852"/>
      <c r="J792" s="802"/>
    </row>
    <row r="793" spans="3:10" ht="20.100000000000001" hidden="1" customHeight="1">
      <c r="C793" s="878"/>
      <c r="D793" s="1114" t="s">
        <v>173</v>
      </c>
      <c r="E793" s="1113">
        <v>1700000000</v>
      </c>
      <c r="F793" s="1112">
        <f>SUM(F794:F795)</f>
        <v>1603631100</v>
      </c>
      <c r="G793" s="1111">
        <f t="shared" si="37"/>
        <v>94.331241176470598</v>
      </c>
      <c r="H793" s="1110">
        <v>98</v>
      </c>
      <c r="I793" s="852"/>
      <c r="J793" s="802"/>
    </row>
    <row r="794" spans="3:10" ht="20.100000000000001" hidden="1" customHeight="1">
      <c r="C794" s="878"/>
      <c r="D794" s="1109" t="s">
        <v>2594</v>
      </c>
      <c r="E794" s="1108">
        <v>1500000000</v>
      </c>
      <c r="F794" s="1115">
        <v>1496631100</v>
      </c>
      <c r="G794" s="1106">
        <f t="shared" si="37"/>
        <v>99.775406666666669</v>
      </c>
      <c r="H794" s="1105">
        <v>100</v>
      </c>
      <c r="I794" s="852"/>
      <c r="J794" s="802"/>
    </row>
    <row r="795" spans="3:10" ht="20.100000000000001" hidden="1" customHeight="1">
      <c r="C795" s="878"/>
      <c r="D795" s="1109" t="s">
        <v>1223</v>
      </c>
      <c r="E795" s="1108">
        <v>200000000</v>
      </c>
      <c r="F795" s="1115">
        <v>107000000</v>
      </c>
      <c r="G795" s="1106">
        <f t="shared" si="37"/>
        <v>53.5</v>
      </c>
      <c r="H795" s="1105">
        <v>59</v>
      </c>
      <c r="I795" s="852"/>
      <c r="J795" s="802"/>
    </row>
    <row r="796" spans="3:10" ht="20.100000000000001" hidden="1" customHeight="1">
      <c r="C796" s="878"/>
      <c r="D796" s="1114" t="s">
        <v>196</v>
      </c>
      <c r="E796" s="1113">
        <v>250000000</v>
      </c>
      <c r="F796" s="1112">
        <f>SUM(F797)</f>
        <v>137090000</v>
      </c>
      <c r="G796" s="1111">
        <f t="shared" si="37"/>
        <v>54.835999999999999</v>
      </c>
      <c r="H796" s="1110">
        <v>70</v>
      </c>
      <c r="I796" s="852"/>
      <c r="J796" s="802"/>
    </row>
    <row r="797" spans="3:10" ht="20.100000000000001" hidden="1" customHeight="1">
      <c r="C797" s="878"/>
      <c r="D797" s="1109" t="s">
        <v>3850</v>
      </c>
      <c r="E797" s="1108">
        <v>250000000</v>
      </c>
      <c r="F797" s="1115">
        <v>137090000</v>
      </c>
      <c r="G797" s="1106">
        <f t="shared" si="37"/>
        <v>54.835999999999999</v>
      </c>
      <c r="H797" s="1105">
        <v>70</v>
      </c>
      <c r="I797" s="852"/>
      <c r="J797" s="802"/>
    </row>
    <row r="798" spans="3:10" ht="15" hidden="1" customHeight="1">
      <c r="C798" s="878"/>
      <c r="D798" s="1114"/>
      <c r="E798" s="1113"/>
      <c r="F798" s="1112"/>
      <c r="G798" s="1111"/>
      <c r="H798" s="1110"/>
      <c r="I798" s="852"/>
      <c r="J798" s="802"/>
    </row>
    <row r="799" spans="3:10" ht="20.100000000000001" hidden="1" customHeight="1">
      <c r="C799" s="878"/>
      <c r="D799" s="1114" t="s">
        <v>820</v>
      </c>
      <c r="E799" s="1113">
        <f>+E800</f>
        <v>570100000.57000005</v>
      </c>
      <c r="F799" s="1112">
        <f>SUM(F800)</f>
        <v>570100000</v>
      </c>
      <c r="G799" s="1111">
        <f>F799/E799*100</f>
        <v>99.999999900017528</v>
      </c>
      <c r="H799" s="1110">
        <v>100</v>
      </c>
      <c r="I799" s="852"/>
      <c r="J799" s="802"/>
    </row>
    <row r="800" spans="3:10" ht="20.100000000000001" hidden="1" customHeight="1">
      <c r="C800" s="878"/>
      <c r="D800" s="1114" t="s">
        <v>3849</v>
      </c>
      <c r="E800" s="1113">
        <f>+E801</f>
        <v>570100000.57000005</v>
      </c>
      <c r="F800" s="1112">
        <f>SUM(F801)</f>
        <v>570100000</v>
      </c>
      <c r="G800" s="1111">
        <f>F800/E800*100</f>
        <v>99.999999900017528</v>
      </c>
      <c r="H800" s="1110">
        <v>100</v>
      </c>
      <c r="I800" s="852"/>
      <c r="J800" s="802"/>
    </row>
    <row r="801" spans="3:10" ht="20.100000000000001" hidden="1" customHeight="1">
      <c r="C801" s="878"/>
      <c r="D801" s="1109" t="s">
        <v>3848</v>
      </c>
      <c r="E801" s="1108">
        <v>570100000.57000005</v>
      </c>
      <c r="F801" s="1115">
        <v>570100000</v>
      </c>
      <c r="G801" s="1106">
        <f>F801/E801*100</f>
        <v>99.999999900017528</v>
      </c>
      <c r="H801" s="1105">
        <v>100</v>
      </c>
      <c r="I801" s="852"/>
      <c r="J801" s="802"/>
    </row>
    <row r="802" spans="3:10" ht="15" hidden="1" customHeight="1">
      <c r="C802" s="878"/>
      <c r="D802" s="1114"/>
      <c r="E802" s="1113"/>
      <c r="F802" s="1112"/>
      <c r="G802" s="1111"/>
      <c r="H802" s="1110"/>
      <c r="I802" s="852"/>
      <c r="J802" s="802"/>
    </row>
    <row r="803" spans="3:10" ht="20.100000000000001" hidden="1" customHeight="1">
      <c r="C803" s="878"/>
      <c r="D803" s="1114" t="s">
        <v>832</v>
      </c>
      <c r="E803" s="1113">
        <f>+E804</f>
        <v>2100000000</v>
      </c>
      <c r="F803" s="1112">
        <f>SUM(F804)</f>
        <v>1897690000</v>
      </c>
      <c r="G803" s="1111">
        <f>F803/E803*100</f>
        <v>90.366190476190482</v>
      </c>
      <c r="H803" s="1110">
        <v>93.12</v>
      </c>
      <c r="I803" s="852"/>
      <c r="J803" s="802"/>
    </row>
    <row r="804" spans="3:10" ht="35.1" hidden="1" customHeight="1">
      <c r="C804" s="878"/>
      <c r="D804" s="1114" t="s">
        <v>3847</v>
      </c>
      <c r="E804" s="1113">
        <v>2100000000</v>
      </c>
      <c r="F804" s="1112">
        <f>SUM(F805)</f>
        <v>1897690000</v>
      </c>
      <c r="G804" s="1111">
        <f>F804/E804*100</f>
        <v>90.366190476190482</v>
      </c>
      <c r="H804" s="1110">
        <v>93.12</v>
      </c>
      <c r="I804" s="852"/>
      <c r="J804" s="802"/>
    </row>
    <row r="805" spans="3:10" ht="20.100000000000001" hidden="1" customHeight="1">
      <c r="C805" s="878"/>
      <c r="D805" s="1109" t="s">
        <v>3846</v>
      </c>
      <c r="E805" s="1108">
        <v>2100000000</v>
      </c>
      <c r="F805" s="1115">
        <v>1897690000</v>
      </c>
      <c r="G805" s="1106">
        <f>F805/E805*100</f>
        <v>90.366190476190482</v>
      </c>
      <c r="H805" s="1105">
        <v>93.12</v>
      </c>
      <c r="I805" s="852"/>
      <c r="J805" s="802"/>
    </row>
    <row r="806" spans="3:10" ht="15" hidden="1" customHeight="1">
      <c r="C806" s="878"/>
      <c r="D806" s="1109"/>
      <c r="E806" s="1108"/>
      <c r="F806" s="1115"/>
      <c r="G806" s="1106"/>
      <c r="H806" s="1105"/>
      <c r="I806" s="852"/>
      <c r="J806" s="802"/>
    </row>
    <row r="807" spans="3:10" ht="20.100000000000001" hidden="1" customHeight="1">
      <c r="C807" s="878"/>
      <c r="D807" s="1114" t="s">
        <v>835</v>
      </c>
      <c r="E807" s="1113">
        <f>+E808</f>
        <v>1500000000</v>
      </c>
      <c r="F807" s="1112">
        <f>SUM(F808)</f>
        <v>1500000000</v>
      </c>
      <c r="G807" s="1111">
        <f>F807/E807*100</f>
        <v>100</v>
      </c>
      <c r="H807" s="1110">
        <v>100</v>
      </c>
      <c r="I807" s="852"/>
      <c r="J807" s="802"/>
    </row>
    <row r="808" spans="3:10" ht="20.100000000000001" hidden="1" customHeight="1">
      <c r="C808" s="878"/>
      <c r="D808" s="1114" t="s">
        <v>578</v>
      </c>
      <c r="E808" s="1113">
        <v>1500000000</v>
      </c>
      <c r="F808" s="1112">
        <f>SUM(F809)</f>
        <v>1500000000</v>
      </c>
      <c r="G808" s="1111">
        <f>F808/E808*100</f>
        <v>100</v>
      </c>
      <c r="H808" s="1110">
        <v>100</v>
      </c>
      <c r="I808" s="852"/>
      <c r="J808" s="802"/>
    </row>
    <row r="809" spans="3:10" ht="20.100000000000001" hidden="1" customHeight="1">
      <c r="C809" s="878"/>
      <c r="D809" s="1109" t="s">
        <v>3845</v>
      </c>
      <c r="E809" s="1108">
        <v>1500000000</v>
      </c>
      <c r="F809" s="1115">
        <v>1500000000</v>
      </c>
      <c r="G809" s="1106">
        <f>F809/E809*100</f>
        <v>100</v>
      </c>
      <c r="H809" s="1105">
        <v>100</v>
      </c>
      <c r="I809" s="852"/>
      <c r="J809" s="802"/>
    </row>
    <row r="810" spans="3:10" ht="15" hidden="1" customHeight="1">
      <c r="C810" s="878"/>
      <c r="D810" s="1114"/>
      <c r="E810" s="1113"/>
      <c r="F810" s="1112"/>
      <c r="G810" s="1111"/>
      <c r="H810" s="1110"/>
      <c r="I810" s="852"/>
      <c r="J810" s="802"/>
    </row>
    <row r="811" spans="3:10" ht="20.100000000000001" hidden="1" customHeight="1">
      <c r="C811" s="878"/>
      <c r="D811" s="1114" t="s">
        <v>838</v>
      </c>
      <c r="E811" s="1113">
        <f>+E812</f>
        <v>200000000</v>
      </c>
      <c r="F811" s="1112">
        <f>SUM(F812)</f>
        <v>199770000</v>
      </c>
      <c r="G811" s="1111">
        <f>F811/E811*100</f>
        <v>99.885000000000005</v>
      </c>
      <c r="H811" s="1110">
        <v>100</v>
      </c>
      <c r="I811" s="852"/>
      <c r="J811" s="802"/>
    </row>
    <row r="812" spans="3:10" ht="20.100000000000001" hidden="1" customHeight="1">
      <c r="C812" s="878"/>
      <c r="D812" s="1114" t="s">
        <v>439</v>
      </c>
      <c r="E812" s="1113">
        <v>200000000</v>
      </c>
      <c r="F812" s="1112">
        <f>SUM(F813)</f>
        <v>199770000</v>
      </c>
      <c r="G812" s="1111">
        <f>F812/E812*100</f>
        <v>99.885000000000005</v>
      </c>
      <c r="H812" s="1110">
        <v>100</v>
      </c>
      <c r="I812" s="852"/>
      <c r="J812" s="802"/>
    </row>
    <row r="813" spans="3:10" ht="20.100000000000001" hidden="1" customHeight="1">
      <c r="C813" s="878"/>
      <c r="D813" s="1109" t="s">
        <v>3844</v>
      </c>
      <c r="E813" s="1108">
        <v>200000000</v>
      </c>
      <c r="F813" s="1115">
        <v>199770000</v>
      </c>
      <c r="G813" s="1106">
        <f>F813/E813*100</f>
        <v>99.885000000000005</v>
      </c>
      <c r="H813" s="1105">
        <v>100</v>
      </c>
      <c r="I813" s="852"/>
      <c r="J813" s="802"/>
    </row>
    <row r="814" spans="3:10" ht="15" hidden="1" customHeight="1">
      <c r="C814" s="878"/>
      <c r="D814" s="1114"/>
      <c r="E814" s="1113"/>
      <c r="F814" s="1112"/>
      <c r="G814" s="1111"/>
      <c r="H814" s="1110"/>
      <c r="I814" s="852"/>
      <c r="J814" s="802"/>
    </row>
    <row r="815" spans="3:10" ht="20.100000000000001" hidden="1" customHeight="1">
      <c r="C815" s="878"/>
      <c r="D815" s="1114" t="s">
        <v>820</v>
      </c>
      <c r="E815" s="1113">
        <f>+E816</f>
        <v>1450100000</v>
      </c>
      <c r="F815" s="1112">
        <f>SUM(F816)</f>
        <v>1450100000</v>
      </c>
      <c r="G815" s="1111">
        <f>F815/E815*100</f>
        <v>100</v>
      </c>
      <c r="H815" s="1110">
        <v>100</v>
      </c>
      <c r="I815" s="852"/>
      <c r="J815" s="802"/>
    </row>
    <row r="816" spans="3:10" ht="35.1" hidden="1" customHeight="1">
      <c r="C816" s="878"/>
      <c r="D816" s="1114" t="s">
        <v>3843</v>
      </c>
      <c r="E816" s="1113">
        <v>1450100000</v>
      </c>
      <c r="F816" s="1112">
        <f>SUM(F817)</f>
        <v>1450100000</v>
      </c>
      <c r="G816" s="1111">
        <f>F816/E816*100</f>
        <v>100</v>
      </c>
      <c r="H816" s="1110">
        <v>100</v>
      </c>
      <c r="I816" s="852"/>
      <c r="J816" s="802"/>
    </row>
    <row r="817" spans="3:10" ht="20.100000000000001" hidden="1" customHeight="1">
      <c r="C817" s="878"/>
      <c r="D817" s="1109" t="s">
        <v>3842</v>
      </c>
      <c r="E817" s="1108">
        <v>1450100000</v>
      </c>
      <c r="F817" s="1107">
        <v>1450100000</v>
      </c>
      <c r="G817" s="1106">
        <f>F817/E817*100</f>
        <v>100</v>
      </c>
      <c r="H817" s="1105">
        <v>100</v>
      </c>
      <c r="I817" s="852"/>
      <c r="J817" s="802"/>
    </row>
    <row r="818" spans="3:10" ht="15" hidden="1" customHeight="1">
      <c r="C818" s="878"/>
      <c r="D818" s="886"/>
      <c r="E818" s="855">
        <v>0</v>
      </c>
      <c r="F818" s="854"/>
      <c r="G818" s="854"/>
      <c r="H818" s="876"/>
      <c r="I818" s="852"/>
      <c r="J818" s="802"/>
    </row>
    <row r="819" spans="3:10" s="656" customFormat="1" ht="20.100000000000001" customHeight="1">
      <c r="C819" s="881" t="s">
        <v>844</v>
      </c>
      <c r="D819" s="893" t="s">
        <v>845</v>
      </c>
      <c r="E819" s="855">
        <v>32258636567.290001</v>
      </c>
      <c r="F819" s="129">
        <f>+F820+F846+F852+F878+F885+F891+F903+F899+F881+F894</f>
        <v>27039355890</v>
      </c>
      <c r="G819" s="855">
        <f t="shared" ref="G819:G844" si="38">+F819/E819*100</f>
        <v>83.820516820657232</v>
      </c>
      <c r="H819" s="887">
        <f>(H820+H846+H852+H878+H885+H891+H894+H899+H903)/9</f>
        <v>79.908399470899468</v>
      </c>
      <c r="I819" s="863"/>
      <c r="J819" s="44"/>
    </row>
    <row r="820" spans="3:10" ht="20.100000000000001" hidden="1" customHeight="1">
      <c r="C820" s="878"/>
      <c r="D820" s="856" t="s">
        <v>387</v>
      </c>
      <c r="E820" s="1104">
        <f>+E821+E823+E826+E829+E834+E839+E843</f>
        <v>10805869057</v>
      </c>
      <c r="F820" s="1104">
        <f>+F821+F823+F826+F829+F834+F839+F843</f>
        <v>6408852990</v>
      </c>
      <c r="G820" s="1100">
        <f t="shared" si="38"/>
        <v>59.309001027070288</v>
      </c>
      <c r="H820" s="1100">
        <f>(H821+H823+H826+H829+H834+H839+H843)/7</f>
        <v>77.321428571428569</v>
      </c>
      <c r="I820" s="852"/>
      <c r="J820" s="802"/>
    </row>
    <row r="821" spans="3:10" s="656" customFormat="1" ht="20.100000000000001" hidden="1" customHeight="1">
      <c r="C821" s="881"/>
      <c r="D821" s="1101" t="s">
        <v>388</v>
      </c>
      <c r="E821" s="1104">
        <f>+E822</f>
        <v>468000000</v>
      </c>
      <c r="F821" s="1104">
        <f>+F822</f>
        <v>468000000</v>
      </c>
      <c r="G821" s="1100">
        <f t="shared" si="38"/>
        <v>100</v>
      </c>
      <c r="H821" s="1100">
        <f>+H822</f>
        <v>100</v>
      </c>
      <c r="I821" s="863"/>
      <c r="J821" s="44"/>
    </row>
    <row r="822" spans="3:10" ht="20.100000000000001" hidden="1" customHeight="1">
      <c r="C822" s="878"/>
      <c r="D822" s="886" t="s">
        <v>3841</v>
      </c>
      <c r="E822" s="1103">
        <v>468000000</v>
      </c>
      <c r="F822" s="1103">
        <v>468000000</v>
      </c>
      <c r="G822" s="1098">
        <f t="shared" si="38"/>
        <v>100</v>
      </c>
      <c r="H822" s="1098">
        <f>+G822</f>
        <v>100</v>
      </c>
      <c r="I822" s="852"/>
      <c r="J822" s="802"/>
    </row>
    <row r="823" spans="3:10" s="656" customFormat="1" ht="20.100000000000001" hidden="1" customHeight="1">
      <c r="C823" s="881"/>
      <c r="D823" s="893" t="s">
        <v>394</v>
      </c>
      <c r="E823" s="1104">
        <f>SUM(E824:E825)</f>
        <v>550000000</v>
      </c>
      <c r="F823" s="1104">
        <f>SUM(F824:F825)</f>
        <v>50000000</v>
      </c>
      <c r="G823" s="1100">
        <f t="shared" si="38"/>
        <v>9.0909090909090917</v>
      </c>
      <c r="H823" s="1100">
        <v>50</v>
      </c>
      <c r="I823" s="863"/>
      <c r="J823" s="44"/>
    </row>
    <row r="824" spans="3:10" ht="35.1" hidden="1" customHeight="1">
      <c r="C824" s="878"/>
      <c r="D824" s="886" t="s">
        <v>3840</v>
      </c>
      <c r="E824" s="1103">
        <v>500000000</v>
      </c>
      <c r="F824" s="1103">
        <v>0</v>
      </c>
      <c r="G824" s="1098">
        <f t="shared" si="38"/>
        <v>0</v>
      </c>
      <c r="H824" s="1098">
        <f>+G824</f>
        <v>0</v>
      </c>
      <c r="I824" s="852"/>
      <c r="J824" s="802"/>
    </row>
    <row r="825" spans="3:10" ht="20.100000000000001" hidden="1" customHeight="1">
      <c r="C825" s="878"/>
      <c r="D825" s="886" t="s">
        <v>3839</v>
      </c>
      <c r="E825" s="1103">
        <v>50000000</v>
      </c>
      <c r="F825" s="1103">
        <v>50000000</v>
      </c>
      <c r="G825" s="1098">
        <f t="shared" si="38"/>
        <v>100</v>
      </c>
      <c r="H825" s="1098">
        <f>+G825</f>
        <v>100</v>
      </c>
      <c r="I825" s="852"/>
      <c r="J825" s="802"/>
    </row>
    <row r="826" spans="3:10" s="656" customFormat="1" ht="20.100000000000001" hidden="1" customHeight="1">
      <c r="C826" s="881"/>
      <c r="D826" s="893" t="s">
        <v>3686</v>
      </c>
      <c r="E826" s="1104">
        <f>SUM(E827:E828)</f>
        <v>600000000</v>
      </c>
      <c r="F826" s="1104">
        <f>SUM(F827:F828)</f>
        <v>200000000</v>
      </c>
      <c r="G826" s="1100">
        <f t="shared" si="38"/>
        <v>33.333333333333329</v>
      </c>
      <c r="H826" s="1100">
        <f>SUM(H827:H828)/2</f>
        <v>50</v>
      </c>
      <c r="I826" s="863"/>
      <c r="J826" s="44"/>
    </row>
    <row r="827" spans="3:10" ht="20.100000000000001" hidden="1" customHeight="1">
      <c r="C827" s="878"/>
      <c r="D827" s="886" t="s">
        <v>3838</v>
      </c>
      <c r="E827" s="1103">
        <v>400000000</v>
      </c>
      <c r="F827" s="1103">
        <v>0</v>
      </c>
      <c r="G827" s="1098">
        <f t="shared" si="38"/>
        <v>0</v>
      </c>
      <c r="H827" s="1098">
        <f>+G827</f>
        <v>0</v>
      </c>
      <c r="I827" s="852"/>
      <c r="J827" s="802"/>
    </row>
    <row r="828" spans="3:10" ht="20.100000000000001" hidden="1" customHeight="1">
      <c r="C828" s="878"/>
      <c r="D828" s="886" t="s">
        <v>3837</v>
      </c>
      <c r="E828" s="1103">
        <v>200000000</v>
      </c>
      <c r="F828" s="1103">
        <v>200000000</v>
      </c>
      <c r="G828" s="1098">
        <f t="shared" si="38"/>
        <v>100</v>
      </c>
      <c r="H828" s="1098">
        <f>+G828</f>
        <v>100</v>
      </c>
      <c r="I828" s="852"/>
      <c r="J828" s="802"/>
    </row>
    <row r="829" spans="3:10" s="656" customFormat="1" ht="20.100000000000001" hidden="1" customHeight="1">
      <c r="C829" s="881"/>
      <c r="D829" s="893" t="s">
        <v>3836</v>
      </c>
      <c r="E829" s="1104">
        <f>SUM(E830:E833)</f>
        <v>5586086800</v>
      </c>
      <c r="F829" s="1104">
        <f>SUM(F830:F833)</f>
        <v>2771756400</v>
      </c>
      <c r="G829" s="1100">
        <f t="shared" si="38"/>
        <v>49.618928227180433</v>
      </c>
      <c r="H829" s="1100">
        <f>SUM(H830:H833)/4</f>
        <v>67.5</v>
      </c>
      <c r="I829" s="863"/>
      <c r="J829" s="44"/>
    </row>
    <row r="830" spans="3:10" ht="20.100000000000001" hidden="1" customHeight="1">
      <c r="C830" s="878"/>
      <c r="D830" s="886" t="s">
        <v>3669</v>
      </c>
      <c r="E830" s="1103">
        <v>2371100000</v>
      </c>
      <c r="F830" s="1103">
        <v>0</v>
      </c>
      <c r="G830" s="1098">
        <f t="shared" si="38"/>
        <v>0</v>
      </c>
      <c r="H830" s="1098">
        <f>+G830/G829*100</f>
        <v>0</v>
      </c>
      <c r="I830" s="852"/>
      <c r="J830" s="802"/>
    </row>
    <row r="831" spans="3:10" ht="48" hidden="1" customHeight="1">
      <c r="C831" s="878"/>
      <c r="D831" s="886" t="s">
        <v>3835</v>
      </c>
      <c r="E831" s="1103">
        <v>1035000000</v>
      </c>
      <c r="F831" s="1103">
        <v>693749900</v>
      </c>
      <c r="G831" s="1098">
        <f t="shared" si="38"/>
        <v>67.028975845410628</v>
      </c>
      <c r="H831" s="1098">
        <v>70</v>
      </c>
      <c r="I831" s="852"/>
      <c r="J831" s="802"/>
    </row>
    <row r="832" spans="3:10" ht="35.1" hidden="1" customHeight="1">
      <c r="C832" s="878"/>
      <c r="D832" s="886" t="s">
        <v>3830</v>
      </c>
      <c r="E832" s="1103">
        <v>1371800800</v>
      </c>
      <c r="F832" s="1103">
        <v>1337438000</v>
      </c>
      <c r="G832" s="1098">
        <f t="shared" si="38"/>
        <v>97.495059049389681</v>
      </c>
      <c r="H832" s="1098">
        <v>100</v>
      </c>
      <c r="I832" s="852"/>
      <c r="J832" s="802"/>
    </row>
    <row r="833" spans="3:10" ht="20.100000000000001" hidden="1" customHeight="1">
      <c r="C833" s="878"/>
      <c r="D833" s="886" t="s">
        <v>943</v>
      </c>
      <c r="E833" s="1103">
        <v>808186000</v>
      </c>
      <c r="F833" s="1103">
        <v>740568500</v>
      </c>
      <c r="G833" s="1098">
        <f t="shared" si="38"/>
        <v>91.633423494096661</v>
      </c>
      <c r="H833" s="1098">
        <v>100</v>
      </c>
      <c r="I833" s="852"/>
      <c r="J833" s="802"/>
    </row>
    <row r="834" spans="3:10" s="656" customFormat="1" ht="20.100000000000001" hidden="1" customHeight="1">
      <c r="C834" s="881"/>
      <c r="D834" s="893" t="s">
        <v>1876</v>
      </c>
      <c r="E834" s="1104">
        <f>SUM(E835:E838)</f>
        <v>1882482567</v>
      </c>
      <c r="F834" s="1104">
        <f>SUM(F835:F838)</f>
        <v>1225377900</v>
      </c>
      <c r="G834" s="1100">
        <f t="shared" si="38"/>
        <v>65.09371834198771</v>
      </c>
      <c r="H834" s="1100">
        <f>(H835+H836+H837+H838)/4</f>
        <v>73.75</v>
      </c>
      <c r="I834" s="863"/>
      <c r="J834" s="44"/>
    </row>
    <row r="835" spans="3:10" ht="20.100000000000001" hidden="1" customHeight="1">
      <c r="C835" s="878"/>
      <c r="D835" s="886" t="s">
        <v>3834</v>
      </c>
      <c r="E835" s="1103">
        <v>886550567</v>
      </c>
      <c r="F835" s="1103">
        <v>837997700</v>
      </c>
      <c r="G835" s="1098">
        <f t="shared" si="38"/>
        <v>94.523395640668511</v>
      </c>
      <c r="H835" s="1098">
        <v>95</v>
      </c>
      <c r="I835" s="852"/>
      <c r="J835" s="802"/>
    </row>
    <row r="836" spans="3:10" ht="35.1" hidden="1" customHeight="1">
      <c r="C836" s="878"/>
      <c r="D836" s="886" t="s">
        <v>3830</v>
      </c>
      <c r="E836" s="1103">
        <v>313600000</v>
      </c>
      <c r="F836" s="1103">
        <v>307380200</v>
      </c>
      <c r="G836" s="1098">
        <f t="shared" si="38"/>
        <v>98.016645408163257</v>
      </c>
      <c r="H836" s="1098">
        <v>100</v>
      </c>
      <c r="I836" s="852"/>
      <c r="J836" s="802"/>
    </row>
    <row r="837" spans="3:10" ht="35.1" hidden="1" customHeight="1">
      <c r="C837" s="878"/>
      <c r="D837" s="886" t="s">
        <v>3833</v>
      </c>
      <c r="E837" s="1103">
        <v>602332000</v>
      </c>
      <c r="F837" s="1103">
        <v>0</v>
      </c>
      <c r="G837" s="1098">
        <f t="shared" si="38"/>
        <v>0</v>
      </c>
      <c r="H837" s="1098">
        <f>+G837</f>
        <v>0</v>
      </c>
      <c r="I837" s="852"/>
      <c r="J837" s="802"/>
    </row>
    <row r="838" spans="3:10" ht="20.100000000000001" hidden="1" customHeight="1">
      <c r="C838" s="878"/>
      <c r="D838" s="886" t="s">
        <v>932</v>
      </c>
      <c r="E838" s="1103">
        <v>80000000</v>
      </c>
      <c r="F838" s="1103">
        <v>80000000</v>
      </c>
      <c r="G838" s="1098">
        <f t="shared" si="38"/>
        <v>100</v>
      </c>
      <c r="H838" s="1098">
        <f>+G838</f>
        <v>100</v>
      </c>
      <c r="I838" s="852"/>
      <c r="J838" s="802"/>
    </row>
    <row r="839" spans="3:10" s="656" customFormat="1" ht="20.100000000000001" hidden="1" customHeight="1">
      <c r="C839" s="881"/>
      <c r="D839" s="893" t="s">
        <v>3832</v>
      </c>
      <c r="E839" s="358">
        <f>SUM(E840:E842)</f>
        <v>1120312500</v>
      </c>
      <c r="F839" s="358">
        <f>SUM(F840:F842)</f>
        <v>1094731500</v>
      </c>
      <c r="G839" s="1100">
        <f t="shared" si="38"/>
        <v>97.716619246861924</v>
      </c>
      <c r="H839" s="1100">
        <f>(H840+H841+H842)/3</f>
        <v>100</v>
      </c>
      <c r="I839" s="863"/>
      <c r="J839" s="44"/>
    </row>
    <row r="840" spans="3:10" ht="20.100000000000001" hidden="1" customHeight="1">
      <c r="C840" s="878"/>
      <c r="D840" s="886" t="s">
        <v>3831</v>
      </c>
      <c r="E840" s="1099">
        <v>834312500</v>
      </c>
      <c r="F840" s="1099">
        <v>812647500</v>
      </c>
      <c r="G840" s="1098">
        <f t="shared" si="38"/>
        <v>97.403251179863659</v>
      </c>
      <c r="H840" s="1098">
        <v>100</v>
      </c>
      <c r="I840" s="852"/>
      <c r="J840" s="802"/>
    </row>
    <row r="841" spans="3:10" ht="35.1" hidden="1" customHeight="1">
      <c r="C841" s="878"/>
      <c r="D841" s="886" t="s">
        <v>3830</v>
      </c>
      <c r="E841" s="1099">
        <v>186000000</v>
      </c>
      <c r="F841" s="1099">
        <v>182084000</v>
      </c>
      <c r="G841" s="1098">
        <f t="shared" si="38"/>
        <v>97.894623655913975</v>
      </c>
      <c r="H841" s="1098">
        <v>100</v>
      </c>
      <c r="I841" s="852"/>
      <c r="J841" s="802"/>
    </row>
    <row r="842" spans="3:10" ht="20.100000000000001" hidden="1" customHeight="1">
      <c r="C842" s="878"/>
      <c r="D842" s="886" t="s">
        <v>3829</v>
      </c>
      <c r="E842" s="1099">
        <v>100000000</v>
      </c>
      <c r="F842" s="1099">
        <v>100000000</v>
      </c>
      <c r="G842" s="1098">
        <f t="shared" si="38"/>
        <v>100</v>
      </c>
      <c r="H842" s="1098">
        <f>+G842</f>
        <v>100</v>
      </c>
      <c r="I842" s="852"/>
      <c r="J842" s="802"/>
    </row>
    <row r="843" spans="3:10" s="656" customFormat="1" ht="20.100000000000001" hidden="1" customHeight="1">
      <c r="C843" s="881"/>
      <c r="D843" s="1101" t="s">
        <v>2075</v>
      </c>
      <c r="E843" s="1102">
        <f>+E844</f>
        <v>598987190</v>
      </c>
      <c r="F843" s="1102">
        <f>+F844</f>
        <v>598987190</v>
      </c>
      <c r="G843" s="1100">
        <f t="shared" si="38"/>
        <v>100</v>
      </c>
      <c r="H843" s="1100">
        <f>+G843</f>
        <v>100</v>
      </c>
      <c r="I843" s="863"/>
      <c r="J843" s="44"/>
    </row>
    <row r="844" spans="3:10" ht="35.1" hidden="1" customHeight="1">
      <c r="C844" s="878"/>
      <c r="D844" s="886" t="s">
        <v>3828</v>
      </c>
      <c r="E844" s="1099">
        <v>598987190</v>
      </c>
      <c r="F844" s="1099">
        <v>598987190</v>
      </c>
      <c r="G844" s="1098">
        <f t="shared" si="38"/>
        <v>100</v>
      </c>
      <c r="H844" s="1098">
        <f>+G844</f>
        <v>100</v>
      </c>
      <c r="I844" s="852"/>
      <c r="J844" s="802"/>
    </row>
    <row r="845" spans="3:10" ht="15" hidden="1" customHeight="1">
      <c r="C845" s="878"/>
      <c r="D845" s="886"/>
      <c r="E845" s="1099"/>
      <c r="F845" s="1099"/>
      <c r="G845" s="1098"/>
      <c r="H845" s="1098"/>
      <c r="I845" s="852"/>
      <c r="J845" s="802"/>
    </row>
    <row r="846" spans="3:10" ht="20.100000000000001" hidden="1" customHeight="1">
      <c r="C846" s="878"/>
      <c r="D846" s="856" t="s">
        <v>857</v>
      </c>
      <c r="E846" s="358">
        <f>+E847</f>
        <v>1016000000</v>
      </c>
      <c r="F846" s="358">
        <f>+F847</f>
        <v>1008626000</v>
      </c>
      <c r="G846" s="1100">
        <f>+F846/E846*100</f>
        <v>99.274212598425194</v>
      </c>
      <c r="H846" s="1100">
        <f>+H847</f>
        <v>100</v>
      </c>
      <c r="I846" s="852"/>
      <c r="J846" s="802"/>
    </row>
    <row r="847" spans="3:10" ht="20.100000000000001" hidden="1" customHeight="1">
      <c r="C847" s="878"/>
      <c r="D847" s="893" t="s">
        <v>388</v>
      </c>
      <c r="E847" s="358">
        <f>SUM(E848:E850)</f>
        <v>1016000000</v>
      </c>
      <c r="F847" s="358">
        <f>SUM(F848:F850)</f>
        <v>1008626000</v>
      </c>
      <c r="G847" s="1100">
        <f>+F847/E847*100</f>
        <v>99.274212598425194</v>
      </c>
      <c r="H847" s="1100">
        <f>(H848+H849+H850)/3</f>
        <v>100</v>
      </c>
      <c r="I847" s="852"/>
      <c r="J847" s="802"/>
    </row>
    <row r="848" spans="3:10" ht="20.100000000000001" hidden="1" customHeight="1">
      <c r="C848" s="878"/>
      <c r="D848" s="886" t="s">
        <v>3827</v>
      </c>
      <c r="E848" s="1099">
        <v>416000000</v>
      </c>
      <c r="F848" s="1099">
        <v>416000000</v>
      </c>
      <c r="G848" s="1098">
        <f>+F848/E848*100</f>
        <v>100</v>
      </c>
      <c r="H848" s="1098">
        <f>+G848</f>
        <v>100</v>
      </c>
      <c r="I848" s="852"/>
      <c r="J848" s="802"/>
    </row>
    <row r="849" spans="3:10" ht="20.100000000000001" hidden="1" customHeight="1">
      <c r="C849" s="878"/>
      <c r="D849" s="886" t="s">
        <v>3826</v>
      </c>
      <c r="E849" s="1099">
        <v>300000000</v>
      </c>
      <c r="F849" s="1099">
        <v>293000000</v>
      </c>
      <c r="G849" s="1098">
        <f>+F849/E849*100</f>
        <v>97.666666666666671</v>
      </c>
      <c r="H849" s="1098">
        <v>100</v>
      </c>
      <c r="I849" s="852"/>
      <c r="J849" s="802"/>
    </row>
    <row r="850" spans="3:10" ht="20.100000000000001" hidden="1" customHeight="1">
      <c r="C850" s="878"/>
      <c r="D850" s="886" t="s">
        <v>3825</v>
      </c>
      <c r="E850" s="1099">
        <v>300000000</v>
      </c>
      <c r="F850" s="1099">
        <v>299626000</v>
      </c>
      <c r="G850" s="1098">
        <f>+F850/E850*100</f>
        <v>99.875333333333344</v>
      </c>
      <c r="H850" s="1098">
        <v>100</v>
      </c>
      <c r="I850" s="852"/>
      <c r="J850" s="802"/>
    </row>
    <row r="851" spans="3:10" ht="15" hidden="1" customHeight="1">
      <c r="C851" s="878"/>
      <c r="D851" s="886"/>
      <c r="E851" s="1099"/>
      <c r="F851" s="1099"/>
      <c r="G851" s="1098"/>
      <c r="H851" s="1098"/>
      <c r="I851" s="852"/>
      <c r="J851" s="802"/>
    </row>
    <row r="852" spans="3:10" ht="20.100000000000001" hidden="1" customHeight="1">
      <c r="C852" s="878"/>
      <c r="D852" s="856" t="s">
        <v>161</v>
      </c>
      <c r="E852" s="358">
        <f>+E853+E855+E858+E861+E867+E871+E873+E875</f>
        <v>6986767510</v>
      </c>
      <c r="F852" s="358">
        <f>+F853+F855+F858+F861+F867+F871+F873+F875</f>
        <v>6468456300</v>
      </c>
      <c r="G852" s="1100">
        <f t="shared" ref="G852:G876" si="39">+F852/E852*100</f>
        <v>92.581530596829609</v>
      </c>
      <c r="H852" s="1100">
        <f>(H853+H855+H858+H861+H867+H871+H873+H875)/8</f>
        <v>96.854166666666657</v>
      </c>
      <c r="I852" s="852"/>
      <c r="J852" s="802"/>
    </row>
    <row r="853" spans="3:10" ht="20.100000000000001" hidden="1" customHeight="1">
      <c r="C853" s="878"/>
      <c r="D853" s="1101" t="s">
        <v>162</v>
      </c>
      <c r="E853" s="358">
        <f>+E854</f>
        <v>1671151510</v>
      </c>
      <c r="F853" s="358">
        <f>+F854</f>
        <v>1667767700</v>
      </c>
      <c r="G853" s="1100">
        <f t="shared" si="39"/>
        <v>99.797516264698231</v>
      </c>
      <c r="H853" s="1100">
        <f>+H854</f>
        <v>100</v>
      </c>
      <c r="I853" s="852"/>
      <c r="J853" s="802"/>
    </row>
    <row r="854" spans="3:10" ht="20.100000000000001" hidden="1" customHeight="1">
      <c r="C854" s="878"/>
      <c r="D854" s="886" t="s">
        <v>1623</v>
      </c>
      <c r="E854" s="1099">
        <v>1671151510</v>
      </c>
      <c r="F854" s="1099">
        <v>1667767700</v>
      </c>
      <c r="G854" s="1098">
        <f t="shared" si="39"/>
        <v>99.797516264698231</v>
      </c>
      <c r="H854" s="1098">
        <v>100</v>
      </c>
      <c r="I854" s="852"/>
      <c r="J854" s="802"/>
    </row>
    <row r="855" spans="3:10" s="656" customFormat="1" ht="20.100000000000001" hidden="1" customHeight="1">
      <c r="C855" s="881"/>
      <c r="D855" s="1101" t="s">
        <v>173</v>
      </c>
      <c r="E855" s="358">
        <f>SUM(E856:E857)</f>
        <v>2554200000</v>
      </c>
      <c r="F855" s="358">
        <f>SUM(F856:F857)</f>
        <v>2128670000</v>
      </c>
      <c r="G855" s="1100">
        <f t="shared" si="39"/>
        <v>83.339989037663457</v>
      </c>
      <c r="H855" s="1100">
        <f>(H856+H857)/2</f>
        <v>92.5</v>
      </c>
      <c r="I855" s="863"/>
      <c r="J855" s="44"/>
    </row>
    <row r="856" spans="3:10" ht="35.1" hidden="1" customHeight="1">
      <c r="C856" s="878"/>
      <c r="D856" s="886" t="s">
        <v>3824</v>
      </c>
      <c r="E856" s="1099">
        <v>380200000</v>
      </c>
      <c r="F856" s="1099">
        <v>380200000</v>
      </c>
      <c r="G856" s="1098">
        <f t="shared" si="39"/>
        <v>100</v>
      </c>
      <c r="H856" s="1098">
        <f>+G856</f>
        <v>100</v>
      </c>
      <c r="I856" s="852"/>
      <c r="J856" s="802"/>
    </row>
    <row r="857" spans="3:10" s="656" customFormat="1" ht="20.100000000000001" hidden="1" customHeight="1">
      <c r="C857" s="881"/>
      <c r="D857" s="886" t="s">
        <v>3823</v>
      </c>
      <c r="E857" s="1099">
        <v>2174000000</v>
      </c>
      <c r="F857" s="1099">
        <f>1834600000-86130000</f>
        <v>1748470000</v>
      </c>
      <c r="G857" s="1098">
        <f t="shared" si="39"/>
        <v>80.426402943882252</v>
      </c>
      <c r="H857" s="1098">
        <v>85</v>
      </c>
      <c r="I857" s="863"/>
      <c r="J857" s="44"/>
    </row>
    <row r="858" spans="3:10" ht="20.100000000000001" hidden="1" customHeight="1">
      <c r="C858" s="878"/>
      <c r="D858" s="1101" t="s">
        <v>190</v>
      </c>
      <c r="E858" s="358">
        <f>SUM(E859:E860)</f>
        <v>446300000</v>
      </c>
      <c r="F858" s="358">
        <f>SUM(F859:F860)</f>
        <v>445483000</v>
      </c>
      <c r="G858" s="1100">
        <f t="shared" si="39"/>
        <v>99.816939278512208</v>
      </c>
      <c r="H858" s="1100">
        <f>(H859+H860)/2</f>
        <v>100</v>
      </c>
      <c r="I858" s="852"/>
      <c r="J858" s="802"/>
    </row>
    <row r="859" spans="3:10" ht="35.1" hidden="1" customHeight="1">
      <c r="C859" s="878"/>
      <c r="D859" s="886" t="s">
        <v>3822</v>
      </c>
      <c r="E859" s="1099">
        <v>200000000</v>
      </c>
      <c r="F859" s="1099">
        <v>199500000</v>
      </c>
      <c r="G859" s="1098">
        <f t="shared" si="39"/>
        <v>99.75</v>
      </c>
      <c r="H859" s="1098">
        <v>100</v>
      </c>
      <c r="I859" s="852"/>
      <c r="J859" s="802"/>
    </row>
    <row r="860" spans="3:10" ht="20.100000000000001" hidden="1" customHeight="1">
      <c r="C860" s="878"/>
      <c r="D860" s="886" t="s">
        <v>3821</v>
      </c>
      <c r="E860" s="1099">
        <v>246300000</v>
      </c>
      <c r="F860" s="1099">
        <v>245983000</v>
      </c>
      <c r="G860" s="1098">
        <f t="shared" si="39"/>
        <v>99.871295168493717</v>
      </c>
      <c r="H860" s="1098">
        <v>100</v>
      </c>
      <c r="I860" s="852"/>
      <c r="J860" s="802"/>
    </row>
    <row r="861" spans="3:10" s="656" customFormat="1" ht="20.100000000000001" hidden="1" customHeight="1">
      <c r="C861" s="881"/>
      <c r="D861" s="1101" t="s">
        <v>196</v>
      </c>
      <c r="E861" s="358">
        <f>SUM(E862:E866)</f>
        <v>1139604000</v>
      </c>
      <c r="F861" s="358">
        <f>SUM(F862:F866)</f>
        <v>1123954000</v>
      </c>
      <c r="G861" s="1100">
        <f t="shared" si="39"/>
        <v>98.62671594694298</v>
      </c>
      <c r="H861" s="1100">
        <f>(H862+H863+H864+H865+H866)/5</f>
        <v>99</v>
      </c>
      <c r="I861" s="863"/>
      <c r="J861" s="44"/>
    </row>
    <row r="862" spans="3:10" ht="20.100000000000001" hidden="1" customHeight="1">
      <c r="C862" s="878"/>
      <c r="D862" s="886" t="s">
        <v>3820</v>
      </c>
      <c r="E862" s="1099">
        <v>234754000</v>
      </c>
      <c r="F862" s="1099">
        <v>221004000</v>
      </c>
      <c r="G862" s="1098">
        <f t="shared" si="39"/>
        <v>94.142804808437774</v>
      </c>
      <c r="H862" s="1098">
        <v>95</v>
      </c>
      <c r="I862" s="852"/>
      <c r="J862" s="802"/>
    </row>
    <row r="863" spans="3:10" s="656" customFormat="1" ht="20.100000000000001" hidden="1" customHeight="1">
      <c r="C863" s="881"/>
      <c r="D863" s="886" t="s">
        <v>3819</v>
      </c>
      <c r="E863" s="1099">
        <v>164385000</v>
      </c>
      <c r="F863" s="1099">
        <v>164085000</v>
      </c>
      <c r="G863" s="1098">
        <f t="shared" si="39"/>
        <v>99.817501596861021</v>
      </c>
      <c r="H863" s="1098">
        <v>100</v>
      </c>
      <c r="I863" s="863"/>
      <c r="J863" s="44"/>
    </row>
    <row r="864" spans="3:10" ht="20.100000000000001" hidden="1" customHeight="1">
      <c r="C864" s="878"/>
      <c r="D864" s="886" t="s">
        <v>3818</v>
      </c>
      <c r="E864" s="1099">
        <v>116315000</v>
      </c>
      <c r="F864" s="1099">
        <v>116315000</v>
      </c>
      <c r="G864" s="1098">
        <f t="shared" si="39"/>
        <v>100</v>
      </c>
      <c r="H864" s="1098">
        <f>+G864</f>
        <v>100</v>
      </c>
      <c r="I864" s="852"/>
      <c r="J864" s="802"/>
    </row>
    <row r="865" spans="3:10" ht="20.100000000000001" hidden="1" customHeight="1">
      <c r="C865" s="878"/>
      <c r="D865" s="886" t="s">
        <v>3817</v>
      </c>
      <c r="E865" s="1099">
        <v>170650000</v>
      </c>
      <c r="F865" s="1099">
        <v>170650000</v>
      </c>
      <c r="G865" s="1098">
        <f t="shared" si="39"/>
        <v>100</v>
      </c>
      <c r="H865" s="1098">
        <f>+G865</f>
        <v>100</v>
      </c>
      <c r="I865" s="852"/>
      <c r="J865" s="802"/>
    </row>
    <row r="866" spans="3:10" ht="20.100000000000001" hidden="1" customHeight="1">
      <c r="C866" s="878"/>
      <c r="D866" s="886" t="s">
        <v>3816</v>
      </c>
      <c r="E866" s="1099">
        <v>453500000</v>
      </c>
      <c r="F866" s="1099">
        <v>451900000</v>
      </c>
      <c r="G866" s="1098">
        <f t="shared" si="39"/>
        <v>99.647188533627343</v>
      </c>
      <c r="H866" s="1098">
        <v>100</v>
      </c>
      <c r="I866" s="852"/>
      <c r="J866" s="802"/>
    </row>
    <row r="867" spans="3:10" ht="20.100000000000001" hidden="1" customHeight="1">
      <c r="C867" s="878"/>
      <c r="D867" s="1101" t="s">
        <v>1878</v>
      </c>
      <c r="E867" s="358">
        <f>SUM(E868:E870)</f>
        <v>296812000</v>
      </c>
      <c r="F867" s="358">
        <f>SUM(F868:F870)</f>
        <v>228302000</v>
      </c>
      <c r="G867" s="1100">
        <f t="shared" si="39"/>
        <v>76.918049135479691</v>
      </c>
      <c r="H867" s="1100">
        <f>(H868+H869+H870)/3</f>
        <v>83.333333333333329</v>
      </c>
      <c r="I867" s="852"/>
      <c r="J867" s="802"/>
    </row>
    <row r="868" spans="3:10" ht="20.100000000000001" hidden="1" customHeight="1">
      <c r="C868" s="878"/>
      <c r="D868" s="886" t="s">
        <v>3815</v>
      </c>
      <c r="E868" s="1099">
        <v>121318000</v>
      </c>
      <c r="F868" s="1099">
        <f>121318000-(65210000+3300000)</f>
        <v>52808000</v>
      </c>
      <c r="G868" s="1098">
        <f t="shared" si="39"/>
        <v>43.528577787302794</v>
      </c>
      <c r="H868" s="1098">
        <v>50</v>
      </c>
      <c r="I868" s="852"/>
      <c r="J868" s="802"/>
    </row>
    <row r="869" spans="3:10" s="656" customFormat="1" ht="20.100000000000001" hidden="1" customHeight="1">
      <c r="C869" s="881"/>
      <c r="D869" s="886" t="s">
        <v>3814</v>
      </c>
      <c r="E869" s="1099">
        <v>118096000</v>
      </c>
      <c r="F869" s="1099">
        <v>118096000</v>
      </c>
      <c r="G869" s="1098">
        <f t="shared" si="39"/>
        <v>100</v>
      </c>
      <c r="H869" s="1098">
        <f>+G869</f>
        <v>100</v>
      </c>
      <c r="I869" s="863"/>
      <c r="J869" s="44"/>
    </row>
    <row r="870" spans="3:10" ht="35.1" hidden="1" customHeight="1">
      <c r="C870" s="878"/>
      <c r="D870" s="886" t="s">
        <v>3813</v>
      </c>
      <c r="E870" s="1099">
        <v>57398000</v>
      </c>
      <c r="F870" s="1099">
        <v>57398000</v>
      </c>
      <c r="G870" s="1098">
        <f t="shared" si="39"/>
        <v>100</v>
      </c>
      <c r="H870" s="1098">
        <f>+G870</f>
        <v>100</v>
      </c>
      <c r="I870" s="852"/>
      <c r="J870" s="802"/>
    </row>
    <row r="871" spans="3:10" ht="20.100000000000001" hidden="1" customHeight="1">
      <c r="C871" s="878"/>
      <c r="D871" s="893" t="s">
        <v>877</v>
      </c>
      <c r="E871" s="358">
        <f>+E872</f>
        <v>391100000</v>
      </c>
      <c r="F871" s="358">
        <f>+F872</f>
        <v>387300000</v>
      </c>
      <c r="G871" s="1100">
        <f t="shared" si="39"/>
        <v>99.028381488110455</v>
      </c>
      <c r="H871" s="1100">
        <f>+H872</f>
        <v>100</v>
      </c>
      <c r="I871" s="852"/>
      <c r="J871" s="802"/>
    </row>
    <row r="872" spans="3:10" ht="20.100000000000001" hidden="1" customHeight="1">
      <c r="C872" s="878"/>
      <c r="D872" s="886" t="s">
        <v>3812</v>
      </c>
      <c r="E872" s="1099">
        <v>391100000</v>
      </c>
      <c r="F872" s="1099">
        <f>391100000-3800000</f>
        <v>387300000</v>
      </c>
      <c r="G872" s="1098">
        <f t="shared" si="39"/>
        <v>99.028381488110455</v>
      </c>
      <c r="H872" s="1098">
        <v>100</v>
      </c>
      <c r="I872" s="852"/>
      <c r="J872" s="802"/>
    </row>
    <row r="873" spans="3:10" s="656" customFormat="1" ht="20.100000000000001" hidden="1" customHeight="1">
      <c r="C873" s="881"/>
      <c r="D873" s="1101" t="s">
        <v>221</v>
      </c>
      <c r="E873" s="358">
        <f>SUM(E874:E874)</f>
        <v>95900000</v>
      </c>
      <c r="F873" s="358">
        <f>SUM(F874:F874)</f>
        <v>95279600</v>
      </c>
      <c r="G873" s="1100">
        <f t="shared" si="39"/>
        <v>99.353076120959329</v>
      </c>
      <c r="H873" s="1100">
        <f>+H874</f>
        <v>100</v>
      </c>
      <c r="I873" s="863"/>
      <c r="J873" s="44"/>
    </row>
    <row r="874" spans="3:10" ht="20.100000000000001" hidden="1" customHeight="1">
      <c r="C874" s="878"/>
      <c r="D874" s="886" t="s">
        <v>2208</v>
      </c>
      <c r="E874" s="1099">
        <v>95900000</v>
      </c>
      <c r="F874" s="1099">
        <f>95900000-620400</f>
        <v>95279600</v>
      </c>
      <c r="G874" s="1098">
        <f t="shared" si="39"/>
        <v>99.353076120959329</v>
      </c>
      <c r="H874" s="1098">
        <v>100</v>
      </c>
      <c r="I874" s="852"/>
      <c r="J874" s="802"/>
    </row>
    <row r="875" spans="3:10" s="656" customFormat="1" ht="20.100000000000001" hidden="1" customHeight="1">
      <c r="C875" s="881"/>
      <c r="D875" s="893" t="s">
        <v>1501</v>
      </c>
      <c r="E875" s="358">
        <f>SUM(E876:E876)</f>
        <v>391700000</v>
      </c>
      <c r="F875" s="358">
        <f>SUM(F876:F876)</f>
        <v>391700000</v>
      </c>
      <c r="G875" s="1100">
        <f t="shared" si="39"/>
        <v>100</v>
      </c>
      <c r="H875" s="1100">
        <f>+H876</f>
        <v>100</v>
      </c>
      <c r="I875" s="863"/>
      <c r="J875" s="44"/>
    </row>
    <row r="876" spans="3:10" ht="20.100000000000001" hidden="1" customHeight="1">
      <c r="C876" s="878"/>
      <c r="D876" s="886" t="s">
        <v>3811</v>
      </c>
      <c r="E876" s="1099">
        <v>391700000</v>
      </c>
      <c r="F876" s="1099">
        <v>391700000</v>
      </c>
      <c r="G876" s="1098">
        <f t="shared" si="39"/>
        <v>100</v>
      </c>
      <c r="H876" s="1098">
        <f>+G876</f>
        <v>100</v>
      </c>
      <c r="I876" s="852"/>
      <c r="J876" s="802"/>
    </row>
    <row r="877" spans="3:10" s="656" customFormat="1" ht="15" hidden="1" customHeight="1">
      <c r="C877" s="881"/>
      <c r="D877" s="886"/>
      <c r="E877" s="1099"/>
      <c r="F877" s="1099"/>
      <c r="G877" s="1098"/>
      <c r="H877" s="1098"/>
      <c r="I877" s="863"/>
      <c r="J877" s="44"/>
    </row>
    <row r="878" spans="3:10" ht="20.100000000000001" hidden="1" customHeight="1">
      <c r="C878" s="878"/>
      <c r="D878" s="856" t="s">
        <v>425</v>
      </c>
      <c r="E878" s="358">
        <f>+E879</f>
        <v>4500000000</v>
      </c>
      <c r="F878" s="358">
        <f>+F879</f>
        <v>4472300000</v>
      </c>
      <c r="G878" s="1100">
        <f t="shared" ref="G878:G883" si="40">+F878/E878*100</f>
        <v>99.384444444444441</v>
      </c>
      <c r="H878" s="1100">
        <f>+H879</f>
        <v>100</v>
      </c>
      <c r="I878" s="852"/>
      <c r="J878" s="802"/>
    </row>
    <row r="879" spans="3:10" ht="35.1" hidden="1" customHeight="1">
      <c r="C879" s="878"/>
      <c r="D879" s="893" t="s">
        <v>3810</v>
      </c>
      <c r="E879" s="358">
        <f>+E880</f>
        <v>4500000000</v>
      </c>
      <c r="F879" s="358">
        <f>+F880</f>
        <v>4472300000</v>
      </c>
      <c r="G879" s="1100">
        <f t="shared" si="40"/>
        <v>99.384444444444441</v>
      </c>
      <c r="H879" s="1100">
        <f>+H880</f>
        <v>100</v>
      </c>
      <c r="I879" s="852"/>
      <c r="J879" s="802"/>
    </row>
    <row r="880" spans="3:10" ht="20.100000000000001" hidden="1" customHeight="1">
      <c r="C880" s="878"/>
      <c r="D880" s="886" t="s">
        <v>3809</v>
      </c>
      <c r="E880" s="1099">
        <v>4500000000</v>
      </c>
      <c r="F880" s="1099">
        <v>4472300000</v>
      </c>
      <c r="G880" s="1098">
        <f t="shared" si="40"/>
        <v>99.384444444444441</v>
      </c>
      <c r="H880" s="1098">
        <v>100</v>
      </c>
      <c r="I880" s="852"/>
      <c r="J880" s="802"/>
    </row>
    <row r="881" spans="3:10" ht="20.100000000000001" hidden="1" customHeight="1">
      <c r="C881" s="878"/>
      <c r="D881" s="856" t="s">
        <v>489</v>
      </c>
      <c r="E881" s="358">
        <f>+E882</f>
        <v>900000000</v>
      </c>
      <c r="F881" s="358">
        <f>+F882</f>
        <v>900000000</v>
      </c>
      <c r="G881" s="1100">
        <f t="shared" si="40"/>
        <v>100</v>
      </c>
      <c r="H881" s="1100">
        <f>+H882</f>
        <v>100</v>
      </c>
      <c r="I881" s="852"/>
      <c r="J881" s="802"/>
    </row>
    <row r="882" spans="3:10" ht="20.100000000000001" hidden="1" customHeight="1">
      <c r="C882" s="878"/>
      <c r="D882" s="893" t="s">
        <v>1525</v>
      </c>
      <c r="E882" s="358">
        <f>+E883</f>
        <v>900000000</v>
      </c>
      <c r="F882" s="358">
        <f>+F883</f>
        <v>900000000</v>
      </c>
      <c r="G882" s="1100">
        <f t="shared" si="40"/>
        <v>100</v>
      </c>
      <c r="H882" s="1100">
        <f>+H883</f>
        <v>100</v>
      </c>
      <c r="I882" s="852"/>
      <c r="J882" s="802"/>
    </row>
    <row r="883" spans="3:10" ht="20.100000000000001" hidden="1" customHeight="1">
      <c r="C883" s="878"/>
      <c r="D883" s="886" t="s">
        <v>3452</v>
      </c>
      <c r="E883" s="1099">
        <v>900000000</v>
      </c>
      <c r="F883" s="1099">
        <v>900000000</v>
      </c>
      <c r="G883" s="1098">
        <f t="shared" si="40"/>
        <v>100</v>
      </c>
      <c r="H883" s="1098">
        <f>+G883</f>
        <v>100</v>
      </c>
      <c r="I883" s="852"/>
      <c r="J883" s="802"/>
    </row>
    <row r="884" spans="3:10" ht="15" hidden="1" customHeight="1">
      <c r="C884" s="878"/>
      <c r="D884" s="886"/>
      <c r="E884" s="1099"/>
      <c r="F884" s="1099"/>
      <c r="G884" s="1098"/>
      <c r="H884" s="1098"/>
      <c r="I884" s="852"/>
      <c r="J884" s="802"/>
    </row>
    <row r="885" spans="3:10" ht="20.100000000000001" hidden="1" customHeight="1">
      <c r="C885" s="878"/>
      <c r="D885" s="856" t="s">
        <v>881</v>
      </c>
      <c r="E885" s="358">
        <f>+E886+E888</f>
        <v>450000000</v>
      </c>
      <c r="F885" s="358">
        <f>+F886+F888</f>
        <v>309898600</v>
      </c>
      <c r="G885" s="1100">
        <f>+F885/E885*100</f>
        <v>68.866355555555558</v>
      </c>
      <c r="H885" s="1100">
        <f>90/2</f>
        <v>45</v>
      </c>
      <c r="I885" s="852"/>
      <c r="J885" s="802"/>
    </row>
    <row r="886" spans="3:10" ht="20.100000000000001" hidden="1" customHeight="1">
      <c r="C886" s="878"/>
      <c r="D886" s="893" t="s">
        <v>3808</v>
      </c>
      <c r="E886" s="358">
        <f>SUM(E887:E887)</f>
        <v>350000000</v>
      </c>
      <c r="F886" s="358">
        <f>SUM(F887:F887)</f>
        <v>309898600</v>
      </c>
      <c r="G886" s="1100">
        <f>+F886/E886*100</f>
        <v>88.542457142857145</v>
      </c>
      <c r="H886" s="1100">
        <f>+H887</f>
        <v>90</v>
      </c>
      <c r="I886" s="852"/>
      <c r="J886" s="802"/>
    </row>
    <row r="887" spans="3:10" ht="35.1" hidden="1" customHeight="1">
      <c r="C887" s="878"/>
      <c r="D887" s="886" t="s">
        <v>3807</v>
      </c>
      <c r="E887" s="1099">
        <v>350000000</v>
      </c>
      <c r="F887" s="1099">
        <v>309898600</v>
      </c>
      <c r="G887" s="1098">
        <f>+F887/E887*100</f>
        <v>88.542457142857145</v>
      </c>
      <c r="H887" s="1098">
        <v>90</v>
      </c>
      <c r="I887" s="852"/>
      <c r="J887" s="802"/>
    </row>
    <row r="888" spans="3:10" ht="20.100000000000001" hidden="1" customHeight="1">
      <c r="C888" s="878"/>
      <c r="D888" s="893" t="s">
        <v>884</v>
      </c>
      <c r="E888" s="358">
        <f>SUM(E889:E889)</f>
        <v>100000000</v>
      </c>
      <c r="F888" s="358">
        <f>SUM(F889:F889)</f>
        <v>0</v>
      </c>
      <c r="G888" s="1100">
        <f>+F888/E888*100</f>
        <v>0</v>
      </c>
      <c r="H888" s="1100">
        <f>+H889</f>
        <v>0</v>
      </c>
      <c r="I888" s="852"/>
      <c r="J888" s="802"/>
    </row>
    <row r="889" spans="3:10" ht="45" hidden="1" customHeight="1">
      <c r="C889" s="878"/>
      <c r="D889" s="886" t="s">
        <v>3806</v>
      </c>
      <c r="E889" s="1099">
        <v>100000000</v>
      </c>
      <c r="F889" s="1099">
        <v>0</v>
      </c>
      <c r="G889" s="1098">
        <f>+F889/E889*100</f>
        <v>0</v>
      </c>
      <c r="H889" s="1098">
        <f>+G889</f>
        <v>0</v>
      </c>
      <c r="I889" s="852"/>
      <c r="J889" s="802"/>
    </row>
    <row r="890" spans="3:10" ht="15" hidden="1" customHeight="1">
      <c r="C890" s="878"/>
      <c r="D890" s="886"/>
      <c r="E890" s="1099"/>
      <c r="F890" s="1099"/>
      <c r="G890" s="1098"/>
      <c r="H890" s="1098"/>
      <c r="I890" s="852"/>
      <c r="J890" s="802"/>
    </row>
    <row r="891" spans="3:10" ht="20.100000000000001" hidden="1" customHeight="1">
      <c r="C891" s="878"/>
      <c r="D891" s="856" t="s">
        <v>525</v>
      </c>
      <c r="E891" s="358">
        <f>+E892</f>
        <v>100000000</v>
      </c>
      <c r="F891" s="358">
        <f>+F892</f>
        <v>0</v>
      </c>
      <c r="G891" s="1100">
        <f t="shared" ref="G891:G897" si="41">+F891/E891*100</f>
        <v>0</v>
      </c>
      <c r="H891" s="1100">
        <f>+H892</f>
        <v>0</v>
      </c>
      <c r="I891" s="852"/>
      <c r="J891" s="802"/>
    </row>
    <row r="892" spans="3:10" ht="35.1" hidden="1" customHeight="1">
      <c r="C892" s="878"/>
      <c r="D892" s="893" t="s">
        <v>890</v>
      </c>
      <c r="E892" s="358">
        <f>SUM(E893:E893)</f>
        <v>100000000</v>
      </c>
      <c r="F892" s="358">
        <f>SUM(F893:F893)</f>
        <v>0</v>
      </c>
      <c r="G892" s="1100">
        <f t="shared" si="41"/>
        <v>0</v>
      </c>
      <c r="H892" s="1100">
        <f>+H893</f>
        <v>0</v>
      </c>
      <c r="I892" s="852"/>
      <c r="J892" s="802"/>
    </row>
    <row r="893" spans="3:10" ht="35.1" hidden="1" customHeight="1">
      <c r="C893" s="878"/>
      <c r="D893" s="886" t="s">
        <v>3805</v>
      </c>
      <c r="E893" s="1099">
        <v>100000000</v>
      </c>
      <c r="F893" s="1099">
        <v>0</v>
      </c>
      <c r="G893" s="1098">
        <f t="shared" si="41"/>
        <v>0</v>
      </c>
      <c r="H893" s="1098">
        <f>+G893</f>
        <v>0</v>
      </c>
      <c r="I893" s="852"/>
      <c r="J893" s="802"/>
    </row>
    <row r="894" spans="3:10" ht="20.100000000000001" hidden="1" customHeight="1">
      <c r="C894" s="878"/>
      <c r="D894" s="856" t="s">
        <v>2374</v>
      </c>
      <c r="E894" s="358">
        <f>+E895</f>
        <v>5500000000</v>
      </c>
      <c r="F894" s="358">
        <f>+F895</f>
        <v>5473000000</v>
      </c>
      <c r="G894" s="1100">
        <f t="shared" si="41"/>
        <v>99.509090909090915</v>
      </c>
      <c r="H894" s="1100">
        <f>+H895</f>
        <v>100</v>
      </c>
      <c r="I894" s="852"/>
      <c r="J894" s="802"/>
    </row>
    <row r="895" spans="3:10" ht="20.100000000000001" hidden="1" customHeight="1">
      <c r="C895" s="878"/>
      <c r="D895" s="893" t="s">
        <v>897</v>
      </c>
      <c r="E895" s="358">
        <f>SUM(E896:E897)</f>
        <v>5500000000</v>
      </c>
      <c r="F895" s="358">
        <f>SUM(F896:F897)</f>
        <v>5473000000</v>
      </c>
      <c r="G895" s="1100">
        <f t="shared" si="41"/>
        <v>99.509090909090915</v>
      </c>
      <c r="H895" s="1100">
        <f>(H896+H897)/2</f>
        <v>100</v>
      </c>
      <c r="I895" s="852"/>
      <c r="J895" s="802"/>
    </row>
    <row r="896" spans="3:10" ht="20.100000000000001" hidden="1" customHeight="1">
      <c r="C896" s="878"/>
      <c r="D896" s="886" t="s">
        <v>3804</v>
      </c>
      <c r="E896" s="1099">
        <v>3000000000</v>
      </c>
      <c r="F896" s="1099">
        <v>2973000000</v>
      </c>
      <c r="G896" s="1098">
        <f t="shared" si="41"/>
        <v>99.1</v>
      </c>
      <c r="H896" s="1098">
        <v>100</v>
      </c>
      <c r="I896" s="852"/>
      <c r="J896" s="802"/>
    </row>
    <row r="897" spans="3:10" ht="20.100000000000001" hidden="1" customHeight="1">
      <c r="C897" s="878"/>
      <c r="D897" s="886" t="s">
        <v>3803</v>
      </c>
      <c r="E897" s="1099">
        <v>2500000000</v>
      </c>
      <c r="F897" s="1099">
        <v>2500000000</v>
      </c>
      <c r="G897" s="1098">
        <f t="shared" si="41"/>
        <v>100</v>
      </c>
      <c r="H897" s="1098">
        <f>+G897</f>
        <v>100</v>
      </c>
      <c r="I897" s="852"/>
      <c r="J897" s="802"/>
    </row>
    <row r="898" spans="3:10" ht="15" hidden="1" customHeight="1">
      <c r="C898" s="878"/>
      <c r="D898" s="886"/>
      <c r="E898" s="1099"/>
      <c r="F898" s="1099"/>
      <c r="G898" s="1098"/>
      <c r="H898" s="1098"/>
      <c r="I898" s="852"/>
      <c r="J898" s="802"/>
    </row>
    <row r="899" spans="3:10" ht="20.100000000000001" hidden="1" customHeight="1">
      <c r="C899" s="878"/>
      <c r="D899" s="856" t="s">
        <v>898</v>
      </c>
      <c r="E899" s="358">
        <f>+E900</f>
        <v>100000000</v>
      </c>
      <c r="F899" s="358">
        <f>+F900</f>
        <v>100000000</v>
      </c>
      <c r="G899" s="1100">
        <f>+F899/E899*100</f>
        <v>100</v>
      </c>
      <c r="H899" s="1100">
        <f>+H900</f>
        <v>100</v>
      </c>
      <c r="I899" s="852"/>
      <c r="J899" s="802"/>
    </row>
    <row r="900" spans="3:10" ht="20.100000000000001" hidden="1" customHeight="1">
      <c r="C900" s="878"/>
      <c r="D900" s="893" t="s">
        <v>1466</v>
      </c>
      <c r="E900" s="358">
        <f>+E901</f>
        <v>100000000</v>
      </c>
      <c r="F900" s="358">
        <f>+F901</f>
        <v>100000000</v>
      </c>
      <c r="G900" s="1100">
        <f>+F900/E900*100</f>
        <v>100</v>
      </c>
      <c r="H900" s="1100">
        <f>+H901</f>
        <v>100</v>
      </c>
      <c r="I900" s="852"/>
      <c r="J900" s="802"/>
    </row>
    <row r="901" spans="3:10" ht="35.1" hidden="1" customHeight="1">
      <c r="C901" s="878"/>
      <c r="D901" s="886" t="s">
        <v>3802</v>
      </c>
      <c r="E901" s="1099">
        <v>100000000</v>
      </c>
      <c r="F901" s="1099">
        <v>100000000</v>
      </c>
      <c r="G901" s="1098">
        <f>+F901/E901*100</f>
        <v>100</v>
      </c>
      <c r="H901" s="1098">
        <f>+G901</f>
        <v>100</v>
      </c>
      <c r="I901" s="852"/>
      <c r="J901" s="802"/>
    </row>
    <row r="902" spans="3:10" ht="15" hidden="1" customHeight="1">
      <c r="C902" s="878"/>
      <c r="D902" s="886"/>
      <c r="E902" s="1099"/>
      <c r="F902" s="1099"/>
      <c r="G902" s="1098"/>
      <c r="H902" s="1098"/>
      <c r="I902" s="852"/>
      <c r="J902" s="802"/>
    </row>
    <row r="903" spans="3:10" ht="20.100000000000001" hidden="1" customHeight="1">
      <c r="C903" s="878"/>
      <c r="D903" s="856" t="s">
        <v>901</v>
      </c>
      <c r="E903" s="358">
        <f>+E904</f>
        <v>1900000000</v>
      </c>
      <c r="F903" s="358">
        <f>+F904</f>
        <v>1898222000</v>
      </c>
      <c r="G903" s="1100">
        <f>+F903/E903*100</f>
        <v>99.906421052631572</v>
      </c>
      <c r="H903" s="1100">
        <f>+H904</f>
        <v>100</v>
      </c>
      <c r="I903" s="852"/>
      <c r="J903" s="802"/>
    </row>
    <row r="904" spans="3:10" ht="20.100000000000001" hidden="1" customHeight="1">
      <c r="C904" s="878"/>
      <c r="D904" s="893" t="s">
        <v>904</v>
      </c>
      <c r="E904" s="358">
        <f>SUM(E905:E905)</f>
        <v>1900000000</v>
      </c>
      <c r="F904" s="358">
        <f>SUM(F905:F905)</f>
        <v>1898222000</v>
      </c>
      <c r="G904" s="1100">
        <f>+F904/E904*100</f>
        <v>99.906421052631572</v>
      </c>
      <c r="H904" s="1100">
        <f>+H905</f>
        <v>100</v>
      </c>
      <c r="I904" s="852"/>
      <c r="J904" s="802"/>
    </row>
    <row r="905" spans="3:10" ht="20.100000000000001" hidden="1" customHeight="1">
      <c r="C905" s="878"/>
      <c r="D905" s="886" t="s">
        <v>3801</v>
      </c>
      <c r="E905" s="1099">
        <v>1900000000</v>
      </c>
      <c r="F905" s="1099">
        <v>1898222000</v>
      </c>
      <c r="G905" s="1098">
        <f>+F905/E905*100</f>
        <v>99.906421052631572</v>
      </c>
      <c r="H905" s="1098">
        <v>100</v>
      </c>
      <c r="I905" s="852"/>
      <c r="J905" s="802"/>
    </row>
    <row r="906" spans="3:10" ht="15" hidden="1" customHeight="1">
      <c r="C906" s="878"/>
      <c r="D906" s="1097"/>
      <c r="E906" s="855"/>
      <c r="F906" s="854"/>
      <c r="G906" s="854"/>
      <c r="H906" s="876"/>
      <c r="I906" s="852"/>
      <c r="J906" s="802"/>
    </row>
    <row r="907" spans="3:10" s="656" customFormat="1" ht="20.100000000000001" customHeight="1">
      <c r="C907" s="881" t="s">
        <v>925</v>
      </c>
      <c r="D907" s="893" t="s">
        <v>926</v>
      </c>
      <c r="E907" s="885">
        <f>+E908+E934+E961+E967+E971+E975+E979+E985+E989+E993+E997+E1002+E1006+E1010+E1016+E1020+E1024+E1033+E1039+E1043+E1049+E1052</f>
        <v>64189783336.760002</v>
      </c>
      <c r="F907" s="885">
        <f>+F908+F934+F961+F967+F971+F979+F975+F985+F989+F993+F997+F1002+F1006+F1010+F1016+F1020+F1024+F1033+F1039+F1043+F1049+F1052</f>
        <v>52249356530</v>
      </c>
      <c r="G907" s="855">
        <f t="shared" ref="G907:G932" si="42">+F907/E907*100</f>
        <v>81.398244103556593</v>
      </c>
      <c r="H907" s="887">
        <f>(H908+H934+H961+H967+H971+H975+H979+H985+H989+H997+H1002+H1006+H1016+H1020+H1010+H1024+H1033+H1039+H1043+H1049)/23</f>
        <v>82.21911136536994</v>
      </c>
      <c r="I907" s="863"/>
      <c r="J907" s="44"/>
    </row>
    <row r="908" spans="3:10" ht="20.100000000000001" hidden="1" customHeight="1">
      <c r="C908" s="878"/>
      <c r="D908" s="917" t="s">
        <v>444</v>
      </c>
      <c r="E908" s="1095">
        <v>11571585520.76</v>
      </c>
      <c r="F908" s="1095">
        <v>11443500000</v>
      </c>
      <c r="G908" s="855">
        <f t="shared" si="42"/>
        <v>98.893103105618422</v>
      </c>
      <c r="H908" s="887">
        <f>(H909+H912+H918+H926+H929+H931)/6</f>
        <v>91.666666666666671</v>
      </c>
      <c r="I908" s="852"/>
      <c r="J908" s="802"/>
    </row>
    <row r="909" spans="3:10" ht="20.100000000000001" hidden="1" customHeight="1">
      <c r="C909" s="878"/>
      <c r="D909" s="984" t="s">
        <v>388</v>
      </c>
      <c r="E909" s="1095">
        <v>509000000</v>
      </c>
      <c r="F909" s="1095">
        <v>384000000</v>
      </c>
      <c r="G909" s="855">
        <f t="shared" si="42"/>
        <v>75.442043222003932</v>
      </c>
      <c r="H909" s="887">
        <v>50</v>
      </c>
      <c r="I909" s="852"/>
      <c r="J909" s="802"/>
    </row>
    <row r="910" spans="3:10" ht="20.100000000000001" hidden="1" customHeight="1">
      <c r="C910" s="878"/>
      <c r="D910" s="914" t="s">
        <v>2997</v>
      </c>
      <c r="E910" s="1094">
        <v>125000000</v>
      </c>
      <c r="F910" s="1094">
        <v>0</v>
      </c>
      <c r="G910" s="855">
        <f t="shared" si="42"/>
        <v>0</v>
      </c>
      <c r="H910" s="887">
        <f t="shared" ref="H910:H917" si="43">+G910</f>
        <v>0</v>
      </c>
      <c r="I910" s="852"/>
      <c r="J910" s="802"/>
    </row>
    <row r="911" spans="3:10" ht="20.100000000000001" hidden="1" customHeight="1">
      <c r="C911" s="878"/>
      <c r="D911" s="914" t="s">
        <v>3179</v>
      </c>
      <c r="E911" s="1094">
        <v>384000000</v>
      </c>
      <c r="F911" s="1094">
        <v>384000000</v>
      </c>
      <c r="G911" s="855">
        <f t="shared" si="42"/>
        <v>100</v>
      </c>
      <c r="H911" s="887">
        <f t="shared" si="43"/>
        <v>100</v>
      </c>
      <c r="I911" s="852"/>
      <c r="J911" s="802"/>
    </row>
    <row r="912" spans="3:10" ht="20.100000000000001" hidden="1" customHeight="1">
      <c r="C912" s="878"/>
      <c r="D912" s="917" t="s">
        <v>938</v>
      </c>
      <c r="E912" s="1095">
        <v>5420000000</v>
      </c>
      <c r="F912" s="1095">
        <v>5420000000</v>
      </c>
      <c r="G912" s="855">
        <f t="shared" si="42"/>
        <v>100</v>
      </c>
      <c r="H912" s="887">
        <f t="shared" si="43"/>
        <v>100</v>
      </c>
      <c r="I912" s="852"/>
      <c r="J912" s="802"/>
    </row>
    <row r="913" spans="3:10" ht="20.100000000000001" hidden="1" customHeight="1">
      <c r="C913" s="878"/>
      <c r="D913" s="914" t="s">
        <v>3800</v>
      </c>
      <c r="E913" s="1094">
        <v>2580000000</v>
      </c>
      <c r="F913" s="1094">
        <v>2580000000</v>
      </c>
      <c r="G913" s="855">
        <f t="shared" si="42"/>
        <v>100</v>
      </c>
      <c r="H913" s="887">
        <f t="shared" si="43"/>
        <v>100</v>
      </c>
      <c r="I913" s="852"/>
      <c r="J913" s="802"/>
    </row>
    <row r="914" spans="3:10" ht="20.100000000000001" hidden="1" customHeight="1">
      <c r="C914" s="878"/>
      <c r="D914" s="914" t="s">
        <v>3799</v>
      </c>
      <c r="E914" s="1094">
        <v>780000000</v>
      </c>
      <c r="F914" s="1094">
        <v>780000000</v>
      </c>
      <c r="G914" s="855">
        <f t="shared" si="42"/>
        <v>100</v>
      </c>
      <c r="H914" s="887">
        <f t="shared" si="43"/>
        <v>100</v>
      </c>
      <c r="I914" s="852"/>
      <c r="J914" s="802"/>
    </row>
    <row r="915" spans="3:10" ht="35.1" hidden="1" customHeight="1">
      <c r="C915" s="878"/>
      <c r="D915" s="914" t="s">
        <v>3798</v>
      </c>
      <c r="E915" s="1094">
        <v>250000000</v>
      </c>
      <c r="F915" s="1094">
        <v>250000000</v>
      </c>
      <c r="G915" s="855">
        <f t="shared" si="42"/>
        <v>100</v>
      </c>
      <c r="H915" s="887">
        <f t="shared" si="43"/>
        <v>100</v>
      </c>
      <c r="I915" s="852"/>
      <c r="J915" s="802"/>
    </row>
    <row r="916" spans="3:10" ht="35.1" hidden="1" customHeight="1">
      <c r="C916" s="878"/>
      <c r="D916" s="914" t="s">
        <v>3797</v>
      </c>
      <c r="E916" s="1094">
        <v>1000000000</v>
      </c>
      <c r="F916" s="1094">
        <v>1000000000</v>
      </c>
      <c r="G916" s="855">
        <f t="shared" si="42"/>
        <v>100</v>
      </c>
      <c r="H916" s="887">
        <f t="shared" si="43"/>
        <v>100</v>
      </c>
      <c r="I916" s="852"/>
      <c r="J916" s="802"/>
    </row>
    <row r="917" spans="3:10" ht="20.100000000000001" hidden="1" customHeight="1">
      <c r="C917" s="878"/>
      <c r="D917" s="914" t="s">
        <v>2023</v>
      </c>
      <c r="E917" s="1094">
        <v>810000000</v>
      </c>
      <c r="F917" s="1094">
        <v>810000000</v>
      </c>
      <c r="G917" s="855">
        <f t="shared" si="42"/>
        <v>100</v>
      </c>
      <c r="H917" s="887">
        <f t="shared" si="43"/>
        <v>100</v>
      </c>
      <c r="I917" s="852"/>
      <c r="J917" s="802"/>
    </row>
    <row r="918" spans="3:10" ht="20.100000000000001" hidden="1" customHeight="1">
      <c r="C918" s="878"/>
      <c r="D918" s="917" t="s">
        <v>930</v>
      </c>
      <c r="E918" s="1095">
        <v>4360585520.7600002</v>
      </c>
      <c r="F918" s="1095">
        <v>4357500000</v>
      </c>
      <c r="G918" s="855">
        <f t="shared" si="42"/>
        <v>99.929240677764241</v>
      </c>
      <c r="H918" s="887">
        <v>100</v>
      </c>
      <c r="I918" s="852"/>
      <c r="J918" s="802"/>
    </row>
    <row r="919" spans="3:10" ht="20.100000000000001" hidden="1" customHeight="1">
      <c r="C919" s="878"/>
      <c r="D919" s="982" t="s">
        <v>667</v>
      </c>
      <c r="E919" s="1094">
        <v>840000000</v>
      </c>
      <c r="F919" s="1094">
        <v>840000000</v>
      </c>
      <c r="G919" s="855">
        <f t="shared" si="42"/>
        <v>100</v>
      </c>
      <c r="H919" s="887">
        <f>+G919</f>
        <v>100</v>
      </c>
      <c r="I919" s="852"/>
      <c r="J919" s="802"/>
    </row>
    <row r="920" spans="3:10" ht="20.100000000000001" hidden="1" customHeight="1">
      <c r="C920" s="878"/>
      <c r="D920" s="982" t="s">
        <v>3794</v>
      </c>
      <c r="E920" s="1094">
        <v>450000000</v>
      </c>
      <c r="F920" s="1094">
        <v>450000000</v>
      </c>
      <c r="G920" s="855">
        <f t="shared" si="42"/>
        <v>100</v>
      </c>
      <c r="H920" s="887">
        <f>+G920</f>
        <v>100</v>
      </c>
      <c r="I920" s="852"/>
      <c r="J920" s="802"/>
    </row>
    <row r="921" spans="3:10" ht="20.100000000000001" hidden="1" customHeight="1">
      <c r="C921" s="878"/>
      <c r="D921" s="982" t="s">
        <v>3796</v>
      </c>
      <c r="E921" s="1094">
        <v>560000000</v>
      </c>
      <c r="F921" s="1094">
        <v>560000000</v>
      </c>
      <c r="G921" s="855">
        <f t="shared" si="42"/>
        <v>100</v>
      </c>
      <c r="H921" s="887">
        <f>+G921</f>
        <v>100</v>
      </c>
      <c r="I921" s="852"/>
      <c r="J921" s="802"/>
    </row>
    <row r="922" spans="3:10" ht="35.1" hidden="1" customHeight="1">
      <c r="C922" s="878"/>
      <c r="D922" s="982" t="s">
        <v>2204</v>
      </c>
      <c r="E922" s="1094">
        <v>450585520.75999999</v>
      </c>
      <c r="F922" s="1094">
        <v>447500000</v>
      </c>
      <c r="G922" s="855">
        <f t="shared" si="42"/>
        <v>99.315219726813311</v>
      </c>
      <c r="H922" s="887">
        <v>100</v>
      </c>
      <c r="I922" s="852"/>
      <c r="J922" s="802"/>
    </row>
    <row r="923" spans="3:10" ht="35.1" hidden="1" customHeight="1">
      <c r="C923" s="878"/>
      <c r="D923" s="982" t="s">
        <v>3793</v>
      </c>
      <c r="E923" s="1094">
        <v>900000000</v>
      </c>
      <c r="F923" s="1094">
        <v>900000000</v>
      </c>
      <c r="G923" s="855">
        <f t="shared" si="42"/>
        <v>100</v>
      </c>
      <c r="H923" s="887">
        <f t="shared" ref="H923:H932" si="44">+G923</f>
        <v>100</v>
      </c>
      <c r="I923" s="852"/>
      <c r="J923" s="802"/>
    </row>
    <row r="924" spans="3:10" ht="35.1" hidden="1" customHeight="1">
      <c r="C924" s="878"/>
      <c r="D924" s="982" t="s">
        <v>3795</v>
      </c>
      <c r="E924" s="1094">
        <v>720000000</v>
      </c>
      <c r="F924" s="1094">
        <v>720000000</v>
      </c>
      <c r="G924" s="855">
        <f t="shared" si="42"/>
        <v>100</v>
      </c>
      <c r="H924" s="887">
        <f t="shared" si="44"/>
        <v>100</v>
      </c>
      <c r="I924" s="852"/>
      <c r="J924" s="802"/>
    </row>
    <row r="925" spans="3:10" ht="20.100000000000001" hidden="1" customHeight="1">
      <c r="C925" s="878"/>
      <c r="D925" s="982" t="s">
        <v>1400</v>
      </c>
      <c r="E925" s="1094">
        <v>440000000</v>
      </c>
      <c r="F925" s="1094">
        <v>440000000</v>
      </c>
      <c r="G925" s="855">
        <f t="shared" si="42"/>
        <v>100</v>
      </c>
      <c r="H925" s="887">
        <f t="shared" si="44"/>
        <v>100</v>
      </c>
      <c r="I925" s="852"/>
      <c r="J925" s="802"/>
    </row>
    <row r="926" spans="3:10" ht="20.100000000000001" hidden="1" customHeight="1">
      <c r="C926" s="878"/>
      <c r="D926" s="917" t="s">
        <v>2027</v>
      </c>
      <c r="E926" s="1095">
        <v>682000000</v>
      </c>
      <c r="F926" s="1095">
        <v>682000000</v>
      </c>
      <c r="G926" s="855">
        <f t="shared" si="42"/>
        <v>100</v>
      </c>
      <c r="H926" s="887">
        <f t="shared" si="44"/>
        <v>100</v>
      </c>
      <c r="I926" s="852"/>
      <c r="J926" s="802"/>
    </row>
    <row r="927" spans="3:10" ht="20.100000000000001" hidden="1" customHeight="1">
      <c r="C927" s="878"/>
      <c r="D927" s="914" t="s">
        <v>3794</v>
      </c>
      <c r="E927" s="1094">
        <v>432000000</v>
      </c>
      <c r="F927" s="1094">
        <v>432000000</v>
      </c>
      <c r="G927" s="855">
        <f t="shared" si="42"/>
        <v>100</v>
      </c>
      <c r="H927" s="887">
        <f t="shared" si="44"/>
        <v>100</v>
      </c>
      <c r="I927" s="852"/>
      <c r="J927" s="802"/>
    </row>
    <row r="928" spans="3:10" ht="20.100000000000001" hidden="1" customHeight="1">
      <c r="C928" s="878"/>
      <c r="D928" s="914" t="s">
        <v>1403</v>
      </c>
      <c r="E928" s="1094">
        <v>250000000</v>
      </c>
      <c r="F928" s="1094">
        <v>250000000</v>
      </c>
      <c r="G928" s="855">
        <f t="shared" si="42"/>
        <v>100</v>
      </c>
      <c r="H928" s="887">
        <f t="shared" si="44"/>
        <v>100</v>
      </c>
      <c r="I928" s="852"/>
      <c r="J928" s="802"/>
    </row>
    <row r="929" spans="3:10" ht="20.100000000000001" hidden="1" customHeight="1">
      <c r="C929" s="878"/>
      <c r="D929" s="917" t="s">
        <v>1389</v>
      </c>
      <c r="E929" s="1095">
        <v>360000000</v>
      </c>
      <c r="F929" s="1095">
        <v>360000000</v>
      </c>
      <c r="G929" s="855">
        <f t="shared" si="42"/>
        <v>100</v>
      </c>
      <c r="H929" s="887">
        <f t="shared" si="44"/>
        <v>100</v>
      </c>
      <c r="I929" s="852"/>
      <c r="J929" s="802"/>
    </row>
    <row r="930" spans="3:10" ht="35.1" hidden="1" customHeight="1">
      <c r="C930" s="878"/>
      <c r="D930" s="914" t="s">
        <v>3793</v>
      </c>
      <c r="E930" s="1094">
        <v>360000000</v>
      </c>
      <c r="F930" s="1094">
        <v>360000000</v>
      </c>
      <c r="G930" s="855">
        <f t="shared" si="42"/>
        <v>100</v>
      </c>
      <c r="H930" s="887">
        <f t="shared" si="44"/>
        <v>100</v>
      </c>
      <c r="I930" s="852"/>
      <c r="J930" s="802"/>
    </row>
    <row r="931" spans="3:10" ht="20.100000000000001" hidden="1" customHeight="1">
      <c r="C931" s="878"/>
      <c r="D931" s="917" t="s">
        <v>3792</v>
      </c>
      <c r="E931" s="1095">
        <v>240000000</v>
      </c>
      <c r="F931" s="1095">
        <v>240000000</v>
      </c>
      <c r="G931" s="855">
        <f t="shared" si="42"/>
        <v>100</v>
      </c>
      <c r="H931" s="887">
        <f t="shared" si="44"/>
        <v>100</v>
      </c>
      <c r="I931" s="852"/>
      <c r="J931" s="802"/>
    </row>
    <row r="932" spans="3:10" ht="35.1" hidden="1" customHeight="1">
      <c r="C932" s="878"/>
      <c r="D932" s="914" t="s">
        <v>3791</v>
      </c>
      <c r="E932" s="1094">
        <v>240000000</v>
      </c>
      <c r="F932" s="1094">
        <v>240000000</v>
      </c>
      <c r="G932" s="855">
        <f t="shared" si="42"/>
        <v>100</v>
      </c>
      <c r="H932" s="887">
        <f t="shared" si="44"/>
        <v>100</v>
      </c>
      <c r="I932" s="852"/>
      <c r="J932" s="802"/>
    </row>
    <row r="933" spans="3:10" ht="15" hidden="1" customHeight="1">
      <c r="C933" s="878"/>
      <c r="D933" s="914"/>
      <c r="E933" s="1094"/>
      <c r="F933" s="1094"/>
      <c r="G933" s="855"/>
      <c r="H933" s="887"/>
      <c r="I933" s="852"/>
      <c r="J933" s="802"/>
    </row>
    <row r="934" spans="3:10" ht="20.100000000000001" hidden="1" customHeight="1">
      <c r="C934" s="878"/>
      <c r="D934" s="1096" t="s">
        <v>161</v>
      </c>
      <c r="E934" s="1095">
        <v>7030730926</v>
      </c>
      <c r="F934" s="1095">
        <v>4186720970</v>
      </c>
      <c r="G934" s="855">
        <f t="shared" ref="G934:G959" si="45">+F934/E934*100</f>
        <v>59.548872145245859</v>
      </c>
      <c r="H934" s="887">
        <f>(H935+H937+H939+H941+H947+H950+H955+H957)/8</f>
        <v>51.875</v>
      </c>
      <c r="I934" s="852"/>
      <c r="J934" s="802"/>
    </row>
    <row r="935" spans="3:10" ht="20.100000000000001" hidden="1" customHeight="1">
      <c r="C935" s="878"/>
      <c r="D935" s="917" t="s">
        <v>162</v>
      </c>
      <c r="E935" s="1095">
        <v>205720000</v>
      </c>
      <c r="F935" s="1095">
        <v>0</v>
      </c>
      <c r="G935" s="855">
        <f t="shared" si="45"/>
        <v>0</v>
      </c>
      <c r="H935" s="887">
        <f>+G935</f>
        <v>0</v>
      </c>
      <c r="I935" s="852"/>
      <c r="J935" s="802"/>
    </row>
    <row r="936" spans="3:10" ht="20.100000000000001" hidden="1" customHeight="1">
      <c r="C936" s="878"/>
      <c r="D936" s="914" t="s">
        <v>607</v>
      </c>
      <c r="E936" s="1094">
        <v>205720000</v>
      </c>
      <c r="F936" s="1094">
        <v>0</v>
      </c>
      <c r="G936" s="855">
        <f t="shared" si="45"/>
        <v>0</v>
      </c>
      <c r="H936" s="887">
        <f>+G936</f>
        <v>0</v>
      </c>
      <c r="I936" s="852"/>
      <c r="J936" s="802"/>
    </row>
    <row r="937" spans="3:10" ht="20.100000000000001" hidden="1" customHeight="1">
      <c r="C937" s="878"/>
      <c r="D937" s="917" t="s">
        <v>173</v>
      </c>
      <c r="E937" s="1095">
        <v>1412886786</v>
      </c>
      <c r="F937" s="1095">
        <v>1409686000</v>
      </c>
      <c r="G937" s="855">
        <f t="shared" si="45"/>
        <v>99.773457715670077</v>
      </c>
      <c r="H937" s="887">
        <v>100</v>
      </c>
      <c r="I937" s="852"/>
      <c r="J937" s="802"/>
    </row>
    <row r="938" spans="3:10" ht="20.100000000000001" hidden="1" customHeight="1">
      <c r="C938" s="878"/>
      <c r="D938" s="914" t="s">
        <v>1685</v>
      </c>
      <c r="E938" s="1094">
        <v>1412886786</v>
      </c>
      <c r="F938" s="1094">
        <v>1409686000</v>
      </c>
      <c r="G938" s="855">
        <f t="shared" si="45"/>
        <v>99.773457715670077</v>
      </c>
      <c r="H938" s="887">
        <v>100</v>
      </c>
      <c r="I938" s="852"/>
      <c r="J938" s="802"/>
    </row>
    <row r="939" spans="3:10" ht="20.100000000000001" hidden="1" customHeight="1">
      <c r="C939" s="878"/>
      <c r="D939" s="917" t="s">
        <v>190</v>
      </c>
      <c r="E939" s="1095">
        <v>249999970</v>
      </c>
      <c r="F939" s="1095">
        <v>246299970</v>
      </c>
      <c r="G939" s="855">
        <f t="shared" si="45"/>
        <v>98.519999822399981</v>
      </c>
      <c r="H939" s="887">
        <v>100</v>
      </c>
      <c r="I939" s="852"/>
      <c r="J939" s="802"/>
    </row>
    <row r="940" spans="3:10" ht="20.100000000000001" hidden="1" customHeight="1">
      <c r="C940" s="878"/>
      <c r="D940" s="914" t="s">
        <v>3790</v>
      </c>
      <c r="E940" s="1094">
        <v>249999970</v>
      </c>
      <c r="F940" s="1094">
        <v>246299970</v>
      </c>
      <c r="G940" s="855">
        <f t="shared" si="45"/>
        <v>98.519999822399981</v>
      </c>
      <c r="H940" s="887">
        <v>100</v>
      </c>
      <c r="I940" s="852"/>
      <c r="J940" s="802"/>
    </row>
    <row r="941" spans="3:10" ht="20.100000000000001" hidden="1" customHeight="1">
      <c r="C941" s="878"/>
      <c r="D941" s="917" t="s">
        <v>196</v>
      </c>
      <c r="E941" s="1095">
        <v>1295536640</v>
      </c>
      <c r="F941" s="1095">
        <v>143200000</v>
      </c>
      <c r="G941" s="855">
        <f t="shared" si="45"/>
        <v>11.053334624329885</v>
      </c>
      <c r="H941" s="887">
        <f>100/5</f>
        <v>20</v>
      </c>
      <c r="I941" s="852"/>
      <c r="J941" s="802"/>
    </row>
    <row r="942" spans="3:10" ht="20.100000000000001" hidden="1" customHeight="1">
      <c r="C942" s="878"/>
      <c r="D942" s="914" t="s">
        <v>3789</v>
      </c>
      <c r="E942" s="1094">
        <v>421807500</v>
      </c>
      <c r="F942" s="1094">
        <v>0</v>
      </c>
      <c r="G942" s="855">
        <f t="shared" si="45"/>
        <v>0</v>
      </c>
      <c r="H942" s="887">
        <f t="shared" ref="H942:H954" si="46">+G942</f>
        <v>0</v>
      </c>
      <c r="I942" s="852"/>
      <c r="J942" s="802"/>
    </row>
    <row r="943" spans="3:10" ht="20.100000000000001" hidden="1" customHeight="1">
      <c r="C943" s="878"/>
      <c r="D943" s="914" t="s">
        <v>3788</v>
      </c>
      <c r="E943" s="1094">
        <v>570529140</v>
      </c>
      <c r="F943" s="1094">
        <v>0</v>
      </c>
      <c r="G943" s="855">
        <f t="shared" si="45"/>
        <v>0</v>
      </c>
      <c r="H943" s="887">
        <f t="shared" si="46"/>
        <v>0</v>
      </c>
      <c r="I943" s="852"/>
      <c r="J943" s="802"/>
    </row>
    <row r="944" spans="3:10" ht="20.100000000000001" hidden="1" customHeight="1">
      <c r="C944" s="878"/>
      <c r="D944" s="914" t="s">
        <v>3787</v>
      </c>
      <c r="E944" s="1094">
        <v>80000000</v>
      </c>
      <c r="F944" s="1094">
        <v>0</v>
      </c>
      <c r="G944" s="855">
        <f t="shared" si="45"/>
        <v>0</v>
      </c>
      <c r="H944" s="887">
        <f t="shared" si="46"/>
        <v>0</v>
      </c>
      <c r="I944" s="852"/>
      <c r="J944" s="802"/>
    </row>
    <row r="945" spans="3:10" ht="20.100000000000001" hidden="1" customHeight="1">
      <c r="C945" s="878"/>
      <c r="D945" s="914" t="s">
        <v>3786</v>
      </c>
      <c r="E945" s="1094">
        <v>80000000</v>
      </c>
      <c r="F945" s="1094">
        <v>0</v>
      </c>
      <c r="G945" s="855">
        <f t="shared" si="45"/>
        <v>0</v>
      </c>
      <c r="H945" s="887">
        <f t="shared" si="46"/>
        <v>0</v>
      </c>
      <c r="I945" s="852"/>
      <c r="J945" s="802"/>
    </row>
    <row r="946" spans="3:10" ht="20.100000000000001" hidden="1" customHeight="1">
      <c r="C946" s="878"/>
      <c r="D946" s="914" t="s">
        <v>3785</v>
      </c>
      <c r="E946" s="1094">
        <v>143200000</v>
      </c>
      <c r="F946" s="1094">
        <v>143200000</v>
      </c>
      <c r="G946" s="855">
        <f t="shared" si="45"/>
        <v>100</v>
      </c>
      <c r="H946" s="887">
        <f t="shared" si="46"/>
        <v>100</v>
      </c>
      <c r="I946" s="852"/>
      <c r="J946" s="802"/>
    </row>
    <row r="947" spans="3:10" ht="20.100000000000001" hidden="1" customHeight="1">
      <c r="C947" s="878"/>
      <c r="D947" s="917" t="s">
        <v>953</v>
      </c>
      <c r="E947" s="1095">
        <v>340591180</v>
      </c>
      <c r="F947" s="1095">
        <v>0</v>
      </c>
      <c r="G947" s="855">
        <f t="shared" si="45"/>
        <v>0</v>
      </c>
      <c r="H947" s="887">
        <f t="shared" si="46"/>
        <v>0</v>
      </c>
      <c r="I947" s="852"/>
      <c r="J947" s="802"/>
    </row>
    <row r="948" spans="3:10" ht="20.100000000000001" hidden="1" customHeight="1">
      <c r="C948" s="878"/>
      <c r="D948" s="914" t="s">
        <v>1728</v>
      </c>
      <c r="E948" s="1094">
        <v>236400000</v>
      </c>
      <c r="F948" s="1094">
        <v>0</v>
      </c>
      <c r="G948" s="855">
        <f t="shared" si="45"/>
        <v>0</v>
      </c>
      <c r="H948" s="887">
        <f t="shared" si="46"/>
        <v>0</v>
      </c>
      <c r="I948" s="852"/>
      <c r="J948" s="802"/>
    </row>
    <row r="949" spans="3:10" ht="35.1" hidden="1" customHeight="1">
      <c r="C949" s="878"/>
      <c r="D949" s="914" t="s">
        <v>2928</v>
      </c>
      <c r="E949" s="1094">
        <v>104191180</v>
      </c>
      <c r="F949" s="1094">
        <v>0</v>
      </c>
      <c r="G949" s="855">
        <f t="shared" si="45"/>
        <v>0</v>
      </c>
      <c r="H949" s="887">
        <f t="shared" si="46"/>
        <v>0</v>
      </c>
      <c r="I949" s="852"/>
      <c r="J949" s="802"/>
    </row>
    <row r="950" spans="3:10" ht="20.100000000000001" hidden="1" customHeight="1">
      <c r="C950" s="878"/>
      <c r="D950" s="917" t="s">
        <v>212</v>
      </c>
      <c r="E950" s="1095">
        <v>356791000</v>
      </c>
      <c r="F950" s="1095">
        <v>0</v>
      </c>
      <c r="G950" s="855">
        <f t="shared" si="45"/>
        <v>0</v>
      </c>
      <c r="H950" s="887">
        <f t="shared" si="46"/>
        <v>0</v>
      </c>
      <c r="I950" s="852"/>
      <c r="J950" s="802"/>
    </row>
    <row r="951" spans="3:10" ht="35.1" hidden="1" customHeight="1">
      <c r="C951" s="878"/>
      <c r="D951" s="914" t="s">
        <v>3784</v>
      </c>
      <c r="E951" s="1094">
        <v>356791000</v>
      </c>
      <c r="F951" s="1094">
        <v>0</v>
      </c>
      <c r="G951" s="855">
        <f t="shared" si="45"/>
        <v>0</v>
      </c>
      <c r="H951" s="887">
        <f t="shared" si="46"/>
        <v>0</v>
      </c>
      <c r="I951" s="852"/>
      <c r="J951" s="802"/>
    </row>
    <row r="952" spans="3:10" ht="20.100000000000001" hidden="1" customHeight="1">
      <c r="C952" s="878"/>
      <c r="D952" s="917" t="s">
        <v>877</v>
      </c>
      <c r="E952" s="1095">
        <v>689907600</v>
      </c>
      <c r="F952" s="1095">
        <v>0</v>
      </c>
      <c r="G952" s="855">
        <f t="shared" si="45"/>
        <v>0</v>
      </c>
      <c r="H952" s="887">
        <f t="shared" si="46"/>
        <v>0</v>
      </c>
      <c r="I952" s="852"/>
      <c r="J952" s="802"/>
    </row>
    <row r="953" spans="3:10" ht="20.100000000000001" hidden="1" customHeight="1">
      <c r="C953" s="878"/>
      <c r="D953" s="914" t="s">
        <v>2037</v>
      </c>
      <c r="E953" s="1094">
        <v>591317000</v>
      </c>
      <c r="F953" s="1094">
        <v>0</v>
      </c>
      <c r="G953" s="855">
        <f t="shared" si="45"/>
        <v>0</v>
      </c>
      <c r="H953" s="887">
        <f t="shared" si="46"/>
        <v>0</v>
      </c>
      <c r="I953" s="852"/>
      <c r="J953" s="802"/>
    </row>
    <row r="954" spans="3:10" ht="20.100000000000001" hidden="1" customHeight="1">
      <c r="C954" s="878"/>
      <c r="D954" s="914" t="s">
        <v>3783</v>
      </c>
      <c r="E954" s="1094">
        <v>98590600</v>
      </c>
      <c r="F954" s="1094">
        <v>0</v>
      </c>
      <c r="G954" s="855">
        <f t="shared" si="45"/>
        <v>0</v>
      </c>
      <c r="H954" s="887">
        <f t="shared" si="46"/>
        <v>0</v>
      </c>
      <c r="I954" s="852"/>
      <c r="J954" s="802"/>
    </row>
    <row r="955" spans="3:10" ht="20.100000000000001" hidden="1" customHeight="1">
      <c r="C955" s="878"/>
      <c r="D955" s="917" t="s">
        <v>221</v>
      </c>
      <c r="E955" s="1095">
        <v>660900000</v>
      </c>
      <c r="F955" s="1095">
        <v>620500000</v>
      </c>
      <c r="G955" s="855">
        <f t="shared" si="45"/>
        <v>93.887123619307005</v>
      </c>
      <c r="H955" s="887">
        <v>95</v>
      </c>
      <c r="I955" s="852"/>
      <c r="J955" s="802"/>
    </row>
    <row r="956" spans="3:10" ht="35.1" hidden="1" customHeight="1">
      <c r="C956" s="878"/>
      <c r="D956" s="914" t="s">
        <v>3782</v>
      </c>
      <c r="E956" s="1094">
        <v>660900000</v>
      </c>
      <c r="F956" s="1094">
        <v>620500000</v>
      </c>
      <c r="G956" s="855">
        <f t="shared" si="45"/>
        <v>93.887123619307005</v>
      </c>
      <c r="H956" s="887">
        <v>95</v>
      </c>
      <c r="I956" s="852"/>
      <c r="J956" s="802"/>
    </row>
    <row r="957" spans="3:10" ht="20.100000000000001" hidden="1" customHeight="1">
      <c r="C957" s="878"/>
      <c r="D957" s="917" t="s">
        <v>3781</v>
      </c>
      <c r="E957" s="1095">
        <v>1818397750</v>
      </c>
      <c r="F957" s="1095">
        <v>1767035000</v>
      </c>
      <c r="G957" s="855">
        <f t="shared" si="45"/>
        <v>97.175384208432945</v>
      </c>
      <c r="H957" s="887">
        <v>100</v>
      </c>
      <c r="I957" s="852"/>
      <c r="J957" s="802"/>
    </row>
    <row r="958" spans="3:10" ht="20.100000000000001" hidden="1" customHeight="1">
      <c r="C958" s="878"/>
      <c r="D958" s="914" t="s">
        <v>3780</v>
      </c>
      <c r="E958" s="1094">
        <v>1263362582</v>
      </c>
      <c r="F958" s="1094">
        <v>1212000000</v>
      </c>
      <c r="G958" s="855">
        <f t="shared" si="45"/>
        <v>95.9344543892784</v>
      </c>
      <c r="H958" s="887">
        <v>100</v>
      </c>
      <c r="I958" s="852"/>
      <c r="J958" s="802"/>
    </row>
    <row r="959" spans="3:10" ht="20.100000000000001" hidden="1" customHeight="1">
      <c r="C959" s="878"/>
      <c r="D959" s="914" t="s">
        <v>2209</v>
      </c>
      <c r="E959" s="1094">
        <v>555035168</v>
      </c>
      <c r="F959" s="1094">
        <v>555035000</v>
      </c>
      <c r="G959" s="855">
        <f t="shared" si="45"/>
        <v>99.99996973164771</v>
      </c>
      <c r="H959" s="887">
        <f>+G959</f>
        <v>99.99996973164771</v>
      </c>
      <c r="I959" s="852"/>
      <c r="J959" s="802"/>
    </row>
    <row r="960" spans="3:10" ht="15" hidden="1" customHeight="1">
      <c r="C960" s="878"/>
      <c r="D960" s="914"/>
      <c r="E960" s="1094"/>
      <c r="F960" s="1094"/>
      <c r="G960" s="855"/>
      <c r="H960" s="887"/>
      <c r="I960" s="852"/>
      <c r="J960" s="802"/>
    </row>
    <row r="961" spans="3:10" ht="20.100000000000001" hidden="1" customHeight="1">
      <c r="C961" s="878"/>
      <c r="D961" s="1096" t="s">
        <v>959</v>
      </c>
      <c r="E961" s="1095">
        <v>6950000000</v>
      </c>
      <c r="F961" s="1095">
        <v>3900000000</v>
      </c>
      <c r="G961" s="855">
        <f>+F961/E961*100</f>
        <v>56.115107913669057</v>
      </c>
      <c r="H961" s="887">
        <v>50</v>
      </c>
      <c r="I961" s="852"/>
      <c r="J961" s="802"/>
    </row>
    <row r="962" spans="3:10" ht="20.100000000000001" hidden="1" customHeight="1">
      <c r="C962" s="878"/>
      <c r="D962" s="934" t="s">
        <v>877</v>
      </c>
      <c r="E962" s="1095">
        <v>3900000000</v>
      </c>
      <c r="F962" s="1095">
        <v>3900000000</v>
      </c>
      <c r="G962" s="855">
        <f>+F962/E962*100</f>
        <v>100</v>
      </c>
      <c r="H962" s="887">
        <f>+G962</f>
        <v>100</v>
      </c>
      <c r="I962" s="852"/>
      <c r="J962" s="802"/>
    </row>
    <row r="963" spans="3:10" ht="20.100000000000001" hidden="1" customHeight="1">
      <c r="C963" s="878"/>
      <c r="D963" s="933" t="s">
        <v>3779</v>
      </c>
      <c r="E963" s="1094">
        <v>3900000000</v>
      </c>
      <c r="F963" s="1094">
        <v>3900000000</v>
      </c>
      <c r="G963" s="855">
        <f>+F963/E963*100</f>
        <v>100</v>
      </c>
      <c r="H963" s="887">
        <f>+G963</f>
        <v>100</v>
      </c>
      <c r="I963" s="852"/>
      <c r="J963" s="802"/>
    </row>
    <row r="964" spans="3:10" ht="20.100000000000001" hidden="1" customHeight="1">
      <c r="C964" s="878"/>
      <c r="D964" s="917" t="s">
        <v>162</v>
      </c>
      <c r="E964" s="1095">
        <v>3050000000</v>
      </c>
      <c r="F964" s="1095">
        <v>0</v>
      </c>
      <c r="G964" s="855">
        <f>+F964/E964*100</f>
        <v>0</v>
      </c>
      <c r="H964" s="887">
        <f>+G964</f>
        <v>0</v>
      </c>
      <c r="I964" s="852"/>
      <c r="J964" s="802"/>
    </row>
    <row r="965" spans="3:10" ht="20.100000000000001" hidden="1" customHeight="1">
      <c r="C965" s="878"/>
      <c r="D965" s="914" t="s">
        <v>607</v>
      </c>
      <c r="E965" s="1094">
        <v>3050000000</v>
      </c>
      <c r="F965" s="1094">
        <v>0</v>
      </c>
      <c r="G965" s="855">
        <f>+F965/E965*100</f>
        <v>0</v>
      </c>
      <c r="H965" s="887">
        <f>+G965</f>
        <v>0</v>
      </c>
      <c r="I965" s="852"/>
      <c r="J965" s="802"/>
    </row>
    <row r="966" spans="3:10" ht="15" hidden="1" customHeight="1">
      <c r="C966" s="878"/>
      <c r="D966" s="914"/>
      <c r="E966" s="1094"/>
      <c r="F966" s="1094"/>
      <c r="G966" s="855"/>
      <c r="H966" s="887"/>
      <c r="I966" s="852"/>
      <c r="J966" s="802"/>
    </row>
    <row r="967" spans="3:10" ht="20.100000000000001" hidden="1" customHeight="1">
      <c r="C967" s="878"/>
      <c r="D967" s="917" t="s">
        <v>965</v>
      </c>
      <c r="E967" s="1095">
        <v>350000000</v>
      </c>
      <c r="F967" s="1095">
        <v>347800000</v>
      </c>
      <c r="G967" s="855">
        <f>+F967/E967*100</f>
        <v>99.371428571428567</v>
      </c>
      <c r="H967" s="887">
        <v>100</v>
      </c>
      <c r="I967" s="852"/>
      <c r="J967" s="802"/>
    </row>
    <row r="968" spans="3:10" ht="20.100000000000001" hidden="1" customHeight="1">
      <c r="C968" s="878"/>
      <c r="D968" s="917" t="s">
        <v>1529</v>
      </c>
      <c r="E968" s="1095">
        <v>350000000</v>
      </c>
      <c r="F968" s="1095">
        <v>347800000</v>
      </c>
      <c r="G968" s="855">
        <f>+F968/E968*100</f>
        <v>99.371428571428567</v>
      </c>
      <c r="H968" s="887">
        <v>100</v>
      </c>
      <c r="I968" s="852"/>
      <c r="J968" s="802"/>
    </row>
    <row r="969" spans="3:10" ht="20.100000000000001" hidden="1" customHeight="1">
      <c r="C969" s="878"/>
      <c r="D969" s="914" t="s">
        <v>612</v>
      </c>
      <c r="E969" s="1094">
        <v>350000000</v>
      </c>
      <c r="F969" s="1094">
        <v>347800000</v>
      </c>
      <c r="G969" s="855">
        <f>+F969/E969*100</f>
        <v>99.371428571428567</v>
      </c>
      <c r="H969" s="887">
        <v>100</v>
      </c>
      <c r="I969" s="852"/>
      <c r="J969" s="802"/>
    </row>
    <row r="970" spans="3:10" ht="15" hidden="1" customHeight="1">
      <c r="C970" s="878"/>
      <c r="D970" s="914"/>
      <c r="E970" s="1094"/>
      <c r="F970" s="1094"/>
      <c r="G970" s="855"/>
      <c r="H970" s="887"/>
      <c r="I970" s="852"/>
      <c r="J970" s="802"/>
    </row>
    <row r="971" spans="3:10" ht="20.100000000000001" hidden="1" customHeight="1">
      <c r="C971" s="878"/>
      <c r="D971" s="917" t="s">
        <v>1949</v>
      </c>
      <c r="E971" s="1095">
        <v>400000000</v>
      </c>
      <c r="F971" s="1095">
        <v>400000000</v>
      </c>
      <c r="G971" s="855">
        <f>+F971/E971*100</f>
        <v>100</v>
      </c>
      <c r="H971" s="887">
        <f>+G971</f>
        <v>100</v>
      </c>
      <c r="I971" s="852"/>
      <c r="J971" s="802"/>
    </row>
    <row r="972" spans="3:10" ht="20.100000000000001" hidden="1" customHeight="1">
      <c r="C972" s="878"/>
      <c r="D972" s="917" t="s">
        <v>498</v>
      </c>
      <c r="E972" s="1095">
        <v>400000000</v>
      </c>
      <c r="F972" s="1095">
        <v>400000000</v>
      </c>
      <c r="G972" s="855">
        <f>+F972/E972*100</f>
        <v>100</v>
      </c>
      <c r="H972" s="887">
        <f>+G972</f>
        <v>100</v>
      </c>
      <c r="I972" s="852"/>
      <c r="J972" s="802"/>
    </row>
    <row r="973" spans="3:10" ht="20.100000000000001" hidden="1" customHeight="1">
      <c r="C973" s="878"/>
      <c r="D973" s="914" t="s">
        <v>3778</v>
      </c>
      <c r="E973" s="1094">
        <v>400000000</v>
      </c>
      <c r="F973" s="1094">
        <v>400000000</v>
      </c>
      <c r="G973" s="855">
        <f>+F973/E973*100</f>
        <v>100</v>
      </c>
      <c r="H973" s="887">
        <f>+G973</f>
        <v>100</v>
      </c>
      <c r="I973" s="852"/>
      <c r="J973" s="802"/>
    </row>
    <row r="974" spans="3:10" ht="15" hidden="1" customHeight="1">
      <c r="C974" s="878"/>
      <c r="D974" s="914"/>
      <c r="E974" s="1094"/>
      <c r="F974" s="1094"/>
      <c r="G974" s="855"/>
      <c r="H974" s="887"/>
      <c r="I974" s="852"/>
      <c r="J974" s="802"/>
    </row>
    <row r="975" spans="3:10" ht="20.100000000000001" hidden="1" customHeight="1">
      <c r="C975" s="878"/>
      <c r="D975" s="917" t="s">
        <v>688</v>
      </c>
      <c r="E975" s="1095">
        <v>200000000</v>
      </c>
      <c r="F975" s="1095">
        <v>200000000</v>
      </c>
      <c r="G975" s="855">
        <f>+F975/E975*100</f>
        <v>100</v>
      </c>
      <c r="H975" s="887">
        <f>+G975</f>
        <v>100</v>
      </c>
      <c r="I975" s="852"/>
      <c r="J975" s="802"/>
    </row>
    <row r="976" spans="3:10" ht="20.100000000000001" hidden="1" customHeight="1">
      <c r="C976" s="878"/>
      <c r="D976" s="917" t="s">
        <v>1433</v>
      </c>
      <c r="E976" s="1095">
        <v>200000000</v>
      </c>
      <c r="F976" s="1095">
        <v>200000000</v>
      </c>
      <c r="G976" s="855">
        <f>+F976/E976*100</f>
        <v>100</v>
      </c>
      <c r="H976" s="887">
        <f>+G976</f>
        <v>100</v>
      </c>
      <c r="I976" s="852"/>
      <c r="J976" s="802"/>
    </row>
    <row r="977" spans="3:10" ht="35.1" hidden="1" customHeight="1">
      <c r="C977" s="878"/>
      <c r="D977" s="914" t="s">
        <v>3777</v>
      </c>
      <c r="E977" s="1094">
        <v>200000000</v>
      </c>
      <c r="F977" s="1094">
        <v>200000000</v>
      </c>
      <c r="G977" s="855">
        <f>+F977/E977*100</f>
        <v>100</v>
      </c>
      <c r="H977" s="887">
        <f>+G977</f>
        <v>100</v>
      </c>
      <c r="I977" s="852"/>
      <c r="J977" s="802"/>
    </row>
    <row r="978" spans="3:10" ht="15" hidden="1" customHeight="1">
      <c r="C978" s="878"/>
      <c r="D978" s="914"/>
      <c r="E978" s="1094"/>
      <c r="F978" s="1094"/>
      <c r="G978" s="855"/>
      <c r="H978" s="887"/>
      <c r="I978" s="852"/>
      <c r="J978" s="802"/>
    </row>
    <row r="979" spans="3:10" ht="20.100000000000001" hidden="1" customHeight="1">
      <c r="C979" s="878"/>
      <c r="D979" s="917" t="s">
        <v>967</v>
      </c>
      <c r="E979" s="1095">
        <v>1700000000</v>
      </c>
      <c r="F979" s="1095">
        <v>1656175000</v>
      </c>
      <c r="G979" s="855">
        <f>+F979/E979*100</f>
        <v>97.422058823529412</v>
      </c>
      <c r="H979" s="887">
        <f>195/2</f>
        <v>97.5</v>
      </c>
      <c r="I979" s="852"/>
      <c r="J979" s="802"/>
    </row>
    <row r="980" spans="3:10" ht="20.100000000000001" hidden="1" customHeight="1">
      <c r="C980" s="878"/>
      <c r="D980" s="917" t="s">
        <v>912</v>
      </c>
      <c r="E980" s="1095">
        <v>850000000</v>
      </c>
      <c r="F980" s="1095">
        <v>849375000</v>
      </c>
      <c r="G980" s="855">
        <f>+F980/E980*100</f>
        <v>99.92647058823529</v>
      </c>
      <c r="H980" s="887">
        <v>100</v>
      </c>
      <c r="I980" s="852"/>
      <c r="J980" s="802"/>
    </row>
    <row r="981" spans="3:10" ht="20.100000000000001" hidden="1" customHeight="1">
      <c r="C981" s="878"/>
      <c r="D981" s="914" t="s">
        <v>3112</v>
      </c>
      <c r="E981" s="1094">
        <v>850000000</v>
      </c>
      <c r="F981" s="1094">
        <v>849375000</v>
      </c>
      <c r="G981" s="855">
        <f>+F981/E981*100</f>
        <v>99.92647058823529</v>
      </c>
      <c r="H981" s="887">
        <v>100</v>
      </c>
      <c r="I981" s="852"/>
      <c r="J981" s="802"/>
    </row>
    <row r="982" spans="3:10" ht="20.100000000000001" hidden="1" customHeight="1">
      <c r="C982" s="878"/>
      <c r="D982" s="917" t="s">
        <v>1188</v>
      </c>
      <c r="E982" s="1095">
        <v>850000000</v>
      </c>
      <c r="F982" s="1095">
        <v>806800000</v>
      </c>
      <c r="G982" s="855">
        <f>+F982/E982*100</f>
        <v>94.917647058823533</v>
      </c>
      <c r="H982" s="887">
        <v>95</v>
      </c>
      <c r="I982" s="852"/>
      <c r="J982" s="802"/>
    </row>
    <row r="983" spans="3:10" ht="20.100000000000001" hidden="1" customHeight="1">
      <c r="C983" s="878"/>
      <c r="D983" s="914" t="s">
        <v>1189</v>
      </c>
      <c r="E983" s="1094">
        <v>850000000</v>
      </c>
      <c r="F983" s="1094">
        <v>806800000</v>
      </c>
      <c r="G983" s="855">
        <f>+F983/E983*100</f>
        <v>94.917647058823533</v>
      </c>
      <c r="H983" s="887">
        <v>95</v>
      </c>
      <c r="I983" s="852"/>
      <c r="J983" s="802"/>
    </row>
    <row r="984" spans="3:10" ht="15" hidden="1" customHeight="1">
      <c r="C984" s="878"/>
      <c r="D984" s="914"/>
      <c r="E984" s="1094"/>
      <c r="F984" s="1094"/>
      <c r="G984" s="855"/>
      <c r="H984" s="887"/>
      <c r="I984" s="852"/>
      <c r="J984" s="802"/>
    </row>
    <row r="985" spans="3:10" ht="20.100000000000001" hidden="1" customHeight="1">
      <c r="C985" s="878"/>
      <c r="D985" s="917" t="s">
        <v>762</v>
      </c>
      <c r="E985" s="1095">
        <v>750000000</v>
      </c>
      <c r="F985" s="1095">
        <v>749920000</v>
      </c>
      <c r="G985" s="855">
        <f>+F985/E985*100</f>
        <v>99.989333333333335</v>
      </c>
      <c r="H985" s="887">
        <v>100</v>
      </c>
      <c r="I985" s="852"/>
      <c r="J985" s="802"/>
    </row>
    <row r="986" spans="3:10" ht="20.100000000000001" hidden="1" customHeight="1">
      <c r="C986" s="878"/>
      <c r="D986" s="917" t="s">
        <v>970</v>
      </c>
      <c r="E986" s="1095">
        <v>750000000</v>
      </c>
      <c r="F986" s="1095">
        <v>749920000</v>
      </c>
      <c r="G986" s="855">
        <f>+F986/E986*100</f>
        <v>99.989333333333335</v>
      </c>
      <c r="H986" s="887">
        <v>100</v>
      </c>
      <c r="I986" s="852"/>
      <c r="J986" s="802"/>
    </row>
    <row r="987" spans="3:10" ht="20.100000000000001" hidden="1" customHeight="1">
      <c r="C987" s="878"/>
      <c r="D987" s="914" t="s">
        <v>3776</v>
      </c>
      <c r="E987" s="1094">
        <v>750000000</v>
      </c>
      <c r="F987" s="1094">
        <v>749920000</v>
      </c>
      <c r="G987" s="855">
        <f>+F987/E987*100</f>
        <v>99.989333333333335</v>
      </c>
      <c r="H987" s="887">
        <v>100</v>
      </c>
      <c r="I987" s="852"/>
      <c r="J987" s="802"/>
    </row>
    <row r="988" spans="3:10" ht="15" hidden="1" customHeight="1">
      <c r="C988" s="878"/>
      <c r="D988" s="914"/>
      <c r="E988" s="1094"/>
      <c r="F988" s="1094"/>
      <c r="G988" s="855"/>
      <c r="H988" s="887"/>
      <c r="I988" s="852"/>
      <c r="J988" s="802"/>
    </row>
    <row r="989" spans="3:10" ht="20.100000000000001" hidden="1" customHeight="1">
      <c r="C989" s="878"/>
      <c r="D989" s="917" t="s">
        <v>758</v>
      </c>
      <c r="E989" s="1095">
        <v>500000000</v>
      </c>
      <c r="F989" s="1095">
        <v>500000000</v>
      </c>
      <c r="G989" s="855">
        <f>+F989/E989*100</f>
        <v>100</v>
      </c>
      <c r="H989" s="887">
        <f>+G989</f>
        <v>100</v>
      </c>
      <c r="I989" s="852"/>
      <c r="J989" s="802"/>
    </row>
    <row r="990" spans="3:10" ht="20.100000000000001" hidden="1" customHeight="1">
      <c r="C990" s="878"/>
      <c r="D990" s="917" t="s">
        <v>1205</v>
      </c>
      <c r="E990" s="1095">
        <v>500000000</v>
      </c>
      <c r="F990" s="1095">
        <v>500000000</v>
      </c>
      <c r="G990" s="855">
        <f>+F990/E990*100</f>
        <v>100</v>
      </c>
      <c r="H990" s="887">
        <f>+G990</f>
        <v>100</v>
      </c>
      <c r="I990" s="852"/>
      <c r="J990" s="802"/>
    </row>
    <row r="991" spans="3:10" ht="20.100000000000001" hidden="1" customHeight="1">
      <c r="C991" s="878"/>
      <c r="D991" s="914" t="s">
        <v>3775</v>
      </c>
      <c r="E991" s="1094">
        <v>500000000</v>
      </c>
      <c r="F991" s="1094">
        <v>500000000</v>
      </c>
      <c r="G991" s="855">
        <f>+F991/E991*100</f>
        <v>100</v>
      </c>
      <c r="H991" s="887">
        <f>+G991</f>
        <v>100</v>
      </c>
      <c r="I991" s="852"/>
      <c r="J991" s="802"/>
    </row>
    <row r="992" spans="3:10" ht="15" hidden="1" customHeight="1">
      <c r="C992" s="878"/>
      <c r="D992" s="914"/>
      <c r="E992" s="1094"/>
      <c r="F992" s="1094"/>
      <c r="G992" s="855"/>
      <c r="H992" s="887"/>
      <c r="I992" s="852"/>
      <c r="J992" s="802"/>
    </row>
    <row r="993" spans="3:10" ht="20.100000000000001" hidden="1" customHeight="1">
      <c r="C993" s="878"/>
      <c r="D993" s="1096" t="s">
        <v>972</v>
      </c>
      <c r="E993" s="1095">
        <v>300000000</v>
      </c>
      <c r="F993" s="1095">
        <v>300000000</v>
      </c>
      <c r="G993" s="855">
        <f>+F993/E993*100</f>
        <v>100</v>
      </c>
      <c r="H993" s="887">
        <f>+G993</f>
        <v>100</v>
      </c>
      <c r="I993" s="852"/>
      <c r="J993" s="802"/>
    </row>
    <row r="994" spans="3:10" ht="20.100000000000001" hidden="1" customHeight="1">
      <c r="C994" s="878"/>
      <c r="D994" s="917" t="s">
        <v>3774</v>
      </c>
      <c r="E994" s="1095">
        <v>300000000</v>
      </c>
      <c r="F994" s="1095">
        <v>300000000</v>
      </c>
      <c r="G994" s="855">
        <f>+F994/E994*100</f>
        <v>100</v>
      </c>
      <c r="H994" s="887">
        <f>+G994</f>
        <v>100</v>
      </c>
      <c r="I994" s="852"/>
      <c r="J994" s="802"/>
    </row>
    <row r="995" spans="3:10" ht="20.100000000000001" hidden="1" customHeight="1">
      <c r="C995" s="878"/>
      <c r="D995" s="914" t="s">
        <v>3028</v>
      </c>
      <c r="E995" s="1094">
        <v>300000000</v>
      </c>
      <c r="F995" s="1094">
        <v>300000000</v>
      </c>
      <c r="G995" s="855">
        <f>+F995/E995*100</f>
        <v>100</v>
      </c>
      <c r="H995" s="887">
        <f>+G995</f>
        <v>100</v>
      </c>
      <c r="I995" s="852"/>
      <c r="J995" s="802"/>
    </row>
    <row r="996" spans="3:10" ht="15" hidden="1" customHeight="1">
      <c r="C996" s="878"/>
      <c r="D996" s="914"/>
      <c r="E996" s="1094"/>
      <c r="F996" s="1094"/>
      <c r="G996" s="855"/>
      <c r="H996" s="887"/>
      <c r="I996" s="852"/>
      <c r="J996" s="802"/>
    </row>
    <row r="997" spans="3:10" ht="20.100000000000001" hidden="1" customHeight="1">
      <c r="C997" s="878"/>
      <c r="D997" s="917" t="s">
        <v>3773</v>
      </c>
      <c r="E997" s="1095">
        <v>400000000</v>
      </c>
      <c r="F997" s="1095">
        <v>400000000</v>
      </c>
      <c r="G997" s="855">
        <f>+F997/E997*100</f>
        <v>100</v>
      </c>
      <c r="H997" s="887">
        <f>+G997</f>
        <v>100</v>
      </c>
      <c r="I997" s="852"/>
      <c r="J997" s="802"/>
    </row>
    <row r="998" spans="3:10" ht="20.100000000000001" hidden="1" customHeight="1">
      <c r="C998" s="878"/>
      <c r="D998" s="917" t="s">
        <v>1433</v>
      </c>
      <c r="E998" s="1095">
        <v>400000000</v>
      </c>
      <c r="F998" s="1095">
        <v>400000000</v>
      </c>
      <c r="G998" s="855">
        <f>+F998/E998*100</f>
        <v>100</v>
      </c>
      <c r="H998" s="887">
        <f>+G998</f>
        <v>100</v>
      </c>
      <c r="I998" s="852"/>
      <c r="J998" s="802"/>
    </row>
    <row r="999" spans="3:10" ht="35.1" hidden="1" customHeight="1">
      <c r="C999" s="878"/>
      <c r="D999" s="914" t="s">
        <v>3772</v>
      </c>
      <c r="E999" s="1094">
        <v>200000000</v>
      </c>
      <c r="F999" s="1094">
        <v>200000000</v>
      </c>
      <c r="G999" s="855">
        <f>+F999/E999*100</f>
        <v>100</v>
      </c>
      <c r="H999" s="887">
        <f>+G999</f>
        <v>100</v>
      </c>
      <c r="I999" s="852"/>
      <c r="J999" s="802"/>
    </row>
    <row r="1000" spans="3:10" ht="20.100000000000001" hidden="1" customHeight="1">
      <c r="C1000" s="878"/>
      <c r="D1000" s="914" t="s">
        <v>2065</v>
      </c>
      <c r="E1000" s="1094">
        <v>200000000</v>
      </c>
      <c r="F1000" s="1094">
        <v>200000000</v>
      </c>
      <c r="G1000" s="855">
        <f>+F1000/E1000*100</f>
        <v>100</v>
      </c>
      <c r="H1000" s="887">
        <f>+G1000</f>
        <v>100</v>
      </c>
      <c r="I1000" s="852"/>
      <c r="J1000" s="802"/>
    </row>
    <row r="1001" spans="3:10" ht="15" hidden="1" customHeight="1">
      <c r="C1001" s="878"/>
      <c r="D1001" s="914"/>
      <c r="E1001" s="1094"/>
      <c r="F1001" s="1094"/>
      <c r="G1001" s="855"/>
      <c r="H1001" s="887"/>
      <c r="I1001" s="852"/>
      <c r="J1001" s="802"/>
    </row>
    <row r="1002" spans="3:10" ht="20.100000000000001" hidden="1" customHeight="1">
      <c r="C1002" s="878"/>
      <c r="D1002" s="917" t="s">
        <v>518</v>
      </c>
      <c r="E1002" s="1095">
        <v>200000000</v>
      </c>
      <c r="F1002" s="1095">
        <v>200000000</v>
      </c>
      <c r="G1002" s="855">
        <f>+F1002/E1002*100</f>
        <v>100</v>
      </c>
      <c r="H1002" s="887">
        <f>+G1002</f>
        <v>100</v>
      </c>
      <c r="I1002" s="852"/>
      <c r="J1002" s="802"/>
    </row>
    <row r="1003" spans="3:10" ht="20.100000000000001" hidden="1" customHeight="1">
      <c r="C1003" s="878"/>
      <c r="D1003" s="917" t="s">
        <v>519</v>
      </c>
      <c r="E1003" s="1095">
        <v>200000000</v>
      </c>
      <c r="F1003" s="1095">
        <v>200000000</v>
      </c>
      <c r="G1003" s="855">
        <f>+F1003/E1003*100</f>
        <v>100</v>
      </c>
      <c r="H1003" s="887">
        <f>+G1003</f>
        <v>100</v>
      </c>
      <c r="I1003" s="852"/>
      <c r="J1003" s="802"/>
    </row>
    <row r="1004" spans="3:10" ht="20.100000000000001" hidden="1" customHeight="1">
      <c r="C1004" s="878"/>
      <c r="D1004" s="914" t="s">
        <v>3771</v>
      </c>
      <c r="E1004" s="1094">
        <v>200000000</v>
      </c>
      <c r="F1004" s="1094">
        <v>200000000</v>
      </c>
      <c r="G1004" s="855">
        <f>+F1004/E1004*100</f>
        <v>100</v>
      </c>
      <c r="H1004" s="887">
        <f>+G1004</f>
        <v>100</v>
      </c>
      <c r="I1004" s="852"/>
      <c r="J1004" s="802"/>
    </row>
    <row r="1005" spans="3:10" ht="15" hidden="1" customHeight="1">
      <c r="C1005" s="878"/>
      <c r="D1005" s="914"/>
      <c r="E1005" s="1094"/>
      <c r="F1005" s="1094"/>
      <c r="G1005" s="855"/>
      <c r="H1005" s="887"/>
      <c r="I1005" s="852"/>
      <c r="J1005" s="802"/>
    </row>
    <row r="1006" spans="3:10" ht="20.100000000000001" hidden="1" customHeight="1">
      <c r="C1006" s="878"/>
      <c r="D1006" s="917" t="s">
        <v>724</v>
      </c>
      <c r="E1006" s="1095">
        <v>950000000</v>
      </c>
      <c r="F1006" s="1095">
        <v>949980000</v>
      </c>
      <c r="G1006" s="855">
        <f>+F1006/E1006*100</f>
        <v>99.997894736842113</v>
      </c>
      <c r="H1006" s="887">
        <f>+G1006</f>
        <v>99.997894736842113</v>
      </c>
      <c r="I1006" s="852"/>
      <c r="J1006" s="802"/>
    </row>
    <row r="1007" spans="3:10" ht="20.100000000000001" hidden="1" customHeight="1">
      <c r="C1007" s="878"/>
      <c r="D1007" s="917" t="s">
        <v>3770</v>
      </c>
      <c r="E1007" s="1095">
        <v>950000000</v>
      </c>
      <c r="F1007" s="1095">
        <v>949980000</v>
      </c>
      <c r="G1007" s="855">
        <f>+F1007/E1007*100</f>
        <v>99.997894736842113</v>
      </c>
      <c r="H1007" s="887">
        <f>+G1007</f>
        <v>99.997894736842113</v>
      </c>
      <c r="I1007" s="852"/>
      <c r="J1007" s="802"/>
    </row>
    <row r="1008" spans="3:10" ht="20.100000000000001" hidden="1" customHeight="1">
      <c r="C1008" s="878"/>
      <c r="D1008" s="914" t="s">
        <v>727</v>
      </c>
      <c r="E1008" s="1094">
        <v>950000000</v>
      </c>
      <c r="F1008" s="1094">
        <v>949980000</v>
      </c>
      <c r="G1008" s="855">
        <f>+F1008/E1008*100</f>
        <v>99.997894736842113</v>
      </c>
      <c r="H1008" s="887">
        <f>+G1008</f>
        <v>99.997894736842113</v>
      </c>
      <c r="I1008" s="852"/>
      <c r="J1008" s="802"/>
    </row>
    <row r="1009" spans="3:10" ht="15" hidden="1" customHeight="1">
      <c r="C1009" s="878"/>
      <c r="D1009" s="914"/>
      <c r="E1009" s="1094"/>
      <c r="F1009" s="1094"/>
      <c r="G1009" s="855"/>
      <c r="H1009" s="887"/>
      <c r="I1009" s="852"/>
      <c r="J1009" s="802"/>
    </row>
    <row r="1010" spans="3:10" ht="20.100000000000001" hidden="1" customHeight="1">
      <c r="C1010" s="878"/>
      <c r="D1010" s="917" t="s">
        <v>977</v>
      </c>
      <c r="E1010" s="1095">
        <v>600000000</v>
      </c>
      <c r="F1010" s="1095">
        <v>600000000</v>
      </c>
      <c r="G1010" s="855">
        <f>+F1010/E1010*100</f>
        <v>100</v>
      </c>
      <c r="H1010" s="887">
        <f>+G1010</f>
        <v>100</v>
      </c>
      <c r="I1010" s="852"/>
      <c r="J1010" s="802"/>
    </row>
    <row r="1011" spans="3:10" ht="20.100000000000001" hidden="1" customHeight="1">
      <c r="C1011" s="878"/>
      <c r="D1011" s="917" t="s">
        <v>546</v>
      </c>
      <c r="E1011" s="1095">
        <v>200000000</v>
      </c>
      <c r="F1011" s="1095">
        <v>200000000</v>
      </c>
      <c r="G1011" s="855">
        <f>+F1011/E1011*100</f>
        <v>100</v>
      </c>
      <c r="H1011" s="887">
        <f>+G1011</f>
        <v>100</v>
      </c>
      <c r="I1011" s="852"/>
      <c r="J1011" s="802"/>
    </row>
    <row r="1012" spans="3:10" ht="20.100000000000001" hidden="1" customHeight="1">
      <c r="C1012" s="878"/>
      <c r="D1012" s="914" t="s">
        <v>3769</v>
      </c>
      <c r="E1012" s="1094">
        <v>200000000</v>
      </c>
      <c r="F1012" s="1094">
        <v>200000000</v>
      </c>
      <c r="G1012" s="855">
        <f>+F1012/E1012*100</f>
        <v>100</v>
      </c>
      <c r="H1012" s="887">
        <f>+G1012</f>
        <v>100</v>
      </c>
      <c r="I1012" s="852"/>
      <c r="J1012" s="802"/>
    </row>
    <row r="1013" spans="3:10" ht="20.100000000000001" hidden="1" customHeight="1">
      <c r="C1013" s="878"/>
      <c r="D1013" s="917" t="s">
        <v>548</v>
      </c>
      <c r="E1013" s="1095">
        <v>400000000</v>
      </c>
      <c r="F1013" s="1095">
        <v>400000000</v>
      </c>
      <c r="G1013" s="855">
        <f>+F1013/E1013*100</f>
        <v>100</v>
      </c>
      <c r="H1013" s="887">
        <f>+G1013</f>
        <v>100</v>
      </c>
      <c r="I1013" s="852"/>
      <c r="J1013" s="802"/>
    </row>
    <row r="1014" spans="3:10" ht="20.100000000000001" hidden="1" customHeight="1">
      <c r="C1014" s="878"/>
      <c r="D1014" s="859" t="s">
        <v>3152</v>
      </c>
      <c r="E1014" s="1094">
        <v>400000000</v>
      </c>
      <c r="F1014" s="1094">
        <v>400000000</v>
      </c>
      <c r="G1014" s="855">
        <f>+F1014/E1014*100</f>
        <v>100</v>
      </c>
      <c r="H1014" s="887">
        <f>+G1014</f>
        <v>100</v>
      </c>
      <c r="I1014" s="852"/>
      <c r="J1014" s="802"/>
    </row>
    <row r="1015" spans="3:10" ht="15" hidden="1" customHeight="1">
      <c r="C1015" s="878"/>
      <c r="D1015" s="859"/>
      <c r="E1015" s="1094"/>
      <c r="F1015" s="1094"/>
      <c r="G1015" s="855"/>
      <c r="H1015" s="887"/>
      <c r="I1015" s="852"/>
      <c r="J1015" s="802"/>
    </row>
    <row r="1016" spans="3:10" ht="20.100000000000001" hidden="1" customHeight="1">
      <c r="C1016" s="878"/>
      <c r="D1016" s="917" t="s">
        <v>503</v>
      </c>
      <c r="E1016" s="1095">
        <v>354250000</v>
      </c>
      <c r="F1016" s="1095">
        <v>354126080</v>
      </c>
      <c r="G1016" s="855">
        <f>+F1016/E1016*100</f>
        <v>99.965019054340161</v>
      </c>
      <c r="H1016" s="887">
        <v>100</v>
      </c>
      <c r="I1016" s="852"/>
      <c r="J1016" s="802"/>
    </row>
    <row r="1017" spans="3:10" ht="20.100000000000001" hidden="1" customHeight="1">
      <c r="C1017" s="878"/>
      <c r="D1017" s="917" t="s">
        <v>286</v>
      </c>
      <c r="E1017" s="1095">
        <v>354250000</v>
      </c>
      <c r="F1017" s="1095">
        <v>354126080</v>
      </c>
      <c r="G1017" s="855">
        <f>+F1017/E1017*100</f>
        <v>99.965019054340161</v>
      </c>
      <c r="H1017" s="887">
        <v>100</v>
      </c>
      <c r="I1017" s="852"/>
      <c r="J1017" s="802"/>
    </row>
    <row r="1018" spans="3:10" ht="20.100000000000001" hidden="1" customHeight="1">
      <c r="C1018" s="878"/>
      <c r="D1018" s="914" t="s">
        <v>1429</v>
      </c>
      <c r="E1018" s="1094">
        <v>354250000</v>
      </c>
      <c r="F1018" s="1094">
        <v>354126080</v>
      </c>
      <c r="G1018" s="855">
        <f>+F1018/E1018*100</f>
        <v>99.965019054340161</v>
      </c>
      <c r="H1018" s="887">
        <v>100</v>
      </c>
      <c r="I1018" s="852"/>
      <c r="J1018" s="802"/>
    </row>
    <row r="1019" spans="3:10" ht="15" hidden="1" customHeight="1">
      <c r="C1019" s="878"/>
      <c r="D1019" s="914"/>
      <c r="E1019" s="1094"/>
      <c r="F1019" s="1094"/>
      <c r="G1019" s="855"/>
      <c r="H1019" s="887"/>
      <c r="I1019" s="852"/>
      <c r="J1019" s="802"/>
    </row>
    <row r="1020" spans="3:10" ht="20.100000000000001" hidden="1" customHeight="1">
      <c r="C1020" s="878"/>
      <c r="D1020" s="917" t="s">
        <v>69</v>
      </c>
      <c r="E1020" s="1095">
        <v>500000000</v>
      </c>
      <c r="F1020" s="1095">
        <v>500000000</v>
      </c>
      <c r="G1020" s="855">
        <f>+F1020/E1020*100</f>
        <v>100</v>
      </c>
      <c r="H1020" s="887">
        <f>+G1020</f>
        <v>100</v>
      </c>
      <c r="I1020" s="852"/>
      <c r="J1020" s="802"/>
    </row>
    <row r="1021" spans="3:10" ht="20.100000000000001" hidden="1" customHeight="1">
      <c r="C1021" s="878"/>
      <c r="D1021" s="917" t="s">
        <v>1843</v>
      </c>
      <c r="E1021" s="1095">
        <v>500000000</v>
      </c>
      <c r="F1021" s="1095">
        <v>500000000</v>
      </c>
      <c r="G1021" s="855">
        <f>+F1021/E1021*100</f>
        <v>100</v>
      </c>
      <c r="H1021" s="887">
        <f>+G1021</f>
        <v>100</v>
      </c>
      <c r="I1021" s="852"/>
      <c r="J1021" s="802"/>
    </row>
    <row r="1022" spans="3:10" ht="20.100000000000001" hidden="1" customHeight="1">
      <c r="C1022" s="878"/>
      <c r="D1022" s="914" t="s">
        <v>626</v>
      </c>
      <c r="E1022" s="1094">
        <v>500000000</v>
      </c>
      <c r="F1022" s="1094">
        <v>500000000</v>
      </c>
      <c r="G1022" s="855">
        <f>+F1022/E1022*100</f>
        <v>100</v>
      </c>
      <c r="H1022" s="887">
        <f>+G1022</f>
        <v>100</v>
      </c>
      <c r="I1022" s="852"/>
      <c r="J1022" s="802"/>
    </row>
    <row r="1023" spans="3:10" ht="15" hidden="1" customHeight="1">
      <c r="C1023" s="878"/>
      <c r="D1023" s="914"/>
      <c r="E1023" s="1094"/>
      <c r="F1023" s="1094"/>
      <c r="G1023" s="855"/>
      <c r="H1023" s="887"/>
      <c r="I1023" s="852"/>
      <c r="J1023" s="802"/>
    </row>
    <row r="1024" spans="3:10" ht="20.100000000000001" hidden="1" customHeight="1">
      <c r="C1024" s="878"/>
      <c r="D1024" s="917" t="s">
        <v>982</v>
      </c>
      <c r="E1024" s="1095">
        <v>1600000000</v>
      </c>
      <c r="F1024" s="1095">
        <v>1600000000</v>
      </c>
      <c r="G1024" s="855">
        <f t="shared" ref="G1024:G1031" si="47">+F1024/E1024*100</f>
        <v>100</v>
      </c>
      <c r="H1024" s="887">
        <f t="shared" ref="H1024:H1031" si="48">+G1024</f>
        <v>100</v>
      </c>
      <c r="I1024" s="852"/>
      <c r="J1024" s="802"/>
    </row>
    <row r="1025" spans="3:10" ht="20.100000000000001" hidden="1" customHeight="1">
      <c r="C1025" s="878"/>
      <c r="D1025" s="917" t="s">
        <v>310</v>
      </c>
      <c r="E1025" s="1095">
        <v>100000000</v>
      </c>
      <c r="F1025" s="1095">
        <v>100000000</v>
      </c>
      <c r="G1025" s="855">
        <f t="shared" si="47"/>
        <v>100</v>
      </c>
      <c r="H1025" s="887">
        <f t="shared" si="48"/>
        <v>100</v>
      </c>
      <c r="I1025" s="852"/>
      <c r="J1025" s="802"/>
    </row>
    <row r="1026" spans="3:10" ht="20.100000000000001" hidden="1" customHeight="1">
      <c r="C1026" s="878"/>
      <c r="D1026" s="914" t="s">
        <v>3025</v>
      </c>
      <c r="E1026" s="1094">
        <v>100000000</v>
      </c>
      <c r="F1026" s="1094">
        <v>100000000</v>
      </c>
      <c r="G1026" s="855">
        <f t="shared" si="47"/>
        <v>100</v>
      </c>
      <c r="H1026" s="887">
        <f t="shared" si="48"/>
        <v>100</v>
      </c>
      <c r="I1026" s="852"/>
      <c r="J1026" s="802"/>
    </row>
    <row r="1027" spans="3:10" ht="20.100000000000001" hidden="1" customHeight="1">
      <c r="C1027" s="878"/>
      <c r="D1027" s="917" t="s">
        <v>321</v>
      </c>
      <c r="E1027" s="1095">
        <v>800000000</v>
      </c>
      <c r="F1027" s="1095">
        <v>800000000</v>
      </c>
      <c r="G1027" s="855">
        <f t="shared" si="47"/>
        <v>100</v>
      </c>
      <c r="H1027" s="887">
        <f t="shared" si="48"/>
        <v>100</v>
      </c>
      <c r="I1027" s="852"/>
      <c r="J1027" s="802"/>
    </row>
    <row r="1028" spans="3:10" ht="20.100000000000001" hidden="1" customHeight="1">
      <c r="C1028" s="878"/>
      <c r="D1028" s="914" t="s">
        <v>322</v>
      </c>
      <c r="E1028" s="1094">
        <v>600000000</v>
      </c>
      <c r="F1028" s="1094">
        <v>600000000</v>
      </c>
      <c r="G1028" s="855">
        <f t="shared" si="47"/>
        <v>100</v>
      </c>
      <c r="H1028" s="887">
        <f t="shared" si="48"/>
        <v>100</v>
      </c>
      <c r="I1028" s="852"/>
      <c r="J1028" s="802"/>
    </row>
    <row r="1029" spans="3:10" ht="20.100000000000001" hidden="1" customHeight="1">
      <c r="C1029" s="878"/>
      <c r="D1029" s="914" t="s">
        <v>3768</v>
      </c>
      <c r="E1029" s="1094">
        <v>200000000</v>
      </c>
      <c r="F1029" s="1094">
        <v>200000000</v>
      </c>
      <c r="G1029" s="855">
        <f t="shared" si="47"/>
        <v>100</v>
      </c>
      <c r="H1029" s="887">
        <f t="shared" si="48"/>
        <v>100</v>
      </c>
      <c r="I1029" s="852"/>
      <c r="J1029" s="802"/>
    </row>
    <row r="1030" spans="3:10" ht="20.100000000000001" hidden="1" customHeight="1">
      <c r="C1030" s="878"/>
      <c r="D1030" s="917" t="s">
        <v>3767</v>
      </c>
      <c r="E1030" s="1095">
        <v>700000000</v>
      </c>
      <c r="F1030" s="1095">
        <v>700000000</v>
      </c>
      <c r="G1030" s="855">
        <f t="shared" si="47"/>
        <v>100</v>
      </c>
      <c r="H1030" s="887">
        <f t="shared" si="48"/>
        <v>100</v>
      </c>
      <c r="I1030" s="852"/>
      <c r="J1030" s="802"/>
    </row>
    <row r="1031" spans="3:10" ht="20.100000000000001" hidden="1" customHeight="1">
      <c r="C1031" s="878"/>
      <c r="D1031" s="914" t="s">
        <v>637</v>
      </c>
      <c r="E1031" s="1094">
        <v>700000000</v>
      </c>
      <c r="F1031" s="1094">
        <v>700000000</v>
      </c>
      <c r="G1031" s="855">
        <f t="shared" si="47"/>
        <v>100</v>
      </c>
      <c r="H1031" s="887">
        <f t="shared" si="48"/>
        <v>100</v>
      </c>
      <c r="I1031" s="852"/>
      <c r="J1031" s="802"/>
    </row>
    <row r="1032" spans="3:10" ht="15" hidden="1" customHeight="1">
      <c r="C1032" s="878"/>
      <c r="D1032" s="914"/>
      <c r="E1032" s="1094"/>
      <c r="F1032" s="1094"/>
      <c r="G1032" s="855"/>
      <c r="H1032" s="887"/>
      <c r="I1032" s="852"/>
      <c r="J1032" s="802"/>
    </row>
    <row r="1033" spans="3:10" ht="20.100000000000001" hidden="1" customHeight="1">
      <c r="C1033" s="878"/>
      <c r="D1033" s="917" t="s">
        <v>987</v>
      </c>
      <c r="E1033" s="1095">
        <v>2200000000</v>
      </c>
      <c r="F1033" s="1095">
        <v>2190000000</v>
      </c>
      <c r="G1033" s="855">
        <f>+F1033/E1033*100</f>
        <v>99.545454545454547</v>
      </c>
      <c r="H1033" s="887">
        <v>100</v>
      </c>
      <c r="I1033" s="852"/>
      <c r="J1033" s="802"/>
    </row>
    <row r="1034" spans="3:10" ht="20.100000000000001" hidden="1" customHeight="1">
      <c r="C1034" s="878"/>
      <c r="D1034" s="917" t="s">
        <v>3766</v>
      </c>
      <c r="E1034" s="1095">
        <v>2000000000</v>
      </c>
      <c r="F1034" s="1095">
        <v>1990000000</v>
      </c>
      <c r="G1034" s="855">
        <f>+F1034/E1034*100</f>
        <v>99.5</v>
      </c>
      <c r="H1034" s="887">
        <v>100</v>
      </c>
      <c r="I1034" s="852"/>
      <c r="J1034" s="802"/>
    </row>
    <row r="1035" spans="3:10" ht="35.1" hidden="1" customHeight="1">
      <c r="C1035" s="878"/>
      <c r="D1035" s="914" t="s">
        <v>3765</v>
      </c>
      <c r="E1035" s="1094">
        <v>2000000000</v>
      </c>
      <c r="F1035" s="1094">
        <v>1990000000</v>
      </c>
      <c r="G1035" s="855">
        <f>+F1035/E1035*100</f>
        <v>99.5</v>
      </c>
      <c r="H1035" s="887">
        <v>100</v>
      </c>
      <c r="I1035" s="852"/>
      <c r="J1035" s="802"/>
    </row>
    <row r="1036" spans="3:10" ht="35.1" hidden="1" customHeight="1">
      <c r="C1036" s="878"/>
      <c r="D1036" s="917" t="s">
        <v>3764</v>
      </c>
      <c r="E1036" s="1095">
        <v>200000000</v>
      </c>
      <c r="F1036" s="1095">
        <v>200000000</v>
      </c>
      <c r="G1036" s="855">
        <f>+F1036/E1036*100</f>
        <v>100</v>
      </c>
      <c r="H1036" s="887">
        <f>+G1036</f>
        <v>100</v>
      </c>
      <c r="I1036" s="852"/>
      <c r="J1036" s="802"/>
    </row>
    <row r="1037" spans="3:10" ht="35.1" hidden="1" customHeight="1">
      <c r="C1037" s="878"/>
      <c r="D1037" s="914" t="s">
        <v>3763</v>
      </c>
      <c r="E1037" s="1094">
        <v>200000000</v>
      </c>
      <c r="F1037" s="1094">
        <v>200000000</v>
      </c>
      <c r="G1037" s="855">
        <f>+F1037/E1037*100</f>
        <v>100</v>
      </c>
      <c r="H1037" s="887">
        <f>+G1037</f>
        <v>100</v>
      </c>
      <c r="I1037" s="852"/>
      <c r="J1037" s="802"/>
    </row>
    <row r="1038" spans="3:10" ht="15" hidden="1" customHeight="1">
      <c r="C1038" s="878"/>
      <c r="D1038" s="914"/>
      <c r="E1038" s="1094"/>
      <c r="F1038" s="1094"/>
      <c r="G1038" s="855"/>
      <c r="H1038" s="887"/>
      <c r="I1038" s="852"/>
      <c r="J1038" s="802"/>
    </row>
    <row r="1039" spans="3:10" ht="20.100000000000001" hidden="1" customHeight="1">
      <c r="C1039" s="878"/>
      <c r="D1039" s="917" t="s">
        <v>363</v>
      </c>
      <c r="E1039" s="1095">
        <v>250000000</v>
      </c>
      <c r="F1039" s="1095">
        <v>250000000</v>
      </c>
      <c r="G1039" s="855">
        <f>+F1039/E1039*100</f>
        <v>100</v>
      </c>
      <c r="H1039" s="887">
        <f>+G1039</f>
        <v>100</v>
      </c>
      <c r="I1039" s="852"/>
      <c r="J1039" s="802"/>
    </row>
    <row r="1040" spans="3:10" ht="35.1" hidden="1" customHeight="1">
      <c r="C1040" s="878"/>
      <c r="D1040" s="917" t="s">
        <v>1864</v>
      </c>
      <c r="E1040" s="1095">
        <v>250000000</v>
      </c>
      <c r="F1040" s="1095">
        <v>250000000</v>
      </c>
      <c r="G1040" s="855">
        <f>+F1040/E1040*100</f>
        <v>100</v>
      </c>
      <c r="H1040" s="887">
        <f>+G1040</f>
        <v>100</v>
      </c>
      <c r="I1040" s="852"/>
      <c r="J1040" s="802"/>
    </row>
    <row r="1041" spans="3:10" ht="20.100000000000001" hidden="1" customHeight="1">
      <c r="C1041" s="878"/>
      <c r="D1041" s="914" t="s">
        <v>991</v>
      </c>
      <c r="E1041" s="1094">
        <v>250000000</v>
      </c>
      <c r="F1041" s="1094">
        <v>250000000</v>
      </c>
      <c r="G1041" s="855">
        <f>+F1041/E1041*100</f>
        <v>100</v>
      </c>
      <c r="H1041" s="887">
        <f>+G1041</f>
        <v>100</v>
      </c>
      <c r="I1041" s="852"/>
      <c r="J1041" s="802"/>
    </row>
    <row r="1042" spans="3:10" ht="15" hidden="1" customHeight="1">
      <c r="C1042" s="878"/>
      <c r="D1042" s="914"/>
      <c r="E1042" s="1094"/>
      <c r="F1042" s="1094"/>
      <c r="G1042" s="855"/>
      <c r="H1042" s="887"/>
      <c r="I1042" s="852"/>
      <c r="J1042" s="802"/>
    </row>
    <row r="1043" spans="3:10" ht="20.100000000000001" hidden="1" customHeight="1">
      <c r="C1043" s="878"/>
      <c r="D1043" s="917" t="s">
        <v>366</v>
      </c>
      <c r="E1043" s="1095">
        <v>2020384480</v>
      </c>
      <c r="F1043" s="1095">
        <v>2010384480</v>
      </c>
      <c r="G1043" s="855">
        <f>+F1043/E1043*100</f>
        <v>99.505044703174519</v>
      </c>
      <c r="H1043" s="887">
        <v>100</v>
      </c>
      <c r="I1043" s="852"/>
      <c r="J1043" s="802"/>
    </row>
    <row r="1044" spans="3:10" ht="20.100000000000001" hidden="1" customHeight="1">
      <c r="C1044" s="878"/>
      <c r="D1044" s="917" t="s">
        <v>3762</v>
      </c>
      <c r="E1044" s="1095">
        <v>320220060</v>
      </c>
      <c r="F1044" s="1095">
        <v>320220060</v>
      </c>
      <c r="G1044" s="855">
        <f>+F1044/E1044*100</f>
        <v>100</v>
      </c>
      <c r="H1044" s="887">
        <f>+G1044</f>
        <v>100</v>
      </c>
      <c r="I1044" s="852"/>
      <c r="J1044" s="802"/>
    </row>
    <row r="1045" spans="3:10" ht="35.1" hidden="1" customHeight="1">
      <c r="C1045" s="878"/>
      <c r="D1045" s="914" t="s">
        <v>994</v>
      </c>
      <c r="E1045" s="1094">
        <v>320220060</v>
      </c>
      <c r="F1045" s="1094">
        <v>320220060</v>
      </c>
      <c r="G1045" s="855">
        <f>+F1045/E1045*100</f>
        <v>100</v>
      </c>
      <c r="H1045" s="887">
        <f>+G1045</f>
        <v>100</v>
      </c>
      <c r="I1045" s="852"/>
      <c r="J1045" s="802"/>
    </row>
    <row r="1046" spans="3:10" ht="20.100000000000001" hidden="1" customHeight="1">
      <c r="C1046" s="878"/>
      <c r="D1046" s="917" t="s">
        <v>884</v>
      </c>
      <c r="E1046" s="1095">
        <v>1700164420</v>
      </c>
      <c r="F1046" s="1095">
        <v>1690164420</v>
      </c>
      <c r="G1046" s="855">
        <f>+F1046/E1046*100</f>
        <v>99.411821593113913</v>
      </c>
      <c r="H1046" s="887">
        <v>100</v>
      </c>
      <c r="I1046" s="852"/>
      <c r="J1046" s="802"/>
    </row>
    <row r="1047" spans="3:10" ht="35.1" hidden="1" customHeight="1">
      <c r="C1047" s="878"/>
      <c r="D1047" s="914" t="s">
        <v>3761</v>
      </c>
      <c r="E1047" s="1094">
        <v>1700164420</v>
      </c>
      <c r="F1047" s="1094">
        <v>1690164420</v>
      </c>
      <c r="G1047" s="855">
        <f>+F1047/E1047*100</f>
        <v>99.411821593113913</v>
      </c>
      <c r="H1047" s="887">
        <v>100</v>
      </c>
      <c r="I1047" s="852"/>
      <c r="J1047" s="802"/>
    </row>
    <row r="1048" spans="3:10" ht="15" hidden="1" customHeight="1">
      <c r="C1048" s="878"/>
      <c r="D1048" s="914"/>
      <c r="E1048" s="1094"/>
      <c r="F1048" s="1094"/>
      <c r="G1048" s="855"/>
      <c r="H1048" s="887"/>
      <c r="I1048" s="852"/>
      <c r="J1048" s="802"/>
    </row>
    <row r="1049" spans="3:10" ht="20.100000000000001" hidden="1" customHeight="1">
      <c r="C1049" s="878"/>
      <c r="D1049" s="917" t="s">
        <v>996</v>
      </c>
      <c r="E1049" s="1095">
        <v>300000000</v>
      </c>
      <c r="F1049" s="1095">
        <v>300000000</v>
      </c>
      <c r="G1049" s="855">
        <f t="shared" ref="G1049:G1085" si="49">+F1049/E1049*100</f>
        <v>100</v>
      </c>
      <c r="H1049" s="887">
        <f t="shared" ref="H1049:H1070" si="50">+G1049</f>
        <v>100</v>
      </c>
      <c r="I1049" s="852"/>
      <c r="J1049" s="802"/>
    </row>
    <row r="1050" spans="3:10" ht="20.100000000000001" hidden="1" customHeight="1">
      <c r="C1050" s="878"/>
      <c r="D1050" s="917" t="s">
        <v>3760</v>
      </c>
      <c r="E1050" s="1095">
        <v>300000000</v>
      </c>
      <c r="F1050" s="1095">
        <v>300000000</v>
      </c>
      <c r="G1050" s="855">
        <f t="shared" si="49"/>
        <v>100</v>
      </c>
      <c r="H1050" s="887">
        <f t="shared" si="50"/>
        <v>100</v>
      </c>
      <c r="I1050" s="852"/>
      <c r="J1050" s="802"/>
    </row>
    <row r="1051" spans="3:10" ht="35.1" hidden="1" customHeight="1">
      <c r="C1051" s="878"/>
      <c r="D1051" s="914" t="s">
        <v>998</v>
      </c>
      <c r="E1051" s="1094">
        <v>300000000</v>
      </c>
      <c r="F1051" s="1094">
        <v>300000000</v>
      </c>
      <c r="G1051" s="855">
        <f t="shared" si="49"/>
        <v>100</v>
      </c>
      <c r="H1051" s="887">
        <f t="shared" si="50"/>
        <v>100</v>
      </c>
      <c r="I1051" s="852"/>
      <c r="J1051" s="802"/>
    </row>
    <row r="1052" spans="3:10" ht="20.100000000000001" hidden="1" customHeight="1">
      <c r="C1052" s="878"/>
      <c r="D1052" s="917" t="s">
        <v>999</v>
      </c>
      <c r="E1052" s="1095">
        <v>25062832410</v>
      </c>
      <c r="F1052" s="1095">
        <v>19210750000</v>
      </c>
      <c r="G1052" s="855">
        <f t="shared" si="49"/>
        <v>76.650354938873406</v>
      </c>
      <c r="H1052" s="887">
        <f t="shared" si="50"/>
        <v>76.650354938873406</v>
      </c>
      <c r="I1052" s="852"/>
      <c r="J1052" s="802"/>
    </row>
    <row r="1053" spans="3:10" ht="20.100000000000001" hidden="1" customHeight="1">
      <c r="C1053" s="878"/>
      <c r="D1053" s="917" t="s">
        <v>377</v>
      </c>
      <c r="E1053" s="1095">
        <v>9594585640</v>
      </c>
      <c r="F1053" s="1095">
        <v>8911000000</v>
      </c>
      <c r="G1053" s="855">
        <f t="shared" si="49"/>
        <v>92.875297947728768</v>
      </c>
      <c r="H1053" s="887">
        <f t="shared" si="50"/>
        <v>92.875297947728768</v>
      </c>
      <c r="I1053" s="852"/>
      <c r="J1053" s="802"/>
    </row>
    <row r="1054" spans="3:10" ht="20.100000000000001" hidden="1" customHeight="1">
      <c r="C1054" s="878"/>
      <c r="D1054" s="917" t="s">
        <v>897</v>
      </c>
      <c r="E1054" s="1095">
        <v>4250000000</v>
      </c>
      <c r="F1054" s="1095">
        <v>3750000000</v>
      </c>
      <c r="G1054" s="855">
        <f t="shared" si="49"/>
        <v>88.235294117647058</v>
      </c>
      <c r="H1054" s="887">
        <f t="shared" si="50"/>
        <v>88.235294117647058</v>
      </c>
      <c r="I1054" s="852"/>
      <c r="J1054" s="802"/>
    </row>
    <row r="1055" spans="3:10" ht="20.100000000000001" hidden="1" customHeight="1">
      <c r="C1055" s="878"/>
      <c r="D1055" s="914" t="s">
        <v>1000</v>
      </c>
      <c r="E1055" s="1094">
        <v>2500000000</v>
      </c>
      <c r="F1055" s="1094">
        <v>2500000000</v>
      </c>
      <c r="G1055" s="855">
        <f t="shared" si="49"/>
        <v>100</v>
      </c>
      <c r="H1055" s="887">
        <f t="shared" si="50"/>
        <v>100</v>
      </c>
      <c r="I1055" s="852"/>
      <c r="J1055" s="802"/>
    </row>
    <row r="1056" spans="3:10" ht="20.100000000000001" hidden="1" customHeight="1">
      <c r="C1056" s="878"/>
      <c r="D1056" s="914" t="s">
        <v>1002</v>
      </c>
      <c r="E1056" s="1094">
        <v>500000000</v>
      </c>
      <c r="F1056" s="1094">
        <v>500000000</v>
      </c>
      <c r="G1056" s="855">
        <f t="shared" si="49"/>
        <v>100</v>
      </c>
      <c r="H1056" s="887">
        <f t="shared" si="50"/>
        <v>100</v>
      </c>
      <c r="I1056" s="852"/>
      <c r="J1056" s="802"/>
    </row>
    <row r="1057" spans="3:10" ht="20.100000000000001" hidden="1" customHeight="1">
      <c r="C1057" s="878"/>
      <c r="D1057" s="914" t="s">
        <v>1004</v>
      </c>
      <c r="E1057" s="1094">
        <v>100000000</v>
      </c>
      <c r="F1057" s="1094">
        <v>0</v>
      </c>
      <c r="G1057" s="855">
        <f t="shared" si="49"/>
        <v>0</v>
      </c>
      <c r="H1057" s="887">
        <f t="shared" si="50"/>
        <v>0</v>
      </c>
      <c r="I1057" s="852"/>
      <c r="J1057" s="802"/>
    </row>
    <row r="1058" spans="3:10" ht="20.100000000000001" hidden="1" customHeight="1">
      <c r="C1058" s="878"/>
      <c r="D1058" s="914" t="s">
        <v>1006</v>
      </c>
      <c r="E1058" s="1094">
        <v>450000000</v>
      </c>
      <c r="F1058" s="1094">
        <v>450000000</v>
      </c>
      <c r="G1058" s="855">
        <f t="shared" si="49"/>
        <v>100</v>
      </c>
      <c r="H1058" s="887">
        <f t="shared" si="50"/>
        <v>100</v>
      </c>
      <c r="I1058" s="852"/>
      <c r="J1058" s="802"/>
    </row>
    <row r="1059" spans="3:10" ht="20.100000000000001" hidden="1" customHeight="1">
      <c r="C1059" s="878"/>
      <c r="D1059" s="914" t="s">
        <v>1008</v>
      </c>
      <c r="E1059" s="1094">
        <v>100000000</v>
      </c>
      <c r="F1059" s="1094">
        <v>0</v>
      </c>
      <c r="G1059" s="855">
        <f t="shared" si="49"/>
        <v>0</v>
      </c>
      <c r="H1059" s="887">
        <f t="shared" si="50"/>
        <v>0</v>
      </c>
      <c r="I1059" s="852"/>
      <c r="J1059" s="802"/>
    </row>
    <row r="1060" spans="3:10" ht="20.100000000000001" hidden="1" customHeight="1">
      <c r="C1060" s="878"/>
      <c r="D1060" s="914" t="s">
        <v>1010</v>
      </c>
      <c r="E1060" s="1094">
        <v>100000000</v>
      </c>
      <c r="F1060" s="1094">
        <v>100000000</v>
      </c>
      <c r="G1060" s="855">
        <f t="shared" si="49"/>
        <v>100</v>
      </c>
      <c r="H1060" s="887">
        <f t="shared" si="50"/>
        <v>100</v>
      </c>
      <c r="I1060" s="852"/>
      <c r="J1060" s="802"/>
    </row>
    <row r="1061" spans="3:10" ht="20.100000000000001" hidden="1" customHeight="1">
      <c r="C1061" s="878"/>
      <c r="D1061" s="914" t="s">
        <v>3759</v>
      </c>
      <c r="E1061" s="1094">
        <v>500000000</v>
      </c>
      <c r="F1061" s="1094">
        <v>200000000</v>
      </c>
      <c r="G1061" s="855">
        <f t="shared" si="49"/>
        <v>40</v>
      </c>
      <c r="H1061" s="887">
        <f t="shared" si="50"/>
        <v>40</v>
      </c>
      <c r="I1061" s="852"/>
      <c r="J1061" s="802"/>
    </row>
    <row r="1062" spans="3:10" ht="20.100000000000001" hidden="1" customHeight="1">
      <c r="C1062" s="878"/>
      <c r="D1062" s="917" t="s">
        <v>1024</v>
      </c>
      <c r="E1062" s="1095">
        <v>1561000060</v>
      </c>
      <c r="F1062" s="1095">
        <v>1561000000</v>
      </c>
      <c r="G1062" s="855">
        <f t="shared" si="49"/>
        <v>99.999996156310203</v>
      </c>
      <c r="H1062" s="887">
        <f t="shared" si="50"/>
        <v>99.999996156310203</v>
      </c>
      <c r="I1062" s="852"/>
      <c r="J1062" s="802"/>
    </row>
    <row r="1063" spans="3:10" ht="20.100000000000001" hidden="1" customHeight="1">
      <c r="C1063" s="878"/>
      <c r="D1063" s="914" t="s">
        <v>3758</v>
      </c>
      <c r="E1063" s="1094">
        <v>1561000060</v>
      </c>
      <c r="F1063" s="1094">
        <v>1561000000</v>
      </c>
      <c r="G1063" s="855">
        <f t="shared" si="49"/>
        <v>99.999996156310203</v>
      </c>
      <c r="H1063" s="887">
        <f t="shared" si="50"/>
        <v>99.999996156310203</v>
      </c>
      <c r="I1063" s="852"/>
      <c r="J1063" s="802"/>
    </row>
    <row r="1064" spans="3:10" ht="20.100000000000001" hidden="1" customHeight="1">
      <c r="C1064" s="878"/>
      <c r="D1064" s="917" t="s">
        <v>1029</v>
      </c>
      <c r="E1064" s="1095">
        <v>3783585580</v>
      </c>
      <c r="F1064" s="1095">
        <v>3600000000</v>
      </c>
      <c r="G1064" s="855">
        <f t="shared" si="49"/>
        <v>95.147841217853454</v>
      </c>
      <c r="H1064" s="887">
        <f t="shared" si="50"/>
        <v>95.147841217853454</v>
      </c>
      <c r="I1064" s="852"/>
      <c r="J1064" s="802"/>
    </row>
    <row r="1065" spans="3:10" ht="20.100000000000001" hidden="1" customHeight="1">
      <c r="C1065" s="878"/>
      <c r="D1065" s="914" t="s">
        <v>3757</v>
      </c>
      <c r="E1065" s="1094">
        <v>2283585580</v>
      </c>
      <c r="F1065" s="1094">
        <v>2100000000</v>
      </c>
      <c r="G1065" s="855">
        <f t="shared" si="49"/>
        <v>91.960643752182037</v>
      </c>
      <c r="H1065" s="887">
        <f t="shared" si="50"/>
        <v>91.960643752182037</v>
      </c>
      <c r="I1065" s="852"/>
      <c r="J1065" s="802"/>
    </row>
    <row r="1066" spans="3:10" ht="20.100000000000001" hidden="1" customHeight="1">
      <c r="C1066" s="878"/>
      <c r="D1066" s="914" t="s">
        <v>1032</v>
      </c>
      <c r="E1066" s="1094">
        <v>300000000</v>
      </c>
      <c r="F1066" s="1094">
        <v>300000000</v>
      </c>
      <c r="G1066" s="855">
        <f t="shared" si="49"/>
        <v>100</v>
      </c>
      <c r="H1066" s="887">
        <f t="shared" si="50"/>
        <v>100</v>
      </c>
      <c r="I1066" s="852"/>
      <c r="J1066" s="802"/>
    </row>
    <row r="1067" spans="3:10" ht="20.100000000000001" hidden="1" customHeight="1">
      <c r="C1067" s="878"/>
      <c r="D1067" s="914" t="s">
        <v>3756</v>
      </c>
      <c r="E1067" s="1094">
        <v>500000000</v>
      </c>
      <c r="F1067" s="1094">
        <v>500000000</v>
      </c>
      <c r="G1067" s="855">
        <f t="shared" si="49"/>
        <v>100</v>
      </c>
      <c r="H1067" s="887">
        <f t="shared" si="50"/>
        <v>100</v>
      </c>
      <c r="I1067" s="852"/>
      <c r="J1067" s="802"/>
    </row>
    <row r="1068" spans="3:10" ht="20.100000000000001" hidden="1" customHeight="1">
      <c r="C1068" s="878"/>
      <c r="D1068" s="914" t="s">
        <v>3755</v>
      </c>
      <c r="E1068" s="1094">
        <v>500000000</v>
      </c>
      <c r="F1068" s="1094">
        <v>500000000</v>
      </c>
      <c r="G1068" s="855">
        <f t="shared" si="49"/>
        <v>100</v>
      </c>
      <c r="H1068" s="887">
        <f t="shared" si="50"/>
        <v>100</v>
      </c>
      <c r="I1068" s="852"/>
      <c r="J1068" s="802"/>
    </row>
    <row r="1069" spans="3:10" ht="20.100000000000001" hidden="1" customHeight="1">
      <c r="C1069" s="878"/>
      <c r="D1069" s="914" t="s">
        <v>3754</v>
      </c>
      <c r="E1069" s="1094">
        <v>100000000</v>
      </c>
      <c r="F1069" s="1094">
        <v>100000000</v>
      </c>
      <c r="G1069" s="855">
        <f t="shared" si="49"/>
        <v>100</v>
      </c>
      <c r="H1069" s="887">
        <f t="shared" si="50"/>
        <v>100</v>
      </c>
      <c r="I1069" s="852"/>
      <c r="J1069" s="802"/>
    </row>
    <row r="1070" spans="3:10" ht="20.100000000000001" hidden="1" customHeight="1">
      <c r="C1070" s="878"/>
      <c r="D1070" s="914" t="s">
        <v>3753</v>
      </c>
      <c r="E1070" s="1094">
        <v>100000000</v>
      </c>
      <c r="F1070" s="1094">
        <v>100000000</v>
      </c>
      <c r="G1070" s="855">
        <f t="shared" si="49"/>
        <v>100</v>
      </c>
      <c r="H1070" s="887">
        <f t="shared" si="50"/>
        <v>100</v>
      </c>
      <c r="I1070" s="852"/>
      <c r="J1070" s="802"/>
    </row>
    <row r="1071" spans="3:10" ht="20.100000000000001" hidden="1" customHeight="1">
      <c r="C1071" s="878"/>
      <c r="D1071" s="917" t="s">
        <v>378</v>
      </c>
      <c r="E1071" s="1095">
        <v>15468246770</v>
      </c>
      <c r="F1071" s="1095">
        <v>10299750000</v>
      </c>
      <c r="G1071" s="855">
        <f t="shared" si="49"/>
        <v>66.586408615977874</v>
      </c>
      <c r="H1071" s="887">
        <f>H1072</f>
        <v>41.428571428571431</v>
      </c>
      <c r="I1071" s="852"/>
      <c r="J1071" s="802"/>
    </row>
    <row r="1072" spans="3:10" ht="35.1" hidden="1" customHeight="1">
      <c r="C1072" s="878"/>
      <c r="D1072" s="917" t="s">
        <v>1060</v>
      </c>
      <c r="E1072" s="1095">
        <v>7700000000</v>
      </c>
      <c r="F1072" s="1095">
        <v>3350000000</v>
      </c>
      <c r="G1072" s="855">
        <f t="shared" si="49"/>
        <v>43.506493506493506</v>
      </c>
      <c r="H1072" s="887">
        <f>SUM((H1073:H1079))/7</f>
        <v>41.428571428571431</v>
      </c>
      <c r="I1072" s="852"/>
      <c r="J1072" s="802"/>
    </row>
    <row r="1073" spans="3:10" ht="20.100000000000001" hidden="1" customHeight="1">
      <c r="C1073" s="878"/>
      <c r="D1073" s="914" t="s">
        <v>3752</v>
      </c>
      <c r="E1073" s="1094">
        <v>1200000000</v>
      </c>
      <c r="F1073" s="1094">
        <v>1180000000</v>
      </c>
      <c r="G1073" s="855">
        <f t="shared" si="49"/>
        <v>98.333333333333329</v>
      </c>
      <c r="H1073" s="887">
        <v>100</v>
      </c>
      <c r="I1073" s="852"/>
      <c r="J1073" s="802"/>
    </row>
    <row r="1074" spans="3:10" ht="20.100000000000001" hidden="1" customHeight="1">
      <c r="C1074" s="878"/>
      <c r="D1074" s="914" t="s">
        <v>3751</v>
      </c>
      <c r="E1074" s="1094">
        <v>1000000000</v>
      </c>
      <c r="F1074" s="1094">
        <v>30000000</v>
      </c>
      <c r="G1074" s="855">
        <f t="shared" si="49"/>
        <v>3</v>
      </c>
      <c r="H1074" s="887">
        <f>+G1074</f>
        <v>3</v>
      </c>
      <c r="I1074" s="852"/>
      <c r="J1074" s="802"/>
    </row>
    <row r="1075" spans="3:10" ht="20.100000000000001" hidden="1" customHeight="1">
      <c r="C1075" s="878"/>
      <c r="D1075" s="914" t="s">
        <v>3750</v>
      </c>
      <c r="E1075" s="1094">
        <v>1000000000</v>
      </c>
      <c r="F1075" s="1094">
        <v>20000000</v>
      </c>
      <c r="G1075" s="855">
        <f t="shared" si="49"/>
        <v>2</v>
      </c>
      <c r="H1075" s="887">
        <f>+G1075</f>
        <v>2</v>
      </c>
      <c r="I1075" s="852"/>
      <c r="J1075" s="802"/>
    </row>
    <row r="1076" spans="3:10" ht="20.100000000000001" hidden="1" customHeight="1">
      <c r="C1076" s="878"/>
      <c r="D1076" s="914" t="s">
        <v>1061</v>
      </c>
      <c r="E1076" s="1094">
        <v>1000000000</v>
      </c>
      <c r="F1076" s="1094">
        <v>0</v>
      </c>
      <c r="G1076" s="855">
        <f t="shared" si="49"/>
        <v>0</v>
      </c>
      <c r="H1076" s="887">
        <f>+G1076</f>
        <v>0</v>
      </c>
      <c r="I1076" s="852"/>
      <c r="J1076" s="802"/>
    </row>
    <row r="1077" spans="3:10" ht="20.100000000000001" hidden="1" customHeight="1">
      <c r="C1077" s="878"/>
      <c r="D1077" s="914" t="s">
        <v>1063</v>
      </c>
      <c r="E1077" s="1094">
        <v>1500000000</v>
      </c>
      <c r="F1077" s="1094">
        <v>1005000000</v>
      </c>
      <c r="G1077" s="855">
        <f t="shared" si="49"/>
        <v>67</v>
      </c>
      <c r="H1077" s="887">
        <v>70</v>
      </c>
      <c r="I1077" s="852"/>
      <c r="J1077" s="802"/>
    </row>
    <row r="1078" spans="3:10" ht="20.100000000000001" hidden="1" customHeight="1">
      <c r="C1078" s="878"/>
      <c r="D1078" s="914" t="s">
        <v>3749</v>
      </c>
      <c r="E1078" s="1094">
        <v>1000000000</v>
      </c>
      <c r="F1078" s="1094">
        <v>1000000000</v>
      </c>
      <c r="G1078" s="855">
        <f t="shared" si="49"/>
        <v>100</v>
      </c>
      <c r="H1078" s="887">
        <f>+G1078</f>
        <v>100</v>
      </c>
      <c r="I1078" s="852"/>
      <c r="J1078" s="802"/>
    </row>
    <row r="1079" spans="3:10" ht="20.100000000000001" hidden="1" customHeight="1">
      <c r="C1079" s="878"/>
      <c r="D1079" s="914" t="s">
        <v>3748</v>
      </c>
      <c r="E1079" s="1094">
        <v>1000000000</v>
      </c>
      <c r="F1079" s="1094">
        <v>115000000</v>
      </c>
      <c r="G1079" s="855">
        <f t="shared" si="49"/>
        <v>11.5</v>
      </c>
      <c r="H1079" s="887">
        <v>15</v>
      </c>
      <c r="I1079" s="852"/>
      <c r="J1079" s="802"/>
    </row>
    <row r="1080" spans="3:10" ht="20.100000000000001" hidden="1" customHeight="1">
      <c r="C1080" s="878"/>
      <c r="D1080" s="917" t="s">
        <v>1075</v>
      </c>
      <c r="E1080" s="1095">
        <v>7768246770</v>
      </c>
      <c r="F1080" s="1095">
        <v>6949750000</v>
      </c>
      <c r="G1080" s="855">
        <f t="shared" si="49"/>
        <v>89.463558583631354</v>
      </c>
      <c r="H1080" s="887">
        <f>SUM((H1081:H1085))/5</f>
        <v>68</v>
      </c>
      <c r="I1080" s="852"/>
      <c r="J1080" s="802"/>
    </row>
    <row r="1081" spans="3:10" ht="20.100000000000001" hidden="1" customHeight="1">
      <c r="C1081" s="878"/>
      <c r="D1081" s="914" t="s">
        <v>3747</v>
      </c>
      <c r="E1081" s="1094">
        <v>5620000000</v>
      </c>
      <c r="F1081" s="1094">
        <v>5617000000</v>
      </c>
      <c r="G1081" s="855">
        <f t="shared" si="49"/>
        <v>99.94661921708186</v>
      </c>
      <c r="H1081" s="887">
        <v>100</v>
      </c>
      <c r="I1081" s="852"/>
      <c r="J1081" s="802"/>
    </row>
    <row r="1082" spans="3:10" ht="20.100000000000001" hidden="1" customHeight="1">
      <c r="C1082" s="878"/>
      <c r="D1082" s="914" t="s">
        <v>3746</v>
      </c>
      <c r="E1082" s="1094">
        <v>500000000</v>
      </c>
      <c r="F1082" s="1094">
        <v>0</v>
      </c>
      <c r="G1082" s="855">
        <f t="shared" si="49"/>
        <v>0</v>
      </c>
      <c r="H1082" s="887">
        <f>+G1082</f>
        <v>0</v>
      </c>
      <c r="I1082" s="852"/>
      <c r="J1082" s="802"/>
    </row>
    <row r="1083" spans="3:10" ht="20.100000000000001" hidden="1" customHeight="1">
      <c r="C1083" s="878"/>
      <c r="D1083" s="914" t="s">
        <v>3745</v>
      </c>
      <c r="E1083" s="1094">
        <v>500000000</v>
      </c>
      <c r="F1083" s="1094">
        <v>224750000</v>
      </c>
      <c r="G1083" s="855">
        <f t="shared" si="49"/>
        <v>44.95</v>
      </c>
      <c r="H1083" s="887">
        <v>50</v>
      </c>
      <c r="I1083" s="852"/>
      <c r="J1083" s="802"/>
    </row>
    <row r="1084" spans="3:10" ht="20.100000000000001" hidden="1" customHeight="1">
      <c r="C1084" s="878"/>
      <c r="D1084" s="914" t="s">
        <v>3744</v>
      </c>
      <c r="E1084" s="1094">
        <v>300000000</v>
      </c>
      <c r="F1084" s="1094">
        <v>260000000</v>
      </c>
      <c r="G1084" s="855">
        <f t="shared" si="49"/>
        <v>86.666666666666671</v>
      </c>
      <c r="H1084" s="887">
        <v>90</v>
      </c>
      <c r="I1084" s="852"/>
      <c r="J1084" s="802"/>
    </row>
    <row r="1085" spans="3:10" ht="20.100000000000001" hidden="1" customHeight="1">
      <c r="C1085" s="878"/>
      <c r="D1085" s="914" t="s">
        <v>1076</v>
      </c>
      <c r="E1085" s="1094">
        <v>848246770</v>
      </c>
      <c r="F1085" s="1094">
        <v>848000000</v>
      </c>
      <c r="G1085" s="855">
        <f t="shared" si="49"/>
        <v>99.970908229924646</v>
      </c>
      <c r="H1085" s="887">
        <v>100</v>
      </c>
      <c r="I1085" s="852"/>
      <c r="J1085" s="802"/>
    </row>
    <row r="1086" spans="3:10" ht="15" hidden="1" customHeight="1">
      <c r="C1086" s="878"/>
      <c r="D1086" s="859"/>
      <c r="E1086" s="855">
        <v>0</v>
      </c>
      <c r="F1086" s="854"/>
      <c r="G1086" s="854"/>
      <c r="H1086" s="876"/>
      <c r="I1086" s="852"/>
      <c r="J1086" s="802"/>
    </row>
    <row r="1087" spans="3:10" s="825" customFormat="1" ht="20.100000000000001" customHeight="1">
      <c r="C1087" s="878" t="s">
        <v>1080</v>
      </c>
      <c r="D1087" s="1093" t="s">
        <v>2569</v>
      </c>
      <c r="E1087" s="1092">
        <v>64622624148.520004</v>
      </c>
      <c r="F1087" s="1092">
        <v>50438107918</v>
      </c>
      <c r="G1087" s="932">
        <f t="shared" ref="G1087:G1108" si="51">+F1087/E1087*100</f>
        <v>78.050231761062179</v>
      </c>
      <c r="H1087" s="932">
        <f>+G1087</f>
        <v>78.050231761062179</v>
      </c>
      <c r="I1087" s="1091"/>
      <c r="J1087" s="1086"/>
    </row>
    <row r="1088" spans="3:10" s="1088" customFormat="1" ht="20.100000000000001" hidden="1" customHeight="1">
      <c r="C1088" s="1090"/>
      <c r="D1088" s="1040" t="s">
        <v>767</v>
      </c>
      <c r="E1088" s="1083">
        <v>14319570127</v>
      </c>
      <c r="F1088" s="1083">
        <v>11761655877</v>
      </c>
      <c r="G1088" s="932">
        <f t="shared" si="51"/>
        <v>82.136934088705843</v>
      </c>
      <c r="H1088" s="932">
        <f>SUM((H1089:H1108))/20</f>
        <v>79</v>
      </c>
      <c r="I1088" s="935"/>
      <c r="J1088" s="1089"/>
    </row>
    <row r="1089" spans="3:10" s="825" customFormat="1" ht="20.100000000000001" hidden="1" customHeight="1">
      <c r="C1089" s="1087"/>
      <c r="D1089" s="808" t="s">
        <v>3743</v>
      </c>
      <c r="E1089" s="1084">
        <v>504000000</v>
      </c>
      <c r="F1089" s="1081">
        <v>501732000</v>
      </c>
      <c r="G1089" s="932">
        <f t="shared" si="51"/>
        <v>99.550000000000011</v>
      </c>
      <c r="H1089" s="932">
        <v>100</v>
      </c>
      <c r="I1089" s="930"/>
      <c r="J1089" s="1086"/>
    </row>
    <row r="1090" spans="3:10" s="825" customFormat="1" ht="20.100000000000001" hidden="1" customHeight="1">
      <c r="C1090" s="1087"/>
      <c r="D1090" s="808" t="s">
        <v>3742</v>
      </c>
      <c r="E1090" s="1084">
        <v>84000000</v>
      </c>
      <c r="F1090" s="1081">
        <v>84000000</v>
      </c>
      <c r="G1090" s="932">
        <f t="shared" si="51"/>
        <v>100</v>
      </c>
      <c r="H1090" s="932">
        <f>+G1090</f>
        <v>100</v>
      </c>
      <c r="I1090" s="930"/>
      <c r="J1090" s="1086"/>
    </row>
    <row r="1091" spans="3:10" s="1088" customFormat="1" ht="20.100000000000001" hidden="1" customHeight="1">
      <c r="C1091" s="1090"/>
      <c r="D1091" s="808" t="s">
        <v>3741</v>
      </c>
      <c r="E1091" s="1084">
        <v>975000000</v>
      </c>
      <c r="F1091" s="1081">
        <v>975000000</v>
      </c>
      <c r="G1091" s="932">
        <f t="shared" si="51"/>
        <v>100</v>
      </c>
      <c r="H1091" s="932">
        <f>+G1091</f>
        <v>100</v>
      </c>
      <c r="I1091" s="935"/>
      <c r="J1091" s="1089"/>
    </row>
    <row r="1092" spans="3:10" s="825" customFormat="1" ht="35.1" hidden="1" customHeight="1">
      <c r="C1092" s="1087"/>
      <c r="D1092" s="808" t="s">
        <v>3740</v>
      </c>
      <c r="E1092" s="1084">
        <v>763200000</v>
      </c>
      <c r="F1092" s="1081">
        <v>750000000</v>
      </c>
      <c r="G1092" s="932">
        <f t="shared" si="51"/>
        <v>98.270440251572325</v>
      </c>
      <c r="H1092" s="932">
        <v>100</v>
      </c>
      <c r="I1092" s="930"/>
      <c r="J1092" s="1086"/>
    </row>
    <row r="1093" spans="3:10" s="825" customFormat="1" ht="20.100000000000001" hidden="1" customHeight="1">
      <c r="C1093" s="1087"/>
      <c r="D1093" s="808" t="s">
        <v>3739</v>
      </c>
      <c r="E1093" s="1084">
        <v>300000000</v>
      </c>
      <c r="F1093" s="1081">
        <v>148808000</v>
      </c>
      <c r="G1093" s="932">
        <f t="shared" si="51"/>
        <v>49.602666666666664</v>
      </c>
      <c r="H1093" s="932">
        <v>50</v>
      </c>
      <c r="I1093" s="930"/>
      <c r="J1093" s="1086"/>
    </row>
    <row r="1094" spans="3:10" s="825" customFormat="1" ht="20.100000000000001" hidden="1" customHeight="1">
      <c r="C1094" s="1087"/>
      <c r="D1094" s="808" t="s">
        <v>3738</v>
      </c>
      <c r="E1094" s="1084">
        <v>2907600000</v>
      </c>
      <c r="F1094" s="1081">
        <v>2668200000</v>
      </c>
      <c r="G1094" s="932">
        <f t="shared" si="51"/>
        <v>91.766405282707382</v>
      </c>
      <c r="H1094" s="932">
        <v>100</v>
      </c>
      <c r="I1094" s="930"/>
      <c r="J1094" s="1086"/>
    </row>
    <row r="1095" spans="3:10" s="825" customFormat="1" ht="35.1" hidden="1" customHeight="1">
      <c r="C1095" s="1087"/>
      <c r="D1095" s="808" t="s">
        <v>3737</v>
      </c>
      <c r="E1095" s="1084">
        <v>744000000</v>
      </c>
      <c r="F1095" s="1081">
        <v>624000000</v>
      </c>
      <c r="G1095" s="932">
        <f t="shared" si="51"/>
        <v>83.870967741935488</v>
      </c>
      <c r="H1095" s="932">
        <v>85</v>
      </c>
      <c r="I1095" s="930"/>
      <c r="J1095" s="1086"/>
    </row>
    <row r="1096" spans="3:10" s="1088" customFormat="1" ht="35.1" hidden="1" customHeight="1">
      <c r="C1096" s="1090"/>
      <c r="D1096" s="808" t="s">
        <v>3736</v>
      </c>
      <c r="E1096" s="1084">
        <v>1584000000</v>
      </c>
      <c r="F1096" s="1081">
        <v>1341000000</v>
      </c>
      <c r="G1096" s="932">
        <f t="shared" si="51"/>
        <v>84.659090909090907</v>
      </c>
      <c r="H1096" s="932">
        <v>85</v>
      </c>
      <c r="I1096" s="935"/>
      <c r="J1096" s="1089"/>
    </row>
    <row r="1097" spans="3:10" s="1088" customFormat="1" ht="20.100000000000001" hidden="1" customHeight="1">
      <c r="C1097" s="1090"/>
      <c r="D1097" s="808" t="s">
        <v>3735</v>
      </c>
      <c r="E1097" s="1084">
        <v>240000000</v>
      </c>
      <c r="F1097" s="1081">
        <v>240000000</v>
      </c>
      <c r="G1097" s="932">
        <f t="shared" si="51"/>
        <v>100</v>
      </c>
      <c r="H1097" s="932">
        <f>+G1097</f>
        <v>100</v>
      </c>
      <c r="I1097" s="935"/>
      <c r="J1097" s="1089"/>
    </row>
    <row r="1098" spans="3:10" s="825" customFormat="1" ht="20.100000000000001" hidden="1" customHeight="1">
      <c r="C1098" s="1087"/>
      <c r="D1098" s="808" t="s">
        <v>3734</v>
      </c>
      <c r="E1098" s="1084">
        <v>240000000</v>
      </c>
      <c r="F1098" s="1081">
        <v>240000000</v>
      </c>
      <c r="G1098" s="932">
        <f t="shared" si="51"/>
        <v>100</v>
      </c>
      <c r="H1098" s="932">
        <f>+G1098</f>
        <v>100</v>
      </c>
      <c r="I1098" s="930"/>
      <c r="J1098" s="1086"/>
    </row>
    <row r="1099" spans="3:10" s="825" customFormat="1" ht="20.100000000000001" hidden="1" customHeight="1">
      <c r="C1099" s="1087"/>
      <c r="D1099" s="808" t="s">
        <v>3733</v>
      </c>
      <c r="E1099" s="1084">
        <v>1925616177</v>
      </c>
      <c r="F1099" s="1081">
        <v>1920710177</v>
      </c>
      <c r="G1099" s="932">
        <f t="shared" si="51"/>
        <v>99.745224408758176</v>
      </c>
      <c r="H1099" s="932">
        <v>100</v>
      </c>
      <c r="I1099" s="930"/>
      <c r="J1099" s="1086"/>
    </row>
    <row r="1100" spans="3:10" s="1088" customFormat="1" ht="20.100000000000001" hidden="1" customHeight="1">
      <c r="C1100" s="1090"/>
      <c r="D1100" s="808" t="s">
        <v>3732</v>
      </c>
      <c r="E1100" s="1084">
        <v>300000000</v>
      </c>
      <c r="F1100" s="1081">
        <v>300000000</v>
      </c>
      <c r="G1100" s="932">
        <f t="shared" si="51"/>
        <v>100</v>
      </c>
      <c r="H1100" s="932">
        <f>+G1100</f>
        <v>100</v>
      </c>
      <c r="I1100" s="935"/>
      <c r="J1100" s="1089"/>
    </row>
    <row r="1101" spans="3:10" s="1088" customFormat="1" ht="35.1" hidden="1" customHeight="1">
      <c r="C1101" s="1090"/>
      <c r="D1101" s="808" t="s">
        <v>3731</v>
      </c>
      <c r="E1101" s="1084">
        <v>78857950</v>
      </c>
      <c r="F1101" s="1081">
        <v>77660000</v>
      </c>
      <c r="G1101" s="932">
        <f t="shared" si="51"/>
        <v>98.480876056250509</v>
      </c>
      <c r="H1101" s="932">
        <v>100</v>
      </c>
      <c r="I1101" s="935"/>
      <c r="J1101" s="1089"/>
    </row>
    <row r="1102" spans="3:10" s="825" customFormat="1" ht="35.1" hidden="1" customHeight="1">
      <c r="C1102" s="1087"/>
      <c r="D1102" s="808" t="s">
        <v>3730</v>
      </c>
      <c r="E1102" s="1084">
        <v>252000000</v>
      </c>
      <c r="F1102" s="1081">
        <v>180000000</v>
      </c>
      <c r="G1102" s="932">
        <f t="shared" si="51"/>
        <v>71.428571428571431</v>
      </c>
      <c r="H1102" s="932">
        <v>75</v>
      </c>
      <c r="I1102" s="930"/>
      <c r="J1102" s="1086"/>
    </row>
    <row r="1103" spans="3:10" s="1088" customFormat="1" ht="35.1" hidden="1" customHeight="1">
      <c r="C1103" s="1090"/>
      <c r="D1103" s="808" t="s">
        <v>3729</v>
      </c>
      <c r="E1103" s="1084">
        <v>288000000</v>
      </c>
      <c r="F1103" s="1081">
        <v>171000000</v>
      </c>
      <c r="G1103" s="932">
        <f t="shared" si="51"/>
        <v>59.375</v>
      </c>
      <c r="H1103" s="932">
        <v>60</v>
      </c>
      <c r="I1103" s="935"/>
      <c r="J1103" s="1089"/>
    </row>
    <row r="1104" spans="3:10" s="825" customFormat="1" ht="20.100000000000001" hidden="1" customHeight="1">
      <c r="C1104" s="1087"/>
      <c r="D1104" s="808" t="s">
        <v>3728</v>
      </c>
      <c r="E1104" s="1084">
        <v>520296000</v>
      </c>
      <c r="F1104" s="1081">
        <v>518462000</v>
      </c>
      <c r="G1104" s="932">
        <f t="shared" si="51"/>
        <v>99.647508341405668</v>
      </c>
      <c r="H1104" s="932">
        <v>100</v>
      </c>
      <c r="I1104" s="930"/>
      <c r="J1104" s="1086"/>
    </row>
    <row r="1105" spans="3:10" s="1088" customFormat="1" ht="20.100000000000001" hidden="1" customHeight="1">
      <c r="C1105" s="1090"/>
      <c r="D1105" s="808" t="s">
        <v>3727</v>
      </c>
      <c r="E1105" s="1084">
        <v>371400000</v>
      </c>
      <c r="F1105" s="1081"/>
      <c r="G1105" s="932">
        <f t="shared" si="51"/>
        <v>0</v>
      </c>
      <c r="H1105" s="932">
        <f>+G1105</f>
        <v>0</v>
      </c>
      <c r="I1105" s="935"/>
      <c r="J1105" s="1089"/>
    </row>
    <row r="1106" spans="3:10" s="825" customFormat="1" ht="20.100000000000001" hidden="1" customHeight="1">
      <c r="C1106" s="1087"/>
      <c r="D1106" s="808" t="s">
        <v>3726</v>
      </c>
      <c r="E1106" s="1084">
        <v>156600000</v>
      </c>
      <c r="F1106" s="1081"/>
      <c r="G1106" s="932">
        <f t="shared" si="51"/>
        <v>0</v>
      </c>
      <c r="H1106" s="932">
        <f>+G1106</f>
        <v>0</v>
      </c>
      <c r="I1106" s="930"/>
      <c r="J1106" s="1086"/>
    </row>
    <row r="1107" spans="3:10" s="1088" customFormat="1" ht="20.100000000000001" hidden="1" customHeight="1">
      <c r="C1107" s="1090"/>
      <c r="D1107" s="808" t="s">
        <v>3725</v>
      </c>
      <c r="E1107" s="1084">
        <v>585000000</v>
      </c>
      <c r="F1107" s="1081">
        <v>498000000</v>
      </c>
      <c r="G1107" s="932">
        <f t="shared" si="51"/>
        <v>85.128205128205124</v>
      </c>
      <c r="H1107" s="932">
        <v>90</v>
      </c>
      <c r="I1107" s="935"/>
      <c r="J1107" s="1089"/>
    </row>
    <row r="1108" spans="3:10" s="825" customFormat="1" ht="35.1" hidden="1" customHeight="1">
      <c r="C1108" s="1087"/>
      <c r="D1108" s="808" t="s">
        <v>3724</v>
      </c>
      <c r="E1108" s="1084">
        <v>1500000000</v>
      </c>
      <c r="F1108" s="1081">
        <v>523083700</v>
      </c>
      <c r="G1108" s="932">
        <f t="shared" si="51"/>
        <v>34.872246666666669</v>
      </c>
      <c r="H1108" s="932">
        <v>35</v>
      </c>
      <c r="I1108" s="930"/>
      <c r="J1108" s="1086"/>
    </row>
    <row r="1109" spans="3:10" s="825" customFormat="1" ht="15" hidden="1" customHeight="1">
      <c r="C1109" s="1087"/>
      <c r="D1109" s="808"/>
      <c r="E1109" s="1084"/>
      <c r="F1109" s="1081"/>
      <c r="G1109" s="932"/>
      <c r="H1109" s="932"/>
      <c r="I1109" s="930"/>
      <c r="J1109" s="1086"/>
    </row>
    <row r="1110" spans="3:10" s="825" customFormat="1" ht="20.100000000000001" hidden="1" customHeight="1">
      <c r="C1110" s="1087"/>
      <c r="D1110" s="1040" t="s">
        <v>65</v>
      </c>
      <c r="E1110" s="1083">
        <v>13771519011.52</v>
      </c>
      <c r="F1110" s="1083">
        <v>9564007527</v>
      </c>
      <c r="G1110" s="932">
        <f t="shared" ref="G1110:G1122" si="52">+F1110/E1110*100</f>
        <v>69.447731357736359</v>
      </c>
      <c r="H1110" s="932">
        <f>SUM((H1111:H1122))/12</f>
        <v>77.083333333333329</v>
      </c>
      <c r="I1110" s="930"/>
      <c r="J1110" s="1086"/>
    </row>
    <row r="1111" spans="3:10" s="1088" customFormat="1" ht="20.100000000000001" hidden="1" customHeight="1">
      <c r="C1111" s="1090"/>
      <c r="D1111" s="808" t="s">
        <v>3723</v>
      </c>
      <c r="E1111" s="1082">
        <v>1040530500</v>
      </c>
      <c r="F1111" s="1081">
        <v>599980000</v>
      </c>
      <c r="G1111" s="932">
        <f t="shared" si="52"/>
        <v>57.660971975352957</v>
      </c>
      <c r="H1111" s="932">
        <v>60</v>
      </c>
      <c r="I1111" s="935"/>
      <c r="J1111" s="1089"/>
    </row>
    <row r="1112" spans="3:10" s="1088" customFormat="1" ht="20.100000000000001" hidden="1" customHeight="1">
      <c r="C1112" s="1090"/>
      <c r="D1112" s="808" t="s">
        <v>3722</v>
      </c>
      <c r="E1112" s="1082">
        <v>389005000</v>
      </c>
      <c r="F1112" s="1081">
        <v>388756580</v>
      </c>
      <c r="G1112" s="932">
        <f t="shared" si="52"/>
        <v>99.936139638307992</v>
      </c>
      <c r="H1112" s="932">
        <v>100</v>
      </c>
      <c r="I1112" s="935"/>
      <c r="J1112" s="1089"/>
    </row>
    <row r="1113" spans="3:10" s="825" customFormat="1" ht="20.100000000000001" hidden="1" customHeight="1">
      <c r="C1113" s="1087"/>
      <c r="D1113" s="808" t="s">
        <v>3721</v>
      </c>
      <c r="E1113" s="1082">
        <v>617440000</v>
      </c>
      <c r="F1113" s="1081">
        <v>617179563</v>
      </c>
      <c r="G1113" s="932">
        <f t="shared" si="52"/>
        <v>99.957819869137083</v>
      </c>
      <c r="H1113" s="932">
        <v>100</v>
      </c>
      <c r="I1113" s="930"/>
      <c r="J1113" s="1086"/>
    </row>
    <row r="1114" spans="3:10" s="1088" customFormat="1" ht="20.100000000000001" hidden="1" customHeight="1">
      <c r="C1114" s="1090"/>
      <c r="D1114" s="808" t="s">
        <v>3720</v>
      </c>
      <c r="E1114" s="1082">
        <v>1355854200</v>
      </c>
      <c r="F1114" s="1081">
        <v>536968000</v>
      </c>
      <c r="G1114" s="932">
        <f t="shared" si="52"/>
        <v>39.603668300028126</v>
      </c>
      <c r="H1114" s="932">
        <v>40</v>
      </c>
      <c r="I1114" s="935"/>
      <c r="J1114" s="1089"/>
    </row>
    <row r="1115" spans="3:10" s="825" customFormat="1" ht="20.100000000000001" hidden="1" customHeight="1">
      <c r="C1115" s="1087"/>
      <c r="D1115" s="808" t="s">
        <v>3719</v>
      </c>
      <c r="E1115" s="1082">
        <v>615620000</v>
      </c>
      <c r="F1115" s="1081">
        <v>453828000</v>
      </c>
      <c r="G1115" s="932">
        <f t="shared" si="52"/>
        <v>73.71885253890386</v>
      </c>
      <c r="H1115" s="932">
        <v>75</v>
      </c>
      <c r="I1115" s="930"/>
      <c r="J1115" s="1086"/>
    </row>
    <row r="1116" spans="3:10" s="825" customFormat="1" ht="20.100000000000001" hidden="1" customHeight="1">
      <c r="C1116" s="1087"/>
      <c r="D1116" s="808" t="s">
        <v>3718</v>
      </c>
      <c r="E1116" s="1082">
        <v>1427405000</v>
      </c>
      <c r="F1116" s="1081">
        <v>1180819662</v>
      </c>
      <c r="G1116" s="932">
        <f t="shared" si="52"/>
        <v>82.724921238190987</v>
      </c>
      <c r="H1116" s="932">
        <v>85</v>
      </c>
      <c r="I1116" s="930"/>
      <c r="J1116" s="1086"/>
    </row>
    <row r="1117" spans="3:10" s="825" customFormat="1" ht="20.100000000000001" hidden="1" customHeight="1">
      <c r="C1117" s="1087"/>
      <c r="D1117" s="808" t="s">
        <v>3717</v>
      </c>
      <c r="E1117" s="1082">
        <v>351795000</v>
      </c>
      <c r="F1117" s="1081">
        <v>351474763</v>
      </c>
      <c r="G1117" s="932">
        <f t="shared" si="52"/>
        <v>99.908970565243962</v>
      </c>
      <c r="H1117" s="932">
        <v>100</v>
      </c>
      <c r="I1117" s="930"/>
      <c r="J1117" s="1086"/>
    </row>
    <row r="1118" spans="3:10" s="825" customFormat="1" ht="20.100000000000001" hidden="1" customHeight="1">
      <c r="C1118" s="1087"/>
      <c r="D1118" s="808" t="s">
        <v>3716</v>
      </c>
      <c r="E1118" s="1082">
        <v>378120000</v>
      </c>
      <c r="F1118" s="1081">
        <v>285398120</v>
      </c>
      <c r="G1118" s="932">
        <f t="shared" si="52"/>
        <v>75.478186818999262</v>
      </c>
      <c r="H1118" s="932">
        <v>80</v>
      </c>
      <c r="I1118" s="930"/>
      <c r="J1118" s="1086"/>
    </row>
    <row r="1119" spans="3:10" s="825" customFormat="1" ht="20.100000000000001" hidden="1" customHeight="1">
      <c r="C1119" s="1087"/>
      <c r="D1119" s="808" t="s">
        <v>3715</v>
      </c>
      <c r="E1119" s="1082">
        <v>5335160859.5200005</v>
      </c>
      <c r="F1119" s="1081">
        <v>3669786970</v>
      </c>
      <c r="G1119" s="932">
        <f t="shared" si="52"/>
        <v>68.784935761621398</v>
      </c>
      <c r="H1119" s="932">
        <v>70</v>
      </c>
      <c r="I1119" s="930"/>
      <c r="J1119" s="1086"/>
    </row>
    <row r="1120" spans="3:10" s="825" customFormat="1" ht="20.100000000000001" hidden="1" customHeight="1">
      <c r="C1120" s="1087"/>
      <c r="D1120" s="808" t="s">
        <v>3714</v>
      </c>
      <c r="E1120" s="1082">
        <v>875267452</v>
      </c>
      <c r="F1120" s="1081">
        <v>233199600</v>
      </c>
      <c r="G1120" s="932">
        <f t="shared" si="52"/>
        <v>26.643239099904285</v>
      </c>
      <c r="H1120" s="932">
        <v>30</v>
      </c>
      <c r="I1120" s="930"/>
      <c r="J1120" s="1086"/>
    </row>
    <row r="1121" spans="3:10" s="825" customFormat="1" ht="20.100000000000001" hidden="1" customHeight="1">
      <c r="C1121" s="1087"/>
      <c r="D1121" s="808" t="s">
        <v>3713</v>
      </c>
      <c r="E1121" s="1082">
        <v>645821000</v>
      </c>
      <c r="F1121" s="1081">
        <v>642116269</v>
      </c>
      <c r="G1121" s="932">
        <f t="shared" si="52"/>
        <v>99.42635327745613</v>
      </c>
      <c r="H1121" s="932">
        <v>100</v>
      </c>
      <c r="I1121" s="930"/>
      <c r="J1121" s="1086"/>
    </row>
    <row r="1122" spans="3:10" s="825" customFormat="1" ht="20.100000000000001" hidden="1" customHeight="1">
      <c r="C1122" s="1087"/>
      <c r="D1122" s="808" t="s">
        <v>3712</v>
      </c>
      <c r="E1122" s="1082">
        <v>739500000</v>
      </c>
      <c r="F1122" s="1081">
        <v>604500000</v>
      </c>
      <c r="G1122" s="932">
        <f t="shared" si="52"/>
        <v>81.744421906693702</v>
      </c>
      <c r="H1122" s="932">
        <v>85</v>
      </c>
      <c r="I1122" s="930"/>
      <c r="J1122" s="1086"/>
    </row>
    <row r="1123" spans="3:10" s="825" customFormat="1" ht="15" hidden="1" customHeight="1">
      <c r="C1123" s="1087"/>
      <c r="D1123" s="808"/>
      <c r="E1123" s="1082"/>
      <c r="F1123" s="1081"/>
      <c r="G1123" s="932"/>
      <c r="H1123" s="932"/>
      <c r="I1123" s="930"/>
      <c r="J1123" s="1086"/>
    </row>
    <row r="1124" spans="3:10" s="825" customFormat="1" ht="20.100000000000001" hidden="1" customHeight="1">
      <c r="C1124" s="1087"/>
      <c r="D1124" s="1040" t="s">
        <v>832</v>
      </c>
      <c r="E1124" s="1083">
        <v>12000000000</v>
      </c>
      <c r="F1124" s="1083">
        <v>7643263000</v>
      </c>
      <c r="G1124" s="932">
        <f>+F1124/E1124*100</f>
        <v>63.693858333333331</v>
      </c>
      <c r="H1124" s="932">
        <v>75</v>
      </c>
      <c r="I1124" s="930"/>
      <c r="J1124" s="1086"/>
    </row>
    <row r="1125" spans="3:10" s="825" customFormat="1" ht="20.100000000000001" hidden="1" customHeight="1">
      <c r="C1125" s="1087"/>
      <c r="D1125" s="1039" t="s">
        <v>3711</v>
      </c>
      <c r="E1125" s="1081">
        <v>8000000000</v>
      </c>
      <c r="F1125" s="1081">
        <v>3643263000</v>
      </c>
      <c r="G1125" s="932">
        <f>+F1125/E1125*100</f>
        <v>45.5407875</v>
      </c>
      <c r="H1125" s="932">
        <v>50</v>
      </c>
      <c r="I1125" s="930"/>
      <c r="J1125" s="1086"/>
    </row>
    <row r="1126" spans="3:10" s="825" customFormat="1" ht="20.100000000000001" hidden="1" customHeight="1">
      <c r="C1126" s="1087"/>
      <c r="D1126" s="1039" t="s">
        <v>3710</v>
      </c>
      <c r="E1126" s="1081">
        <v>4000000000</v>
      </c>
      <c r="F1126" s="1081">
        <v>4000000000</v>
      </c>
      <c r="G1126" s="932">
        <f>+F1126/E1126*100</f>
        <v>100</v>
      </c>
      <c r="H1126" s="932">
        <f>+G1126</f>
        <v>100</v>
      </c>
      <c r="I1126" s="930"/>
      <c r="J1126" s="1086"/>
    </row>
    <row r="1127" spans="3:10" s="825" customFormat="1" ht="15" hidden="1" customHeight="1">
      <c r="C1127" s="1087"/>
      <c r="D1127" s="1039"/>
      <c r="E1127" s="1081"/>
      <c r="F1127" s="1081"/>
      <c r="G1127" s="932"/>
      <c r="H1127" s="932"/>
      <c r="I1127" s="930"/>
      <c r="J1127" s="1086"/>
    </row>
    <row r="1128" spans="3:10" s="825" customFormat="1" ht="20.100000000000001" hidden="1" customHeight="1">
      <c r="C1128" s="1087"/>
      <c r="D1128" s="1040" t="s">
        <v>651</v>
      </c>
      <c r="E1128" s="1083">
        <v>1628976512</v>
      </c>
      <c r="F1128" s="1083">
        <v>1625852000</v>
      </c>
      <c r="G1128" s="932">
        <f>+F1128/E1128*100</f>
        <v>99.808191709519249</v>
      </c>
      <c r="H1128" s="932">
        <v>100</v>
      </c>
      <c r="I1128" s="930"/>
      <c r="J1128" s="1086"/>
    </row>
    <row r="1129" spans="3:10" s="825" customFormat="1" ht="51" hidden="1" customHeight="1">
      <c r="C1129" s="1087"/>
      <c r="D1129" s="1039" t="s">
        <v>3709</v>
      </c>
      <c r="E1129" s="1081">
        <v>1628976512</v>
      </c>
      <c r="F1129" s="1081">
        <v>1625852000</v>
      </c>
      <c r="G1129" s="932">
        <f>+F1129/E1129*100</f>
        <v>99.808191709519249</v>
      </c>
      <c r="H1129" s="932">
        <v>100</v>
      </c>
      <c r="I1129" s="930"/>
      <c r="J1129" s="1086"/>
    </row>
    <row r="1130" spans="3:10" s="825" customFormat="1" ht="15" hidden="1" customHeight="1">
      <c r="C1130" s="1087"/>
      <c r="D1130" s="1039"/>
      <c r="E1130" s="1081"/>
      <c r="F1130" s="1081"/>
      <c r="G1130" s="932"/>
      <c r="H1130" s="932"/>
      <c r="I1130" s="930"/>
      <c r="J1130" s="1086"/>
    </row>
    <row r="1131" spans="3:10" s="825" customFormat="1" ht="20.100000000000001" hidden="1" customHeight="1">
      <c r="C1131" s="1087"/>
      <c r="D1131" s="1040" t="s">
        <v>3708</v>
      </c>
      <c r="E1131" s="1083">
        <v>616141250</v>
      </c>
      <c r="F1131" s="1083">
        <v>555055800</v>
      </c>
      <c r="G1131" s="932">
        <f>+F1131/E1131*100</f>
        <v>90.085804188568773</v>
      </c>
      <c r="H1131" s="932">
        <f>280/3</f>
        <v>93.333333333333329</v>
      </c>
      <c r="I1131" s="930"/>
      <c r="J1131" s="1086"/>
    </row>
    <row r="1132" spans="3:10" s="825" customFormat="1" ht="20.100000000000001" hidden="1" customHeight="1">
      <c r="C1132" s="1087"/>
      <c r="D1132" s="1039" t="s">
        <v>3707</v>
      </c>
      <c r="E1132" s="1081">
        <v>165410000</v>
      </c>
      <c r="F1132" s="1081">
        <v>164972000</v>
      </c>
      <c r="G1132" s="932">
        <f>+F1132/E1132*100</f>
        <v>99.735203433891542</v>
      </c>
      <c r="H1132" s="932">
        <v>100</v>
      </c>
      <c r="I1132" s="930"/>
      <c r="J1132" s="1086"/>
    </row>
    <row r="1133" spans="3:10" s="825" customFormat="1" ht="20.100000000000001" hidden="1" customHeight="1">
      <c r="C1133" s="1087"/>
      <c r="D1133" s="1039" t="s">
        <v>3706</v>
      </c>
      <c r="E1133" s="1081">
        <v>202637500</v>
      </c>
      <c r="F1133" s="1081">
        <v>202001800</v>
      </c>
      <c r="G1133" s="932">
        <f>+F1133/E1133*100</f>
        <v>99.686287089013632</v>
      </c>
      <c r="H1133" s="932">
        <v>100</v>
      </c>
      <c r="I1133" s="930"/>
      <c r="J1133" s="1086"/>
    </row>
    <row r="1134" spans="3:10" s="825" customFormat="1" ht="20.100000000000001" hidden="1" customHeight="1">
      <c r="C1134" s="1087"/>
      <c r="D1134" s="1039" t="s">
        <v>3705</v>
      </c>
      <c r="E1134" s="1081">
        <v>248093750</v>
      </c>
      <c r="F1134" s="1081">
        <v>188082000</v>
      </c>
      <c r="G1134" s="932">
        <f>+F1134/E1134*100</f>
        <v>75.810857790653728</v>
      </c>
      <c r="H1134" s="932">
        <v>80</v>
      </c>
      <c r="I1134" s="930"/>
      <c r="J1134" s="1086"/>
    </row>
    <row r="1135" spans="3:10" s="825" customFormat="1" ht="15" hidden="1" customHeight="1">
      <c r="C1135" s="1087"/>
      <c r="D1135" s="1039"/>
      <c r="E1135" s="1081"/>
      <c r="F1135" s="1081"/>
      <c r="G1135" s="932"/>
      <c r="H1135" s="932"/>
      <c r="I1135" s="930"/>
      <c r="J1135" s="1086"/>
    </row>
    <row r="1136" spans="3:10" s="825" customFormat="1" ht="20.100000000000001" hidden="1" customHeight="1">
      <c r="C1136" s="1087"/>
      <c r="D1136" s="1040" t="s">
        <v>1128</v>
      </c>
      <c r="E1136" s="1083">
        <v>1118153298</v>
      </c>
      <c r="F1136" s="1083">
        <v>1084612202</v>
      </c>
      <c r="G1136" s="932">
        <f>+F1136/E1136*100</f>
        <v>97.000313279047361</v>
      </c>
      <c r="H1136" s="932">
        <v>100</v>
      </c>
      <c r="I1136" s="930"/>
      <c r="J1136" s="1086"/>
    </row>
    <row r="1137" spans="3:10" s="825" customFormat="1" ht="20.100000000000001" hidden="1" customHeight="1">
      <c r="C1137" s="1087"/>
      <c r="D1137" s="1039" t="s">
        <v>3704</v>
      </c>
      <c r="E1137" s="1081">
        <v>1118153298</v>
      </c>
      <c r="F1137" s="1081">
        <v>1084612202</v>
      </c>
      <c r="G1137" s="932">
        <f>+F1137/E1137*100</f>
        <v>97.000313279047361</v>
      </c>
      <c r="H1137" s="932">
        <v>100</v>
      </c>
      <c r="I1137" s="930"/>
      <c r="J1137" s="1086"/>
    </row>
    <row r="1138" spans="3:10" s="825" customFormat="1" ht="15" hidden="1" customHeight="1">
      <c r="C1138" s="1087"/>
      <c r="D1138" s="1039"/>
      <c r="E1138" s="1081"/>
      <c r="F1138" s="1081"/>
      <c r="G1138" s="932"/>
      <c r="H1138" s="932"/>
      <c r="I1138" s="930"/>
      <c r="J1138" s="1086"/>
    </row>
    <row r="1139" spans="3:10" s="825" customFormat="1" ht="20.100000000000001" hidden="1" customHeight="1">
      <c r="C1139" s="1087"/>
      <c r="D1139" s="1040" t="s">
        <v>1131</v>
      </c>
      <c r="E1139" s="1083">
        <v>246734355</v>
      </c>
      <c r="F1139" s="1083">
        <v>246343105</v>
      </c>
      <c r="G1139" s="932">
        <f>+F1139/E1139*100</f>
        <v>99.841428649042413</v>
      </c>
      <c r="H1139" s="932">
        <v>100</v>
      </c>
      <c r="I1139" s="930"/>
      <c r="J1139" s="1086"/>
    </row>
    <row r="1140" spans="3:10" s="825" customFormat="1" ht="35.1" hidden="1" customHeight="1">
      <c r="C1140" s="1087"/>
      <c r="D1140" s="1039" t="s">
        <v>3703</v>
      </c>
      <c r="E1140" s="1081">
        <v>246734355</v>
      </c>
      <c r="F1140" s="1081">
        <v>246343105</v>
      </c>
      <c r="G1140" s="932">
        <f>+F1140/E1140*100</f>
        <v>99.841428649042413</v>
      </c>
      <c r="H1140" s="932">
        <v>100</v>
      </c>
      <c r="I1140" s="930"/>
      <c r="J1140" s="1086"/>
    </row>
    <row r="1141" spans="3:10" s="825" customFormat="1" ht="15" hidden="1" customHeight="1">
      <c r="C1141" s="1087"/>
      <c r="D1141" s="1039"/>
      <c r="E1141" s="1081"/>
      <c r="F1141" s="1081"/>
      <c r="G1141" s="932"/>
      <c r="H1141" s="932"/>
      <c r="I1141" s="930"/>
      <c r="J1141" s="1086"/>
    </row>
    <row r="1142" spans="3:10" s="825" customFormat="1" ht="20.100000000000001" hidden="1" customHeight="1">
      <c r="C1142" s="1087"/>
      <c r="D1142" s="1040" t="s">
        <v>642</v>
      </c>
      <c r="E1142" s="1083">
        <v>12689900000</v>
      </c>
      <c r="F1142" s="1083">
        <v>11046540000</v>
      </c>
      <c r="G1142" s="932">
        <f>+F1142/E1142*100</f>
        <v>87.049858548924732</v>
      </c>
      <c r="H1142" s="932">
        <f>285/3</f>
        <v>95</v>
      </c>
      <c r="I1142" s="930"/>
      <c r="J1142" s="1086"/>
    </row>
    <row r="1143" spans="3:10" s="825" customFormat="1" ht="40.5" hidden="1" customHeight="1">
      <c r="C1143" s="1087"/>
      <c r="D1143" s="1039" t="s">
        <v>3702</v>
      </c>
      <c r="E1143" s="1081">
        <v>3100000000</v>
      </c>
      <c r="F1143" s="1081">
        <v>3100000000</v>
      </c>
      <c r="G1143" s="932">
        <f>+F1143/E1143*100</f>
        <v>100</v>
      </c>
      <c r="H1143" s="932">
        <f>+G1143</f>
        <v>100</v>
      </c>
      <c r="I1143" s="930"/>
      <c r="J1143" s="1086"/>
    </row>
    <row r="1144" spans="3:10" s="825" customFormat="1" ht="48" hidden="1" customHeight="1">
      <c r="C1144" s="1087"/>
      <c r="D1144" s="1039" t="s">
        <v>3701</v>
      </c>
      <c r="E1144" s="1081">
        <v>9048900000</v>
      </c>
      <c r="F1144" s="1081">
        <v>7405540000</v>
      </c>
      <c r="G1144" s="932">
        <f>+F1144/E1144*100</f>
        <v>81.839118566897625</v>
      </c>
      <c r="H1144" s="932">
        <v>85</v>
      </c>
      <c r="I1144" s="930"/>
      <c r="J1144" s="1086"/>
    </row>
    <row r="1145" spans="3:10" s="825" customFormat="1" ht="44.25" hidden="1" customHeight="1">
      <c r="C1145" s="1087"/>
      <c r="D1145" s="1039" t="s">
        <v>3700</v>
      </c>
      <c r="E1145" s="1081">
        <v>541000000</v>
      </c>
      <c r="F1145" s="1081">
        <v>541000000</v>
      </c>
      <c r="G1145" s="932">
        <f>+F1145/E1145*100</f>
        <v>100</v>
      </c>
      <c r="H1145" s="932">
        <f>+G1145</f>
        <v>100</v>
      </c>
      <c r="I1145" s="930"/>
      <c r="J1145" s="1086"/>
    </row>
    <row r="1146" spans="3:10" s="825" customFormat="1" ht="20.100000000000001" hidden="1" customHeight="1">
      <c r="C1146" s="1087"/>
      <c r="D1146" s="1039"/>
      <c r="E1146" s="1081"/>
      <c r="F1146" s="1081"/>
      <c r="G1146" s="932"/>
      <c r="H1146" s="932"/>
      <c r="I1146" s="930"/>
      <c r="J1146" s="1086"/>
    </row>
    <row r="1147" spans="3:10" s="825" customFormat="1" ht="20.100000000000001" hidden="1" customHeight="1">
      <c r="C1147" s="1087"/>
      <c r="D1147" s="1040" t="s">
        <v>1137</v>
      </c>
      <c r="E1147" s="1083">
        <v>518251509</v>
      </c>
      <c r="F1147" s="1083">
        <v>513381932</v>
      </c>
      <c r="G1147" s="932">
        <f>+F1147/E1147*100</f>
        <v>99.060383440195636</v>
      </c>
      <c r="H1147" s="932">
        <v>100</v>
      </c>
      <c r="I1147" s="930"/>
      <c r="J1147" s="1086"/>
    </row>
    <row r="1148" spans="3:10" s="825" customFormat="1" ht="20.100000000000001" hidden="1" customHeight="1">
      <c r="C1148" s="1087"/>
      <c r="D1148" s="1039" t="s">
        <v>3699</v>
      </c>
      <c r="E1148" s="1081">
        <v>518251509</v>
      </c>
      <c r="F1148" s="1081">
        <v>513381932</v>
      </c>
      <c r="G1148" s="932">
        <f>+F1148/E1148*100</f>
        <v>99.060383440195636</v>
      </c>
      <c r="H1148" s="932">
        <v>100</v>
      </c>
      <c r="I1148" s="930"/>
      <c r="J1148" s="1086"/>
    </row>
    <row r="1149" spans="3:10" s="825" customFormat="1" ht="15" hidden="1" customHeight="1">
      <c r="C1149" s="1087"/>
      <c r="D1149" s="1039"/>
      <c r="E1149" s="1081"/>
      <c r="F1149" s="1081"/>
      <c r="G1149" s="932"/>
      <c r="H1149" s="932"/>
      <c r="I1149" s="930"/>
      <c r="J1149" s="1086"/>
    </row>
    <row r="1150" spans="3:10" ht="20.100000000000001" hidden="1" customHeight="1">
      <c r="C1150" s="878"/>
      <c r="D1150" s="1040" t="s">
        <v>1139</v>
      </c>
      <c r="E1150" s="1083">
        <v>3794029480</v>
      </c>
      <c r="F1150" s="1083">
        <v>2690838059</v>
      </c>
      <c r="G1150" s="932">
        <f>+F1150/E1150*100</f>
        <v>70.922961278624541</v>
      </c>
      <c r="H1150" s="932">
        <v>75</v>
      </c>
      <c r="I1150" s="852"/>
      <c r="J1150" s="802"/>
    </row>
    <row r="1151" spans="3:10" ht="20.100000000000001" hidden="1" customHeight="1">
      <c r="C1151" s="878"/>
      <c r="D1151" s="1039" t="s">
        <v>3698</v>
      </c>
      <c r="E1151" s="1085">
        <v>3794029480</v>
      </c>
      <c r="F1151" s="1081">
        <v>2690838059</v>
      </c>
      <c r="G1151" s="932">
        <f>+F1151/E1151*100</f>
        <v>70.922961278624541</v>
      </c>
      <c r="H1151" s="932">
        <v>75</v>
      </c>
      <c r="I1151" s="852"/>
      <c r="J1151" s="802"/>
    </row>
    <row r="1152" spans="3:10" ht="15" hidden="1" customHeight="1">
      <c r="C1152" s="878"/>
      <c r="D1152" s="1039"/>
      <c r="E1152" s="1085"/>
      <c r="F1152" s="1081"/>
      <c r="G1152" s="932"/>
      <c r="H1152" s="932"/>
      <c r="I1152" s="852"/>
      <c r="J1152" s="802"/>
    </row>
    <row r="1153" spans="3:10" ht="20.100000000000001" hidden="1" customHeight="1">
      <c r="C1153" s="878"/>
      <c r="D1153" s="1040" t="s">
        <v>3697</v>
      </c>
      <c r="E1153" s="1083">
        <v>1000000000</v>
      </c>
      <c r="F1153" s="1083">
        <v>814154700</v>
      </c>
      <c r="G1153" s="932">
        <f>+F1153/E1153*100</f>
        <v>81.415469999999999</v>
      </c>
      <c r="H1153" s="932">
        <f>170/2</f>
        <v>85</v>
      </c>
      <c r="I1153" s="852"/>
      <c r="J1153" s="802"/>
    </row>
    <row r="1154" spans="3:10" ht="20.100000000000001" hidden="1" customHeight="1">
      <c r="C1154" s="878"/>
      <c r="D1154" s="1039" t="s">
        <v>3696</v>
      </c>
      <c r="E1154" s="1081">
        <v>500000000</v>
      </c>
      <c r="F1154" s="1081">
        <v>325650000</v>
      </c>
      <c r="G1154" s="932">
        <f>+F1154/E1154*100</f>
        <v>65.13</v>
      </c>
      <c r="H1154" s="932">
        <v>70</v>
      </c>
      <c r="I1154" s="852"/>
      <c r="J1154" s="802"/>
    </row>
    <row r="1155" spans="3:10" ht="35.1" hidden="1" customHeight="1">
      <c r="C1155" s="878"/>
      <c r="D1155" s="1039" t="s">
        <v>3695</v>
      </c>
      <c r="E1155" s="1081">
        <v>500000000</v>
      </c>
      <c r="F1155" s="1081">
        <v>488504700</v>
      </c>
      <c r="G1155" s="932">
        <f>+F1155/E1155*100</f>
        <v>97.700940000000003</v>
      </c>
      <c r="H1155" s="932">
        <v>100</v>
      </c>
      <c r="I1155" s="852"/>
      <c r="J1155" s="802"/>
    </row>
    <row r="1156" spans="3:10" ht="15" hidden="1" customHeight="1">
      <c r="C1156" s="878"/>
      <c r="D1156" s="1039"/>
      <c r="E1156" s="1081"/>
      <c r="F1156" s="1081"/>
      <c r="G1156" s="932"/>
      <c r="H1156" s="932"/>
      <c r="I1156" s="852"/>
      <c r="J1156" s="802"/>
    </row>
    <row r="1157" spans="3:10" ht="20.100000000000001" hidden="1" customHeight="1">
      <c r="C1157" s="878"/>
      <c r="D1157" s="1040" t="s">
        <v>835</v>
      </c>
      <c r="E1157" s="1083">
        <v>796664990</v>
      </c>
      <c r="F1157" s="1083">
        <v>771290500</v>
      </c>
      <c r="G1157" s="932">
        <f>+F1157/E1157*100</f>
        <v>96.814910869875177</v>
      </c>
      <c r="H1157" s="932">
        <v>100</v>
      </c>
      <c r="I1157" s="852"/>
      <c r="J1157" s="802"/>
    </row>
    <row r="1158" spans="3:10" ht="35.1" hidden="1" customHeight="1">
      <c r="C1158" s="878"/>
      <c r="D1158" s="1039" t="s">
        <v>3694</v>
      </c>
      <c r="E1158" s="1081">
        <v>301140000</v>
      </c>
      <c r="F1158" s="1081">
        <v>300310000</v>
      </c>
      <c r="G1158" s="932">
        <f>+F1158/E1158*100</f>
        <v>99.724380686723777</v>
      </c>
      <c r="H1158" s="932">
        <v>100</v>
      </c>
      <c r="I1158" s="852"/>
      <c r="J1158" s="802"/>
    </row>
    <row r="1159" spans="3:10" ht="35.1" hidden="1" customHeight="1">
      <c r="C1159" s="878"/>
      <c r="D1159" s="1039" t="s">
        <v>3693</v>
      </c>
      <c r="E1159" s="1081">
        <v>495524990</v>
      </c>
      <c r="F1159" s="1081">
        <v>470980500</v>
      </c>
      <c r="G1159" s="932">
        <f>+F1159/E1159*100</f>
        <v>95.046770496882502</v>
      </c>
      <c r="H1159" s="932">
        <v>100</v>
      </c>
      <c r="I1159" s="852"/>
      <c r="J1159" s="802"/>
    </row>
    <row r="1160" spans="3:10" ht="15" hidden="1" customHeight="1">
      <c r="C1160" s="878"/>
      <c r="D1160" s="1039"/>
      <c r="E1160" s="1081"/>
      <c r="F1160" s="1081"/>
      <c r="G1160" s="932"/>
      <c r="H1160" s="932"/>
      <c r="I1160" s="852"/>
      <c r="J1160" s="802"/>
    </row>
    <row r="1161" spans="3:10" ht="20.100000000000001" hidden="1" customHeight="1">
      <c r="C1161" s="878"/>
      <c r="D1161" s="1040" t="s">
        <v>1146</v>
      </c>
      <c r="E1161" s="1083">
        <v>1072000000</v>
      </c>
      <c r="F1161" s="1083">
        <v>1070747600</v>
      </c>
      <c r="G1161" s="932">
        <f>+F1161/E1161*100</f>
        <v>99.883171641791051</v>
      </c>
      <c r="H1161" s="932">
        <v>100</v>
      </c>
      <c r="I1161" s="852"/>
      <c r="J1161" s="802"/>
    </row>
    <row r="1162" spans="3:10" ht="20.100000000000001" hidden="1" customHeight="1">
      <c r="C1162" s="878"/>
      <c r="D1162" s="808" t="s">
        <v>3692</v>
      </c>
      <c r="E1162" s="1084">
        <v>372500000</v>
      </c>
      <c r="F1162" s="1081">
        <v>372438000</v>
      </c>
      <c r="G1162" s="932">
        <f>+F1162/E1162*100</f>
        <v>99.983355704697985</v>
      </c>
      <c r="H1162" s="932">
        <v>100</v>
      </c>
      <c r="I1162" s="852"/>
      <c r="J1162" s="802"/>
    </row>
    <row r="1163" spans="3:10" ht="20.100000000000001" hidden="1" customHeight="1">
      <c r="C1163" s="878"/>
      <c r="D1163" s="808" t="s">
        <v>3691</v>
      </c>
      <c r="E1163" s="1084">
        <v>199500000</v>
      </c>
      <c r="F1163" s="1081">
        <v>199191600</v>
      </c>
      <c r="G1163" s="932">
        <f>+F1163/E1163*100</f>
        <v>99.845413533834588</v>
      </c>
      <c r="H1163" s="932">
        <v>100</v>
      </c>
      <c r="I1163" s="852"/>
      <c r="J1163" s="802"/>
    </row>
    <row r="1164" spans="3:10" ht="20.100000000000001" hidden="1" customHeight="1">
      <c r="C1164" s="878"/>
      <c r="D1164" s="808" t="s">
        <v>3690</v>
      </c>
      <c r="E1164" s="1084">
        <v>500000000</v>
      </c>
      <c r="F1164" s="1081">
        <v>499118000</v>
      </c>
      <c r="G1164" s="932">
        <f>+F1164/E1164*100</f>
        <v>99.823599999999999</v>
      </c>
      <c r="H1164" s="932">
        <v>100</v>
      </c>
      <c r="I1164" s="852"/>
      <c r="J1164" s="802"/>
    </row>
    <row r="1165" spans="3:10" ht="15" hidden="1" customHeight="1">
      <c r="C1165" s="878"/>
      <c r="D1165" s="808"/>
      <c r="E1165" s="1084"/>
      <c r="F1165" s="1081"/>
      <c r="G1165" s="932"/>
      <c r="H1165" s="932"/>
      <c r="I1165" s="852"/>
      <c r="J1165" s="802"/>
    </row>
    <row r="1166" spans="3:10" ht="20.100000000000001" hidden="1" customHeight="1">
      <c r="C1166" s="878"/>
      <c r="D1166" s="1040" t="s">
        <v>1159</v>
      </c>
      <c r="E1166" s="1083">
        <v>1050683616</v>
      </c>
      <c r="F1166" s="1083">
        <v>1050365616</v>
      </c>
      <c r="G1166" s="932">
        <f>+F1166/E1166*100</f>
        <v>99.969733990788711</v>
      </c>
      <c r="H1166" s="932">
        <v>100</v>
      </c>
      <c r="I1166" s="852"/>
      <c r="J1166" s="802"/>
    </row>
    <row r="1167" spans="3:10" ht="35.1" hidden="1" customHeight="1">
      <c r="C1167" s="878"/>
      <c r="D1167" s="808" t="s">
        <v>3689</v>
      </c>
      <c r="E1167" s="1082">
        <v>279800000</v>
      </c>
      <c r="F1167" s="1081">
        <v>279547000</v>
      </c>
      <c r="G1167" s="932">
        <f>+F1167/E1167*100</f>
        <v>99.909578270192995</v>
      </c>
      <c r="H1167" s="932">
        <v>100</v>
      </c>
      <c r="I1167" s="852"/>
      <c r="J1167" s="802"/>
    </row>
    <row r="1168" spans="3:10" ht="35.1" hidden="1" customHeight="1">
      <c r="C1168" s="878"/>
      <c r="D1168" s="808" t="s">
        <v>3688</v>
      </c>
      <c r="E1168" s="1082">
        <v>770883616</v>
      </c>
      <c r="F1168" s="1081">
        <v>770818616</v>
      </c>
      <c r="G1168" s="932">
        <f>+F1168/E1168*100</f>
        <v>99.991568117592479</v>
      </c>
      <c r="H1168" s="932">
        <v>100</v>
      </c>
      <c r="I1168" s="852"/>
      <c r="J1168" s="802"/>
    </row>
    <row r="1169" spans="3:10" ht="15" hidden="1" customHeight="1">
      <c r="C1169" s="878"/>
      <c r="D1169" s="859"/>
      <c r="E1169" s="855"/>
      <c r="F1169" s="854"/>
      <c r="G1169" s="854"/>
      <c r="H1169" s="876"/>
      <c r="I1169" s="852"/>
      <c r="J1169" s="802"/>
    </row>
    <row r="1170" spans="3:10" s="522" customFormat="1" ht="20.100000000000001" customHeight="1">
      <c r="C1170" s="1666" t="s">
        <v>1163</v>
      </c>
      <c r="D1170" s="1673" t="s">
        <v>1164</v>
      </c>
      <c r="E1170" s="1668">
        <f>E1171+E1181+E1187+E1193+E1197+E1202+E1206+E1210+E1218+E1214+E1227+E1232+E1236</f>
        <v>31309836558.849998</v>
      </c>
      <c r="F1170" s="1668">
        <f>+F1171+F1181+F1187+F1193+F1206+F1210+F1214+F1218+F1227+F1231+F1236</f>
        <v>26241074891</v>
      </c>
      <c r="G1170" s="1670">
        <f t="shared" ref="G1170:G1179" si="53">+F1170/E1170*100</f>
        <v>83.810960947296067</v>
      </c>
      <c r="H1170" s="1671">
        <f>(H1171+H1181+H1187+H1193+H1197+H1202+H1206+H1210+H1214+H1218+H1227+H1232+H1236)/13</f>
        <v>80.256410256410248</v>
      </c>
      <c r="I1170" s="1672"/>
      <c r="J1170" s="1359"/>
    </row>
    <row r="1171" spans="3:10" s="656" customFormat="1" ht="20.100000000000001" hidden="1" customHeight="1">
      <c r="C1171" s="881"/>
      <c r="D1171" s="1080" t="s">
        <v>444</v>
      </c>
      <c r="E1171" s="1079">
        <f>E1172+E1175+E1178</f>
        <v>10762909327</v>
      </c>
      <c r="F1171" s="1076">
        <f>F1172+F1175+F1178</f>
        <v>9842425000</v>
      </c>
      <c r="G1171" s="855">
        <f t="shared" si="53"/>
        <v>91.447625367512302</v>
      </c>
      <c r="H1171" s="887">
        <f>(H1172+H1175+H1178)/3</f>
        <v>93.333333333333329</v>
      </c>
      <c r="I1171" s="863"/>
      <c r="J1171" s="44"/>
    </row>
    <row r="1172" spans="3:10" ht="20.100000000000001" hidden="1" customHeight="1">
      <c r="C1172" s="878"/>
      <c r="D1172" s="1080" t="s">
        <v>1165</v>
      </c>
      <c r="E1172" s="1079">
        <f>E1173+E1174</f>
        <v>6128109327</v>
      </c>
      <c r="F1172" s="1076">
        <f>F1173+F1174</f>
        <v>6101000000</v>
      </c>
      <c r="G1172" s="855">
        <f t="shared" si="53"/>
        <v>99.557623313269588</v>
      </c>
      <c r="H1172" s="887">
        <v>100</v>
      </c>
      <c r="I1172" s="852"/>
      <c r="J1172" s="802"/>
    </row>
    <row r="1173" spans="3:10" ht="20.100000000000001" hidden="1" customHeight="1">
      <c r="C1173" s="878"/>
      <c r="D1173" s="1078" t="s">
        <v>1166</v>
      </c>
      <c r="E1173" s="1077">
        <v>4860000000</v>
      </c>
      <c r="F1173" s="1071">
        <v>4833000000</v>
      </c>
      <c r="G1173" s="855">
        <f t="shared" si="53"/>
        <v>99.444444444444443</v>
      </c>
      <c r="H1173" s="887">
        <v>100</v>
      </c>
      <c r="I1173" s="852"/>
      <c r="J1173" s="802"/>
    </row>
    <row r="1174" spans="3:10" s="656" customFormat="1" ht="35.1" hidden="1" customHeight="1">
      <c r="C1174" s="881"/>
      <c r="D1174" s="1078" t="s">
        <v>1167</v>
      </c>
      <c r="E1174" s="1077">
        <v>1268109327</v>
      </c>
      <c r="F1174" s="1071">
        <v>1268000000</v>
      </c>
      <c r="G1174" s="855">
        <f t="shared" si="53"/>
        <v>99.991378740170717</v>
      </c>
      <c r="H1174" s="887">
        <v>100</v>
      </c>
      <c r="I1174" s="863"/>
      <c r="J1174" s="44"/>
    </row>
    <row r="1175" spans="3:10" ht="20.100000000000001" hidden="1" customHeight="1">
      <c r="C1175" s="878"/>
      <c r="D1175" s="1080" t="s">
        <v>1168</v>
      </c>
      <c r="E1175" s="1079">
        <f>E1176+E1177</f>
        <v>3781150000</v>
      </c>
      <c r="F1175" s="1076">
        <f>F1176+F1177</f>
        <v>2892825000</v>
      </c>
      <c r="G1175" s="855">
        <f t="shared" si="53"/>
        <v>76.50648612194702</v>
      </c>
      <c r="H1175" s="887">
        <v>80</v>
      </c>
      <c r="I1175" s="852"/>
      <c r="J1175" s="802"/>
    </row>
    <row r="1176" spans="3:10" ht="20.100000000000001" hidden="1" customHeight="1">
      <c r="C1176" s="878"/>
      <c r="D1176" s="1078" t="s">
        <v>1169</v>
      </c>
      <c r="E1176" s="1077">
        <v>1620000000</v>
      </c>
      <c r="F1176" s="1071">
        <v>1620000000</v>
      </c>
      <c r="G1176" s="855">
        <f t="shared" si="53"/>
        <v>100</v>
      </c>
      <c r="H1176" s="887">
        <f>+G1176</f>
        <v>100</v>
      </c>
      <c r="I1176" s="852"/>
      <c r="J1176" s="802"/>
    </row>
    <row r="1177" spans="3:10" s="656" customFormat="1" ht="20.100000000000001" hidden="1" customHeight="1">
      <c r="C1177" s="881"/>
      <c r="D1177" s="1078" t="s">
        <v>3687</v>
      </c>
      <c r="E1177" s="1077">
        <v>2161150000</v>
      </c>
      <c r="F1177" s="1071">
        <v>1272825000</v>
      </c>
      <c r="G1177" s="855">
        <f t="shared" si="53"/>
        <v>58.895726812113921</v>
      </c>
      <c r="H1177" s="887">
        <v>60</v>
      </c>
      <c r="I1177" s="863"/>
      <c r="J1177" s="44"/>
    </row>
    <row r="1178" spans="3:10" ht="20.100000000000001" hidden="1" customHeight="1">
      <c r="C1178" s="878"/>
      <c r="D1178" s="1075" t="s">
        <v>3686</v>
      </c>
      <c r="E1178" s="1074">
        <f>E1179</f>
        <v>853650000</v>
      </c>
      <c r="F1178" s="1076">
        <f>F1179</f>
        <v>848600000</v>
      </c>
      <c r="G1178" s="855">
        <f t="shared" si="53"/>
        <v>99.40842265565513</v>
      </c>
      <c r="H1178" s="887">
        <v>100</v>
      </c>
      <c r="I1178" s="852"/>
      <c r="J1178" s="802"/>
    </row>
    <row r="1179" spans="3:10" ht="35.1" hidden="1" customHeight="1">
      <c r="C1179" s="878"/>
      <c r="D1179" s="1073" t="s">
        <v>3685</v>
      </c>
      <c r="E1179" s="1072">
        <v>853650000</v>
      </c>
      <c r="F1179" s="1071">
        <f>647500000+201100000</f>
        <v>848600000</v>
      </c>
      <c r="G1179" s="855">
        <f t="shared" si="53"/>
        <v>99.40842265565513</v>
      </c>
      <c r="H1179" s="887">
        <v>100</v>
      </c>
      <c r="I1179" s="852"/>
      <c r="J1179" s="802"/>
    </row>
    <row r="1180" spans="3:10" ht="15" hidden="1" customHeight="1">
      <c r="C1180" s="878"/>
      <c r="D1180" s="1073"/>
      <c r="E1180" s="1072"/>
      <c r="F1180" s="1071"/>
      <c r="G1180" s="855"/>
      <c r="H1180" s="887"/>
      <c r="I1180" s="852"/>
      <c r="J1180" s="802"/>
    </row>
    <row r="1181" spans="3:10" s="656" customFormat="1" ht="20.100000000000001" hidden="1" customHeight="1">
      <c r="C1181" s="881"/>
      <c r="D1181" s="1075" t="s">
        <v>161</v>
      </c>
      <c r="E1181" s="1074">
        <f>E1182+E1184</f>
        <v>3925366590</v>
      </c>
      <c r="F1181" s="1076">
        <f>F1182+F1184</f>
        <v>3157951627</v>
      </c>
      <c r="G1181" s="855">
        <f>+F1181/E1181*100</f>
        <v>80.449852379265295</v>
      </c>
      <c r="H1181" s="887">
        <v>50</v>
      </c>
      <c r="I1181" s="863"/>
      <c r="J1181" s="44"/>
    </row>
    <row r="1182" spans="3:10" ht="20.100000000000001" hidden="1" customHeight="1">
      <c r="C1182" s="878"/>
      <c r="D1182" s="1075" t="s">
        <v>1171</v>
      </c>
      <c r="E1182" s="1074">
        <f>E1183</f>
        <v>710000000</v>
      </c>
      <c r="F1182" s="1076">
        <f>F1183</f>
        <v>0</v>
      </c>
      <c r="G1182" s="855">
        <f>+F1182/E1182*100</f>
        <v>0</v>
      </c>
      <c r="H1182" s="887">
        <f>+G1182</f>
        <v>0</v>
      </c>
      <c r="I1182" s="852"/>
      <c r="J1182" s="802"/>
    </row>
    <row r="1183" spans="3:10" ht="20.100000000000001" hidden="1" customHeight="1">
      <c r="C1183" s="878"/>
      <c r="D1183" s="1073" t="s">
        <v>1172</v>
      </c>
      <c r="E1183" s="1072">
        <v>710000000</v>
      </c>
      <c r="F1183" s="1071">
        <v>0</v>
      </c>
      <c r="G1183" s="855">
        <f>+F1183/E1183*100</f>
        <v>0</v>
      </c>
      <c r="H1183" s="887">
        <f>+G1183</f>
        <v>0</v>
      </c>
      <c r="I1183" s="852"/>
      <c r="J1183" s="802"/>
    </row>
    <row r="1184" spans="3:10" s="656" customFormat="1" ht="20.100000000000001" hidden="1" customHeight="1">
      <c r="C1184" s="881"/>
      <c r="D1184" s="1075" t="s">
        <v>877</v>
      </c>
      <c r="E1184" s="1074">
        <v>3215366590</v>
      </c>
      <c r="F1184" s="1076">
        <f>F1185</f>
        <v>3157951627</v>
      </c>
      <c r="G1184" s="855">
        <f>+F1184/E1184*100</f>
        <v>98.214357169146311</v>
      </c>
      <c r="H1184" s="887">
        <v>100</v>
      </c>
      <c r="I1184" s="863"/>
      <c r="J1184" s="44"/>
    </row>
    <row r="1185" spans="3:10" s="656" customFormat="1" ht="20.100000000000001" hidden="1" customHeight="1">
      <c r="C1185" s="881"/>
      <c r="D1185" s="1073" t="s">
        <v>1172</v>
      </c>
      <c r="E1185" s="1072">
        <v>3215366590</v>
      </c>
      <c r="F1185" s="1071">
        <v>3157951627</v>
      </c>
      <c r="G1185" s="855">
        <f>+F1185/E1185*100</f>
        <v>98.214357169146311</v>
      </c>
      <c r="H1185" s="887">
        <v>100</v>
      </c>
      <c r="I1185" s="863"/>
      <c r="J1185" s="44"/>
    </row>
    <row r="1186" spans="3:10" s="656" customFormat="1" ht="15" hidden="1" customHeight="1">
      <c r="C1186" s="881"/>
      <c r="D1186" s="1073"/>
      <c r="E1186" s="1072"/>
      <c r="F1186" s="1071"/>
      <c r="G1186" s="855"/>
      <c r="H1186" s="887"/>
      <c r="I1186" s="863"/>
      <c r="J1186" s="44"/>
    </row>
    <row r="1187" spans="3:10" ht="20.100000000000001" hidden="1" customHeight="1">
      <c r="C1187" s="878"/>
      <c r="D1187" s="1075" t="s">
        <v>959</v>
      </c>
      <c r="E1187" s="1074">
        <f>E1188+E1190</f>
        <v>1046275000</v>
      </c>
      <c r="F1187" s="1076">
        <f>F1188+F1190</f>
        <v>1033356064</v>
      </c>
      <c r="G1187" s="855">
        <f>+F1187/E1187*100</f>
        <v>98.765244701440821</v>
      </c>
      <c r="H1187" s="887">
        <v>100</v>
      </c>
      <c r="I1187" s="852"/>
      <c r="J1187" s="802"/>
    </row>
    <row r="1188" spans="3:10" ht="20.100000000000001" hidden="1" customHeight="1">
      <c r="C1188" s="878"/>
      <c r="D1188" s="1075" t="s">
        <v>173</v>
      </c>
      <c r="E1188" s="1074">
        <f>E1189</f>
        <v>746275000</v>
      </c>
      <c r="F1188" s="1076">
        <v>733665438</v>
      </c>
      <c r="G1188" s="855">
        <f>+F1188/E1188*100</f>
        <v>98.310333054169035</v>
      </c>
      <c r="H1188" s="887">
        <v>100</v>
      </c>
      <c r="I1188" s="852"/>
      <c r="J1188" s="802"/>
    </row>
    <row r="1189" spans="3:10" s="656" customFormat="1" ht="40.5" hidden="1" customHeight="1">
      <c r="C1189" s="881"/>
      <c r="D1189" s="1073" t="s">
        <v>1175</v>
      </c>
      <c r="E1189" s="1072">
        <v>746275000</v>
      </c>
      <c r="F1189" s="1071">
        <v>733665438</v>
      </c>
      <c r="G1189" s="855">
        <f>+F1189/E1189*100</f>
        <v>98.310333054169035</v>
      </c>
      <c r="H1189" s="887">
        <v>100</v>
      </c>
      <c r="I1189" s="863"/>
      <c r="J1189" s="44"/>
    </row>
    <row r="1190" spans="3:10" s="656" customFormat="1" ht="20.100000000000001" hidden="1" customHeight="1">
      <c r="C1190" s="881"/>
      <c r="D1190" s="1075" t="s">
        <v>877</v>
      </c>
      <c r="E1190" s="1074">
        <f>E1191</f>
        <v>300000000</v>
      </c>
      <c r="F1190" s="1076">
        <f>F1191</f>
        <v>299690626</v>
      </c>
      <c r="G1190" s="855">
        <f>+F1190/E1190*100</f>
        <v>99.896875333333341</v>
      </c>
      <c r="H1190" s="887">
        <v>100</v>
      </c>
      <c r="I1190" s="863"/>
      <c r="J1190" s="44"/>
    </row>
    <row r="1191" spans="3:10" ht="20.100000000000001" hidden="1" customHeight="1">
      <c r="C1191" s="878"/>
      <c r="D1191" s="1073" t="s">
        <v>1172</v>
      </c>
      <c r="E1191" s="1072">
        <v>300000000</v>
      </c>
      <c r="F1191" s="1071">
        <v>299690626</v>
      </c>
      <c r="G1191" s="855">
        <f>+F1191/E1191*100</f>
        <v>99.896875333333341</v>
      </c>
      <c r="H1191" s="887">
        <v>100</v>
      </c>
      <c r="I1191" s="852"/>
      <c r="J1191" s="802"/>
    </row>
    <row r="1192" spans="3:10" ht="15" hidden="1" customHeight="1">
      <c r="C1192" s="878"/>
      <c r="D1192" s="1073"/>
      <c r="E1192" s="1072"/>
      <c r="F1192" s="1071"/>
      <c r="G1192" s="855"/>
      <c r="H1192" s="887"/>
      <c r="I1192" s="852"/>
      <c r="J1192" s="802"/>
    </row>
    <row r="1193" spans="3:10" s="656" customFormat="1" ht="20.100000000000001" hidden="1" customHeight="1">
      <c r="C1193" s="881"/>
      <c r="D1193" s="1075" t="s">
        <v>1176</v>
      </c>
      <c r="E1193" s="1074">
        <f>E1194</f>
        <v>3097400900</v>
      </c>
      <c r="F1193" s="1076">
        <f>F1194</f>
        <v>3081461200</v>
      </c>
      <c r="G1193" s="855">
        <f>+F1193/E1193*100</f>
        <v>99.48538466557558</v>
      </c>
      <c r="H1193" s="887">
        <v>100</v>
      </c>
      <c r="I1193" s="863"/>
      <c r="J1193" s="44"/>
    </row>
    <row r="1194" spans="3:10" ht="20.100000000000001" hidden="1" customHeight="1">
      <c r="C1194" s="878"/>
      <c r="D1194" s="1075" t="s">
        <v>498</v>
      </c>
      <c r="E1194" s="1074">
        <f>E1195</f>
        <v>3097400900</v>
      </c>
      <c r="F1194" s="1076">
        <f>F1195</f>
        <v>3081461200</v>
      </c>
      <c r="G1194" s="855">
        <f>+F1194/E1194*100</f>
        <v>99.48538466557558</v>
      </c>
      <c r="H1194" s="887">
        <v>100</v>
      </c>
      <c r="I1194" s="852"/>
      <c r="J1194" s="802"/>
    </row>
    <row r="1195" spans="3:10" ht="20.100000000000001" hidden="1" customHeight="1">
      <c r="C1195" s="878"/>
      <c r="D1195" s="1073" t="s">
        <v>1177</v>
      </c>
      <c r="E1195" s="1072">
        <v>3097400900</v>
      </c>
      <c r="F1195" s="1071">
        <v>3081461200</v>
      </c>
      <c r="G1195" s="855">
        <f>+F1195/E1195*100</f>
        <v>99.48538466557558</v>
      </c>
      <c r="H1195" s="887">
        <v>100</v>
      </c>
      <c r="I1195" s="852"/>
      <c r="J1195" s="802"/>
    </row>
    <row r="1196" spans="3:10" ht="15" hidden="1" customHeight="1">
      <c r="C1196" s="878"/>
      <c r="D1196" s="1073"/>
      <c r="E1196" s="1072"/>
      <c r="F1196" s="1071"/>
      <c r="G1196" s="855"/>
      <c r="H1196" s="887"/>
      <c r="I1196" s="852"/>
      <c r="J1196" s="802"/>
    </row>
    <row r="1197" spans="3:10" s="656" customFormat="1" ht="20.100000000000001" hidden="1" customHeight="1">
      <c r="C1197" s="881"/>
      <c r="D1197" s="1075" t="s">
        <v>518</v>
      </c>
      <c r="E1197" s="1074">
        <f>E1198</f>
        <v>3000000000</v>
      </c>
      <c r="F1197" s="1071">
        <v>0</v>
      </c>
      <c r="G1197" s="855">
        <f>+F1197/E1197*100</f>
        <v>0</v>
      </c>
      <c r="H1197" s="887">
        <f>+G1197</f>
        <v>0</v>
      </c>
      <c r="I1197" s="863"/>
      <c r="J1197" s="44"/>
    </row>
    <row r="1198" spans="3:10" s="656" customFormat="1" ht="20.100000000000001" hidden="1" customHeight="1">
      <c r="C1198" s="881"/>
      <c r="D1198" s="1075" t="s">
        <v>1178</v>
      </c>
      <c r="E1198" s="1074">
        <f>E1199+E1200</f>
        <v>3000000000</v>
      </c>
      <c r="F1198" s="1071">
        <v>0</v>
      </c>
      <c r="G1198" s="855">
        <f>+F1198/E1198*100</f>
        <v>0</v>
      </c>
      <c r="H1198" s="887">
        <f>+G1198</f>
        <v>0</v>
      </c>
      <c r="I1198" s="863"/>
      <c r="J1198" s="44"/>
    </row>
    <row r="1199" spans="3:10" ht="20.100000000000001" hidden="1" customHeight="1">
      <c r="C1199" s="878"/>
      <c r="D1199" s="1073" t="s">
        <v>3684</v>
      </c>
      <c r="E1199" s="1072">
        <v>2000000000</v>
      </c>
      <c r="F1199" s="1071">
        <v>0</v>
      </c>
      <c r="G1199" s="855">
        <f>+F1199/E1199*100</f>
        <v>0</v>
      </c>
      <c r="H1199" s="887">
        <f>+G1199</f>
        <v>0</v>
      </c>
      <c r="I1199" s="852"/>
      <c r="J1199" s="802"/>
    </row>
    <row r="1200" spans="3:10" ht="20.100000000000001" hidden="1" customHeight="1">
      <c r="C1200" s="878"/>
      <c r="D1200" s="1073" t="s">
        <v>3683</v>
      </c>
      <c r="E1200" s="1072">
        <v>1000000000</v>
      </c>
      <c r="F1200" s="1071">
        <v>0</v>
      </c>
      <c r="G1200" s="855">
        <f>+F1200/E1200*100</f>
        <v>0</v>
      </c>
      <c r="H1200" s="887">
        <f>+G1200</f>
        <v>0</v>
      </c>
      <c r="I1200" s="852"/>
      <c r="J1200" s="802"/>
    </row>
    <row r="1201" spans="3:10" s="656" customFormat="1" ht="20.100000000000001" hidden="1" customHeight="1">
      <c r="C1201" s="881"/>
      <c r="D1201" s="1073"/>
      <c r="E1201" s="1072"/>
      <c r="F1201" s="1071"/>
      <c r="G1201" s="855"/>
      <c r="H1201" s="887"/>
      <c r="I1201" s="863"/>
      <c r="J1201" s="44"/>
    </row>
    <row r="1202" spans="3:10" ht="20.100000000000001" hidden="1" customHeight="1">
      <c r="C1202" s="878"/>
      <c r="D1202" s="1075" t="s">
        <v>366</v>
      </c>
      <c r="E1202" s="1074">
        <f>E1203</f>
        <v>300000731.18000001</v>
      </c>
      <c r="F1202" s="1076">
        <f>F1203</f>
        <v>0</v>
      </c>
      <c r="G1202" s="855">
        <f>+F1202/E1202*100</f>
        <v>0</v>
      </c>
      <c r="H1202" s="887">
        <f>+G1202</f>
        <v>0</v>
      </c>
      <c r="I1202" s="852"/>
      <c r="J1202" s="802"/>
    </row>
    <row r="1203" spans="3:10" s="656" customFormat="1" ht="20.100000000000001" hidden="1" customHeight="1">
      <c r="C1203" s="881"/>
      <c r="D1203" s="1075" t="s">
        <v>3682</v>
      </c>
      <c r="E1203" s="1074">
        <f>E1204</f>
        <v>300000731.18000001</v>
      </c>
      <c r="F1203" s="1076">
        <v>0</v>
      </c>
      <c r="G1203" s="855">
        <f>+F1203/E1203*100</f>
        <v>0</v>
      </c>
      <c r="H1203" s="887">
        <f>+G1203</f>
        <v>0</v>
      </c>
      <c r="I1203" s="863"/>
      <c r="J1203" s="44"/>
    </row>
    <row r="1204" spans="3:10" s="656" customFormat="1" ht="20.100000000000001" hidden="1" customHeight="1">
      <c r="C1204" s="881"/>
      <c r="D1204" s="1073" t="s">
        <v>3681</v>
      </c>
      <c r="E1204" s="1072">
        <v>300000731.18000001</v>
      </c>
      <c r="F1204" s="1071">
        <v>0</v>
      </c>
      <c r="G1204" s="855">
        <f>+F1204/E1204*100</f>
        <v>0</v>
      </c>
      <c r="H1204" s="887">
        <f>+G1204</f>
        <v>0</v>
      </c>
      <c r="I1204" s="863"/>
      <c r="J1204" s="44"/>
    </row>
    <row r="1205" spans="3:10" s="656" customFormat="1" ht="15" hidden="1" customHeight="1">
      <c r="C1205" s="881"/>
      <c r="D1205" s="1073"/>
      <c r="E1205" s="1072"/>
      <c r="F1205" s="1071"/>
      <c r="G1205" s="855"/>
      <c r="H1205" s="887"/>
      <c r="I1205" s="863"/>
      <c r="J1205" s="44"/>
    </row>
    <row r="1206" spans="3:10" ht="20.100000000000001" hidden="1" customHeight="1">
      <c r="C1206" s="878"/>
      <c r="D1206" s="1075" t="s">
        <v>1182</v>
      </c>
      <c r="E1206" s="1074">
        <f>E1207</f>
        <v>326196000</v>
      </c>
      <c r="F1206" s="1076">
        <f>F1207</f>
        <v>310550000</v>
      </c>
      <c r="G1206" s="855">
        <f>+F1206/E1206*100</f>
        <v>95.203497283841614</v>
      </c>
      <c r="H1206" s="887">
        <v>100</v>
      </c>
      <c r="I1206" s="852"/>
      <c r="J1206" s="802"/>
    </row>
    <row r="1207" spans="3:10" ht="35.1" hidden="1" customHeight="1">
      <c r="C1207" s="878"/>
      <c r="D1207" s="1075" t="s">
        <v>1183</v>
      </c>
      <c r="E1207" s="1074">
        <f>E1208</f>
        <v>326196000</v>
      </c>
      <c r="F1207" s="1076">
        <f>F1208</f>
        <v>310550000</v>
      </c>
      <c r="G1207" s="855">
        <f>+F1207/E1207*100</f>
        <v>95.203497283841614</v>
      </c>
      <c r="H1207" s="887">
        <v>100</v>
      </c>
      <c r="I1207" s="852"/>
      <c r="J1207" s="802"/>
    </row>
    <row r="1208" spans="3:10" s="656" customFormat="1" ht="35.1" hidden="1" customHeight="1">
      <c r="C1208" s="881"/>
      <c r="D1208" s="1073" t="s">
        <v>1184</v>
      </c>
      <c r="E1208" s="1072">
        <v>326196000</v>
      </c>
      <c r="F1208" s="1071">
        <v>310550000</v>
      </c>
      <c r="G1208" s="855">
        <f>+F1208/E1208*100</f>
        <v>95.203497283841614</v>
      </c>
      <c r="H1208" s="887">
        <v>100</v>
      </c>
      <c r="I1208" s="863"/>
      <c r="J1208" s="44"/>
    </row>
    <row r="1209" spans="3:10" s="656" customFormat="1" ht="15" hidden="1" customHeight="1">
      <c r="C1209" s="881"/>
      <c r="D1209" s="1073"/>
      <c r="E1209" s="1072"/>
      <c r="F1209" s="1071"/>
      <c r="G1209" s="855"/>
      <c r="H1209" s="887"/>
      <c r="I1209" s="863"/>
      <c r="J1209" s="44"/>
    </row>
    <row r="1210" spans="3:10" ht="20.100000000000001" hidden="1" customHeight="1">
      <c r="C1210" s="878"/>
      <c r="D1210" s="1075" t="s">
        <v>1137</v>
      </c>
      <c r="E1210" s="1074">
        <f>E1211</f>
        <v>750000000</v>
      </c>
      <c r="F1210" s="1076">
        <f>F1212</f>
        <v>749550000</v>
      </c>
      <c r="G1210" s="855">
        <f>+F1210/E1210*100</f>
        <v>99.94</v>
      </c>
      <c r="H1210" s="887">
        <v>100</v>
      </c>
      <c r="I1210" s="852"/>
      <c r="J1210" s="802"/>
    </row>
    <row r="1211" spans="3:10" ht="20.100000000000001" hidden="1" customHeight="1">
      <c r="C1211" s="878"/>
      <c r="D1211" s="1075" t="s">
        <v>304</v>
      </c>
      <c r="E1211" s="1074">
        <f>E1212</f>
        <v>750000000</v>
      </c>
      <c r="F1211" s="1076">
        <f>F1212</f>
        <v>749550000</v>
      </c>
      <c r="G1211" s="855">
        <f>+F1211/E1211*100</f>
        <v>99.94</v>
      </c>
      <c r="H1211" s="887">
        <v>100</v>
      </c>
      <c r="I1211" s="852"/>
      <c r="J1211" s="802"/>
    </row>
    <row r="1212" spans="3:10" s="656" customFormat="1" ht="20.100000000000001" hidden="1" customHeight="1">
      <c r="C1212" s="881"/>
      <c r="D1212" s="1073" t="s">
        <v>1185</v>
      </c>
      <c r="E1212" s="1072">
        <v>750000000</v>
      </c>
      <c r="F1212" s="1071">
        <v>749550000</v>
      </c>
      <c r="G1212" s="855">
        <f>+F1212/E1212*100</f>
        <v>99.94</v>
      </c>
      <c r="H1212" s="887">
        <v>100</v>
      </c>
      <c r="I1212" s="863"/>
      <c r="J1212" s="44"/>
    </row>
    <row r="1213" spans="3:10" s="656" customFormat="1" ht="15" hidden="1" customHeight="1">
      <c r="C1213" s="881"/>
      <c r="D1213" s="1073"/>
      <c r="E1213" s="1072"/>
      <c r="F1213" s="1071"/>
      <c r="G1213" s="855"/>
      <c r="H1213" s="887"/>
      <c r="I1213" s="863"/>
      <c r="J1213" s="44"/>
    </row>
    <row r="1214" spans="3:10" ht="20.100000000000001" hidden="1" customHeight="1">
      <c r="C1214" s="878"/>
      <c r="D1214" s="1075" t="s">
        <v>1186</v>
      </c>
      <c r="E1214" s="1074">
        <f>E1215</f>
        <v>1501500000</v>
      </c>
      <c r="F1214" s="1076">
        <f>F1215</f>
        <v>1499950000</v>
      </c>
      <c r="G1214" s="855">
        <f>+F1214/E1214*100</f>
        <v>99.896769896769896</v>
      </c>
      <c r="H1214" s="887">
        <v>100</v>
      </c>
      <c r="I1214" s="852"/>
      <c r="J1214" s="802"/>
    </row>
    <row r="1215" spans="3:10" ht="20.100000000000001" hidden="1" customHeight="1">
      <c r="C1215" s="878"/>
      <c r="D1215" s="1075" t="s">
        <v>506</v>
      </c>
      <c r="E1215" s="1074">
        <f>E1216+E1217</f>
        <v>1501500000</v>
      </c>
      <c r="F1215" s="1076">
        <f>F1216</f>
        <v>1499950000</v>
      </c>
      <c r="G1215" s="855">
        <f>+F1215/E1215*100</f>
        <v>99.896769896769896</v>
      </c>
      <c r="H1215" s="887">
        <v>100</v>
      </c>
      <c r="I1215" s="852"/>
      <c r="J1215" s="802"/>
    </row>
    <row r="1216" spans="3:10" ht="20.100000000000001" hidden="1" customHeight="1">
      <c r="C1216" s="878"/>
      <c r="D1216" s="1073" t="s">
        <v>707</v>
      </c>
      <c r="E1216" s="1072">
        <v>1501500000</v>
      </c>
      <c r="F1216" s="1071">
        <v>1499950000</v>
      </c>
      <c r="G1216" s="855">
        <f>+F1216/E1216*100</f>
        <v>99.896769896769896</v>
      </c>
      <c r="H1216" s="887">
        <v>100</v>
      </c>
      <c r="I1216" s="852"/>
      <c r="J1216" s="802"/>
    </row>
    <row r="1217" spans="3:10" s="656" customFormat="1" ht="15" hidden="1" customHeight="1">
      <c r="C1217" s="881"/>
      <c r="D1217" s="1073"/>
      <c r="E1217" s="1072"/>
      <c r="F1217" s="1071"/>
      <c r="G1217" s="855"/>
      <c r="H1217" s="887"/>
      <c r="I1217" s="863"/>
      <c r="J1217" s="44"/>
    </row>
    <row r="1218" spans="3:10" s="656" customFormat="1" ht="20.100000000000001" hidden="1" customHeight="1">
      <c r="C1218" s="881"/>
      <c r="D1218" s="1075" t="s">
        <v>1187</v>
      </c>
      <c r="E1218" s="1074">
        <f>E1219+E1222+E1224</f>
        <v>2365020000</v>
      </c>
      <c r="F1218" s="1074">
        <f>F1219+F1222+F1224</f>
        <v>2359644000</v>
      </c>
      <c r="G1218" s="855">
        <f t="shared" ref="G1218:G1225" si="54">+F1218/E1218*100</f>
        <v>99.772686911738589</v>
      </c>
      <c r="H1218" s="887">
        <v>100</v>
      </c>
      <c r="I1218" s="863"/>
      <c r="J1218" s="44"/>
    </row>
    <row r="1219" spans="3:10" ht="20.100000000000001" hidden="1" customHeight="1">
      <c r="C1219" s="878"/>
      <c r="D1219" s="1075" t="s">
        <v>1188</v>
      </c>
      <c r="E1219" s="1074">
        <f>E1220+E1221</f>
        <v>1000000000</v>
      </c>
      <c r="F1219" s="1076">
        <f>F1220+F1221</f>
        <v>998644000</v>
      </c>
      <c r="G1219" s="855">
        <f t="shared" si="54"/>
        <v>99.864400000000003</v>
      </c>
      <c r="H1219" s="887">
        <v>100</v>
      </c>
      <c r="I1219" s="852"/>
      <c r="J1219" s="802"/>
    </row>
    <row r="1220" spans="3:10" ht="20.100000000000001" hidden="1" customHeight="1">
      <c r="C1220" s="878"/>
      <c r="D1220" s="1073" t="s">
        <v>1189</v>
      </c>
      <c r="E1220" s="1072">
        <v>500000000</v>
      </c>
      <c r="F1220" s="1071">
        <v>499425000</v>
      </c>
      <c r="G1220" s="855">
        <f t="shared" si="54"/>
        <v>99.885000000000005</v>
      </c>
      <c r="H1220" s="887">
        <v>100</v>
      </c>
      <c r="I1220" s="852"/>
      <c r="J1220" s="802"/>
    </row>
    <row r="1221" spans="3:10" s="656" customFormat="1" ht="35.1" hidden="1" customHeight="1">
      <c r="C1221" s="881"/>
      <c r="D1221" s="1073" t="s">
        <v>1190</v>
      </c>
      <c r="E1221" s="1072">
        <v>500000000</v>
      </c>
      <c r="F1221" s="1071">
        <v>499219000</v>
      </c>
      <c r="G1221" s="855">
        <f t="shared" si="54"/>
        <v>99.843800000000002</v>
      </c>
      <c r="H1221" s="887">
        <v>100</v>
      </c>
      <c r="I1221" s="863"/>
      <c r="J1221" s="44"/>
    </row>
    <row r="1222" spans="3:10" s="656" customFormat="1" ht="20.100000000000001" hidden="1" customHeight="1">
      <c r="C1222" s="881"/>
      <c r="D1222" s="1075" t="s">
        <v>912</v>
      </c>
      <c r="E1222" s="1074">
        <f>E1223</f>
        <v>300000000</v>
      </c>
      <c r="F1222" s="1076">
        <f>F1223</f>
        <v>299905000</v>
      </c>
      <c r="G1222" s="855">
        <f t="shared" si="54"/>
        <v>99.968333333333334</v>
      </c>
      <c r="H1222" s="887">
        <v>100</v>
      </c>
      <c r="I1222" s="863"/>
      <c r="J1222" s="44"/>
    </row>
    <row r="1223" spans="3:10" ht="20.100000000000001" hidden="1" customHeight="1">
      <c r="C1223" s="878"/>
      <c r="D1223" s="1073" t="s">
        <v>3680</v>
      </c>
      <c r="E1223" s="1072">
        <v>300000000</v>
      </c>
      <c r="F1223" s="1071">
        <f>134500000+165405000</f>
        <v>299905000</v>
      </c>
      <c r="G1223" s="855">
        <f t="shared" si="54"/>
        <v>99.968333333333334</v>
      </c>
      <c r="H1223" s="887">
        <v>100</v>
      </c>
      <c r="I1223" s="852"/>
      <c r="J1223" s="802"/>
    </row>
    <row r="1224" spans="3:10" ht="20.100000000000001" hidden="1" customHeight="1">
      <c r="C1224" s="878"/>
      <c r="D1224" s="1075" t="s">
        <v>1512</v>
      </c>
      <c r="E1224" s="1074">
        <f>E1225</f>
        <v>1065020000</v>
      </c>
      <c r="F1224" s="1076">
        <v>1061095000</v>
      </c>
      <c r="G1224" s="855">
        <f t="shared" si="54"/>
        <v>99.631462319956427</v>
      </c>
      <c r="H1224" s="887">
        <v>100</v>
      </c>
      <c r="I1224" s="852"/>
      <c r="J1224" s="802"/>
    </row>
    <row r="1225" spans="3:10" s="656" customFormat="1" ht="20.100000000000001" hidden="1" customHeight="1">
      <c r="C1225" s="881"/>
      <c r="D1225" s="1073" t="s">
        <v>2113</v>
      </c>
      <c r="E1225" s="1072">
        <v>1065020000</v>
      </c>
      <c r="F1225" s="1071">
        <v>1061095000</v>
      </c>
      <c r="G1225" s="855">
        <f t="shared" si="54"/>
        <v>99.631462319956427</v>
      </c>
      <c r="H1225" s="887">
        <v>100</v>
      </c>
      <c r="I1225" s="863"/>
      <c r="J1225" s="44"/>
    </row>
    <row r="1226" spans="3:10" s="656" customFormat="1" ht="15" hidden="1" customHeight="1">
      <c r="C1226" s="881"/>
      <c r="D1226" s="1073"/>
      <c r="E1226" s="1072"/>
      <c r="F1226" s="1071"/>
      <c r="G1226" s="855"/>
      <c r="H1226" s="887"/>
      <c r="I1226" s="863"/>
      <c r="J1226" s="44"/>
    </row>
    <row r="1227" spans="3:10" ht="20.100000000000001" hidden="1" customHeight="1">
      <c r="C1227" s="878"/>
      <c r="D1227" s="1075" t="s">
        <v>1193</v>
      </c>
      <c r="E1227" s="1074">
        <f>E1228</f>
        <v>3208972000</v>
      </c>
      <c r="F1227" s="1076">
        <f>F1228</f>
        <v>3180917800</v>
      </c>
      <c r="G1227" s="855">
        <f>+F1227/E1227*100</f>
        <v>99.125757407668246</v>
      </c>
      <c r="H1227" s="887">
        <v>100</v>
      </c>
      <c r="I1227" s="852"/>
      <c r="J1227" s="802"/>
    </row>
    <row r="1228" spans="3:10" ht="20.100000000000001" hidden="1" customHeight="1">
      <c r="C1228" s="878"/>
      <c r="D1228" s="1075" t="s">
        <v>1194</v>
      </c>
      <c r="E1228" s="1074">
        <f>E1229</f>
        <v>3208972000</v>
      </c>
      <c r="F1228" s="1076">
        <f>F1229</f>
        <v>3180917800</v>
      </c>
      <c r="G1228" s="855">
        <f>+F1228/E1228*100</f>
        <v>99.125757407668246</v>
      </c>
      <c r="H1228" s="887">
        <v>100</v>
      </c>
      <c r="I1228" s="852"/>
      <c r="J1228" s="802"/>
    </row>
    <row r="1229" spans="3:10" ht="20.100000000000001" hidden="1" customHeight="1">
      <c r="C1229" s="878"/>
      <c r="D1229" s="1073" t="s">
        <v>3679</v>
      </c>
      <c r="E1229" s="1072">
        <v>3208972000</v>
      </c>
      <c r="F1229" s="1071">
        <v>3180917800</v>
      </c>
      <c r="G1229" s="855">
        <f>+F1229/E1229*100</f>
        <v>99.125757407668246</v>
      </c>
      <c r="H1229" s="887">
        <v>100</v>
      </c>
      <c r="I1229" s="852"/>
      <c r="J1229" s="802"/>
    </row>
    <row r="1230" spans="3:10" ht="15" hidden="1" customHeight="1">
      <c r="C1230" s="878"/>
      <c r="D1230" s="1073"/>
      <c r="E1230" s="1072"/>
      <c r="F1230" s="1071"/>
      <c r="G1230" s="855"/>
      <c r="H1230" s="887"/>
      <c r="I1230" s="852"/>
      <c r="J1230" s="802"/>
    </row>
    <row r="1231" spans="3:10" ht="20.100000000000001" hidden="1" customHeight="1">
      <c r="C1231" s="878"/>
      <c r="D1231" s="1075" t="s">
        <v>3678</v>
      </c>
      <c r="E1231" s="1074">
        <f t="shared" ref="E1231:F1233" si="55">E1232</f>
        <v>400000000</v>
      </c>
      <c r="F1231" s="1071">
        <f t="shared" si="55"/>
        <v>400000000</v>
      </c>
      <c r="G1231" s="855">
        <f>+F1231/E1231*100</f>
        <v>100</v>
      </c>
      <c r="H1231" s="887">
        <f>+G1231</f>
        <v>100</v>
      </c>
      <c r="I1231" s="852"/>
      <c r="J1231" s="802"/>
    </row>
    <row r="1232" spans="3:10" ht="20.100000000000001" hidden="1" customHeight="1">
      <c r="C1232" s="878"/>
      <c r="D1232" s="1075" t="s">
        <v>1201</v>
      </c>
      <c r="E1232" s="1074">
        <f t="shared" si="55"/>
        <v>400000000</v>
      </c>
      <c r="F1232" s="1076">
        <f t="shared" si="55"/>
        <v>400000000</v>
      </c>
      <c r="G1232" s="855">
        <f>+F1232/E1232*100</f>
        <v>100</v>
      </c>
      <c r="H1232" s="887">
        <f>+G1232</f>
        <v>100</v>
      </c>
      <c r="I1232" s="852"/>
      <c r="J1232" s="802"/>
    </row>
    <row r="1233" spans="3:10" ht="20.100000000000001" hidden="1" customHeight="1">
      <c r="C1233" s="878"/>
      <c r="D1233" s="1075" t="s">
        <v>1202</v>
      </c>
      <c r="E1233" s="1074">
        <f t="shared" si="55"/>
        <v>400000000</v>
      </c>
      <c r="F1233" s="1076">
        <f t="shared" si="55"/>
        <v>400000000</v>
      </c>
      <c r="G1233" s="855">
        <f>+F1233/E1233*100</f>
        <v>100</v>
      </c>
      <c r="H1233" s="887">
        <f>+G1233</f>
        <v>100</v>
      </c>
      <c r="I1233" s="852"/>
      <c r="J1233" s="802"/>
    </row>
    <row r="1234" spans="3:10" ht="37.5" hidden="1" customHeight="1">
      <c r="C1234" s="878"/>
      <c r="D1234" s="1073" t="s">
        <v>1203</v>
      </c>
      <c r="E1234" s="1072">
        <v>400000000</v>
      </c>
      <c r="F1234" s="1071">
        <v>400000000</v>
      </c>
      <c r="G1234" s="855">
        <f>+F1234/E1234*100</f>
        <v>100</v>
      </c>
      <c r="H1234" s="887">
        <f>+G1234</f>
        <v>100</v>
      </c>
      <c r="I1234" s="852"/>
      <c r="J1234" s="802"/>
    </row>
    <row r="1235" spans="3:10" ht="15" hidden="1" customHeight="1">
      <c r="C1235" s="878"/>
      <c r="D1235" s="1073"/>
      <c r="E1235" s="1072"/>
      <c r="F1235" s="1071"/>
      <c r="G1235" s="855"/>
      <c r="H1235" s="887"/>
      <c r="I1235" s="852"/>
      <c r="J1235" s="802"/>
    </row>
    <row r="1236" spans="3:10" ht="20.100000000000001" hidden="1" customHeight="1">
      <c r="C1236" s="878"/>
      <c r="D1236" s="1075" t="s">
        <v>1204</v>
      </c>
      <c r="E1236" s="1074">
        <f>E1237</f>
        <v>626196010.66999996</v>
      </c>
      <c r="F1236" s="1076">
        <f>F1237</f>
        <v>625269200</v>
      </c>
      <c r="G1236" s="855">
        <f>+F1236/E1236*100</f>
        <v>99.851993520525895</v>
      </c>
      <c r="H1236" s="887">
        <v>100</v>
      </c>
      <c r="I1236" s="852"/>
      <c r="J1236" s="802"/>
    </row>
    <row r="1237" spans="3:10" ht="20.100000000000001" hidden="1" customHeight="1">
      <c r="C1237" s="878"/>
      <c r="D1237" s="1075" t="s">
        <v>1205</v>
      </c>
      <c r="E1237" s="1074">
        <f>E1238</f>
        <v>626196010.66999996</v>
      </c>
      <c r="F1237" s="1071">
        <f>F1238</f>
        <v>625269200</v>
      </c>
      <c r="G1237" s="855">
        <f>+F1237/E1237*100</f>
        <v>99.851993520525895</v>
      </c>
      <c r="H1237" s="887">
        <v>100</v>
      </c>
      <c r="I1237" s="852"/>
      <c r="J1237" s="802"/>
    </row>
    <row r="1238" spans="3:10" ht="20.100000000000001" hidden="1" customHeight="1">
      <c r="C1238" s="878"/>
      <c r="D1238" s="1073" t="s">
        <v>1206</v>
      </c>
      <c r="E1238" s="1072">
        <v>626196010.66999996</v>
      </c>
      <c r="F1238" s="1071">
        <f>333715000+291554200</f>
        <v>625269200</v>
      </c>
      <c r="G1238" s="855">
        <f>+F1238/E1238*100</f>
        <v>99.851993520525895</v>
      </c>
      <c r="H1238" s="887">
        <v>100</v>
      </c>
      <c r="I1238" s="852"/>
      <c r="J1238" s="802"/>
    </row>
    <row r="1239" spans="3:10" ht="14.25" hidden="1" customHeight="1">
      <c r="C1239" s="878"/>
      <c r="D1239" s="859"/>
      <c r="E1239" s="855"/>
      <c r="F1239" s="854"/>
      <c r="G1239" s="854"/>
      <c r="H1239" s="876"/>
      <c r="I1239" s="852"/>
      <c r="J1239" s="802"/>
    </row>
    <row r="1240" spans="3:10" s="656" customFormat="1" ht="20.100000000000001" customHeight="1">
      <c r="C1240" s="881" t="s">
        <v>1207</v>
      </c>
      <c r="D1240" s="856" t="s">
        <v>1208</v>
      </c>
      <c r="E1240" s="885">
        <f>+E1241+E1261+E1267+E1287+E1291+E1301+E1305+E1309+E1313+E1318+E1325+E1331</f>
        <v>59981998273.220001</v>
      </c>
      <c r="F1240" s="885">
        <f>+F1241+F1261+F1267+F1287+F1291+F1301+F1305+F1309+F1313+F1318+F1325+F1331</f>
        <v>51320603194</v>
      </c>
      <c r="G1240" s="855">
        <f>+F1240/E1240*100</f>
        <v>85.560009121791751</v>
      </c>
      <c r="H1240" s="887">
        <f>(H1241+H1261+H1267+H1287+H1291+H1305++H1301+H1309+H1313+H1318+H1331+H1325)/12</f>
        <v>80.891203703703709</v>
      </c>
      <c r="I1240" s="863"/>
      <c r="J1240" s="44"/>
    </row>
    <row r="1241" spans="3:10" ht="20.100000000000001" hidden="1" customHeight="1">
      <c r="C1241" s="878"/>
      <c r="D1241" s="1066" t="s">
        <v>767</v>
      </c>
      <c r="E1241" s="380">
        <f>E1242+E1245+E1249+E1253+E1255+E1258</f>
        <v>12519896025</v>
      </c>
      <c r="F1241" s="1061">
        <f>F1242+F1245+F1249+F1253+F1255+F1258</f>
        <v>12170337530</v>
      </c>
      <c r="G1241" s="1060">
        <v>97</v>
      </c>
      <c r="H1241" s="1060">
        <f>(H1242+H1245+H1249+H1253+H1255+H1258)/6</f>
        <v>94.166666666666671</v>
      </c>
      <c r="I1241" s="852"/>
      <c r="J1241" s="802"/>
    </row>
    <row r="1242" spans="3:10" ht="20.100000000000001" hidden="1" customHeight="1">
      <c r="C1242" s="878"/>
      <c r="D1242" s="1066" t="s">
        <v>388</v>
      </c>
      <c r="E1242" s="1070">
        <f>SUM(E1243:E1244)</f>
        <v>1506848175</v>
      </c>
      <c r="F1242" s="1061">
        <f>SUM(F1243:F1244)</f>
        <v>1362650000</v>
      </c>
      <c r="G1242" s="1060">
        <f t="shared" ref="G1242:G1259" si="56">F1242/E1242*100</f>
        <v>90.430477509786272</v>
      </c>
      <c r="H1242" s="1060">
        <v>95</v>
      </c>
      <c r="I1242" s="852"/>
      <c r="J1242" s="802"/>
    </row>
    <row r="1243" spans="3:10" ht="20.100000000000001" hidden="1" customHeight="1">
      <c r="C1243" s="878"/>
      <c r="D1243" s="1059" t="s">
        <v>1209</v>
      </c>
      <c r="E1243" s="1069">
        <v>1100000000</v>
      </c>
      <c r="F1243" s="1058">
        <v>958650000</v>
      </c>
      <c r="G1243" s="1060">
        <f t="shared" si="56"/>
        <v>87.15</v>
      </c>
      <c r="H1243" s="1060">
        <v>90</v>
      </c>
      <c r="I1243" s="852"/>
      <c r="J1243" s="802"/>
    </row>
    <row r="1244" spans="3:10" ht="20.100000000000001" hidden="1" customHeight="1">
      <c r="C1244" s="878"/>
      <c r="D1244" s="1059" t="s">
        <v>1211</v>
      </c>
      <c r="E1244" s="1069">
        <v>406848175</v>
      </c>
      <c r="F1244" s="1058">
        <v>404000000</v>
      </c>
      <c r="G1244" s="1060">
        <f t="shared" si="56"/>
        <v>99.299941556822773</v>
      </c>
      <c r="H1244" s="1060">
        <v>100</v>
      </c>
      <c r="I1244" s="852"/>
      <c r="J1244" s="802"/>
    </row>
    <row r="1245" spans="3:10" ht="20.100000000000001" hidden="1" customHeight="1">
      <c r="C1245" s="878"/>
      <c r="D1245" s="1066" t="s">
        <v>1212</v>
      </c>
      <c r="E1245" s="380">
        <f>SUM(E1246:E1248)</f>
        <v>4124359008</v>
      </c>
      <c r="F1245" s="1061">
        <f>SUM(F1246:F1248)</f>
        <v>4087633200</v>
      </c>
      <c r="G1245" s="1060">
        <f t="shared" si="56"/>
        <v>99.109539011304221</v>
      </c>
      <c r="H1245" s="1060">
        <v>100</v>
      </c>
      <c r="I1245" s="852"/>
      <c r="J1245" s="802"/>
    </row>
    <row r="1246" spans="3:10" ht="20.100000000000001" hidden="1" customHeight="1">
      <c r="C1246" s="878"/>
      <c r="D1246" s="1068" t="s">
        <v>3677</v>
      </c>
      <c r="E1246" s="382">
        <v>608567400</v>
      </c>
      <c r="F1246" s="1058">
        <v>608433200</v>
      </c>
      <c r="G1246" s="1060">
        <f t="shared" si="56"/>
        <v>99.977948210830874</v>
      </c>
      <c r="H1246" s="1060">
        <v>100</v>
      </c>
      <c r="I1246" s="852"/>
      <c r="J1246" s="802"/>
    </row>
    <row r="1247" spans="3:10" ht="35.1" hidden="1" customHeight="1">
      <c r="C1247" s="878"/>
      <c r="D1247" s="1059" t="s">
        <v>3676</v>
      </c>
      <c r="E1247" s="382">
        <v>1481935608</v>
      </c>
      <c r="F1247" s="1058">
        <v>1448400000</v>
      </c>
      <c r="G1247" s="1060">
        <f t="shared" si="56"/>
        <v>97.737040137306693</v>
      </c>
      <c r="H1247" s="1060">
        <v>100</v>
      </c>
      <c r="I1247" s="852"/>
      <c r="J1247" s="802"/>
    </row>
    <row r="1248" spans="3:10" ht="20.100000000000001" hidden="1" customHeight="1">
      <c r="C1248" s="878"/>
      <c r="D1248" s="1059" t="s">
        <v>1214</v>
      </c>
      <c r="E1248" s="382">
        <v>2033856000</v>
      </c>
      <c r="F1248" s="1058">
        <v>2030800000</v>
      </c>
      <c r="G1248" s="1060">
        <f t="shared" si="56"/>
        <v>99.84974354133233</v>
      </c>
      <c r="H1248" s="1060">
        <v>100</v>
      </c>
      <c r="I1248" s="852"/>
      <c r="J1248" s="802"/>
    </row>
    <row r="1249" spans="3:10" ht="20.100000000000001" hidden="1" customHeight="1">
      <c r="C1249" s="878"/>
      <c r="D1249" s="1066" t="s">
        <v>1216</v>
      </c>
      <c r="E1249" s="380">
        <f>SUM(E1250:E1252)</f>
        <v>3382861292</v>
      </c>
      <c r="F1249" s="1061">
        <f>SUM(F1250:F1252)</f>
        <v>3335025000</v>
      </c>
      <c r="G1249" s="1060">
        <f t="shared" si="56"/>
        <v>98.585922156692448</v>
      </c>
      <c r="H1249" s="1060">
        <v>100</v>
      </c>
      <c r="I1249" s="852"/>
      <c r="J1249" s="802"/>
    </row>
    <row r="1250" spans="3:10" ht="35.1" hidden="1" customHeight="1">
      <c r="C1250" s="878"/>
      <c r="D1250" s="1059" t="s">
        <v>1217</v>
      </c>
      <c r="E1250" s="382">
        <v>1807200000</v>
      </c>
      <c r="F1250" s="1058">
        <v>1763400000</v>
      </c>
      <c r="G1250" s="1060">
        <f t="shared" si="56"/>
        <v>97.57636122177955</v>
      </c>
      <c r="H1250" s="1060">
        <v>100</v>
      </c>
      <c r="I1250" s="852"/>
      <c r="J1250" s="802"/>
    </row>
    <row r="1251" spans="3:10" ht="35.1" hidden="1" customHeight="1">
      <c r="C1251" s="878"/>
      <c r="D1251" s="1059" t="s">
        <v>1218</v>
      </c>
      <c r="E1251" s="382">
        <v>375660932</v>
      </c>
      <c r="F1251" s="1058">
        <v>373625000</v>
      </c>
      <c r="G1251" s="1060">
        <f t="shared" si="56"/>
        <v>99.458039996557318</v>
      </c>
      <c r="H1251" s="1060">
        <v>100</v>
      </c>
      <c r="I1251" s="852"/>
      <c r="J1251" s="802"/>
    </row>
    <row r="1252" spans="3:10" ht="35.1" hidden="1" customHeight="1">
      <c r="C1252" s="878"/>
      <c r="D1252" s="1059" t="s">
        <v>3675</v>
      </c>
      <c r="E1252" s="382">
        <v>1200000360</v>
      </c>
      <c r="F1252" s="1058">
        <v>1198000000</v>
      </c>
      <c r="G1252" s="1060">
        <f t="shared" si="56"/>
        <v>99.833303383342326</v>
      </c>
      <c r="H1252" s="1060">
        <v>100</v>
      </c>
      <c r="I1252" s="852"/>
      <c r="J1252" s="802"/>
    </row>
    <row r="1253" spans="3:10" ht="20.100000000000001" hidden="1" customHeight="1">
      <c r="C1253" s="878"/>
      <c r="D1253" s="1062" t="s">
        <v>2027</v>
      </c>
      <c r="E1253" s="380">
        <f>E1254</f>
        <v>327500800</v>
      </c>
      <c r="F1253" s="1061">
        <f>F1254</f>
        <v>267480000</v>
      </c>
      <c r="G1253" s="1060">
        <f t="shared" si="56"/>
        <v>81.673082935980617</v>
      </c>
      <c r="H1253" s="1060">
        <v>85</v>
      </c>
      <c r="I1253" s="852"/>
      <c r="J1253" s="802"/>
    </row>
    <row r="1254" spans="3:10" ht="20.100000000000001" hidden="1" customHeight="1">
      <c r="C1254" s="878"/>
      <c r="D1254" s="1059" t="s">
        <v>3674</v>
      </c>
      <c r="E1254" s="382">
        <v>327500800</v>
      </c>
      <c r="F1254" s="1058">
        <v>267480000</v>
      </c>
      <c r="G1254" s="1060">
        <f t="shared" si="56"/>
        <v>81.673082935980617</v>
      </c>
      <c r="H1254" s="1060">
        <v>85</v>
      </c>
      <c r="I1254" s="852"/>
      <c r="J1254" s="802"/>
    </row>
    <row r="1255" spans="3:10" ht="20.100000000000001" hidden="1" customHeight="1">
      <c r="C1255" s="878"/>
      <c r="D1255" s="1062" t="s">
        <v>3673</v>
      </c>
      <c r="E1255" s="380">
        <f>SUM(E1256:E1257)</f>
        <v>3013696350</v>
      </c>
      <c r="F1255" s="1061">
        <f>SUM(F1256:F1257)</f>
        <v>2983539330</v>
      </c>
      <c r="G1255" s="1060">
        <f t="shared" si="56"/>
        <v>98.99933448836012</v>
      </c>
      <c r="H1255" s="1060">
        <v>100</v>
      </c>
      <c r="I1255" s="852"/>
      <c r="J1255" s="802"/>
    </row>
    <row r="1256" spans="3:10" ht="20.100000000000001" hidden="1" customHeight="1">
      <c r="C1256" s="878"/>
      <c r="D1256" s="1059" t="s">
        <v>3672</v>
      </c>
      <c r="E1256" s="382">
        <v>1829257020</v>
      </c>
      <c r="F1256" s="1058">
        <v>1826400000</v>
      </c>
      <c r="G1256" s="1060">
        <f t="shared" si="56"/>
        <v>99.84381527752727</v>
      </c>
      <c r="H1256" s="1060">
        <v>100</v>
      </c>
      <c r="I1256" s="852"/>
      <c r="J1256" s="802"/>
    </row>
    <row r="1257" spans="3:10" ht="35.1" hidden="1" customHeight="1">
      <c r="C1257" s="878"/>
      <c r="D1257" s="1059" t="s">
        <v>3671</v>
      </c>
      <c r="E1257" s="382">
        <v>1184439330</v>
      </c>
      <c r="F1257" s="1058">
        <v>1157139330</v>
      </c>
      <c r="G1257" s="1060">
        <f t="shared" si="56"/>
        <v>97.695111998687182</v>
      </c>
      <c r="H1257" s="1060">
        <v>100</v>
      </c>
      <c r="I1257" s="852"/>
      <c r="J1257" s="802"/>
    </row>
    <row r="1258" spans="3:10" ht="20.100000000000001" hidden="1" customHeight="1">
      <c r="C1258" s="878"/>
      <c r="D1258" s="1062" t="s">
        <v>3269</v>
      </c>
      <c r="E1258" s="380">
        <f>E1259</f>
        <v>164630400</v>
      </c>
      <c r="F1258" s="1061">
        <f>F1259</f>
        <v>134010000</v>
      </c>
      <c r="G1258" s="1060">
        <f t="shared" si="56"/>
        <v>81.400518980698592</v>
      </c>
      <c r="H1258" s="1060">
        <v>85</v>
      </c>
      <c r="I1258" s="852"/>
      <c r="J1258" s="802"/>
    </row>
    <row r="1259" spans="3:10" ht="20.100000000000001" hidden="1" customHeight="1">
      <c r="C1259" s="878"/>
      <c r="D1259" s="1059" t="s">
        <v>3670</v>
      </c>
      <c r="E1259" s="382">
        <v>164630400</v>
      </c>
      <c r="F1259" s="1058">
        <v>134010000</v>
      </c>
      <c r="G1259" s="1060">
        <f t="shared" si="56"/>
        <v>81.400518980698592</v>
      </c>
      <c r="H1259" s="1060">
        <v>85</v>
      </c>
      <c r="I1259" s="852"/>
      <c r="J1259" s="802"/>
    </row>
    <row r="1260" spans="3:10" ht="15" hidden="1" customHeight="1">
      <c r="C1260" s="878"/>
      <c r="D1260" s="1059"/>
      <c r="E1260" s="382"/>
      <c r="F1260" s="1058"/>
      <c r="G1260" s="1060"/>
      <c r="H1260" s="1060"/>
      <c r="I1260" s="852"/>
      <c r="J1260" s="802"/>
    </row>
    <row r="1261" spans="3:10" ht="20.100000000000001" hidden="1" customHeight="1">
      <c r="C1261" s="878"/>
      <c r="D1261" s="1065" t="s">
        <v>1219</v>
      </c>
      <c r="E1261" s="380">
        <f>E1262</f>
        <v>7875375000</v>
      </c>
      <c r="F1261" s="380">
        <f>F1262</f>
        <v>1854600000</v>
      </c>
      <c r="G1261" s="1060">
        <f>F1261/E1261*100</f>
        <v>23.549354792628925</v>
      </c>
      <c r="H1261" s="1060">
        <f>H1262</f>
        <v>27.5</v>
      </c>
      <c r="I1261" s="852"/>
      <c r="J1261" s="802"/>
    </row>
    <row r="1262" spans="3:10" ht="20.100000000000001" hidden="1" customHeight="1">
      <c r="C1262" s="878"/>
      <c r="D1262" s="1064" t="s">
        <v>564</v>
      </c>
      <c r="E1262" s="380">
        <f>E1263</f>
        <v>7875375000</v>
      </c>
      <c r="F1262" s="380">
        <f>F1263</f>
        <v>1854600000</v>
      </c>
      <c r="G1262" s="1060">
        <f>F1262/E1262*100</f>
        <v>23.549354792628925</v>
      </c>
      <c r="H1262" s="1060">
        <f>H1263</f>
        <v>27.5</v>
      </c>
      <c r="I1262" s="852"/>
      <c r="J1262" s="802"/>
    </row>
    <row r="1263" spans="3:10" ht="20.100000000000001" hidden="1" customHeight="1">
      <c r="C1263" s="878"/>
      <c r="D1263" s="1065" t="s">
        <v>377</v>
      </c>
      <c r="E1263" s="380">
        <f>SUM(E1264:E1265)</f>
        <v>7875375000</v>
      </c>
      <c r="F1263" s="380">
        <f>SUM(F1264:F1265)</f>
        <v>1854600000</v>
      </c>
      <c r="G1263" s="1060">
        <f>F1263/E1263*100</f>
        <v>23.549354792628925</v>
      </c>
      <c r="H1263" s="1060">
        <f>55/2</f>
        <v>27.5</v>
      </c>
      <c r="I1263" s="852"/>
      <c r="J1263" s="802"/>
    </row>
    <row r="1264" spans="3:10" ht="20.100000000000001" hidden="1" customHeight="1">
      <c r="C1264" s="878"/>
      <c r="D1264" s="1059" t="s">
        <v>3669</v>
      </c>
      <c r="E1264" s="382">
        <v>3429375000</v>
      </c>
      <c r="F1264" s="1058">
        <v>1650000000</v>
      </c>
      <c r="G1264" s="1060">
        <f>F1264/E1264*100</f>
        <v>48.113723346090758</v>
      </c>
      <c r="H1264" s="1060">
        <v>50</v>
      </c>
      <c r="I1264" s="852"/>
      <c r="J1264" s="802"/>
    </row>
    <row r="1265" spans="3:10" ht="35.1" hidden="1" customHeight="1">
      <c r="C1265" s="878"/>
      <c r="D1265" s="1063" t="s">
        <v>1221</v>
      </c>
      <c r="E1265" s="382">
        <v>4446000000</v>
      </c>
      <c r="F1265" s="1058">
        <v>204600000</v>
      </c>
      <c r="G1265" s="1060">
        <f>F1265/E1265*100</f>
        <v>4.6018893387314446</v>
      </c>
      <c r="H1265" s="1060">
        <v>5</v>
      </c>
      <c r="I1265" s="852"/>
      <c r="J1265" s="802"/>
    </row>
    <row r="1266" spans="3:10" ht="15" hidden="1" customHeight="1">
      <c r="C1266" s="878"/>
      <c r="D1266" s="1066"/>
      <c r="E1266" s="380"/>
      <c r="F1266" s="1061"/>
      <c r="G1266" s="1060"/>
      <c r="H1266" s="1060"/>
      <c r="I1266" s="852"/>
      <c r="J1266" s="802"/>
    </row>
    <row r="1267" spans="3:10" ht="20.100000000000001" hidden="1" customHeight="1">
      <c r="C1267" s="878"/>
      <c r="D1267" s="1062" t="s">
        <v>65</v>
      </c>
      <c r="E1267" s="380">
        <f>E1268+E1270+E1274+E1276+E1282+E1284</f>
        <v>12068473700</v>
      </c>
      <c r="F1267" s="1061">
        <f>F1268+F1270+F1274+F1276+F1282+F1284</f>
        <v>10451554500</v>
      </c>
      <c r="G1267" s="1060">
        <f t="shared" ref="G1267:G1285" si="57">F1267/E1267*100</f>
        <v>86.602123514591582</v>
      </c>
      <c r="H1267" s="1060">
        <f>(H1268+H1270+H1274+H1282+H1284)/6</f>
        <v>57.777777777777779</v>
      </c>
      <c r="I1267" s="852"/>
      <c r="J1267" s="802"/>
    </row>
    <row r="1268" spans="3:10" ht="20.100000000000001" hidden="1" customHeight="1">
      <c r="C1268" s="878"/>
      <c r="D1268" s="1066" t="s">
        <v>162</v>
      </c>
      <c r="E1268" s="380">
        <f>E1269</f>
        <v>1401580000</v>
      </c>
      <c r="F1268" s="1061">
        <f>F1269</f>
        <v>1373504100</v>
      </c>
      <c r="G1268" s="1060">
        <f t="shared" si="57"/>
        <v>97.996839281382435</v>
      </c>
      <c r="H1268" s="1060">
        <v>100</v>
      </c>
      <c r="I1268" s="852"/>
      <c r="J1268" s="802"/>
    </row>
    <row r="1269" spans="3:10" ht="20.100000000000001" hidden="1" customHeight="1">
      <c r="C1269" s="878"/>
      <c r="D1269" s="1059" t="s">
        <v>1222</v>
      </c>
      <c r="E1269" s="382">
        <v>1401580000</v>
      </c>
      <c r="F1269" s="1058">
        <v>1373504100</v>
      </c>
      <c r="G1269" s="1060">
        <f t="shared" si="57"/>
        <v>97.996839281382435</v>
      </c>
      <c r="H1269" s="1060">
        <v>100</v>
      </c>
      <c r="I1269" s="852"/>
      <c r="J1269" s="802"/>
    </row>
    <row r="1270" spans="3:10" ht="20.100000000000001" hidden="1" customHeight="1">
      <c r="C1270" s="878"/>
      <c r="D1270" s="1062" t="s">
        <v>173</v>
      </c>
      <c r="E1270" s="380">
        <f>SUM(E1271:E1273)</f>
        <v>8140617000</v>
      </c>
      <c r="F1270" s="1061">
        <f>SUM(F1271:F1273)</f>
        <v>7074967900</v>
      </c>
      <c r="G1270" s="1060">
        <f t="shared" si="57"/>
        <v>86.9094799571089</v>
      </c>
      <c r="H1270" s="1060">
        <f>275/3</f>
        <v>91.666666666666671</v>
      </c>
      <c r="I1270" s="852"/>
      <c r="J1270" s="802"/>
    </row>
    <row r="1271" spans="3:10" ht="20.100000000000001" hidden="1" customHeight="1">
      <c r="C1271" s="878"/>
      <c r="D1271" s="1059" t="s">
        <v>1223</v>
      </c>
      <c r="E1271" s="382">
        <v>4246860100</v>
      </c>
      <c r="F1271" s="1058">
        <v>3607650000</v>
      </c>
      <c r="G1271" s="1060">
        <f t="shared" si="57"/>
        <v>84.948642409953649</v>
      </c>
      <c r="H1271" s="1060">
        <v>90</v>
      </c>
      <c r="I1271" s="852"/>
      <c r="J1271" s="802"/>
    </row>
    <row r="1272" spans="3:10" ht="35.1" hidden="1" customHeight="1">
      <c r="C1272" s="878"/>
      <c r="D1272" s="1059" t="s">
        <v>1224</v>
      </c>
      <c r="E1272" s="382">
        <v>3839206900</v>
      </c>
      <c r="F1272" s="1058">
        <v>3416267900</v>
      </c>
      <c r="G1272" s="1060">
        <f t="shared" si="57"/>
        <v>88.983688271658394</v>
      </c>
      <c r="H1272" s="1060">
        <v>90</v>
      </c>
      <c r="I1272" s="852"/>
      <c r="J1272" s="802"/>
    </row>
    <row r="1273" spans="3:10" ht="35.1" hidden="1" customHeight="1">
      <c r="C1273" s="878"/>
      <c r="D1273" s="1059" t="s">
        <v>3668</v>
      </c>
      <c r="E1273" s="382">
        <v>54550000</v>
      </c>
      <c r="F1273" s="1058">
        <v>51050000</v>
      </c>
      <c r="G1273" s="1060">
        <f t="shared" si="57"/>
        <v>93.583868010999083</v>
      </c>
      <c r="H1273" s="1060">
        <v>95</v>
      </c>
      <c r="I1273" s="852"/>
      <c r="J1273" s="802"/>
    </row>
    <row r="1274" spans="3:10" ht="20.100000000000001" hidden="1" customHeight="1">
      <c r="C1274" s="878"/>
      <c r="D1274" s="1062" t="s">
        <v>190</v>
      </c>
      <c r="E1274" s="380">
        <f>E1275</f>
        <v>288180000</v>
      </c>
      <c r="F1274" s="1061">
        <f>F1275</f>
        <v>280322500</v>
      </c>
      <c r="G1274" s="1060">
        <f t="shared" si="57"/>
        <v>97.27340551044486</v>
      </c>
      <c r="H1274" s="1060">
        <v>100</v>
      </c>
      <c r="I1274" s="852"/>
      <c r="J1274" s="802"/>
    </row>
    <row r="1275" spans="3:10" ht="20.100000000000001" hidden="1" customHeight="1">
      <c r="C1275" s="878"/>
      <c r="D1275" s="1059" t="s">
        <v>1225</v>
      </c>
      <c r="E1275" s="382">
        <v>288180000</v>
      </c>
      <c r="F1275" s="1058">
        <v>280322500</v>
      </c>
      <c r="G1275" s="1060">
        <f t="shared" si="57"/>
        <v>97.27340551044486</v>
      </c>
      <c r="H1275" s="1060">
        <v>100</v>
      </c>
      <c r="I1275" s="852"/>
      <c r="J1275" s="802"/>
    </row>
    <row r="1276" spans="3:10" ht="20.100000000000001" hidden="1" customHeight="1">
      <c r="C1276" s="878"/>
      <c r="D1276" s="1062" t="s">
        <v>196</v>
      </c>
      <c r="E1276" s="380">
        <f>SUM(E1277:E1281)</f>
        <v>1340294000</v>
      </c>
      <c r="F1276" s="1061">
        <f>SUM(F1277:F1281)</f>
        <v>1337390000</v>
      </c>
      <c r="G1276" s="1060">
        <f t="shared" si="57"/>
        <v>99.783331119888615</v>
      </c>
      <c r="H1276" s="1060">
        <v>100</v>
      </c>
      <c r="I1276" s="852"/>
      <c r="J1276" s="802"/>
    </row>
    <row r="1277" spans="3:10" ht="20.100000000000001" hidden="1" customHeight="1">
      <c r="C1277" s="878"/>
      <c r="D1277" s="1059" t="s">
        <v>3667</v>
      </c>
      <c r="E1277" s="382">
        <v>189740000</v>
      </c>
      <c r="F1277" s="1058">
        <v>189590000</v>
      </c>
      <c r="G1277" s="1060">
        <f t="shared" si="57"/>
        <v>99.920944450300411</v>
      </c>
      <c r="H1277" s="1060">
        <v>100</v>
      </c>
      <c r="I1277" s="852"/>
      <c r="J1277" s="802"/>
    </row>
    <row r="1278" spans="3:10" ht="20.100000000000001" hidden="1" customHeight="1">
      <c r="C1278" s="878"/>
      <c r="D1278" s="1059" t="s">
        <v>1226</v>
      </c>
      <c r="E1278" s="382">
        <v>305494000</v>
      </c>
      <c r="F1278" s="1058">
        <v>304920000</v>
      </c>
      <c r="G1278" s="1060">
        <f t="shared" si="57"/>
        <v>99.812107602767981</v>
      </c>
      <c r="H1278" s="1060">
        <v>100</v>
      </c>
      <c r="I1278" s="852"/>
      <c r="J1278" s="802"/>
    </row>
    <row r="1279" spans="3:10" ht="20.100000000000001" hidden="1" customHeight="1">
      <c r="C1279" s="878"/>
      <c r="D1279" s="1059" t="s">
        <v>1227</v>
      </c>
      <c r="E1279" s="382">
        <v>581700000</v>
      </c>
      <c r="F1279" s="1058">
        <v>581200000</v>
      </c>
      <c r="G1279" s="1060">
        <f t="shared" si="57"/>
        <v>99.914045040398832</v>
      </c>
      <c r="H1279" s="1060">
        <v>100</v>
      </c>
      <c r="I1279" s="852"/>
      <c r="J1279" s="802"/>
    </row>
    <row r="1280" spans="3:10" ht="20.100000000000001" hidden="1" customHeight="1">
      <c r="C1280" s="878"/>
      <c r="D1280" s="1059" t="s">
        <v>1228</v>
      </c>
      <c r="E1280" s="382">
        <v>148240000</v>
      </c>
      <c r="F1280" s="1058">
        <v>146560000</v>
      </c>
      <c r="G1280" s="1060">
        <f t="shared" si="57"/>
        <v>98.866702644360487</v>
      </c>
      <c r="H1280" s="1060">
        <v>100</v>
      </c>
      <c r="I1280" s="852"/>
      <c r="J1280" s="802"/>
    </row>
    <row r="1281" spans="3:10" ht="20.100000000000001" hidden="1" customHeight="1">
      <c r="C1281" s="878"/>
      <c r="D1281" s="1059" t="s">
        <v>1229</v>
      </c>
      <c r="E1281" s="382">
        <v>115120000</v>
      </c>
      <c r="F1281" s="1058">
        <v>115120000</v>
      </c>
      <c r="G1281" s="1060">
        <f t="shared" si="57"/>
        <v>100</v>
      </c>
      <c r="H1281" s="1060">
        <f>+G1281</f>
        <v>100</v>
      </c>
      <c r="I1281" s="852"/>
      <c r="J1281" s="802"/>
    </row>
    <row r="1282" spans="3:10" ht="35.1" hidden="1" customHeight="1">
      <c r="C1282" s="878"/>
      <c r="D1282" s="1062" t="s">
        <v>421</v>
      </c>
      <c r="E1282" s="1067">
        <f>E1283</f>
        <v>165967000</v>
      </c>
      <c r="F1282" s="1061">
        <f>F1283</f>
        <v>0</v>
      </c>
      <c r="G1282" s="1060">
        <f t="shared" si="57"/>
        <v>0</v>
      </c>
      <c r="H1282" s="1060">
        <f>+G1282</f>
        <v>0</v>
      </c>
      <c r="I1282" s="852"/>
      <c r="J1282" s="802"/>
    </row>
    <row r="1283" spans="3:10" ht="35.1" hidden="1" customHeight="1">
      <c r="C1283" s="878"/>
      <c r="D1283" s="1059" t="s">
        <v>3666</v>
      </c>
      <c r="E1283" s="382">
        <v>165967000</v>
      </c>
      <c r="F1283" s="1058">
        <v>0</v>
      </c>
      <c r="G1283" s="1060">
        <f t="shared" si="57"/>
        <v>0</v>
      </c>
      <c r="H1283" s="1060">
        <f>+G1283</f>
        <v>0</v>
      </c>
      <c r="I1283" s="852"/>
      <c r="J1283" s="802"/>
    </row>
    <row r="1284" spans="3:10" ht="20.100000000000001" hidden="1" customHeight="1">
      <c r="C1284" s="878"/>
      <c r="D1284" s="1062" t="s">
        <v>212</v>
      </c>
      <c r="E1284" s="380">
        <f>E1285</f>
        <v>731835700</v>
      </c>
      <c r="F1284" s="1061">
        <f>F1285</f>
        <v>385370000</v>
      </c>
      <c r="G1284" s="1060">
        <f t="shared" si="57"/>
        <v>52.657994137208661</v>
      </c>
      <c r="H1284" s="1060">
        <v>55</v>
      </c>
      <c r="I1284" s="852"/>
      <c r="J1284" s="802"/>
    </row>
    <row r="1285" spans="3:10" ht="35.1" hidden="1" customHeight="1">
      <c r="C1285" s="878"/>
      <c r="D1285" s="1059" t="s">
        <v>1230</v>
      </c>
      <c r="E1285" s="382">
        <v>731835700</v>
      </c>
      <c r="F1285" s="1058">
        <v>385370000</v>
      </c>
      <c r="G1285" s="1060">
        <f t="shared" si="57"/>
        <v>52.657994137208661</v>
      </c>
      <c r="H1285" s="1060">
        <v>55</v>
      </c>
      <c r="I1285" s="852"/>
      <c r="J1285" s="802"/>
    </row>
    <row r="1286" spans="3:10" ht="15" hidden="1" customHeight="1">
      <c r="C1286" s="878"/>
      <c r="D1286" s="1059"/>
      <c r="E1286" s="382"/>
      <c r="F1286" s="1058"/>
      <c r="G1286" s="1060"/>
      <c r="H1286" s="1060"/>
      <c r="I1286" s="852"/>
      <c r="J1286" s="802"/>
    </row>
    <row r="1287" spans="3:10" ht="20.100000000000001" hidden="1" customHeight="1">
      <c r="C1287" s="878"/>
      <c r="D1287" s="1066" t="s">
        <v>1231</v>
      </c>
      <c r="E1287" s="380">
        <f>E1288</f>
        <v>3000000000</v>
      </c>
      <c r="F1287" s="1061">
        <f>F1288</f>
        <v>2967354012</v>
      </c>
      <c r="G1287" s="1060">
        <f>F1287/E1287*100</f>
        <v>98.911800400000004</v>
      </c>
      <c r="H1287" s="1060">
        <v>100</v>
      </c>
      <c r="I1287" s="852"/>
      <c r="J1287" s="802"/>
    </row>
    <row r="1288" spans="3:10" ht="20.100000000000001" hidden="1" customHeight="1">
      <c r="C1288" s="878"/>
      <c r="D1288" s="1066" t="s">
        <v>1232</v>
      </c>
      <c r="E1288" s="380">
        <f>E1289</f>
        <v>3000000000</v>
      </c>
      <c r="F1288" s="1061">
        <f>F1289</f>
        <v>2967354012</v>
      </c>
      <c r="G1288" s="1060">
        <f>F1288/E1288*100</f>
        <v>98.911800400000004</v>
      </c>
      <c r="H1288" s="1060">
        <v>100</v>
      </c>
      <c r="I1288" s="852"/>
      <c r="J1288" s="802"/>
    </row>
    <row r="1289" spans="3:10" ht="20.100000000000001" hidden="1" customHeight="1">
      <c r="C1289" s="878"/>
      <c r="D1289" s="1059" t="s">
        <v>1233</v>
      </c>
      <c r="E1289" s="382">
        <v>3000000000</v>
      </c>
      <c r="F1289" s="1058">
        <v>2967354012</v>
      </c>
      <c r="G1289" s="1060">
        <f>F1289/E1289*100</f>
        <v>98.911800400000004</v>
      </c>
      <c r="H1289" s="1060">
        <v>100</v>
      </c>
      <c r="I1289" s="852"/>
      <c r="J1289" s="802"/>
    </row>
    <row r="1290" spans="3:10" ht="15" hidden="1" customHeight="1">
      <c r="C1290" s="878"/>
      <c r="D1290" s="1059"/>
      <c r="E1290" s="382"/>
      <c r="F1290" s="1058"/>
      <c r="G1290" s="1060"/>
      <c r="H1290" s="1060"/>
      <c r="I1290" s="852"/>
      <c r="J1290" s="802"/>
    </row>
    <row r="1291" spans="3:10" ht="20.100000000000001" hidden="1" customHeight="1">
      <c r="C1291" s="878"/>
      <c r="D1291" s="1062" t="s">
        <v>3665</v>
      </c>
      <c r="E1291" s="380">
        <f>E1292+E1294+E1296+E1298</f>
        <v>2251612950</v>
      </c>
      <c r="F1291" s="380">
        <f>F1292+F1294+F1296+F1298</f>
        <v>2234467000</v>
      </c>
      <c r="G1291" s="1060">
        <f t="shared" ref="G1291:G1299" si="58">F1291/E1291*100</f>
        <v>99.238503669114181</v>
      </c>
      <c r="H1291" s="1060">
        <v>100</v>
      </c>
      <c r="I1291" s="852"/>
      <c r="J1291" s="802"/>
    </row>
    <row r="1292" spans="3:10" ht="20.100000000000001" hidden="1" customHeight="1">
      <c r="C1292" s="878"/>
      <c r="D1292" s="1062" t="s">
        <v>506</v>
      </c>
      <c r="E1292" s="380">
        <f>E1293</f>
        <v>624000000</v>
      </c>
      <c r="F1292" s="380">
        <f>F1293</f>
        <v>623250000</v>
      </c>
      <c r="G1292" s="1060">
        <f t="shared" si="58"/>
        <v>99.879807692307693</v>
      </c>
      <c r="H1292" s="1060">
        <v>100</v>
      </c>
      <c r="I1292" s="852"/>
      <c r="J1292" s="802"/>
    </row>
    <row r="1293" spans="3:10" ht="20.100000000000001" hidden="1" customHeight="1">
      <c r="C1293" s="878"/>
      <c r="D1293" s="1059" t="s">
        <v>3664</v>
      </c>
      <c r="E1293" s="382">
        <v>624000000</v>
      </c>
      <c r="F1293" s="1058">
        <v>623250000</v>
      </c>
      <c r="G1293" s="1060">
        <f t="shared" si="58"/>
        <v>99.879807692307693</v>
      </c>
      <c r="H1293" s="1060">
        <v>100</v>
      </c>
      <c r="I1293" s="852"/>
      <c r="J1293" s="802"/>
    </row>
    <row r="1294" spans="3:10" ht="20.100000000000001" hidden="1" customHeight="1">
      <c r="C1294" s="878"/>
      <c r="D1294" s="1062" t="s">
        <v>1839</v>
      </c>
      <c r="E1294" s="380">
        <f>E1295</f>
        <v>836784000</v>
      </c>
      <c r="F1294" s="380">
        <f>F1295</f>
        <v>835300000</v>
      </c>
      <c r="G1294" s="1060">
        <f t="shared" si="58"/>
        <v>99.822654352855693</v>
      </c>
      <c r="H1294" s="1060">
        <v>100</v>
      </c>
      <c r="I1294" s="852"/>
      <c r="J1294" s="802"/>
    </row>
    <row r="1295" spans="3:10" ht="20.100000000000001" hidden="1" customHeight="1">
      <c r="C1295" s="878"/>
      <c r="D1295" s="1059" t="s">
        <v>3663</v>
      </c>
      <c r="E1295" s="382">
        <v>836784000</v>
      </c>
      <c r="F1295" s="1058">
        <v>835300000</v>
      </c>
      <c r="G1295" s="1060">
        <f t="shared" si="58"/>
        <v>99.822654352855693</v>
      </c>
      <c r="H1295" s="1060">
        <v>100</v>
      </c>
      <c r="I1295" s="852"/>
      <c r="J1295" s="802"/>
    </row>
    <row r="1296" spans="3:10" ht="20.100000000000001" hidden="1" customHeight="1">
      <c r="C1296" s="878"/>
      <c r="D1296" s="1062" t="s">
        <v>304</v>
      </c>
      <c r="E1296" s="380">
        <f>E1297</f>
        <v>432798950</v>
      </c>
      <c r="F1296" s="380">
        <f>F1297</f>
        <v>417887000</v>
      </c>
      <c r="G1296" s="1060">
        <f t="shared" si="58"/>
        <v>96.554531844404892</v>
      </c>
      <c r="H1296" s="1060">
        <v>100</v>
      </c>
      <c r="I1296" s="852"/>
      <c r="J1296" s="802"/>
    </row>
    <row r="1297" spans="3:10" ht="20.100000000000001" hidden="1" customHeight="1">
      <c r="C1297" s="878"/>
      <c r="D1297" s="1059" t="s">
        <v>3662</v>
      </c>
      <c r="E1297" s="382">
        <v>432798950</v>
      </c>
      <c r="F1297" s="1058">
        <v>417887000</v>
      </c>
      <c r="G1297" s="1060">
        <f t="shared" si="58"/>
        <v>96.554531844404892</v>
      </c>
      <c r="H1297" s="1060">
        <v>100</v>
      </c>
      <c r="I1297" s="852"/>
      <c r="J1297" s="802"/>
    </row>
    <row r="1298" spans="3:10" ht="20.100000000000001" hidden="1" customHeight="1">
      <c r="C1298" s="878"/>
      <c r="D1298" s="1062" t="s">
        <v>321</v>
      </c>
      <c r="E1298" s="380">
        <f>E1299</f>
        <v>358030000</v>
      </c>
      <c r="F1298" s="380">
        <f>F1299</f>
        <v>358030000</v>
      </c>
      <c r="G1298" s="1060">
        <f t="shared" si="58"/>
        <v>100</v>
      </c>
      <c r="H1298" s="1060">
        <f>+G1298</f>
        <v>100</v>
      </c>
      <c r="I1298" s="852"/>
      <c r="J1298" s="802"/>
    </row>
    <row r="1299" spans="3:10" ht="20.100000000000001" hidden="1" customHeight="1">
      <c r="C1299" s="878"/>
      <c r="D1299" s="1059" t="s">
        <v>3432</v>
      </c>
      <c r="E1299" s="382">
        <v>358030000</v>
      </c>
      <c r="F1299" s="1058">
        <v>358030000</v>
      </c>
      <c r="G1299" s="1060">
        <f t="shared" si="58"/>
        <v>100</v>
      </c>
      <c r="H1299" s="1060">
        <f>+G1299</f>
        <v>100</v>
      </c>
      <c r="I1299" s="852"/>
      <c r="J1299" s="802"/>
    </row>
    <row r="1300" spans="3:10" ht="15" hidden="1" customHeight="1">
      <c r="C1300" s="878"/>
      <c r="D1300" s="1059"/>
      <c r="E1300" s="382"/>
      <c r="F1300" s="1058"/>
      <c r="G1300" s="1060"/>
      <c r="H1300" s="1060"/>
      <c r="I1300" s="852"/>
      <c r="J1300" s="802"/>
    </row>
    <row r="1301" spans="3:10" ht="35.1" hidden="1" customHeight="1">
      <c r="C1301" s="878"/>
      <c r="D1301" s="1062" t="s">
        <v>3661</v>
      </c>
      <c r="E1301" s="380">
        <f>E1302</f>
        <v>558372000</v>
      </c>
      <c r="F1301" s="380">
        <f>F1302</f>
        <v>555557000</v>
      </c>
      <c r="G1301" s="1060">
        <f>F1301/E1301*100</f>
        <v>99.495855809388729</v>
      </c>
      <c r="H1301" s="1060">
        <v>100</v>
      </c>
      <c r="I1301" s="852"/>
      <c r="J1301" s="802"/>
    </row>
    <row r="1302" spans="3:10" ht="20.100000000000001" hidden="1" customHeight="1">
      <c r="C1302" s="878"/>
      <c r="D1302" s="1062" t="s">
        <v>1433</v>
      </c>
      <c r="E1302" s="380">
        <f>E1303</f>
        <v>558372000</v>
      </c>
      <c r="F1302" s="380">
        <f>F1303</f>
        <v>555557000</v>
      </c>
      <c r="G1302" s="1060">
        <f>F1302/E1302*100</f>
        <v>99.495855809388729</v>
      </c>
      <c r="H1302" s="1060">
        <v>100</v>
      </c>
      <c r="I1302" s="852"/>
      <c r="J1302" s="802"/>
    </row>
    <row r="1303" spans="3:10" ht="20.100000000000001" hidden="1" customHeight="1">
      <c r="C1303" s="878"/>
      <c r="D1303" s="1059" t="s">
        <v>3660</v>
      </c>
      <c r="E1303" s="382">
        <v>558372000</v>
      </c>
      <c r="F1303" s="1058">
        <v>555557000</v>
      </c>
      <c r="G1303" s="1060">
        <f>F1303/E1303*100</f>
        <v>99.495855809388729</v>
      </c>
      <c r="H1303" s="1060">
        <v>100</v>
      </c>
      <c r="I1303" s="852"/>
      <c r="J1303" s="802"/>
    </row>
    <row r="1304" spans="3:10" ht="15" hidden="1" customHeight="1">
      <c r="C1304" s="878"/>
      <c r="D1304" s="1059"/>
      <c r="E1304" s="382"/>
      <c r="F1304" s="1058"/>
      <c r="G1304" s="1060"/>
      <c r="H1304" s="1060"/>
      <c r="I1304" s="852"/>
      <c r="J1304" s="802"/>
    </row>
    <row r="1305" spans="3:10" ht="35.1" hidden="1" customHeight="1">
      <c r="C1305" s="878"/>
      <c r="D1305" s="1062" t="s">
        <v>1235</v>
      </c>
      <c r="E1305" s="380">
        <f>E1306</f>
        <v>17273404246.220001</v>
      </c>
      <c r="F1305" s="380">
        <f>F1306</f>
        <v>17268000000</v>
      </c>
      <c r="G1305" s="1060">
        <f>F1305/E1305*100</f>
        <v>99.968713484945013</v>
      </c>
      <c r="H1305" s="1060">
        <v>100</v>
      </c>
      <c r="I1305" s="852"/>
      <c r="J1305" s="802"/>
    </row>
    <row r="1306" spans="3:10" ht="20.100000000000001" hidden="1" customHeight="1">
      <c r="C1306" s="878"/>
      <c r="D1306" s="1062" t="s">
        <v>498</v>
      </c>
      <c r="E1306" s="380">
        <f>E1307</f>
        <v>17273404246.220001</v>
      </c>
      <c r="F1306" s="380">
        <f>F1307</f>
        <v>17268000000</v>
      </c>
      <c r="G1306" s="1060">
        <f>F1306/E1306*100</f>
        <v>99.968713484945013</v>
      </c>
      <c r="H1306" s="1060">
        <v>100</v>
      </c>
      <c r="I1306" s="852"/>
      <c r="J1306" s="802"/>
    </row>
    <row r="1307" spans="3:10" ht="20.100000000000001" hidden="1" customHeight="1">
      <c r="C1307" s="878"/>
      <c r="D1307" s="1059" t="s">
        <v>1236</v>
      </c>
      <c r="E1307" s="382">
        <v>17273404246.220001</v>
      </c>
      <c r="F1307" s="1058">
        <v>17268000000</v>
      </c>
      <c r="G1307" s="1060">
        <f>F1307/E1307*100</f>
        <v>99.968713484945013</v>
      </c>
      <c r="H1307" s="1060">
        <v>100</v>
      </c>
      <c r="I1307" s="852"/>
      <c r="J1307" s="802"/>
    </row>
    <row r="1308" spans="3:10" ht="15" hidden="1" customHeight="1">
      <c r="C1308" s="878"/>
      <c r="D1308" s="1059"/>
      <c r="E1308" s="382"/>
      <c r="F1308" s="1058"/>
      <c r="G1308" s="1060"/>
      <c r="H1308" s="1060"/>
      <c r="I1308" s="852"/>
      <c r="J1308" s="802"/>
    </row>
    <row r="1309" spans="3:10" ht="20.100000000000001" hidden="1" customHeight="1">
      <c r="C1309" s="878"/>
      <c r="D1309" s="1062" t="s">
        <v>654</v>
      </c>
      <c r="E1309" s="380">
        <f>E1310</f>
        <v>233875000</v>
      </c>
      <c r="F1309" s="380">
        <f>F1310</f>
        <v>31375000</v>
      </c>
      <c r="G1309" s="1060">
        <f>F1309/E1309*100</f>
        <v>13.415285943345804</v>
      </c>
      <c r="H1309" s="1060">
        <v>15</v>
      </c>
      <c r="I1309" s="852"/>
      <c r="J1309" s="802"/>
    </row>
    <row r="1310" spans="3:10" ht="20.100000000000001" hidden="1" customHeight="1">
      <c r="C1310" s="878"/>
      <c r="D1310" s="1062" t="s">
        <v>257</v>
      </c>
      <c r="E1310" s="380">
        <f>E1311</f>
        <v>233875000</v>
      </c>
      <c r="F1310" s="380">
        <f>F1311</f>
        <v>31375000</v>
      </c>
      <c r="G1310" s="1060">
        <f>F1310/E1310*100</f>
        <v>13.415285943345804</v>
      </c>
      <c r="H1310" s="1060">
        <v>15</v>
      </c>
      <c r="I1310" s="852"/>
      <c r="J1310" s="802"/>
    </row>
    <row r="1311" spans="3:10" ht="20.100000000000001" hidden="1" customHeight="1">
      <c r="C1311" s="878"/>
      <c r="D1311" s="1059" t="s">
        <v>1825</v>
      </c>
      <c r="E1311" s="382">
        <v>233875000</v>
      </c>
      <c r="F1311" s="1058">
        <v>31375000</v>
      </c>
      <c r="G1311" s="1060">
        <f>F1311/E1311*100</f>
        <v>13.415285943345804</v>
      </c>
      <c r="H1311" s="1060">
        <v>15</v>
      </c>
      <c r="I1311" s="852"/>
      <c r="J1311" s="802"/>
    </row>
    <row r="1312" spans="3:10" ht="15" hidden="1" customHeight="1">
      <c r="C1312" s="878"/>
      <c r="D1312" s="1059"/>
      <c r="E1312" s="382"/>
      <c r="F1312" s="1058"/>
      <c r="G1312" s="1060"/>
      <c r="H1312" s="1060"/>
      <c r="I1312" s="852"/>
      <c r="J1312" s="802"/>
    </row>
    <row r="1313" spans="3:10" ht="20.100000000000001" hidden="1" customHeight="1">
      <c r="C1313" s="878"/>
      <c r="D1313" s="1062" t="s">
        <v>3659</v>
      </c>
      <c r="E1313" s="380">
        <f>E1314</f>
        <v>1023279550</v>
      </c>
      <c r="F1313" s="380">
        <f>F1314</f>
        <v>1014678800</v>
      </c>
      <c r="G1313" s="1060">
        <f>F1313/E1313*100</f>
        <v>99.159491656019114</v>
      </c>
      <c r="H1313" s="1060">
        <v>100</v>
      </c>
      <c r="I1313" s="852"/>
      <c r="J1313" s="802"/>
    </row>
    <row r="1314" spans="3:10" ht="20.100000000000001" hidden="1" customHeight="1">
      <c r="C1314" s="878"/>
      <c r="D1314" s="1062" t="s">
        <v>973</v>
      </c>
      <c r="E1314" s="380">
        <f>SUM(E1315:E1316)</f>
        <v>1023279550</v>
      </c>
      <c r="F1314" s="380">
        <f>SUM(F1315:F1316)</f>
        <v>1014678800</v>
      </c>
      <c r="G1314" s="1060">
        <f>F1314/E1314*100</f>
        <v>99.159491656019114</v>
      </c>
      <c r="H1314" s="1060">
        <v>100</v>
      </c>
      <c r="I1314" s="852"/>
      <c r="J1314" s="802"/>
    </row>
    <row r="1315" spans="3:10" ht="20.100000000000001" hidden="1" customHeight="1">
      <c r="C1315" s="878"/>
      <c r="D1315" s="1059" t="s">
        <v>3658</v>
      </c>
      <c r="E1315" s="382">
        <v>481658915</v>
      </c>
      <c r="F1315" s="1058">
        <v>473058600</v>
      </c>
      <c r="G1315" s="1060">
        <f>F1315/E1315*100</f>
        <v>98.214438738251104</v>
      </c>
      <c r="H1315" s="1060">
        <v>100</v>
      </c>
      <c r="I1315" s="852"/>
      <c r="J1315" s="802"/>
    </row>
    <row r="1316" spans="3:10" ht="20.100000000000001" hidden="1" customHeight="1">
      <c r="C1316" s="878"/>
      <c r="D1316" s="1059" t="s">
        <v>3657</v>
      </c>
      <c r="E1316" s="382">
        <v>541620635</v>
      </c>
      <c r="F1316" s="1058">
        <v>541620200</v>
      </c>
      <c r="G1316" s="1060">
        <f>F1316/E1316*100</f>
        <v>99.999919685482439</v>
      </c>
      <c r="H1316" s="1060">
        <f>+G1316</f>
        <v>99.999919685482439</v>
      </c>
      <c r="I1316" s="852"/>
      <c r="J1316" s="802"/>
    </row>
    <row r="1317" spans="3:10" ht="15" hidden="1" customHeight="1">
      <c r="C1317" s="878"/>
      <c r="D1317" s="1059"/>
      <c r="E1317" s="382"/>
      <c r="F1317" s="1058"/>
      <c r="G1317" s="1060"/>
      <c r="H1317" s="1060"/>
      <c r="I1317" s="852"/>
      <c r="J1317" s="802"/>
    </row>
    <row r="1318" spans="3:10" ht="20.100000000000001" hidden="1" customHeight="1">
      <c r="C1318" s="878"/>
      <c r="D1318" s="1065" t="s">
        <v>1219</v>
      </c>
      <c r="E1318" s="380">
        <f>E1319</f>
        <v>1500000000</v>
      </c>
      <c r="F1318" s="380">
        <f>F1319</f>
        <v>1267045000</v>
      </c>
      <c r="G1318" s="1060">
        <f t="shared" ref="G1318:G1323" si="59">F1318/E1318*100</f>
        <v>84.469666666666669</v>
      </c>
      <c r="H1318" s="1060">
        <f>H1319</f>
        <v>83.75</v>
      </c>
      <c r="I1318" s="852"/>
      <c r="J1318" s="802"/>
    </row>
    <row r="1319" spans="3:10" ht="20.100000000000001" hidden="1" customHeight="1">
      <c r="C1319" s="878"/>
      <c r="D1319" s="1064" t="s">
        <v>564</v>
      </c>
      <c r="E1319" s="380">
        <f>E1320</f>
        <v>1500000000</v>
      </c>
      <c r="F1319" s="380">
        <f>F1320</f>
        <v>1267045000</v>
      </c>
      <c r="G1319" s="1060">
        <f t="shared" si="59"/>
        <v>84.469666666666669</v>
      </c>
      <c r="H1319" s="1060">
        <f>SUM((H1320:H1323))/4</f>
        <v>83.75</v>
      </c>
      <c r="I1319" s="852"/>
      <c r="J1319" s="802"/>
    </row>
    <row r="1320" spans="3:10" ht="20.100000000000001" hidden="1" customHeight="1">
      <c r="C1320" s="878"/>
      <c r="D1320" s="1063" t="s">
        <v>377</v>
      </c>
      <c r="E1320" s="382">
        <f>SUM(E1321:E1323)</f>
        <v>1500000000</v>
      </c>
      <c r="F1320" s="382">
        <f>SUM(F1321:F1323)</f>
        <v>1267045000</v>
      </c>
      <c r="G1320" s="1060">
        <f t="shared" si="59"/>
        <v>84.469666666666669</v>
      </c>
      <c r="H1320" s="1060">
        <v>85</v>
      </c>
      <c r="I1320" s="852"/>
      <c r="J1320" s="802"/>
    </row>
    <row r="1321" spans="3:10" ht="44.25" hidden="1" customHeight="1">
      <c r="C1321" s="878"/>
      <c r="D1321" s="1063" t="s">
        <v>1238</v>
      </c>
      <c r="E1321" s="382">
        <v>500000000</v>
      </c>
      <c r="F1321" s="1058">
        <v>417045000</v>
      </c>
      <c r="G1321" s="1060">
        <f t="shared" si="59"/>
        <v>83.409000000000006</v>
      </c>
      <c r="H1321" s="1060">
        <v>85</v>
      </c>
      <c r="I1321" s="852"/>
      <c r="J1321" s="802"/>
    </row>
    <row r="1322" spans="3:10" ht="35.1" hidden="1" customHeight="1">
      <c r="C1322" s="878"/>
      <c r="D1322" s="1063" t="s">
        <v>1239</v>
      </c>
      <c r="E1322" s="382">
        <v>400000000</v>
      </c>
      <c r="F1322" s="1058">
        <v>250000000</v>
      </c>
      <c r="G1322" s="1060">
        <f t="shared" si="59"/>
        <v>62.5</v>
      </c>
      <c r="H1322" s="1060">
        <v>65</v>
      </c>
      <c r="I1322" s="852"/>
      <c r="J1322" s="802"/>
    </row>
    <row r="1323" spans="3:10" ht="24" hidden="1" customHeight="1">
      <c r="C1323" s="878"/>
      <c r="D1323" s="1059" t="s">
        <v>1240</v>
      </c>
      <c r="E1323" s="382">
        <v>600000000</v>
      </c>
      <c r="F1323" s="1058">
        <v>600000000</v>
      </c>
      <c r="G1323" s="1060">
        <f t="shared" si="59"/>
        <v>100</v>
      </c>
      <c r="H1323" s="1060">
        <f>+G1323</f>
        <v>100</v>
      </c>
      <c r="I1323" s="852"/>
      <c r="J1323" s="802"/>
    </row>
    <row r="1324" spans="3:10" ht="15" hidden="1" customHeight="1">
      <c r="C1324" s="878"/>
      <c r="D1324" s="1059"/>
      <c r="E1324" s="382"/>
      <c r="F1324" s="1058"/>
      <c r="G1324" s="1060"/>
      <c r="H1324" s="1060"/>
      <c r="I1324" s="852"/>
      <c r="J1324" s="802"/>
    </row>
    <row r="1325" spans="3:10" ht="35.1" hidden="1" customHeight="1">
      <c r="C1325" s="878"/>
      <c r="D1325" s="1062" t="s">
        <v>3656</v>
      </c>
      <c r="E1325" s="380">
        <f>E1326+E1328</f>
        <v>1215953502</v>
      </c>
      <c r="F1325" s="380">
        <f>F1326+F1328</f>
        <v>1062634352</v>
      </c>
      <c r="G1325" s="1060">
        <f>F1325/E1325*100</f>
        <v>87.391035121999266</v>
      </c>
      <c r="H1325" s="1060">
        <f>185/2</f>
        <v>92.5</v>
      </c>
      <c r="I1325" s="852"/>
      <c r="J1325" s="802"/>
    </row>
    <row r="1326" spans="3:10" ht="20.100000000000001" hidden="1" customHeight="1">
      <c r="C1326" s="878"/>
      <c r="D1326" s="1062" t="s">
        <v>3655</v>
      </c>
      <c r="E1326" s="380">
        <f>E1327</f>
        <v>500000000</v>
      </c>
      <c r="F1326" s="380">
        <f>F1327</f>
        <v>450380850</v>
      </c>
      <c r="G1326" s="1060">
        <f>F1326/E1326*100</f>
        <v>90.076170000000005</v>
      </c>
      <c r="H1326" s="1060">
        <v>95</v>
      </c>
      <c r="I1326" s="852"/>
      <c r="J1326" s="802"/>
    </row>
    <row r="1327" spans="3:10" ht="35.1" hidden="1" customHeight="1">
      <c r="C1327" s="878"/>
      <c r="D1327" s="1059" t="s">
        <v>3654</v>
      </c>
      <c r="E1327" s="382">
        <v>500000000</v>
      </c>
      <c r="F1327" s="1058">
        <v>450380850</v>
      </c>
      <c r="G1327" s="1060">
        <f>F1327/E1327*100</f>
        <v>90.076170000000005</v>
      </c>
      <c r="H1327" s="1060">
        <v>95</v>
      </c>
      <c r="I1327" s="852"/>
      <c r="J1327" s="802"/>
    </row>
    <row r="1328" spans="3:10" ht="20.100000000000001" hidden="1" customHeight="1">
      <c r="C1328" s="878"/>
      <c r="D1328" s="1062" t="s">
        <v>1180</v>
      </c>
      <c r="E1328" s="380">
        <f>E1329</f>
        <v>715953502</v>
      </c>
      <c r="F1328" s="380">
        <f>F1329</f>
        <v>612253502</v>
      </c>
      <c r="G1328" s="1060">
        <f>F1328/E1328*100</f>
        <v>85.515819154412071</v>
      </c>
      <c r="H1328" s="1060">
        <v>90</v>
      </c>
      <c r="I1328" s="852"/>
      <c r="J1328" s="802"/>
    </row>
    <row r="1329" spans="3:10" ht="45.75" hidden="1" customHeight="1">
      <c r="C1329" s="878"/>
      <c r="D1329" s="1059" t="s">
        <v>3653</v>
      </c>
      <c r="E1329" s="382">
        <v>715953502</v>
      </c>
      <c r="F1329" s="1058">
        <v>612253502</v>
      </c>
      <c r="G1329" s="1060">
        <f>F1329/E1329*100</f>
        <v>85.515819154412071</v>
      </c>
      <c r="H1329" s="1060">
        <v>90</v>
      </c>
      <c r="I1329" s="852"/>
      <c r="J1329" s="802"/>
    </row>
    <row r="1330" spans="3:10" ht="15" hidden="1" customHeight="1">
      <c r="C1330" s="878"/>
      <c r="D1330" s="1059"/>
      <c r="E1330" s="382"/>
      <c r="F1330" s="1058"/>
      <c r="G1330" s="1060"/>
      <c r="H1330" s="1060"/>
      <c r="I1330" s="852"/>
      <c r="J1330" s="802"/>
    </row>
    <row r="1331" spans="3:10" ht="20.100000000000001" hidden="1" customHeight="1">
      <c r="C1331" s="878"/>
      <c r="D1331" s="1062" t="s">
        <v>642</v>
      </c>
      <c r="E1331" s="380">
        <f>E1332</f>
        <v>461756300</v>
      </c>
      <c r="F1331" s="1061">
        <f>F1332</f>
        <v>443000000</v>
      </c>
      <c r="G1331" s="1060">
        <f>F1331/E1331*100</f>
        <v>95.938052171675835</v>
      </c>
      <c r="H1331" s="1060">
        <v>100</v>
      </c>
      <c r="I1331" s="852"/>
      <c r="J1331" s="802"/>
    </row>
    <row r="1332" spans="3:10" ht="35.1" hidden="1" customHeight="1">
      <c r="C1332" s="878"/>
      <c r="D1332" s="1062" t="s">
        <v>3652</v>
      </c>
      <c r="E1332" s="380">
        <f>E1333</f>
        <v>461756300</v>
      </c>
      <c r="F1332" s="1061">
        <f>F1333</f>
        <v>443000000</v>
      </c>
      <c r="G1332" s="1060">
        <f>F1332/E1332*100</f>
        <v>95.938052171675835</v>
      </c>
      <c r="H1332" s="1060">
        <v>100</v>
      </c>
      <c r="I1332" s="852"/>
      <c r="J1332" s="802"/>
    </row>
    <row r="1333" spans="3:10" ht="37.5" hidden="1" customHeight="1">
      <c r="C1333" s="878"/>
      <c r="D1333" s="1059" t="s">
        <v>3651</v>
      </c>
      <c r="E1333" s="382">
        <v>461756300</v>
      </c>
      <c r="F1333" s="1058">
        <v>443000000</v>
      </c>
      <c r="G1333" s="1060">
        <f>F1333/E1333*100</f>
        <v>95.938052171675835</v>
      </c>
      <c r="H1333" s="1060">
        <v>100</v>
      </c>
      <c r="I1333" s="852"/>
      <c r="J1333" s="802"/>
    </row>
    <row r="1334" spans="3:10" ht="15" hidden="1" customHeight="1">
      <c r="C1334" s="878"/>
      <c r="D1334" s="1059"/>
      <c r="E1334" s="382"/>
      <c r="F1334" s="1058"/>
      <c r="G1334" s="854"/>
      <c r="H1334" s="876"/>
      <c r="I1334" s="852"/>
      <c r="J1334" s="802"/>
    </row>
    <row r="1335" spans="3:10" s="656" customFormat="1" ht="20.100000000000001" customHeight="1">
      <c r="C1335" s="881" t="s">
        <v>1241</v>
      </c>
      <c r="D1335" s="856" t="s">
        <v>1242</v>
      </c>
      <c r="E1335" s="855">
        <f>+E1336+E1351+E1370+E1374+E1378+E1382+E1387+E1391+E1397+E1410+E1414+E1418+E1422+E1426</f>
        <v>61685777431.099998</v>
      </c>
      <c r="F1335" s="855">
        <f>+F1336+F1351+F1370+F1374+F1378+F1382+F1387+F1391+F1397+F1410+F1414+F1418+F1422+F1426</f>
        <v>32677392950</v>
      </c>
      <c r="G1335" s="855">
        <f>+F1335/E1335*100</f>
        <v>52.973950091654523</v>
      </c>
      <c r="H1335" s="887">
        <f>(H1336+H1351+H1370+H1374+H1378+H1382+H1387+H1391+H1397+H1410+H1414+H1418+H1426)/13</f>
        <v>82.760448948323202</v>
      </c>
      <c r="I1335" s="863"/>
      <c r="J1335" s="44"/>
    </row>
    <row r="1336" spans="3:10" ht="20.100000000000001" hidden="1" customHeight="1">
      <c r="C1336" s="878"/>
      <c r="D1336" s="856" t="s">
        <v>1243</v>
      </c>
      <c r="E1336" s="1056">
        <v>17022854000</v>
      </c>
      <c r="F1336" s="432">
        <f>F1337+F1339+F1341+F1345+F1348</f>
        <v>14184381000</v>
      </c>
      <c r="G1336" s="1053">
        <f t="shared" ref="G1336:G1349" si="60">F1336/E1336*100</f>
        <v>83.325516391082246</v>
      </c>
      <c r="H1336" s="882">
        <f>(H1337+H1339+H1341+H1345+H1348)/5</f>
        <v>94</v>
      </c>
      <c r="I1336" s="852"/>
      <c r="J1336" s="802"/>
    </row>
    <row r="1337" spans="3:10" ht="20.100000000000001" hidden="1" customHeight="1">
      <c r="C1337" s="878"/>
      <c r="D1337" s="856" t="s">
        <v>3639</v>
      </c>
      <c r="E1337" s="1056">
        <v>408000000</v>
      </c>
      <c r="F1337" s="432">
        <v>408000000</v>
      </c>
      <c r="G1337" s="1053">
        <f t="shared" si="60"/>
        <v>100</v>
      </c>
      <c r="H1337" s="882">
        <f>G1337</f>
        <v>100</v>
      </c>
      <c r="I1337" s="852"/>
      <c r="J1337" s="802"/>
    </row>
    <row r="1338" spans="3:10" ht="20.100000000000001" hidden="1" customHeight="1">
      <c r="C1338" s="878"/>
      <c r="D1338" s="1055" t="s">
        <v>3650</v>
      </c>
      <c r="E1338" s="1054">
        <v>408000000</v>
      </c>
      <c r="F1338" s="433">
        <v>408000000</v>
      </c>
      <c r="G1338" s="1053">
        <f t="shared" si="60"/>
        <v>100</v>
      </c>
      <c r="H1338" s="882">
        <f>G1338</f>
        <v>100</v>
      </c>
      <c r="I1338" s="852"/>
      <c r="J1338" s="802"/>
    </row>
    <row r="1339" spans="3:10" ht="20.100000000000001" hidden="1" customHeight="1">
      <c r="C1339" s="878"/>
      <c r="D1339" s="856" t="s">
        <v>1244</v>
      </c>
      <c r="E1339" s="1056">
        <v>570000000</v>
      </c>
      <c r="F1339" s="432">
        <v>570000000</v>
      </c>
      <c r="G1339" s="1053">
        <f t="shared" si="60"/>
        <v>100</v>
      </c>
      <c r="H1339" s="882">
        <f>G1339</f>
        <v>100</v>
      </c>
      <c r="I1339" s="852"/>
      <c r="J1339" s="802"/>
    </row>
    <row r="1340" spans="3:10" ht="20.100000000000001" hidden="1" customHeight="1">
      <c r="C1340" s="878"/>
      <c r="D1340" s="1055" t="s">
        <v>3649</v>
      </c>
      <c r="E1340" s="1054">
        <v>570000000</v>
      </c>
      <c r="F1340" s="433">
        <v>570000000</v>
      </c>
      <c r="G1340" s="1053">
        <f t="shared" si="60"/>
        <v>100</v>
      </c>
      <c r="H1340" s="882">
        <f>G1340</f>
        <v>100</v>
      </c>
      <c r="I1340" s="852"/>
      <c r="J1340" s="802"/>
    </row>
    <row r="1341" spans="3:10" ht="20.100000000000001" hidden="1" customHeight="1">
      <c r="C1341" s="878"/>
      <c r="D1341" s="856" t="s">
        <v>3648</v>
      </c>
      <c r="E1341" s="1056">
        <v>9532654000</v>
      </c>
      <c r="F1341" s="432">
        <f>F1342+F1343+F1344</f>
        <v>7298700000</v>
      </c>
      <c r="G1341" s="1053">
        <f t="shared" si="60"/>
        <v>76.565246152855224</v>
      </c>
      <c r="H1341" s="882">
        <f>270/3</f>
        <v>90</v>
      </c>
      <c r="I1341" s="852"/>
      <c r="J1341" s="802"/>
    </row>
    <row r="1342" spans="3:10" ht="20.100000000000001" hidden="1" customHeight="1">
      <c r="C1342" s="878"/>
      <c r="D1342" s="1055" t="s">
        <v>3647</v>
      </c>
      <c r="E1342" s="1054">
        <v>1187330000</v>
      </c>
      <c r="F1342" s="433">
        <v>1186300000</v>
      </c>
      <c r="G1342" s="1053">
        <f t="shared" si="60"/>
        <v>99.913250739053169</v>
      </c>
      <c r="H1342" s="882">
        <v>100</v>
      </c>
      <c r="I1342" s="852"/>
      <c r="J1342" s="802"/>
    </row>
    <row r="1343" spans="3:10" ht="20.100000000000001" hidden="1" customHeight="1">
      <c r="C1343" s="878"/>
      <c r="D1343" s="1055" t="s">
        <v>3646</v>
      </c>
      <c r="E1343" s="1054">
        <v>674924000</v>
      </c>
      <c r="F1343" s="433">
        <v>674800000</v>
      </c>
      <c r="G1343" s="1053">
        <f t="shared" si="60"/>
        <v>99.9816275610291</v>
      </c>
      <c r="H1343" s="882">
        <v>100</v>
      </c>
      <c r="I1343" s="852"/>
      <c r="J1343" s="802"/>
    </row>
    <row r="1344" spans="3:10" ht="20.100000000000001" hidden="1" customHeight="1">
      <c r="C1344" s="878"/>
      <c r="D1344" s="1055" t="s">
        <v>3645</v>
      </c>
      <c r="E1344" s="1054">
        <v>7670400000</v>
      </c>
      <c r="F1344" s="433">
        <v>5437600000</v>
      </c>
      <c r="G1344" s="1053">
        <f t="shared" si="60"/>
        <v>70.890696704213596</v>
      </c>
      <c r="H1344" s="882">
        <v>70</v>
      </c>
      <c r="I1344" s="852"/>
      <c r="J1344" s="802"/>
    </row>
    <row r="1345" spans="3:10" ht="20.100000000000001" hidden="1" customHeight="1">
      <c r="C1345" s="878"/>
      <c r="D1345" s="856" t="s">
        <v>3644</v>
      </c>
      <c r="E1345" s="1056">
        <v>2831000000</v>
      </c>
      <c r="F1345" s="432">
        <f>F1347+F1346</f>
        <v>2266481000</v>
      </c>
      <c r="G1345" s="1053">
        <f t="shared" si="60"/>
        <v>80.059378311550688</v>
      </c>
      <c r="H1345" s="882">
        <f>160/2</f>
        <v>80</v>
      </c>
      <c r="I1345" s="852"/>
      <c r="J1345" s="802"/>
    </row>
    <row r="1346" spans="3:10" ht="20.100000000000001" hidden="1" customHeight="1">
      <c r="C1346" s="878"/>
      <c r="D1346" s="859" t="s">
        <v>3643</v>
      </c>
      <c r="E1346" s="1054">
        <v>923000000</v>
      </c>
      <c r="F1346" s="433">
        <v>696881000</v>
      </c>
      <c r="G1346" s="1053">
        <f t="shared" si="60"/>
        <v>75.501733477789813</v>
      </c>
      <c r="H1346" s="882">
        <v>75</v>
      </c>
      <c r="I1346" s="852"/>
      <c r="J1346" s="802"/>
    </row>
    <row r="1347" spans="3:10" ht="20.100000000000001" hidden="1" customHeight="1">
      <c r="C1347" s="878"/>
      <c r="D1347" s="859" t="s">
        <v>3642</v>
      </c>
      <c r="E1347" s="1054">
        <v>1908000000</v>
      </c>
      <c r="F1347" s="433">
        <v>1569600000</v>
      </c>
      <c r="G1347" s="1053">
        <f t="shared" si="60"/>
        <v>82.264150943396231</v>
      </c>
      <c r="H1347" s="882">
        <v>85</v>
      </c>
      <c r="I1347" s="852"/>
      <c r="J1347" s="802"/>
    </row>
    <row r="1348" spans="3:10" ht="20.100000000000001" hidden="1" customHeight="1">
      <c r="C1348" s="878"/>
      <c r="D1348" s="856" t="s">
        <v>3641</v>
      </c>
      <c r="E1348" s="1056">
        <v>3681200000</v>
      </c>
      <c r="F1348" s="432">
        <v>3641200000</v>
      </c>
      <c r="G1348" s="1053">
        <f t="shared" si="60"/>
        <v>98.913397805063568</v>
      </c>
      <c r="H1348" s="882">
        <v>100</v>
      </c>
      <c r="I1348" s="852"/>
      <c r="J1348" s="802"/>
    </row>
    <row r="1349" spans="3:10" ht="20.100000000000001" hidden="1" customHeight="1">
      <c r="C1349" s="878"/>
      <c r="D1349" s="1055" t="s">
        <v>3640</v>
      </c>
      <c r="E1349" s="1054">
        <v>3681200000</v>
      </c>
      <c r="F1349" s="433">
        <v>3641200000</v>
      </c>
      <c r="G1349" s="1053">
        <f t="shared" si="60"/>
        <v>98.913397805063568</v>
      </c>
      <c r="H1349" s="882">
        <v>100</v>
      </c>
      <c r="I1349" s="852"/>
      <c r="J1349" s="802"/>
    </row>
    <row r="1350" spans="3:10" ht="15" hidden="1" customHeight="1">
      <c r="C1350" s="878"/>
      <c r="D1350" s="1055"/>
      <c r="E1350" s="1054"/>
      <c r="F1350" s="433"/>
      <c r="G1350" s="1053"/>
      <c r="H1350" s="882"/>
      <c r="I1350" s="852"/>
      <c r="J1350" s="802"/>
    </row>
    <row r="1351" spans="3:10" ht="20.100000000000001" hidden="1" customHeight="1">
      <c r="C1351" s="878"/>
      <c r="D1351" s="1057" t="s">
        <v>65</v>
      </c>
      <c r="E1351" s="1056">
        <v>8612920000</v>
      </c>
      <c r="F1351" s="432">
        <v>7282794950</v>
      </c>
      <c r="G1351" s="1053">
        <f t="shared" ref="G1351:G1368" si="61">F1351/E1351*100</f>
        <v>84.55663062004524</v>
      </c>
      <c r="H1351" s="882">
        <f>(H1352+H1354+H1356+H1358+H1367+H1364)/6</f>
        <v>81.166666666666671</v>
      </c>
      <c r="I1351" s="852"/>
      <c r="J1351" s="802"/>
    </row>
    <row r="1352" spans="3:10" ht="20.100000000000001" hidden="1" customHeight="1">
      <c r="C1352" s="878"/>
      <c r="D1352" s="1057" t="s">
        <v>3639</v>
      </c>
      <c r="E1352" s="1056">
        <v>676200000</v>
      </c>
      <c r="F1352" s="432">
        <v>465000000</v>
      </c>
      <c r="G1352" s="1053">
        <f t="shared" si="61"/>
        <v>68.766637089618456</v>
      </c>
      <c r="H1352" s="882">
        <v>70</v>
      </c>
      <c r="I1352" s="852"/>
      <c r="J1352" s="802"/>
    </row>
    <row r="1353" spans="3:10" ht="20.100000000000001" hidden="1" customHeight="1">
      <c r="C1353" s="878"/>
      <c r="D1353" s="1055" t="s">
        <v>3638</v>
      </c>
      <c r="E1353" s="1054">
        <v>676200000</v>
      </c>
      <c r="F1353" s="433">
        <v>465000000</v>
      </c>
      <c r="G1353" s="1053">
        <f t="shared" si="61"/>
        <v>68.766637089618456</v>
      </c>
      <c r="H1353" s="882">
        <v>70</v>
      </c>
      <c r="I1353" s="852"/>
      <c r="J1353" s="802"/>
    </row>
    <row r="1354" spans="3:10" ht="20.100000000000001" hidden="1" customHeight="1">
      <c r="C1354" s="878"/>
      <c r="D1354" s="1057" t="s">
        <v>3637</v>
      </c>
      <c r="E1354" s="1056">
        <v>448100000</v>
      </c>
      <c r="F1354" s="432">
        <v>448100000</v>
      </c>
      <c r="G1354" s="1053">
        <f t="shared" si="61"/>
        <v>100</v>
      </c>
      <c r="H1354" s="882">
        <f>G1354</f>
        <v>100</v>
      </c>
      <c r="I1354" s="852"/>
      <c r="J1354" s="802"/>
    </row>
    <row r="1355" spans="3:10" ht="35.1" hidden="1" customHeight="1">
      <c r="C1355" s="878"/>
      <c r="D1355" s="1055" t="s">
        <v>3636</v>
      </c>
      <c r="E1355" s="1054">
        <v>448100000</v>
      </c>
      <c r="F1355" s="433">
        <v>448100000</v>
      </c>
      <c r="G1355" s="1053">
        <f t="shared" si="61"/>
        <v>100</v>
      </c>
      <c r="H1355" s="882">
        <f>G1355</f>
        <v>100</v>
      </c>
      <c r="I1355" s="852"/>
      <c r="J1355" s="802"/>
    </row>
    <row r="1356" spans="3:10" ht="20.100000000000001" hidden="1" customHeight="1">
      <c r="C1356" s="878"/>
      <c r="D1356" s="1057" t="s">
        <v>3635</v>
      </c>
      <c r="E1356" s="1056">
        <v>1989000000</v>
      </c>
      <c r="F1356" s="432">
        <v>1937000000</v>
      </c>
      <c r="G1356" s="1053">
        <f t="shared" si="61"/>
        <v>97.385620915032675</v>
      </c>
      <c r="H1356" s="882">
        <v>100</v>
      </c>
      <c r="I1356" s="852"/>
      <c r="J1356" s="802"/>
    </row>
    <row r="1357" spans="3:10" ht="20.100000000000001" hidden="1" customHeight="1">
      <c r="C1357" s="878"/>
      <c r="D1357" s="1055" t="s">
        <v>3634</v>
      </c>
      <c r="E1357" s="1054">
        <v>1989000000</v>
      </c>
      <c r="F1357" s="433">
        <v>1937000000</v>
      </c>
      <c r="G1357" s="1053">
        <f t="shared" si="61"/>
        <v>97.385620915032675</v>
      </c>
      <c r="H1357" s="882">
        <v>100</v>
      </c>
      <c r="I1357" s="852"/>
      <c r="J1357" s="802"/>
    </row>
    <row r="1358" spans="3:10" ht="20.100000000000001" hidden="1" customHeight="1">
      <c r="C1358" s="878"/>
      <c r="D1358" s="1057" t="s">
        <v>1269</v>
      </c>
      <c r="E1358" s="1056">
        <v>691900000</v>
      </c>
      <c r="F1358" s="432">
        <f>F1359+F1360+F1362+F1363</f>
        <v>565300000</v>
      </c>
      <c r="G1358" s="1053">
        <f t="shared" si="61"/>
        <v>81.702558173146414</v>
      </c>
      <c r="H1358" s="882">
        <f>SUM((H1359:H1363))/5</f>
        <v>77</v>
      </c>
      <c r="I1358" s="852"/>
      <c r="J1358" s="802"/>
    </row>
    <row r="1359" spans="3:10" ht="20.100000000000001" hidden="1" customHeight="1">
      <c r="C1359" s="878"/>
      <c r="D1359" s="1055" t="s">
        <v>3633</v>
      </c>
      <c r="E1359" s="1054">
        <v>88000000</v>
      </c>
      <c r="F1359" s="433">
        <v>74000000</v>
      </c>
      <c r="G1359" s="1053">
        <f t="shared" si="61"/>
        <v>84.090909090909093</v>
      </c>
      <c r="H1359" s="882">
        <v>85</v>
      </c>
      <c r="I1359" s="852"/>
      <c r="J1359" s="802"/>
    </row>
    <row r="1360" spans="3:10" ht="20.100000000000001" hidden="1" customHeight="1">
      <c r="C1360" s="878"/>
      <c r="D1360" s="1055" t="s">
        <v>3632</v>
      </c>
      <c r="E1360" s="1054">
        <v>48000000</v>
      </c>
      <c r="F1360" s="433">
        <v>48000000</v>
      </c>
      <c r="G1360" s="1053">
        <f t="shared" si="61"/>
        <v>100</v>
      </c>
      <c r="H1360" s="882">
        <f>G1360</f>
        <v>100</v>
      </c>
      <c r="I1360" s="852"/>
      <c r="J1360" s="802"/>
    </row>
    <row r="1361" spans="3:10" ht="20.100000000000001" hidden="1" customHeight="1">
      <c r="C1361" s="878"/>
      <c r="D1361" s="1055" t="s">
        <v>3631</v>
      </c>
      <c r="E1361" s="1054">
        <v>109000000</v>
      </c>
      <c r="F1361" s="433"/>
      <c r="G1361" s="1053">
        <f t="shared" si="61"/>
        <v>0</v>
      </c>
      <c r="H1361" s="882">
        <v>0</v>
      </c>
      <c r="I1361" s="852"/>
      <c r="J1361" s="802"/>
    </row>
    <row r="1362" spans="3:10" ht="20.100000000000001" hidden="1" customHeight="1">
      <c r="C1362" s="878"/>
      <c r="D1362" s="1055" t="s">
        <v>3630</v>
      </c>
      <c r="E1362" s="1054">
        <v>46800000</v>
      </c>
      <c r="F1362" s="433">
        <v>46800000</v>
      </c>
      <c r="G1362" s="1053">
        <f t="shared" si="61"/>
        <v>100</v>
      </c>
      <c r="H1362" s="882">
        <f>G1362</f>
        <v>100</v>
      </c>
      <c r="I1362" s="852"/>
      <c r="J1362" s="802"/>
    </row>
    <row r="1363" spans="3:10" ht="35.1" hidden="1" customHeight="1">
      <c r="C1363" s="878"/>
      <c r="D1363" s="1055" t="s">
        <v>3629</v>
      </c>
      <c r="E1363" s="1054">
        <v>400100000</v>
      </c>
      <c r="F1363" s="433">
        <v>396500000</v>
      </c>
      <c r="G1363" s="1053">
        <f t="shared" si="61"/>
        <v>99.100224943764061</v>
      </c>
      <c r="H1363" s="882">
        <v>100</v>
      </c>
      <c r="I1363" s="852"/>
      <c r="J1363" s="802"/>
    </row>
    <row r="1364" spans="3:10" ht="20.100000000000001" hidden="1" customHeight="1">
      <c r="C1364" s="878"/>
      <c r="D1364" s="1057" t="s">
        <v>3628</v>
      </c>
      <c r="E1364" s="1056">
        <v>3807720000</v>
      </c>
      <c r="F1364" s="432">
        <f>F1365+F1366</f>
        <v>3260621200</v>
      </c>
      <c r="G1364" s="1053">
        <f t="shared" si="61"/>
        <v>85.631853182481905</v>
      </c>
      <c r="H1364" s="882">
        <v>75</v>
      </c>
      <c r="I1364" s="852"/>
      <c r="J1364" s="802"/>
    </row>
    <row r="1365" spans="3:10" ht="20.100000000000001" hidden="1" customHeight="1">
      <c r="C1365" s="878"/>
      <c r="D1365" s="1055" t="s">
        <v>3627</v>
      </c>
      <c r="E1365" s="1054">
        <v>750000000</v>
      </c>
      <c r="F1365" s="433">
        <v>353896200</v>
      </c>
      <c r="G1365" s="1053">
        <f t="shared" si="61"/>
        <v>47.186160000000001</v>
      </c>
      <c r="H1365" s="882">
        <v>50</v>
      </c>
      <c r="I1365" s="852"/>
      <c r="J1365" s="802"/>
    </row>
    <row r="1366" spans="3:10" ht="20.100000000000001" hidden="1" customHeight="1">
      <c r="C1366" s="878"/>
      <c r="D1366" s="1055" t="s">
        <v>3626</v>
      </c>
      <c r="E1366" s="1054">
        <v>3057720000</v>
      </c>
      <c r="F1366" s="433">
        <v>2906725000</v>
      </c>
      <c r="G1366" s="1053">
        <f t="shared" si="61"/>
        <v>95.061843465065479</v>
      </c>
      <c r="H1366" s="882">
        <v>100</v>
      </c>
      <c r="I1366" s="852"/>
      <c r="J1366" s="802"/>
    </row>
    <row r="1367" spans="3:10" ht="35.1" hidden="1" customHeight="1">
      <c r="C1367" s="878"/>
      <c r="D1367" s="1057" t="s">
        <v>3625</v>
      </c>
      <c r="E1367" s="1056">
        <v>1000000000</v>
      </c>
      <c r="F1367" s="432">
        <v>606773750</v>
      </c>
      <c r="G1367" s="1053">
        <f t="shared" si="61"/>
        <v>60.677374999999998</v>
      </c>
      <c r="H1367" s="882">
        <v>65</v>
      </c>
      <c r="I1367" s="852"/>
      <c r="J1367" s="802"/>
    </row>
    <row r="1368" spans="3:10" ht="20.100000000000001" hidden="1" customHeight="1">
      <c r="C1368" s="878"/>
      <c r="D1368" s="1055" t="s">
        <v>3624</v>
      </c>
      <c r="E1368" s="1054">
        <v>1000000000</v>
      </c>
      <c r="F1368" s="433">
        <v>606773750</v>
      </c>
      <c r="G1368" s="1053">
        <f t="shared" si="61"/>
        <v>60.677374999999998</v>
      </c>
      <c r="H1368" s="882">
        <v>65</v>
      </c>
      <c r="I1368" s="852"/>
      <c r="J1368" s="802"/>
    </row>
    <row r="1369" spans="3:10" ht="15" hidden="1" customHeight="1">
      <c r="C1369" s="878"/>
      <c r="D1369" s="1055"/>
      <c r="E1369" s="1054"/>
      <c r="F1369" s="433"/>
      <c r="G1369" s="1053"/>
      <c r="H1369" s="882"/>
      <c r="I1369" s="852"/>
      <c r="J1369" s="802"/>
    </row>
    <row r="1370" spans="3:10" ht="20.100000000000001" hidden="1" customHeight="1">
      <c r="C1370" s="878"/>
      <c r="D1370" s="1057" t="s">
        <v>610</v>
      </c>
      <c r="E1370" s="1056">
        <v>3569270151.0999999</v>
      </c>
      <c r="F1370" s="432">
        <v>273800000</v>
      </c>
      <c r="G1370" s="1053">
        <f>F1370/E1370*100</f>
        <v>7.6710360496422103</v>
      </c>
      <c r="H1370" s="882">
        <v>10</v>
      </c>
      <c r="I1370" s="852"/>
      <c r="J1370" s="802"/>
    </row>
    <row r="1371" spans="3:10" ht="20.100000000000001" hidden="1" customHeight="1">
      <c r="C1371" s="878"/>
      <c r="D1371" s="1057" t="s">
        <v>3623</v>
      </c>
      <c r="E1371" s="1054">
        <v>3569270151.0999999</v>
      </c>
      <c r="F1371" s="432">
        <v>273800000</v>
      </c>
      <c r="G1371" s="1053">
        <f>F1371/E1371*100</f>
        <v>7.6710360496422103</v>
      </c>
      <c r="H1371" s="882">
        <v>10</v>
      </c>
      <c r="I1371" s="852"/>
      <c r="J1371" s="802"/>
    </row>
    <row r="1372" spans="3:10" ht="20.100000000000001" hidden="1" customHeight="1">
      <c r="C1372" s="878"/>
      <c r="D1372" s="1055" t="s">
        <v>3622</v>
      </c>
      <c r="E1372" s="1054">
        <v>3569270151.0999999</v>
      </c>
      <c r="F1372" s="433">
        <v>273800000</v>
      </c>
      <c r="G1372" s="1053">
        <f>F1372/E1372*100</f>
        <v>7.6710360496422103</v>
      </c>
      <c r="H1372" s="882">
        <v>10</v>
      </c>
      <c r="I1372" s="852"/>
      <c r="J1372" s="802"/>
    </row>
    <row r="1373" spans="3:10" ht="15" hidden="1" customHeight="1">
      <c r="C1373" s="878"/>
      <c r="D1373" s="1055"/>
      <c r="E1373" s="1054"/>
      <c r="F1373" s="433"/>
      <c r="G1373" s="1053"/>
      <c r="H1373" s="882"/>
      <c r="I1373" s="852"/>
      <c r="J1373" s="802"/>
    </row>
    <row r="1374" spans="3:10" ht="20.100000000000001" hidden="1" customHeight="1">
      <c r="C1374" s="878"/>
      <c r="D1374" s="1057" t="s">
        <v>1899</v>
      </c>
      <c r="E1374" s="1056">
        <v>21593600000</v>
      </c>
      <c r="F1374" s="432">
        <v>199500000</v>
      </c>
      <c r="G1374" s="1053">
        <f>F1374/E1374*100</f>
        <v>0.92388485477178428</v>
      </c>
      <c r="H1374" s="882">
        <v>1</v>
      </c>
      <c r="I1374" s="852"/>
      <c r="J1374" s="802"/>
    </row>
    <row r="1375" spans="3:10" ht="20.100000000000001" hidden="1" customHeight="1">
      <c r="C1375" s="878"/>
      <c r="D1375" s="1057" t="s">
        <v>3621</v>
      </c>
      <c r="E1375" s="1054">
        <v>21593600000</v>
      </c>
      <c r="F1375" s="432">
        <v>199500000</v>
      </c>
      <c r="G1375" s="1053">
        <f>F1375/E1375*100</f>
        <v>0.92388485477178428</v>
      </c>
      <c r="H1375" s="882">
        <v>1</v>
      </c>
      <c r="I1375" s="852"/>
      <c r="J1375" s="802"/>
    </row>
    <row r="1376" spans="3:10" ht="20.100000000000001" hidden="1" customHeight="1">
      <c r="C1376" s="878"/>
      <c r="D1376" s="1055" t="s">
        <v>3620</v>
      </c>
      <c r="E1376" s="1054">
        <v>21593600000</v>
      </c>
      <c r="F1376" s="433">
        <v>199500000</v>
      </c>
      <c r="G1376" s="1053">
        <f>F1376/E1376*100</f>
        <v>0.92388485477178428</v>
      </c>
      <c r="H1376" s="882">
        <v>1</v>
      </c>
      <c r="I1376" s="852"/>
      <c r="J1376" s="802"/>
    </row>
    <row r="1377" spans="3:10" ht="15" hidden="1" customHeight="1">
      <c r="C1377" s="878"/>
      <c r="D1377" s="859"/>
      <c r="E1377" s="1054"/>
      <c r="F1377" s="433"/>
      <c r="G1377" s="1053"/>
      <c r="H1377" s="882"/>
      <c r="I1377" s="852"/>
      <c r="J1377" s="802"/>
    </row>
    <row r="1378" spans="3:10" ht="35.1" hidden="1" customHeight="1">
      <c r="C1378" s="878"/>
      <c r="D1378" s="856" t="s">
        <v>1733</v>
      </c>
      <c r="E1378" s="1056">
        <v>669940000</v>
      </c>
      <c r="F1378" s="432">
        <v>667540000</v>
      </c>
      <c r="G1378" s="1053">
        <f>F1378/E1378*100</f>
        <v>99.641758963489266</v>
      </c>
      <c r="H1378" s="882">
        <v>100</v>
      </c>
      <c r="I1378" s="852"/>
      <c r="J1378" s="802"/>
    </row>
    <row r="1379" spans="3:10" ht="35.1" hidden="1" customHeight="1">
      <c r="C1379" s="878"/>
      <c r="D1379" s="856" t="s">
        <v>3619</v>
      </c>
      <c r="E1379" s="1056">
        <v>669940000</v>
      </c>
      <c r="F1379" s="432">
        <v>667540000</v>
      </c>
      <c r="G1379" s="1053">
        <f>F1379/E1379*100</f>
        <v>99.641758963489266</v>
      </c>
      <c r="H1379" s="882">
        <v>100</v>
      </c>
      <c r="I1379" s="852"/>
      <c r="J1379" s="802"/>
    </row>
    <row r="1380" spans="3:10" ht="35.1" hidden="1" customHeight="1">
      <c r="C1380" s="878"/>
      <c r="D1380" s="859" t="s">
        <v>3618</v>
      </c>
      <c r="E1380" s="1054">
        <v>669940000</v>
      </c>
      <c r="F1380" s="433">
        <v>667540000</v>
      </c>
      <c r="G1380" s="1053">
        <f>F1380/E1380*100</f>
        <v>99.641758963489266</v>
      </c>
      <c r="H1380" s="882">
        <v>100</v>
      </c>
      <c r="I1380" s="852"/>
      <c r="J1380" s="802"/>
    </row>
    <row r="1381" spans="3:10" ht="15" hidden="1" customHeight="1">
      <c r="C1381" s="878"/>
      <c r="D1381" s="856"/>
      <c r="E1381" s="1054"/>
      <c r="F1381" s="433"/>
      <c r="G1381" s="1053"/>
      <c r="H1381" s="882"/>
      <c r="I1381" s="852"/>
      <c r="J1381" s="802"/>
    </row>
    <row r="1382" spans="3:10" ht="20.100000000000001" hidden="1" customHeight="1">
      <c r="C1382" s="878"/>
      <c r="D1382" s="856" t="s">
        <v>1137</v>
      </c>
      <c r="E1382" s="1056">
        <v>1698678280</v>
      </c>
      <c r="F1382" s="432">
        <f>F1384+F1385</f>
        <v>1669360000</v>
      </c>
      <c r="G1382" s="1053">
        <f>F1382/E1382*100</f>
        <v>98.274053401094875</v>
      </c>
      <c r="H1382" s="882">
        <v>100</v>
      </c>
      <c r="I1382" s="852"/>
      <c r="J1382" s="802"/>
    </row>
    <row r="1383" spans="3:10" ht="20.100000000000001" hidden="1" customHeight="1">
      <c r="C1383" s="878"/>
      <c r="D1383" s="856" t="s">
        <v>3617</v>
      </c>
      <c r="E1383" s="1056">
        <v>1698678280</v>
      </c>
      <c r="F1383" s="432">
        <v>1669360000</v>
      </c>
      <c r="G1383" s="1053">
        <f>F1383/E1383*100</f>
        <v>98.274053401094875</v>
      </c>
      <c r="H1383" s="882">
        <v>100</v>
      </c>
      <c r="I1383" s="852"/>
      <c r="J1383" s="802"/>
    </row>
    <row r="1384" spans="3:10" ht="20.100000000000001" hidden="1" customHeight="1">
      <c r="C1384" s="878"/>
      <c r="D1384" s="1055" t="s">
        <v>3616</v>
      </c>
      <c r="E1384" s="1054">
        <v>369900000</v>
      </c>
      <c r="F1384" s="433">
        <v>367900000</v>
      </c>
      <c r="G1384" s="1053">
        <f>F1384/E1384*100</f>
        <v>99.459313327926466</v>
      </c>
      <c r="H1384" s="882">
        <v>100</v>
      </c>
      <c r="I1384" s="852"/>
      <c r="J1384" s="802"/>
    </row>
    <row r="1385" spans="3:10" ht="20.100000000000001" hidden="1" customHeight="1">
      <c r="C1385" s="878"/>
      <c r="D1385" s="1055" t="s">
        <v>3615</v>
      </c>
      <c r="E1385" s="1054">
        <v>1328778280</v>
      </c>
      <c r="F1385" s="433">
        <v>1301460000</v>
      </c>
      <c r="G1385" s="1053">
        <f>F1385/E1385*100</f>
        <v>97.944105468069509</v>
      </c>
      <c r="H1385" s="882">
        <v>100</v>
      </c>
      <c r="I1385" s="852"/>
      <c r="J1385" s="802"/>
    </row>
    <row r="1386" spans="3:10" ht="15" hidden="1" customHeight="1">
      <c r="C1386" s="878"/>
      <c r="D1386" s="856"/>
      <c r="E1386" s="1054"/>
      <c r="F1386" s="433"/>
      <c r="G1386" s="1053"/>
      <c r="H1386" s="882"/>
      <c r="I1386" s="852"/>
      <c r="J1386" s="802"/>
    </row>
    <row r="1387" spans="3:10" ht="20.100000000000001" hidden="1" customHeight="1">
      <c r="C1387" s="878"/>
      <c r="D1387" s="856" t="s">
        <v>3614</v>
      </c>
      <c r="E1387" s="1056">
        <v>500000000</v>
      </c>
      <c r="F1387" s="432">
        <v>500000000</v>
      </c>
      <c r="G1387" s="1053">
        <f>F1387/E1387*100</f>
        <v>100</v>
      </c>
      <c r="H1387" s="882">
        <f>G1387</f>
        <v>100</v>
      </c>
      <c r="I1387" s="852"/>
      <c r="J1387" s="802"/>
    </row>
    <row r="1388" spans="3:10" ht="20.100000000000001" hidden="1" customHeight="1">
      <c r="C1388" s="878"/>
      <c r="D1388" s="856" t="s">
        <v>3613</v>
      </c>
      <c r="E1388" s="1056">
        <v>500000000</v>
      </c>
      <c r="F1388" s="432">
        <v>500000000</v>
      </c>
      <c r="G1388" s="1053">
        <f>F1388/E1388*100</f>
        <v>100</v>
      </c>
      <c r="H1388" s="882">
        <f>G1388</f>
        <v>100</v>
      </c>
      <c r="I1388" s="852"/>
      <c r="J1388" s="802"/>
    </row>
    <row r="1389" spans="3:10" ht="20.100000000000001" hidden="1" customHeight="1">
      <c r="C1389" s="878"/>
      <c r="D1389" s="1055" t="s">
        <v>3612</v>
      </c>
      <c r="E1389" s="1054">
        <v>500000000</v>
      </c>
      <c r="F1389" s="433">
        <v>500000000</v>
      </c>
      <c r="G1389" s="1053">
        <f>F1389/E1389*100</f>
        <v>100</v>
      </c>
      <c r="H1389" s="882">
        <f>G1389</f>
        <v>100</v>
      </c>
      <c r="I1389" s="852"/>
      <c r="J1389" s="802"/>
    </row>
    <row r="1390" spans="3:10" ht="15" hidden="1" customHeight="1">
      <c r="C1390" s="878"/>
      <c r="D1390" s="1055"/>
      <c r="E1390" s="1054"/>
      <c r="F1390" s="433"/>
      <c r="G1390" s="1053"/>
      <c r="H1390" s="882"/>
      <c r="I1390" s="852"/>
      <c r="J1390" s="802"/>
    </row>
    <row r="1391" spans="3:10" ht="20.100000000000001" hidden="1" customHeight="1">
      <c r="C1391" s="878"/>
      <c r="D1391" s="1057" t="s">
        <v>1186</v>
      </c>
      <c r="E1391" s="1056">
        <v>2359500000</v>
      </c>
      <c r="F1391" s="432">
        <v>2342791000</v>
      </c>
      <c r="G1391" s="1053">
        <f>F1391/E1391*100</f>
        <v>99.291841491841495</v>
      </c>
      <c r="H1391" s="882">
        <v>100</v>
      </c>
      <c r="I1391" s="852"/>
      <c r="J1391" s="802"/>
    </row>
    <row r="1392" spans="3:10" ht="20.100000000000001" hidden="1" customHeight="1">
      <c r="C1392" s="878"/>
      <c r="D1392" s="1057" t="s">
        <v>3611</v>
      </c>
      <c r="E1392" s="1056">
        <v>429500000</v>
      </c>
      <c r="F1392" s="432">
        <v>425370000</v>
      </c>
      <c r="G1392" s="1053">
        <f>F1392/E1392*100</f>
        <v>99.038416763678697</v>
      </c>
      <c r="H1392" s="882">
        <v>100</v>
      </c>
      <c r="I1392" s="852"/>
      <c r="J1392" s="802"/>
    </row>
    <row r="1393" spans="3:10" ht="20.100000000000001" hidden="1" customHeight="1">
      <c r="C1393" s="878"/>
      <c r="D1393" s="1055" t="s">
        <v>3610</v>
      </c>
      <c r="E1393" s="1054">
        <v>429500000</v>
      </c>
      <c r="F1393" s="433">
        <v>425370000</v>
      </c>
      <c r="G1393" s="1053">
        <f>F1393/E1393*100</f>
        <v>99.038416763678697</v>
      </c>
      <c r="H1393" s="882">
        <v>100</v>
      </c>
      <c r="I1393" s="852"/>
      <c r="J1393" s="802"/>
    </row>
    <row r="1394" spans="3:10" ht="20.100000000000001" hidden="1" customHeight="1">
      <c r="C1394" s="878"/>
      <c r="D1394" s="1057" t="s">
        <v>622</v>
      </c>
      <c r="E1394" s="1056">
        <v>1930000000</v>
      </c>
      <c r="F1394" s="432">
        <v>1917421000</v>
      </c>
      <c r="G1394" s="1053">
        <f>F1394/E1394*100</f>
        <v>99.348238341968909</v>
      </c>
      <c r="H1394" s="882">
        <v>100</v>
      </c>
      <c r="I1394" s="852"/>
      <c r="J1394" s="802"/>
    </row>
    <row r="1395" spans="3:10" ht="20.100000000000001" hidden="1" customHeight="1">
      <c r="C1395" s="878"/>
      <c r="D1395" s="1055" t="s">
        <v>829</v>
      </c>
      <c r="E1395" s="1054">
        <v>1930000000</v>
      </c>
      <c r="F1395" s="433">
        <v>1917421000</v>
      </c>
      <c r="G1395" s="1053">
        <f>F1395/E1395*100</f>
        <v>99.348238341968909</v>
      </c>
      <c r="H1395" s="882">
        <v>100</v>
      </c>
      <c r="I1395" s="852"/>
      <c r="J1395" s="802"/>
    </row>
    <row r="1396" spans="3:10" ht="15" hidden="1" customHeight="1">
      <c r="C1396" s="878"/>
      <c r="D1396" s="1055"/>
      <c r="E1396" s="1054"/>
      <c r="F1396" s="433"/>
      <c r="G1396" s="1053"/>
      <c r="H1396" s="882"/>
      <c r="I1396" s="852"/>
      <c r="J1396" s="802"/>
    </row>
    <row r="1397" spans="3:10" ht="20.100000000000001" hidden="1" customHeight="1">
      <c r="C1397" s="878"/>
      <c r="D1397" s="1057" t="s">
        <v>1305</v>
      </c>
      <c r="E1397" s="1056">
        <v>1315686000</v>
      </c>
      <c r="F1397" s="432">
        <v>1315636000</v>
      </c>
      <c r="G1397" s="1053">
        <f t="shared" ref="G1397:G1408" si="62">F1397/E1397*100</f>
        <v>99.996199701144491</v>
      </c>
      <c r="H1397" s="882">
        <f>(H1398+H1402+H1404+H1406)/4</f>
        <v>94.719169661534835</v>
      </c>
      <c r="I1397" s="852"/>
      <c r="J1397" s="802"/>
    </row>
    <row r="1398" spans="3:10" ht="20.100000000000001" hidden="1" customHeight="1">
      <c r="C1398" s="878"/>
      <c r="D1398" s="1057" t="s">
        <v>3609</v>
      </c>
      <c r="E1398" s="1056">
        <v>289051000</v>
      </c>
      <c r="F1398" s="432">
        <f>F1399+F1400+F1401</f>
        <v>283501000</v>
      </c>
      <c r="G1398" s="1053">
        <f t="shared" si="62"/>
        <v>98.079923612096138</v>
      </c>
      <c r="H1398" s="882">
        <f>G1398</f>
        <v>98.079923612096138</v>
      </c>
      <c r="I1398" s="852"/>
      <c r="J1398" s="802"/>
    </row>
    <row r="1399" spans="3:10" ht="20.100000000000001" hidden="1" customHeight="1">
      <c r="C1399" s="878"/>
      <c r="D1399" s="1055" t="s">
        <v>3608</v>
      </c>
      <c r="E1399" s="1054">
        <v>84906000</v>
      </c>
      <c r="F1399" s="433">
        <v>84906000</v>
      </c>
      <c r="G1399" s="1053">
        <f t="shared" si="62"/>
        <v>100</v>
      </c>
      <c r="H1399" s="882">
        <f>G1399</f>
        <v>100</v>
      </c>
      <c r="I1399" s="852"/>
      <c r="J1399" s="802"/>
    </row>
    <row r="1400" spans="3:10" ht="20.100000000000001" hidden="1" customHeight="1">
      <c r="C1400" s="878"/>
      <c r="D1400" s="1055" t="s">
        <v>3607</v>
      </c>
      <c r="E1400" s="1054">
        <v>137400000</v>
      </c>
      <c r="F1400" s="433">
        <v>137350000</v>
      </c>
      <c r="G1400" s="1053">
        <f t="shared" si="62"/>
        <v>99.96360989810772</v>
      </c>
      <c r="H1400" s="882">
        <v>100</v>
      </c>
      <c r="I1400" s="852"/>
      <c r="J1400" s="802"/>
    </row>
    <row r="1401" spans="3:10" ht="20.100000000000001" hidden="1" customHeight="1">
      <c r="C1401" s="878"/>
      <c r="D1401" s="1055" t="s">
        <v>3606</v>
      </c>
      <c r="E1401" s="1054">
        <v>66745000</v>
      </c>
      <c r="F1401" s="433">
        <v>61245000</v>
      </c>
      <c r="G1401" s="1053">
        <f t="shared" si="62"/>
        <v>91.759682373211476</v>
      </c>
      <c r="H1401" s="882">
        <v>100</v>
      </c>
      <c r="I1401" s="852"/>
      <c r="J1401" s="802"/>
    </row>
    <row r="1402" spans="3:10" ht="20.100000000000001" hidden="1" customHeight="1">
      <c r="C1402" s="878"/>
      <c r="D1402" s="1057" t="s">
        <v>3605</v>
      </c>
      <c r="E1402" s="1056">
        <v>173600000</v>
      </c>
      <c r="F1402" s="432">
        <v>137600000</v>
      </c>
      <c r="G1402" s="1053">
        <f t="shared" si="62"/>
        <v>79.262672811059915</v>
      </c>
      <c r="H1402" s="882">
        <v>80</v>
      </c>
      <c r="I1402" s="852"/>
      <c r="J1402" s="802"/>
    </row>
    <row r="1403" spans="3:10" ht="20.100000000000001" hidden="1" customHeight="1">
      <c r="C1403" s="878"/>
      <c r="D1403" s="1055" t="s">
        <v>3604</v>
      </c>
      <c r="E1403" s="1054">
        <v>173600000</v>
      </c>
      <c r="F1403" s="433">
        <v>137600000</v>
      </c>
      <c r="G1403" s="1053">
        <f t="shared" si="62"/>
        <v>79.262672811059915</v>
      </c>
      <c r="H1403" s="882">
        <v>80</v>
      </c>
      <c r="I1403" s="852"/>
      <c r="J1403" s="802"/>
    </row>
    <row r="1404" spans="3:10" ht="20.100000000000001" hidden="1" customHeight="1">
      <c r="C1404" s="878"/>
      <c r="D1404" s="1057" t="s">
        <v>3603</v>
      </c>
      <c r="E1404" s="1056">
        <v>690300000</v>
      </c>
      <c r="F1404" s="432">
        <v>695800000</v>
      </c>
      <c r="G1404" s="1053">
        <f t="shared" si="62"/>
        <v>100.79675503404317</v>
      </c>
      <c r="H1404" s="882">
        <f>G1404</f>
        <v>100.79675503404317</v>
      </c>
      <c r="I1404" s="852"/>
      <c r="J1404" s="802"/>
    </row>
    <row r="1405" spans="3:10" ht="20.100000000000001" hidden="1" customHeight="1">
      <c r="C1405" s="878"/>
      <c r="D1405" s="1055" t="s">
        <v>1310</v>
      </c>
      <c r="E1405" s="1054">
        <v>690300000</v>
      </c>
      <c r="F1405" s="433">
        <f>E1405</f>
        <v>690300000</v>
      </c>
      <c r="G1405" s="1053">
        <f t="shared" si="62"/>
        <v>100</v>
      </c>
      <c r="H1405" s="882">
        <f>G1405</f>
        <v>100</v>
      </c>
      <c r="I1405" s="852"/>
      <c r="J1405" s="802"/>
    </row>
    <row r="1406" spans="3:10" ht="20.100000000000001" hidden="1" customHeight="1">
      <c r="C1406" s="878"/>
      <c r="D1406" s="1057" t="s">
        <v>3602</v>
      </c>
      <c r="E1406" s="1056">
        <v>162735000</v>
      </c>
      <c r="F1406" s="432">
        <f>F1407+F1408</f>
        <v>162735000</v>
      </c>
      <c r="G1406" s="1053">
        <f t="shared" si="62"/>
        <v>100</v>
      </c>
      <c r="H1406" s="882">
        <f>G1406</f>
        <v>100</v>
      </c>
      <c r="I1406" s="852"/>
      <c r="J1406" s="802"/>
    </row>
    <row r="1407" spans="3:10" ht="20.100000000000001" hidden="1" customHeight="1">
      <c r="C1407" s="878"/>
      <c r="D1407" s="1055" t="s">
        <v>3601</v>
      </c>
      <c r="E1407" s="1054">
        <v>94200000</v>
      </c>
      <c r="F1407" s="433">
        <v>94200000</v>
      </c>
      <c r="G1407" s="1053">
        <f t="shared" si="62"/>
        <v>100</v>
      </c>
      <c r="H1407" s="882">
        <f>G1407</f>
        <v>100</v>
      </c>
      <c r="I1407" s="852"/>
      <c r="J1407" s="802"/>
    </row>
    <row r="1408" spans="3:10" ht="35.1" hidden="1" customHeight="1">
      <c r="C1408" s="878"/>
      <c r="D1408" s="1055" t="s">
        <v>3600</v>
      </c>
      <c r="E1408" s="1054">
        <v>68535000</v>
      </c>
      <c r="F1408" s="433">
        <v>68535000</v>
      </c>
      <c r="G1408" s="1053">
        <f t="shared" si="62"/>
        <v>100</v>
      </c>
      <c r="H1408" s="882">
        <f>G1408</f>
        <v>100</v>
      </c>
      <c r="I1408" s="852"/>
      <c r="J1408" s="802"/>
    </row>
    <row r="1409" spans="3:10" ht="15" hidden="1" customHeight="1">
      <c r="C1409" s="878"/>
      <c r="D1409" s="1055"/>
      <c r="E1409" s="1054"/>
      <c r="F1409" s="433"/>
      <c r="G1409" s="1053"/>
      <c r="H1409" s="882"/>
      <c r="I1409" s="852"/>
      <c r="J1409" s="802"/>
    </row>
    <row r="1410" spans="3:10" ht="20.100000000000001" hidden="1" customHeight="1">
      <c r="C1410" s="878"/>
      <c r="D1410" s="1057" t="s">
        <v>1298</v>
      </c>
      <c r="E1410" s="1056">
        <v>661450000</v>
      </c>
      <c r="F1410" s="432">
        <v>600600000</v>
      </c>
      <c r="G1410" s="1053">
        <f>F1410/E1410*100</f>
        <v>90.800514022223894</v>
      </c>
      <c r="H1410" s="882">
        <v>95</v>
      </c>
      <c r="I1410" s="852"/>
      <c r="J1410" s="802"/>
    </row>
    <row r="1411" spans="3:10" ht="35.1" hidden="1" customHeight="1">
      <c r="C1411" s="878"/>
      <c r="D1411" s="1057" t="s">
        <v>615</v>
      </c>
      <c r="E1411" s="1056">
        <v>661450000</v>
      </c>
      <c r="F1411" s="432">
        <v>600600000</v>
      </c>
      <c r="G1411" s="1053">
        <f>F1411/E1411*100</f>
        <v>90.800514022223894</v>
      </c>
      <c r="H1411" s="882">
        <v>95</v>
      </c>
      <c r="I1411" s="852"/>
      <c r="J1411" s="802"/>
    </row>
    <row r="1412" spans="3:10" ht="35.1" hidden="1" customHeight="1">
      <c r="C1412" s="878"/>
      <c r="D1412" s="1055" t="s">
        <v>821</v>
      </c>
      <c r="E1412" s="1054">
        <v>661450000</v>
      </c>
      <c r="F1412" s="433">
        <v>600600000</v>
      </c>
      <c r="G1412" s="1053">
        <f>F1412/E1412*100</f>
        <v>90.800514022223894</v>
      </c>
      <c r="H1412" s="882">
        <v>95</v>
      </c>
      <c r="I1412" s="852"/>
      <c r="J1412" s="802"/>
    </row>
    <row r="1413" spans="3:10" ht="15" hidden="1" customHeight="1">
      <c r="C1413" s="878"/>
      <c r="D1413" s="1055"/>
      <c r="E1413" s="1054"/>
      <c r="F1413" s="433"/>
      <c r="G1413" s="1053"/>
      <c r="H1413" s="882"/>
      <c r="I1413" s="852"/>
      <c r="J1413" s="802"/>
    </row>
    <row r="1414" spans="3:10" ht="20.100000000000001" hidden="1" customHeight="1">
      <c r="C1414" s="878"/>
      <c r="D1414" s="1057" t="s">
        <v>3599</v>
      </c>
      <c r="E1414" s="1056">
        <v>1204080000</v>
      </c>
      <c r="F1414" s="432">
        <v>1168191000</v>
      </c>
      <c r="G1414" s="1053">
        <f>F1414/E1414*100</f>
        <v>97.019384094080124</v>
      </c>
      <c r="H1414" s="882">
        <v>100</v>
      </c>
      <c r="I1414" s="852"/>
      <c r="J1414" s="802"/>
    </row>
    <row r="1415" spans="3:10" ht="20.100000000000001" hidden="1" customHeight="1">
      <c r="C1415" s="878"/>
      <c r="D1415" s="1057" t="s">
        <v>3598</v>
      </c>
      <c r="E1415" s="1056">
        <v>1204080000</v>
      </c>
      <c r="F1415" s="432">
        <v>1168191000</v>
      </c>
      <c r="G1415" s="1053">
        <f>F1415/E1415*100</f>
        <v>97.019384094080124</v>
      </c>
      <c r="H1415" s="882">
        <v>100</v>
      </c>
      <c r="I1415" s="852"/>
      <c r="J1415" s="802"/>
    </row>
    <row r="1416" spans="3:10" ht="35.1" hidden="1" customHeight="1">
      <c r="C1416" s="878"/>
      <c r="D1416" s="1055" t="s">
        <v>3597</v>
      </c>
      <c r="E1416" s="1054">
        <v>1204080000</v>
      </c>
      <c r="F1416" s="433">
        <v>1168191000</v>
      </c>
      <c r="G1416" s="1053">
        <f>F1416/E1416*100</f>
        <v>97.019384094080124</v>
      </c>
      <c r="H1416" s="882">
        <v>100</v>
      </c>
      <c r="I1416" s="852"/>
      <c r="J1416" s="802"/>
    </row>
    <row r="1417" spans="3:10" ht="15" hidden="1" customHeight="1">
      <c r="C1417" s="878"/>
      <c r="D1417" s="1055"/>
      <c r="E1417" s="1054"/>
      <c r="F1417" s="433"/>
      <c r="G1417" s="1053"/>
      <c r="H1417" s="882"/>
      <c r="I1417" s="852"/>
      <c r="J1417" s="802"/>
    </row>
    <row r="1418" spans="3:10" ht="20.100000000000001" hidden="1" customHeight="1">
      <c r="C1418" s="878"/>
      <c r="D1418" s="1057" t="s">
        <v>648</v>
      </c>
      <c r="E1418" s="1056">
        <v>250500000</v>
      </c>
      <c r="F1418" s="432">
        <v>250500000</v>
      </c>
      <c r="G1418" s="1053">
        <f>F1418/E1418*100</f>
        <v>100</v>
      </c>
      <c r="H1418" s="882">
        <f>G1418</f>
        <v>100</v>
      </c>
      <c r="I1418" s="852"/>
      <c r="J1418" s="802"/>
    </row>
    <row r="1419" spans="3:10" ht="35.1" hidden="1" customHeight="1">
      <c r="C1419" s="878"/>
      <c r="D1419" s="1057" t="s">
        <v>3596</v>
      </c>
      <c r="E1419" s="1056">
        <v>250500000</v>
      </c>
      <c r="F1419" s="432">
        <v>250500000</v>
      </c>
      <c r="G1419" s="1053">
        <f>F1419/E1419*100</f>
        <v>100</v>
      </c>
      <c r="H1419" s="882">
        <f>G1419</f>
        <v>100</v>
      </c>
      <c r="I1419" s="852"/>
      <c r="J1419" s="802"/>
    </row>
    <row r="1420" spans="3:10" ht="20.100000000000001" hidden="1" customHeight="1">
      <c r="C1420" s="878"/>
      <c r="D1420" s="1055" t="s">
        <v>3595</v>
      </c>
      <c r="E1420" s="1054">
        <v>250500000</v>
      </c>
      <c r="F1420" s="433">
        <v>250500000</v>
      </c>
      <c r="G1420" s="1053">
        <f>F1420/E1420*100</f>
        <v>100</v>
      </c>
      <c r="H1420" s="882">
        <f>G1420</f>
        <v>100</v>
      </c>
      <c r="I1420" s="852"/>
      <c r="J1420" s="802"/>
    </row>
    <row r="1421" spans="3:10" ht="15" hidden="1" customHeight="1">
      <c r="C1421" s="878"/>
      <c r="D1421" s="1055"/>
      <c r="E1421" s="1054"/>
      <c r="F1421" s="433"/>
      <c r="G1421" s="1053"/>
      <c r="H1421" s="882"/>
      <c r="I1421" s="852"/>
      <c r="J1421" s="802"/>
    </row>
    <row r="1422" spans="3:10" ht="20.100000000000001" hidden="1" customHeight="1">
      <c r="C1422" s="878"/>
      <c r="D1422" s="1057" t="s">
        <v>838</v>
      </c>
      <c r="E1422" s="1056">
        <v>299299000</v>
      </c>
      <c r="F1422" s="432">
        <v>299299000</v>
      </c>
      <c r="G1422" s="1053">
        <f>F1422/E1422*100</f>
        <v>100</v>
      </c>
      <c r="H1422" s="882">
        <f>G1422</f>
        <v>100</v>
      </c>
      <c r="I1422" s="852"/>
      <c r="J1422" s="802"/>
    </row>
    <row r="1423" spans="3:10" ht="20.100000000000001" hidden="1" customHeight="1">
      <c r="C1423" s="878"/>
      <c r="D1423" s="1057" t="s">
        <v>3594</v>
      </c>
      <c r="E1423" s="1056">
        <v>299299000</v>
      </c>
      <c r="F1423" s="432">
        <v>299299000</v>
      </c>
      <c r="G1423" s="1053">
        <f>F1423/E1423*100</f>
        <v>100</v>
      </c>
      <c r="H1423" s="882">
        <f>G1423</f>
        <v>100</v>
      </c>
      <c r="I1423" s="852"/>
      <c r="J1423" s="802"/>
    </row>
    <row r="1424" spans="3:10" ht="35.1" hidden="1" customHeight="1">
      <c r="C1424" s="878"/>
      <c r="D1424" s="1055" t="s">
        <v>3593</v>
      </c>
      <c r="E1424" s="1054">
        <v>299299000</v>
      </c>
      <c r="F1424" s="433">
        <v>299299000</v>
      </c>
      <c r="G1424" s="1053">
        <f>F1424/E1424*100</f>
        <v>100</v>
      </c>
      <c r="H1424" s="882">
        <f>G1424</f>
        <v>100</v>
      </c>
      <c r="I1424" s="852"/>
      <c r="J1424" s="802"/>
    </row>
    <row r="1425" spans="3:10" ht="15" hidden="1" customHeight="1">
      <c r="C1425" s="878"/>
      <c r="D1425" s="1055"/>
      <c r="E1425" s="1054"/>
      <c r="F1425" s="433"/>
      <c r="G1425" s="1053"/>
      <c r="H1425" s="882"/>
      <c r="I1425" s="852"/>
      <c r="J1425" s="802"/>
    </row>
    <row r="1426" spans="3:10" ht="20.100000000000001" hidden="1" customHeight="1">
      <c r="C1426" s="878"/>
      <c r="D1426" s="1057" t="s">
        <v>1373</v>
      </c>
      <c r="E1426" s="1056">
        <v>1928000000</v>
      </c>
      <c r="F1426" s="432">
        <v>1923000000</v>
      </c>
      <c r="G1426" s="1053">
        <f>F1426/E1426*100</f>
        <v>99.740663900414944</v>
      </c>
      <c r="H1426" s="882">
        <v>100</v>
      </c>
      <c r="I1426" s="852"/>
      <c r="J1426" s="802"/>
    </row>
    <row r="1427" spans="3:10" ht="20.100000000000001" hidden="1" customHeight="1">
      <c r="C1427" s="878"/>
      <c r="D1427" s="1057" t="s">
        <v>1374</v>
      </c>
      <c r="E1427" s="1056">
        <v>1928000000</v>
      </c>
      <c r="F1427" s="432">
        <v>1923000000</v>
      </c>
      <c r="G1427" s="1053">
        <f>F1427/E1427*100</f>
        <v>99.740663900414944</v>
      </c>
      <c r="H1427" s="882">
        <v>100</v>
      </c>
      <c r="I1427" s="852"/>
      <c r="J1427" s="802"/>
    </row>
    <row r="1428" spans="3:10" ht="20.100000000000001" hidden="1" customHeight="1">
      <c r="C1428" s="878"/>
      <c r="D1428" s="1055" t="s">
        <v>3592</v>
      </c>
      <c r="E1428" s="1054">
        <v>1928000000</v>
      </c>
      <c r="F1428" s="433">
        <v>1923000000</v>
      </c>
      <c r="G1428" s="1053">
        <f>F1428/E1428*100</f>
        <v>99.740663900414944</v>
      </c>
      <c r="H1428" s="882">
        <v>100</v>
      </c>
      <c r="I1428" s="852"/>
      <c r="J1428" s="802"/>
    </row>
    <row r="1429" spans="3:10" ht="15" hidden="1" customHeight="1">
      <c r="C1429" s="878"/>
      <c r="D1429" s="859"/>
      <c r="E1429" s="855"/>
      <c r="F1429" s="854"/>
      <c r="G1429" s="854"/>
      <c r="H1429" s="876"/>
      <c r="I1429" s="852"/>
      <c r="J1429" s="802"/>
    </row>
    <row r="1430" spans="3:10" s="522" customFormat="1" ht="20.100000000000001" customHeight="1">
      <c r="C1430" s="1666" t="s">
        <v>1314</v>
      </c>
      <c r="D1430" s="1673" t="s">
        <v>1315</v>
      </c>
      <c r="E1430" s="1670">
        <v>61939361529.599998</v>
      </c>
      <c r="F1430" s="1670">
        <f>+F1431+F1439+F1445+F1452+F1461+F1456+F1466+F1470+F1479+F1483+F1486+F1490+F1518+F1522+F1527</f>
        <v>56580661904</v>
      </c>
      <c r="G1430" s="1670">
        <f t="shared" ref="G1430:G1437" si="63">+F1430/E1430*100</f>
        <v>91.348474551131517</v>
      </c>
      <c r="H1430" s="1671">
        <f>(H1431+H1439+H1445+H1452+H1456+H1461+H1466+H1470+H1479+H1483+H1486+H1490+H1518+H1522+H1527)/15</f>
        <v>88.370505562031866</v>
      </c>
      <c r="I1430" s="1672"/>
      <c r="J1430" s="1359"/>
    </row>
    <row r="1431" spans="3:10" s="656" customFormat="1" ht="20.100000000000001" hidden="1" customHeight="1">
      <c r="C1431" s="881"/>
      <c r="D1431" s="889" t="s">
        <v>3591</v>
      </c>
      <c r="E1431" s="953">
        <f>E1432+E1434</f>
        <v>12257120186.599998</v>
      </c>
      <c r="F1431" s="953">
        <f>F1432+F1434</f>
        <v>11956464351</v>
      </c>
      <c r="G1431" s="855">
        <f t="shared" si="63"/>
        <v>97.547092375510118</v>
      </c>
      <c r="H1431" s="887">
        <f>(H1432+H1434)/2</f>
        <v>98.333333333333343</v>
      </c>
      <c r="I1431" s="863"/>
      <c r="J1431" s="44"/>
    </row>
    <row r="1432" spans="3:10" ht="20.100000000000001" hidden="1" customHeight="1">
      <c r="C1432" s="878"/>
      <c r="D1432" s="893" t="s">
        <v>1085</v>
      </c>
      <c r="E1432" s="953">
        <f>SUM(E1433:E1433)</f>
        <v>2001000000</v>
      </c>
      <c r="F1432" s="953">
        <f>SUM(F1433:F1433)</f>
        <v>1952573000</v>
      </c>
      <c r="G1432" s="855">
        <f t="shared" si="63"/>
        <v>97.579860069965022</v>
      </c>
      <c r="H1432" s="887">
        <v>100</v>
      </c>
      <c r="I1432" s="852"/>
      <c r="J1432" s="802"/>
    </row>
    <row r="1433" spans="3:10" ht="20.100000000000001" hidden="1" customHeight="1">
      <c r="C1433" s="878"/>
      <c r="D1433" s="886" t="s">
        <v>3590</v>
      </c>
      <c r="E1433" s="1049">
        <v>2001000000</v>
      </c>
      <c r="F1433" s="949">
        <v>1952573000</v>
      </c>
      <c r="G1433" s="855">
        <f t="shared" si="63"/>
        <v>97.579860069965022</v>
      </c>
      <c r="H1433" s="887">
        <v>100</v>
      </c>
      <c r="I1433" s="852"/>
      <c r="J1433" s="802"/>
    </row>
    <row r="1434" spans="3:10" ht="20.100000000000001" hidden="1" customHeight="1">
      <c r="C1434" s="878"/>
      <c r="D1434" s="893" t="s">
        <v>1096</v>
      </c>
      <c r="E1434" s="953">
        <f>SUM(E1435:E1437)</f>
        <v>10256120186.599998</v>
      </c>
      <c r="F1434" s="953">
        <f>SUM(F1435:F1437)</f>
        <v>10003891351</v>
      </c>
      <c r="G1434" s="855">
        <f t="shared" si="63"/>
        <v>97.54069929943347</v>
      </c>
      <c r="H1434" s="887">
        <f>290/3</f>
        <v>96.666666666666671</v>
      </c>
      <c r="I1434" s="852"/>
      <c r="J1434" s="802"/>
    </row>
    <row r="1435" spans="3:10" ht="20.100000000000001" hidden="1" customHeight="1">
      <c r="C1435" s="878"/>
      <c r="D1435" s="886" t="s">
        <v>3589</v>
      </c>
      <c r="E1435" s="1049">
        <v>1478129155.1199999</v>
      </c>
      <c r="F1435" s="949">
        <v>1262392320</v>
      </c>
      <c r="G1435" s="855">
        <f t="shared" si="63"/>
        <v>85.404737172477624</v>
      </c>
      <c r="H1435" s="887">
        <v>90</v>
      </c>
      <c r="I1435" s="852"/>
      <c r="J1435" s="802"/>
    </row>
    <row r="1436" spans="3:10" ht="20.100000000000001" hidden="1" customHeight="1">
      <c r="C1436" s="878"/>
      <c r="D1436" s="886" t="s">
        <v>3588</v>
      </c>
      <c r="E1436" s="1049">
        <v>5190861031.4799995</v>
      </c>
      <c r="F1436" s="1052">
        <v>5190861031</v>
      </c>
      <c r="G1436" s="855">
        <f t="shared" si="63"/>
        <v>99.999999990752983</v>
      </c>
      <c r="H1436" s="887">
        <v>100</v>
      </c>
      <c r="I1436" s="852"/>
      <c r="J1436" s="802"/>
    </row>
    <row r="1437" spans="3:10" ht="35.1" hidden="1" customHeight="1">
      <c r="C1437" s="878"/>
      <c r="D1437" s="886" t="s">
        <v>3587</v>
      </c>
      <c r="E1437" s="1049">
        <v>3587130000</v>
      </c>
      <c r="F1437" s="949">
        <v>3550638000</v>
      </c>
      <c r="G1437" s="855">
        <f t="shared" si="63"/>
        <v>98.982696473225118</v>
      </c>
      <c r="H1437" s="887">
        <v>100</v>
      </c>
      <c r="I1437" s="852"/>
      <c r="J1437" s="802"/>
    </row>
    <row r="1438" spans="3:10" ht="15" hidden="1" customHeight="1">
      <c r="C1438" s="878"/>
      <c r="D1438" s="808"/>
      <c r="E1438" s="960"/>
      <c r="F1438" s="960"/>
      <c r="G1438" s="855"/>
      <c r="H1438" s="887"/>
      <c r="I1438" s="852"/>
      <c r="J1438" s="802"/>
    </row>
    <row r="1439" spans="3:10" s="656" customFormat="1" ht="20.100000000000001" hidden="1" customHeight="1">
      <c r="C1439" s="881"/>
      <c r="D1439" s="889" t="s">
        <v>3586</v>
      </c>
      <c r="E1439" s="953">
        <f>E1440+E1442</f>
        <v>6410724569.7299995</v>
      </c>
      <c r="F1439" s="953">
        <f>F1440+F1442</f>
        <v>6334822863</v>
      </c>
      <c r="G1439" s="855">
        <f>+F1439/E1439*100</f>
        <v>98.816019844490128</v>
      </c>
      <c r="H1439" s="887">
        <v>100</v>
      </c>
      <c r="I1439" s="863"/>
      <c r="J1439" s="44"/>
    </row>
    <row r="1440" spans="3:10" ht="20.100000000000001" hidden="1" customHeight="1">
      <c r="C1440" s="878"/>
      <c r="D1440" s="893" t="s">
        <v>606</v>
      </c>
      <c r="E1440" s="953">
        <f>E1441</f>
        <v>590724569.73000002</v>
      </c>
      <c r="F1440" s="953">
        <f>F1441</f>
        <v>587548863</v>
      </c>
      <c r="G1440" s="855">
        <f>+F1440/E1440*100</f>
        <v>99.462404834210389</v>
      </c>
      <c r="H1440" s="887">
        <v>100</v>
      </c>
      <c r="I1440" s="852"/>
      <c r="J1440" s="802"/>
    </row>
    <row r="1441" spans="3:10" ht="20.100000000000001" hidden="1" customHeight="1">
      <c r="C1441" s="878"/>
      <c r="D1441" s="886" t="s">
        <v>3585</v>
      </c>
      <c r="E1441" s="1049">
        <v>590724569.73000002</v>
      </c>
      <c r="F1441" s="949">
        <v>587548863</v>
      </c>
      <c r="G1441" s="855">
        <f>+F1441/E1441*100</f>
        <v>99.462404834210389</v>
      </c>
      <c r="H1441" s="887">
        <v>100</v>
      </c>
      <c r="I1441" s="852"/>
      <c r="J1441" s="802"/>
    </row>
    <row r="1442" spans="3:10" ht="20.100000000000001" hidden="1" customHeight="1">
      <c r="C1442" s="878"/>
      <c r="D1442" s="893" t="s">
        <v>597</v>
      </c>
      <c r="E1442" s="953">
        <f>E1443</f>
        <v>5820000000</v>
      </c>
      <c r="F1442" s="953">
        <f>F1443</f>
        <v>5747274000</v>
      </c>
      <c r="G1442" s="855">
        <f>+F1442/E1442*100</f>
        <v>98.750412371134018</v>
      </c>
      <c r="H1442" s="887">
        <v>100</v>
      </c>
      <c r="I1442" s="852"/>
      <c r="J1442" s="802"/>
    </row>
    <row r="1443" spans="3:10" ht="20.100000000000001" hidden="1" customHeight="1">
      <c r="C1443" s="878"/>
      <c r="D1443" s="886" t="s">
        <v>3584</v>
      </c>
      <c r="E1443" s="1049">
        <v>5820000000</v>
      </c>
      <c r="F1443" s="949">
        <v>5747274000</v>
      </c>
      <c r="G1443" s="855">
        <f>+F1443/E1443*100</f>
        <v>98.750412371134018</v>
      </c>
      <c r="H1443" s="887">
        <v>100</v>
      </c>
      <c r="I1443" s="852"/>
      <c r="J1443" s="802"/>
    </row>
    <row r="1444" spans="3:10" ht="15" hidden="1" customHeight="1">
      <c r="C1444" s="878"/>
      <c r="D1444" s="808"/>
      <c r="E1444" s="960"/>
      <c r="F1444" s="960"/>
      <c r="G1444" s="855"/>
      <c r="H1444" s="887"/>
      <c r="I1444" s="852"/>
      <c r="J1444" s="802"/>
    </row>
    <row r="1445" spans="3:10" s="656" customFormat="1" ht="20.100000000000001" hidden="1" customHeight="1">
      <c r="C1445" s="881"/>
      <c r="D1445" s="889" t="s">
        <v>1319</v>
      </c>
      <c r="E1445" s="953">
        <f>E1446+E1448</f>
        <v>2880180308.4899998</v>
      </c>
      <c r="F1445" s="953">
        <f>F1446+F1448</f>
        <v>1787347724</v>
      </c>
      <c r="G1445" s="855">
        <f t="shared" ref="G1445:G1450" si="64">+F1445/E1445*100</f>
        <v>62.056799663943885</v>
      </c>
      <c r="H1445" s="887">
        <v>75</v>
      </c>
      <c r="I1445" s="863"/>
      <c r="J1445" s="44"/>
    </row>
    <row r="1446" spans="3:10" ht="20.100000000000001" hidden="1" customHeight="1">
      <c r="C1446" s="878"/>
      <c r="D1446" s="893" t="s">
        <v>606</v>
      </c>
      <c r="E1446" s="953">
        <f>E1447</f>
        <v>2127363000</v>
      </c>
      <c r="F1446" s="953">
        <f>F1447</f>
        <v>1035641695</v>
      </c>
      <c r="G1446" s="855">
        <f t="shared" si="64"/>
        <v>48.681945441375078</v>
      </c>
      <c r="H1446" s="887">
        <v>50</v>
      </c>
      <c r="I1446" s="852"/>
      <c r="J1446" s="802"/>
    </row>
    <row r="1447" spans="3:10" ht="20.100000000000001" hidden="1" customHeight="1">
      <c r="C1447" s="878"/>
      <c r="D1447" s="886" t="s">
        <v>1320</v>
      </c>
      <c r="E1447" s="1049">
        <v>2127363000</v>
      </c>
      <c r="F1447" s="949">
        <v>1035641695</v>
      </c>
      <c r="G1447" s="855">
        <f t="shared" si="64"/>
        <v>48.681945441375078</v>
      </c>
      <c r="H1447" s="887">
        <v>50</v>
      </c>
      <c r="I1447" s="852"/>
      <c r="J1447" s="802"/>
    </row>
    <row r="1448" spans="3:10" ht="20.100000000000001" hidden="1" customHeight="1">
      <c r="C1448" s="878"/>
      <c r="D1448" s="893" t="s">
        <v>597</v>
      </c>
      <c r="E1448" s="953">
        <f>SUM(E1449:E1450)</f>
        <v>752817308.49000001</v>
      </c>
      <c r="F1448" s="953">
        <f>SUM(F1449:F1450)</f>
        <v>751706029</v>
      </c>
      <c r="G1448" s="855">
        <f t="shared" si="64"/>
        <v>99.852383908091994</v>
      </c>
      <c r="H1448" s="887">
        <v>100</v>
      </c>
      <c r="I1448" s="852"/>
      <c r="J1448" s="802"/>
    </row>
    <row r="1449" spans="3:10" ht="35.1" hidden="1" customHeight="1">
      <c r="C1449" s="878"/>
      <c r="D1449" s="886" t="s">
        <v>3583</v>
      </c>
      <c r="E1449" s="1049">
        <v>449537831</v>
      </c>
      <c r="F1449" s="949">
        <v>448501900</v>
      </c>
      <c r="G1449" s="855">
        <f t="shared" si="64"/>
        <v>99.769556435840883</v>
      </c>
      <c r="H1449" s="887">
        <v>100</v>
      </c>
      <c r="I1449" s="852"/>
      <c r="J1449" s="802"/>
    </row>
    <row r="1450" spans="3:10" ht="20.100000000000001" hidden="1" customHeight="1">
      <c r="C1450" s="878"/>
      <c r="D1450" s="886" t="s">
        <v>3582</v>
      </c>
      <c r="E1450" s="1049">
        <v>303279477.49000001</v>
      </c>
      <c r="F1450" s="949">
        <v>303204129</v>
      </c>
      <c r="G1450" s="855">
        <f t="shared" si="64"/>
        <v>99.975155427388756</v>
      </c>
      <c r="H1450" s="887">
        <v>100</v>
      </c>
      <c r="I1450" s="852"/>
      <c r="J1450" s="802"/>
    </row>
    <row r="1451" spans="3:10" ht="15" hidden="1" customHeight="1">
      <c r="C1451" s="878"/>
      <c r="D1451" s="808"/>
      <c r="E1451" s="960"/>
      <c r="F1451" s="960"/>
      <c r="G1451" s="855"/>
      <c r="H1451" s="887"/>
      <c r="I1451" s="852"/>
      <c r="J1451" s="802"/>
    </row>
    <row r="1452" spans="3:10" s="656" customFormat="1" ht="20.100000000000001" hidden="1" customHeight="1">
      <c r="C1452" s="881"/>
      <c r="D1452" s="889" t="s">
        <v>3581</v>
      </c>
      <c r="E1452" s="953">
        <f>E1453</f>
        <v>3553384398.0100002</v>
      </c>
      <c r="F1452" s="953">
        <f>F1453</f>
        <v>3166350000</v>
      </c>
      <c r="G1452" s="855">
        <f>+F1452/E1452*100</f>
        <v>89.108006490185787</v>
      </c>
      <c r="H1452" s="887">
        <v>90</v>
      </c>
      <c r="I1452" s="863"/>
      <c r="J1452" s="44"/>
    </row>
    <row r="1453" spans="3:10" ht="20.100000000000001" hidden="1" customHeight="1">
      <c r="C1453" s="878"/>
      <c r="D1453" s="893" t="s">
        <v>1321</v>
      </c>
      <c r="E1453" s="953">
        <f>E1454</f>
        <v>3553384398.0100002</v>
      </c>
      <c r="F1453" s="953">
        <f>F1454</f>
        <v>3166350000</v>
      </c>
      <c r="G1453" s="855">
        <f>+F1453/E1453*100</f>
        <v>89.108006490185787</v>
      </c>
      <c r="H1453" s="887">
        <v>90</v>
      </c>
      <c r="I1453" s="852"/>
      <c r="J1453" s="802"/>
    </row>
    <row r="1454" spans="3:10" ht="20.100000000000001" hidden="1" customHeight="1">
      <c r="C1454" s="878"/>
      <c r="D1454" s="886" t="s">
        <v>3580</v>
      </c>
      <c r="E1454" s="1049">
        <v>3553384398.0100002</v>
      </c>
      <c r="F1454" s="949">
        <v>3166350000</v>
      </c>
      <c r="G1454" s="855">
        <f>+F1454/E1454*100</f>
        <v>89.108006490185787</v>
      </c>
      <c r="H1454" s="887">
        <v>90</v>
      </c>
      <c r="I1454" s="852"/>
      <c r="J1454" s="802"/>
    </row>
    <row r="1455" spans="3:10" ht="15" hidden="1" customHeight="1">
      <c r="C1455" s="878"/>
      <c r="D1455" s="808"/>
      <c r="E1455" s="1051"/>
      <c r="F1455" s="1051"/>
      <c r="G1455" s="855"/>
      <c r="H1455" s="887"/>
      <c r="I1455" s="852"/>
      <c r="J1455" s="802"/>
    </row>
    <row r="1456" spans="3:10" s="656" customFormat="1" ht="35.1" hidden="1" customHeight="1">
      <c r="C1456" s="881"/>
      <c r="D1456" s="889" t="s">
        <v>3579</v>
      </c>
      <c r="E1456" s="953">
        <f>E1457</f>
        <v>6649623635</v>
      </c>
      <c r="F1456" s="953">
        <f>F1457</f>
        <v>5506531900</v>
      </c>
      <c r="G1456" s="855">
        <f>+F1456/E1456*100</f>
        <v>82.809677693886513</v>
      </c>
      <c r="H1456" s="887">
        <f>H1457</f>
        <v>42.5</v>
      </c>
      <c r="I1456" s="863"/>
      <c r="J1456" s="44"/>
    </row>
    <row r="1457" spans="3:10" ht="35.1" hidden="1" customHeight="1">
      <c r="C1457" s="878"/>
      <c r="D1457" s="890" t="s">
        <v>1324</v>
      </c>
      <c r="E1457" s="953">
        <f>SUM(E1458:E1459)</f>
        <v>6649623635</v>
      </c>
      <c r="F1457" s="953">
        <f>SUM(F1458:F1459)</f>
        <v>5506531900</v>
      </c>
      <c r="G1457" s="855">
        <f>+F1457/E1457*100</f>
        <v>82.809677693886513</v>
      </c>
      <c r="H1457" s="887">
        <f>85/2</f>
        <v>42.5</v>
      </c>
      <c r="I1457" s="852"/>
      <c r="J1457" s="802"/>
    </row>
    <row r="1458" spans="3:10" ht="20.100000000000001" hidden="1" customHeight="1">
      <c r="C1458" s="878"/>
      <c r="D1458" s="886" t="s">
        <v>3578</v>
      </c>
      <c r="E1458" s="1049">
        <v>51820000</v>
      </c>
      <c r="F1458" s="949"/>
      <c r="G1458" s="855">
        <f>+F1458/E1458*100</f>
        <v>0</v>
      </c>
      <c r="H1458" s="887">
        <f>+G1458</f>
        <v>0</v>
      </c>
      <c r="I1458" s="852"/>
      <c r="J1458" s="802"/>
    </row>
    <row r="1459" spans="3:10" ht="20.100000000000001" hidden="1" customHeight="1">
      <c r="C1459" s="878"/>
      <c r="D1459" s="886" t="s">
        <v>3577</v>
      </c>
      <c r="E1459" s="1049">
        <v>6597803635</v>
      </c>
      <c r="F1459" s="949">
        <v>5506531900</v>
      </c>
      <c r="G1459" s="855">
        <f>+F1459/E1459*100</f>
        <v>83.460075574073983</v>
      </c>
      <c r="H1459" s="887">
        <v>85</v>
      </c>
      <c r="I1459" s="852"/>
      <c r="J1459" s="802"/>
    </row>
    <row r="1460" spans="3:10" ht="15" hidden="1" customHeight="1">
      <c r="C1460" s="878"/>
      <c r="D1460" s="808"/>
      <c r="E1460" s="960"/>
      <c r="F1460" s="960"/>
      <c r="G1460" s="855"/>
      <c r="H1460" s="887"/>
      <c r="I1460" s="852"/>
      <c r="J1460" s="802"/>
    </row>
    <row r="1461" spans="3:10" s="656" customFormat="1" ht="35.1" hidden="1" customHeight="1">
      <c r="C1461" s="881"/>
      <c r="D1461" s="889" t="s">
        <v>3576</v>
      </c>
      <c r="E1461" s="953">
        <f>E1462</f>
        <v>879102180</v>
      </c>
      <c r="F1461" s="953">
        <f>F1462</f>
        <v>861001773</v>
      </c>
      <c r="G1461" s="855">
        <f>+F1461/E1461*100</f>
        <v>97.941034909047772</v>
      </c>
      <c r="H1461" s="887">
        <v>100</v>
      </c>
      <c r="I1461" s="863"/>
      <c r="J1461" s="44"/>
    </row>
    <row r="1462" spans="3:10" s="656" customFormat="1" ht="20.100000000000001" hidden="1" customHeight="1">
      <c r="C1462" s="881"/>
      <c r="D1462" s="890" t="s">
        <v>652</v>
      </c>
      <c r="E1462" s="953">
        <f>SUM(E1463:E1464)</f>
        <v>879102180</v>
      </c>
      <c r="F1462" s="953">
        <f>SUM(F1463:F1464)</f>
        <v>861001773</v>
      </c>
      <c r="G1462" s="855">
        <f>+F1462/E1462*100</f>
        <v>97.941034909047772</v>
      </c>
      <c r="H1462" s="887">
        <v>100</v>
      </c>
      <c r="I1462" s="863"/>
      <c r="J1462" s="44"/>
    </row>
    <row r="1463" spans="3:10" ht="51" hidden="1" customHeight="1">
      <c r="C1463" s="878"/>
      <c r="D1463" s="886" t="s">
        <v>3575</v>
      </c>
      <c r="E1463" s="1049">
        <v>709062180</v>
      </c>
      <c r="F1463" s="949">
        <v>691950198</v>
      </c>
      <c r="G1463" s="855">
        <f>+F1463/E1463*100</f>
        <v>97.586673992399369</v>
      </c>
      <c r="H1463" s="887">
        <v>100</v>
      </c>
      <c r="I1463" s="852"/>
      <c r="J1463" s="802"/>
    </row>
    <row r="1464" spans="3:10" ht="20.100000000000001" hidden="1" customHeight="1">
      <c r="C1464" s="878"/>
      <c r="D1464" s="886" t="s">
        <v>3574</v>
      </c>
      <c r="E1464" s="1049">
        <v>170040000</v>
      </c>
      <c r="F1464" s="949">
        <v>169051575</v>
      </c>
      <c r="G1464" s="855">
        <f>+F1464/E1464*100</f>
        <v>99.418710303458013</v>
      </c>
      <c r="H1464" s="887">
        <v>100</v>
      </c>
      <c r="I1464" s="852"/>
      <c r="J1464" s="802"/>
    </row>
    <row r="1465" spans="3:10" ht="15" hidden="1" customHeight="1">
      <c r="C1465" s="878"/>
      <c r="D1465" s="808"/>
      <c r="E1465" s="960"/>
      <c r="F1465" s="960"/>
      <c r="G1465" s="855"/>
      <c r="H1465" s="887"/>
      <c r="I1465" s="852"/>
      <c r="J1465" s="802"/>
    </row>
    <row r="1466" spans="3:10" s="656" customFormat="1" ht="20.100000000000001" hidden="1" customHeight="1">
      <c r="C1466" s="881"/>
      <c r="D1466" s="889" t="s">
        <v>3573</v>
      </c>
      <c r="E1466" s="953">
        <f>E1467</f>
        <v>2184853054</v>
      </c>
      <c r="F1466" s="953">
        <f>F1467</f>
        <v>1206586000</v>
      </c>
      <c r="G1466" s="855">
        <f>+F1466/E1466*100</f>
        <v>55.225041235198788</v>
      </c>
      <c r="H1466" s="887">
        <v>55</v>
      </c>
      <c r="I1466" s="863"/>
      <c r="J1466" s="44"/>
    </row>
    <row r="1467" spans="3:10" ht="20.100000000000001" hidden="1" customHeight="1">
      <c r="C1467" s="878"/>
      <c r="D1467" s="893" t="s">
        <v>1348</v>
      </c>
      <c r="E1467" s="953">
        <f>E1468</f>
        <v>2184853054</v>
      </c>
      <c r="F1467" s="953">
        <f>F1468</f>
        <v>1206586000</v>
      </c>
      <c r="G1467" s="855">
        <f>+F1467/E1467*100</f>
        <v>55.225041235198788</v>
      </c>
      <c r="H1467" s="887">
        <v>55</v>
      </c>
      <c r="I1467" s="852"/>
      <c r="J1467" s="802"/>
    </row>
    <row r="1468" spans="3:10" ht="20.100000000000001" hidden="1" customHeight="1">
      <c r="C1468" s="878"/>
      <c r="D1468" s="886" t="s">
        <v>1349</v>
      </c>
      <c r="E1468" s="1049">
        <v>2184853054</v>
      </c>
      <c r="F1468" s="949">
        <v>1206586000</v>
      </c>
      <c r="G1468" s="855">
        <f>+F1468/E1468*100</f>
        <v>55.225041235198788</v>
      </c>
      <c r="H1468" s="887">
        <v>55</v>
      </c>
      <c r="I1468" s="852"/>
      <c r="J1468" s="802"/>
    </row>
    <row r="1469" spans="3:10" ht="15" hidden="1" customHeight="1">
      <c r="C1469" s="878"/>
      <c r="D1469" s="808"/>
      <c r="E1469" s="960"/>
      <c r="F1469" s="960"/>
      <c r="G1469" s="855"/>
      <c r="H1469" s="887"/>
      <c r="I1469" s="852"/>
      <c r="J1469" s="802"/>
    </row>
    <row r="1470" spans="3:10" s="656" customFormat="1" ht="20.100000000000001" hidden="1" customHeight="1">
      <c r="C1470" s="881"/>
      <c r="D1470" s="889" t="s">
        <v>3572</v>
      </c>
      <c r="E1470" s="953">
        <f>E1471+E1474</f>
        <v>1372086051</v>
      </c>
      <c r="F1470" s="953">
        <f>F1471+F1474</f>
        <v>1058722513</v>
      </c>
      <c r="G1470" s="855">
        <f t="shared" ref="G1470:G1477" si="65">+F1470/E1470*100</f>
        <v>77.161524397714317</v>
      </c>
      <c r="H1470" s="887">
        <f>(H1471+H1474)/2</f>
        <v>78.333333333333343</v>
      </c>
      <c r="I1470" s="863"/>
      <c r="J1470" s="44"/>
    </row>
    <row r="1471" spans="3:10" s="656" customFormat="1" ht="20.100000000000001" hidden="1" customHeight="1">
      <c r="C1471" s="881"/>
      <c r="D1471" s="890" t="s">
        <v>1328</v>
      </c>
      <c r="E1471" s="953">
        <f>SUM(E1472:E1473)</f>
        <v>660032000</v>
      </c>
      <c r="F1471" s="953">
        <f>SUM(F1472:F1473)</f>
        <v>451144600</v>
      </c>
      <c r="G1471" s="855">
        <f t="shared" si="65"/>
        <v>68.351928391350725</v>
      </c>
      <c r="H1471" s="887">
        <f>70</f>
        <v>70</v>
      </c>
      <c r="I1471" s="863"/>
      <c r="J1471" s="44"/>
    </row>
    <row r="1472" spans="3:10" ht="20.100000000000001" hidden="1" customHeight="1">
      <c r="C1472" s="878"/>
      <c r="D1472" s="886" t="s">
        <v>3571</v>
      </c>
      <c r="E1472" s="1049">
        <v>299741000</v>
      </c>
      <c r="F1472" s="949">
        <v>218041700</v>
      </c>
      <c r="G1472" s="855">
        <f t="shared" si="65"/>
        <v>72.743368441421097</v>
      </c>
      <c r="H1472" s="887">
        <v>75</v>
      </c>
      <c r="I1472" s="852"/>
      <c r="J1472" s="802"/>
    </row>
    <row r="1473" spans="3:10" ht="20.100000000000001" hidden="1" customHeight="1">
      <c r="C1473" s="878"/>
      <c r="D1473" s="886" t="s">
        <v>1330</v>
      </c>
      <c r="E1473" s="1049">
        <v>360291000</v>
      </c>
      <c r="F1473" s="949">
        <v>233102900</v>
      </c>
      <c r="G1473" s="855">
        <f t="shared" si="65"/>
        <v>64.698507595249396</v>
      </c>
      <c r="H1473" s="887">
        <v>65</v>
      </c>
      <c r="I1473" s="852"/>
      <c r="J1473" s="802"/>
    </row>
    <row r="1474" spans="3:10" s="656" customFormat="1" ht="35.1" hidden="1" customHeight="1">
      <c r="C1474" s="881"/>
      <c r="D1474" s="893" t="s">
        <v>1331</v>
      </c>
      <c r="E1474" s="953">
        <f>SUM(E1475:E1477)</f>
        <v>712054051</v>
      </c>
      <c r="F1474" s="953">
        <f>SUM(F1475:F1477)</f>
        <v>607577913</v>
      </c>
      <c r="G1474" s="855">
        <f t="shared" si="65"/>
        <v>85.327498965384024</v>
      </c>
      <c r="H1474" s="887">
        <f>260/3</f>
        <v>86.666666666666671</v>
      </c>
      <c r="I1474" s="863"/>
      <c r="J1474" s="44"/>
    </row>
    <row r="1475" spans="3:10" ht="20.100000000000001" hidden="1" customHeight="1">
      <c r="C1475" s="878"/>
      <c r="D1475" s="886" t="s">
        <v>1332</v>
      </c>
      <c r="E1475" s="1049">
        <v>249516000</v>
      </c>
      <c r="F1475" s="949">
        <v>244042851</v>
      </c>
      <c r="G1475" s="855">
        <f t="shared" si="65"/>
        <v>97.806493771942485</v>
      </c>
      <c r="H1475" s="887">
        <v>100</v>
      </c>
      <c r="I1475" s="852"/>
      <c r="J1475" s="802"/>
    </row>
    <row r="1476" spans="3:10" ht="35.1" hidden="1" customHeight="1">
      <c r="C1476" s="878"/>
      <c r="D1476" s="886" t="s">
        <v>1333</v>
      </c>
      <c r="E1476" s="1049">
        <v>146615000</v>
      </c>
      <c r="F1476" s="949">
        <v>123966062</v>
      </c>
      <c r="G1476" s="855">
        <f t="shared" si="65"/>
        <v>84.552100399004189</v>
      </c>
      <c r="H1476" s="887">
        <v>85</v>
      </c>
      <c r="I1476" s="852"/>
      <c r="J1476" s="802"/>
    </row>
    <row r="1477" spans="3:10" ht="35.1" hidden="1" customHeight="1">
      <c r="C1477" s="878"/>
      <c r="D1477" s="886" t="s">
        <v>3570</v>
      </c>
      <c r="E1477" s="1049">
        <v>315923051</v>
      </c>
      <c r="F1477" s="949">
        <v>239569000</v>
      </c>
      <c r="G1477" s="855">
        <f t="shared" si="65"/>
        <v>75.831440359190509</v>
      </c>
      <c r="H1477" s="887">
        <v>75</v>
      </c>
      <c r="I1477" s="852"/>
      <c r="J1477" s="802"/>
    </row>
    <row r="1478" spans="3:10" ht="15" hidden="1" customHeight="1">
      <c r="C1478" s="878"/>
      <c r="D1478" s="808"/>
      <c r="E1478" s="960"/>
      <c r="F1478" s="960"/>
      <c r="G1478" s="855"/>
      <c r="H1478" s="887"/>
      <c r="I1478" s="852"/>
      <c r="J1478" s="802"/>
    </row>
    <row r="1479" spans="3:10" s="656" customFormat="1" ht="20.100000000000001" hidden="1" customHeight="1">
      <c r="C1479" s="881"/>
      <c r="D1479" s="889" t="s">
        <v>3569</v>
      </c>
      <c r="E1479" s="953">
        <f>E1480</f>
        <v>2344275510</v>
      </c>
      <c r="F1479" s="953">
        <f>F1480</f>
        <v>2291400000</v>
      </c>
      <c r="G1479" s="855">
        <f>+F1479/E1479*100</f>
        <v>97.744483966391812</v>
      </c>
      <c r="H1479" s="887">
        <v>100</v>
      </c>
      <c r="I1479" s="863"/>
      <c r="J1479" s="44"/>
    </row>
    <row r="1480" spans="3:10" ht="20.100000000000001" hidden="1" customHeight="1">
      <c r="C1480" s="878"/>
      <c r="D1480" s="893" t="s">
        <v>1326</v>
      </c>
      <c r="E1480" s="953">
        <f>E1481</f>
        <v>2344275510</v>
      </c>
      <c r="F1480" s="953">
        <f>F1481</f>
        <v>2291400000</v>
      </c>
      <c r="G1480" s="855">
        <f>+F1480/E1480*100</f>
        <v>97.744483966391812</v>
      </c>
      <c r="H1480" s="887">
        <v>100</v>
      </c>
      <c r="I1480" s="852"/>
      <c r="J1480" s="802"/>
    </row>
    <row r="1481" spans="3:10" ht="20.100000000000001" hidden="1" customHeight="1">
      <c r="C1481" s="878"/>
      <c r="D1481" s="886" t="s">
        <v>1327</v>
      </c>
      <c r="E1481" s="1049">
        <v>2344275510</v>
      </c>
      <c r="F1481" s="949">
        <v>2291400000</v>
      </c>
      <c r="G1481" s="855">
        <f>+F1481/E1481*100</f>
        <v>97.744483966391812</v>
      </c>
      <c r="H1481" s="887">
        <v>100</v>
      </c>
      <c r="I1481" s="852"/>
      <c r="J1481" s="802"/>
    </row>
    <row r="1482" spans="3:10" ht="20.100000000000001" hidden="1" customHeight="1">
      <c r="C1482" s="878"/>
      <c r="D1482" s="808"/>
      <c r="E1482" s="960"/>
      <c r="F1482" s="960"/>
      <c r="G1482" s="855"/>
      <c r="H1482" s="887"/>
      <c r="I1482" s="852"/>
      <c r="J1482" s="802"/>
    </row>
    <row r="1483" spans="3:10" s="656" customFormat="1" ht="20.100000000000001" hidden="1" customHeight="1">
      <c r="C1483" s="881"/>
      <c r="D1483" s="889" t="s">
        <v>2573</v>
      </c>
      <c r="E1483" s="953">
        <f>+E1484</f>
        <v>6324700000</v>
      </c>
      <c r="F1483" s="953">
        <f>+F1484</f>
        <v>6324700000</v>
      </c>
      <c r="G1483" s="855">
        <f>+F1483/E1483*100</f>
        <v>100</v>
      </c>
      <c r="H1483" s="887">
        <f>+G1483</f>
        <v>100</v>
      </c>
      <c r="I1483" s="863"/>
      <c r="J1483" s="44"/>
    </row>
    <row r="1484" spans="3:10" ht="20.100000000000001" hidden="1" customHeight="1">
      <c r="C1484" s="878"/>
      <c r="D1484" s="886" t="s">
        <v>2574</v>
      </c>
      <c r="E1484" s="1049">
        <v>6324700000</v>
      </c>
      <c r="F1484" s="949">
        <v>6324700000</v>
      </c>
      <c r="G1484" s="855">
        <f>+F1484/E1484*100</f>
        <v>100</v>
      </c>
      <c r="H1484" s="887">
        <f>+G1484</f>
        <v>100</v>
      </c>
      <c r="I1484" s="852"/>
      <c r="J1484" s="802"/>
    </row>
    <row r="1485" spans="3:10" ht="15" hidden="1" customHeight="1">
      <c r="C1485" s="878"/>
      <c r="D1485" s="808"/>
      <c r="E1485" s="960"/>
      <c r="F1485" s="960"/>
      <c r="G1485" s="855"/>
      <c r="H1485" s="887"/>
      <c r="I1485" s="852"/>
      <c r="J1485" s="802"/>
    </row>
    <row r="1486" spans="3:10" ht="20.100000000000001" hidden="1" customHeight="1">
      <c r="C1486" s="878"/>
      <c r="D1486" s="889" t="s">
        <v>3568</v>
      </c>
      <c r="E1486" s="953">
        <f>E1487</f>
        <v>359684032</v>
      </c>
      <c r="F1486" s="953">
        <f>F1487</f>
        <v>359527140</v>
      </c>
      <c r="G1486" s="855">
        <f>+F1486/E1486*100</f>
        <v>99.95638060463024</v>
      </c>
      <c r="H1486" s="887">
        <v>100</v>
      </c>
      <c r="I1486" s="852"/>
      <c r="J1486" s="802"/>
    </row>
    <row r="1487" spans="3:10" s="656" customFormat="1" ht="35.1" hidden="1" customHeight="1">
      <c r="C1487" s="881"/>
      <c r="D1487" s="893" t="s">
        <v>649</v>
      </c>
      <c r="E1487" s="953">
        <f>E1488</f>
        <v>359684032</v>
      </c>
      <c r="F1487" s="953">
        <f>F1488</f>
        <v>359527140</v>
      </c>
      <c r="G1487" s="855">
        <f>+F1487/E1487*100</f>
        <v>99.95638060463024</v>
      </c>
      <c r="H1487" s="887">
        <v>100</v>
      </c>
      <c r="I1487" s="863"/>
      <c r="J1487" s="44"/>
    </row>
    <row r="1488" spans="3:10" ht="20.100000000000001" hidden="1" customHeight="1">
      <c r="C1488" s="878"/>
      <c r="D1488" s="886" t="s">
        <v>3567</v>
      </c>
      <c r="E1488" s="1049">
        <v>359684032</v>
      </c>
      <c r="F1488" s="949">
        <v>359527140</v>
      </c>
      <c r="G1488" s="855">
        <f>+F1488/E1488*100</f>
        <v>99.95638060463024</v>
      </c>
      <c r="H1488" s="887">
        <v>100</v>
      </c>
      <c r="I1488" s="852"/>
      <c r="J1488" s="802"/>
    </row>
    <row r="1489" spans="3:10" s="656" customFormat="1" ht="15" hidden="1" customHeight="1">
      <c r="C1489" s="881"/>
      <c r="D1489" s="808"/>
      <c r="E1489" s="960"/>
      <c r="F1489" s="960"/>
      <c r="G1489" s="855"/>
      <c r="H1489" s="887"/>
      <c r="I1489" s="863"/>
      <c r="J1489" s="44"/>
    </row>
    <row r="1490" spans="3:10" s="656" customFormat="1" ht="20.100000000000001" hidden="1" customHeight="1">
      <c r="C1490" s="881"/>
      <c r="D1490" s="889" t="s">
        <v>3566</v>
      </c>
      <c r="E1490" s="953">
        <f>E1491+E1496+E1505+E1507+E1510+E1514</f>
        <v>6928185626</v>
      </c>
      <c r="F1490" s="953">
        <f>F1491+F1496+F1505+F1507+F1510+F1514</f>
        <v>6678141640</v>
      </c>
      <c r="G1490" s="855">
        <f t="shared" ref="G1490:G1516" si="66">+F1490/E1490*100</f>
        <v>96.390916763811319</v>
      </c>
      <c r="H1490" s="887">
        <f>+G1490</f>
        <v>96.390916763811319</v>
      </c>
      <c r="I1490" s="863"/>
      <c r="J1490" s="44"/>
    </row>
    <row r="1491" spans="3:10" s="656" customFormat="1" ht="20.100000000000001" hidden="1" customHeight="1">
      <c r="C1491" s="881"/>
      <c r="D1491" s="893" t="s">
        <v>3565</v>
      </c>
      <c r="E1491" s="953">
        <f>SUM(E1492:E1495)</f>
        <v>798859051</v>
      </c>
      <c r="F1491" s="953">
        <f>SUM(F1492:F1495)</f>
        <v>731849605</v>
      </c>
      <c r="G1491" s="855">
        <f t="shared" si="66"/>
        <v>91.611856194641774</v>
      </c>
      <c r="H1491" s="887">
        <f>SUM((H1492:H1495))/4</f>
        <v>93.75</v>
      </c>
      <c r="I1491" s="863"/>
      <c r="J1491" s="44"/>
    </row>
    <row r="1492" spans="3:10" ht="20.100000000000001" hidden="1" customHeight="1">
      <c r="C1492" s="878"/>
      <c r="D1492" s="886" t="s">
        <v>3564</v>
      </c>
      <c r="E1492" s="1049">
        <v>213000000</v>
      </c>
      <c r="F1492" s="949">
        <v>209545940</v>
      </c>
      <c r="G1492" s="855">
        <f t="shared" si="66"/>
        <v>98.37837558685446</v>
      </c>
      <c r="H1492" s="887">
        <v>100</v>
      </c>
      <c r="I1492" s="852"/>
      <c r="J1492" s="802"/>
    </row>
    <row r="1493" spans="3:10" ht="20.100000000000001" hidden="1" customHeight="1">
      <c r="C1493" s="878"/>
      <c r="D1493" s="886" t="s">
        <v>3563</v>
      </c>
      <c r="E1493" s="1049">
        <v>228000000</v>
      </c>
      <c r="F1493" s="949">
        <v>222689600</v>
      </c>
      <c r="G1493" s="855">
        <f t="shared" si="66"/>
        <v>97.670877192982459</v>
      </c>
      <c r="H1493" s="887">
        <v>100</v>
      </c>
      <c r="I1493" s="852"/>
      <c r="J1493" s="802"/>
    </row>
    <row r="1494" spans="3:10" ht="20.100000000000001" hidden="1" customHeight="1">
      <c r="C1494" s="878"/>
      <c r="D1494" s="886" t="s">
        <v>3562</v>
      </c>
      <c r="E1494" s="1049">
        <v>132859051</v>
      </c>
      <c r="F1494" s="949">
        <v>129316880</v>
      </c>
      <c r="G1494" s="855">
        <f t="shared" si="66"/>
        <v>97.333888076620383</v>
      </c>
      <c r="H1494" s="887">
        <v>100</v>
      </c>
      <c r="I1494" s="852"/>
      <c r="J1494" s="802"/>
    </row>
    <row r="1495" spans="3:10" ht="20.100000000000001" hidden="1" customHeight="1">
      <c r="C1495" s="878"/>
      <c r="D1495" s="886" t="s">
        <v>3561</v>
      </c>
      <c r="E1495" s="1049">
        <v>225000000</v>
      </c>
      <c r="F1495" s="949">
        <v>170297185</v>
      </c>
      <c r="G1495" s="855">
        <f t="shared" si="66"/>
        <v>75.68763777777778</v>
      </c>
      <c r="H1495" s="887">
        <v>75</v>
      </c>
      <c r="I1495" s="852"/>
      <c r="J1495" s="802"/>
    </row>
    <row r="1496" spans="3:10" ht="20.100000000000001" hidden="1" customHeight="1">
      <c r="C1496" s="878"/>
      <c r="D1496" s="893" t="s">
        <v>1337</v>
      </c>
      <c r="E1496" s="953">
        <f>SUM(E1497:E1504)</f>
        <v>3694774575</v>
      </c>
      <c r="F1496" s="953">
        <f>SUM(F1497:F1504)</f>
        <v>3679416220</v>
      </c>
      <c r="G1496" s="855">
        <f t="shared" si="66"/>
        <v>99.584322272218728</v>
      </c>
      <c r="H1496" s="887">
        <f>SUM((H1497:H1504))/8</f>
        <v>100</v>
      </c>
      <c r="I1496" s="852"/>
      <c r="J1496" s="802"/>
    </row>
    <row r="1497" spans="3:10" ht="20.100000000000001" hidden="1" customHeight="1">
      <c r="C1497" s="878"/>
      <c r="D1497" s="886" t="s">
        <v>3560</v>
      </c>
      <c r="E1497" s="1049">
        <v>164966000</v>
      </c>
      <c r="F1497" s="949">
        <v>164526875</v>
      </c>
      <c r="G1497" s="855">
        <f t="shared" si="66"/>
        <v>99.733808784840519</v>
      </c>
      <c r="H1497" s="887">
        <v>100</v>
      </c>
      <c r="I1497" s="852"/>
      <c r="J1497" s="802"/>
    </row>
    <row r="1498" spans="3:10" ht="20.100000000000001" hidden="1" customHeight="1">
      <c r="C1498" s="878"/>
      <c r="D1498" s="886" t="s">
        <v>3559</v>
      </c>
      <c r="E1498" s="1049">
        <v>195000000</v>
      </c>
      <c r="F1498" s="949">
        <v>192179290</v>
      </c>
      <c r="G1498" s="855">
        <f t="shared" si="66"/>
        <v>98.553482051282046</v>
      </c>
      <c r="H1498" s="887">
        <v>100</v>
      </c>
      <c r="I1498" s="852"/>
      <c r="J1498" s="802"/>
    </row>
    <row r="1499" spans="3:10" ht="20.100000000000001" hidden="1" customHeight="1">
      <c r="C1499" s="878"/>
      <c r="D1499" s="886" t="s">
        <v>3558</v>
      </c>
      <c r="E1499" s="1049">
        <v>248720000</v>
      </c>
      <c r="F1499" s="949">
        <v>248420000</v>
      </c>
      <c r="G1499" s="855">
        <f t="shared" si="66"/>
        <v>99.879382438082985</v>
      </c>
      <c r="H1499" s="887">
        <v>100</v>
      </c>
      <c r="I1499" s="852"/>
      <c r="J1499" s="802"/>
    </row>
    <row r="1500" spans="3:10" ht="20.100000000000001" hidden="1" customHeight="1">
      <c r="C1500" s="878"/>
      <c r="D1500" s="886" t="s">
        <v>3557</v>
      </c>
      <c r="E1500" s="1049">
        <v>366731575</v>
      </c>
      <c r="F1500" s="949">
        <v>358635640</v>
      </c>
      <c r="G1500" s="855">
        <f t="shared" si="66"/>
        <v>97.79240852113702</v>
      </c>
      <c r="H1500" s="887">
        <v>100</v>
      </c>
      <c r="I1500" s="852"/>
      <c r="J1500" s="802"/>
    </row>
    <row r="1501" spans="3:10" ht="20.100000000000001" hidden="1" customHeight="1">
      <c r="C1501" s="878"/>
      <c r="D1501" s="886" t="s">
        <v>3556</v>
      </c>
      <c r="E1501" s="1049">
        <v>1200000000</v>
      </c>
      <c r="F1501" s="949">
        <v>1199139630</v>
      </c>
      <c r="G1501" s="855">
        <f t="shared" si="66"/>
        <v>99.928302500000001</v>
      </c>
      <c r="H1501" s="887">
        <v>100</v>
      </c>
      <c r="I1501" s="852"/>
      <c r="J1501" s="802"/>
    </row>
    <row r="1502" spans="3:10" ht="20.100000000000001" hidden="1" customHeight="1">
      <c r="C1502" s="878"/>
      <c r="D1502" s="886" t="s">
        <v>3555</v>
      </c>
      <c r="E1502" s="1049">
        <v>1000000000</v>
      </c>
      <c r="F1502" s="949">
        <v>998677900</v>
      </c>
      <c r="G1502" s="855">
        <f t="shared" si="66"/>
        <v>99.867789999999999</v>
      </c>
      <c r="H1502" s="887">
        <v>100</v>
      </c>
      <c r="I1502" s="852"/>
      <c r="J1502" s="802"/>
    </row>
    <row r="1503" spans="3:10" ht="20.100000000000001" hidden="1" customHeight="1">
      <c r="C1503" s="878"/>
      <c r="D1503" s="886" t="s">
        <v>3554</v>
      </c>
      <c r="E1503" s="1049">
        <v>171129000</v>
      </c>
      <c r="F1503" s="949">
        <v>170552675</v>
      </c>
      <c r="G1503" s="855">
        <f t="shared" si="66"/>
        <v>99.66322189693156</v>
      </c>
      <c r="H1503" s="887">
        <v>100</v>
      </c>
      <c r="I1503" s="852"/>
      <c r="J1503" s="802"/>
    </row>
    <row r="1504" spans="3:10" ht="20.100000000000001" hidden="1" customHeight="1">
      <c r="C1504" s="878"/>
      <c r="D1504" s="886" t="s">
        <v>3553</v>
      </c>
      <c r="E1504" s="1049">
        <v>348228000</v>
      </c>
      <c r="F1504" s="949">
        <v>347284210</v>
      </c>
      <c r="G1504" s="855">
        <f t="shared" si="66"/>
        <v>99.728973546067522</v>
      </c>
      <c r="H1504" s="887">
        <v>100</v>
      </c>
      <c r="I1504" s="852"/>
      <c r="J1504" s="802"/>
    </row>
    <row r="1505" spans="3:10" ht="20.100000000000001" hidden="1" customHeight="1">
      <c r="C1505" s="878"/>
      <c r="D1505" s="893" t="s">
        <v>3552</v>
      </c>
      <c r="E1505" s="953">
        <f>E1506</f>
        <v>150200000</v>
      </c>
      <c r="F1505" s="953">
        <f>F1506</f>
        <v>0</v>
      </c>
      <c r="G1505" s="855">
        <f t="shared" si="66"/>
        <v>0</v>
      </c>
      <c r="H1505" s="887">
        <f>+G1505</f>
        <v>0</v>
      </c>
      <c r="I1505" s="852"/>
      <c r="J1505" s="802"/>
    </row>
    <row r="1506" spans="3:10" ht="20.100000000000001" hidden="1" customHeight="1">
      <c r="C1506" s="878"/>
      <c r="D1506" s="886" t="s">
        <v>3551</v>
      </c>
      <c r="E1506" s="1049">
        <v>150200000</v>
      </c>
      <c r="F1506" s="949"/>
      <c r="G1506" s="855">
        <f t="shared" si="66"/>
        <v>0</v>
      </c>
      <c r="H1506" s="887">
        <f>+G1506</f>
        <v>0</v>
      </c>
      <c r="I1506" s="852"/>
      <c r="J1506" s="802"/>
    </row>
    <row r="1507" spans="3:10" ht="20.100000000000001" hidden="1" customHeight="1">
      <c r="C1507" s="878"/>
      <c r="D1507" s="893" t="s">
        <v>1344</v>
      </c>
      <c r="E1507" s="953">
        <f>SUM(E1508:E1509)</f>
        <v>918368000</v>
      </c>
      <c r="F1507" s="953">
        <f>SUM(F1508:F1509)</f>
        <v>914568185</v>
      </c>
      <c r="G1507" s="855">
        <f t="shared" si="66"/>
        <v>99.586242660894115</v>
      </c>
      <c r="H1507" s="887">
        <v>100</v>
      </c>
      <c r="I1507" s="852"/>
      <c r="J1507" s="802"/>
    </row>
    <row r="1508" spans="3:10" ht="20.100000000000001" hidden="1" customHeight="1">
      <c r="C1508" s="878"/>
      <c r="D1508" s="886" t="s">
        <v>3550</v>
      </c>
      <c r="E1508" s="1049">
        <v>718368000</v>
      </c>
      <c r="F1508" s="949">
        <v>717792340</v>
      </c>
      <c r="G1508" s="855">
        <f t="shared" si="66"/>
        <v>99.919865584213113</v>
      </c>
      <c r="H1508" s="887">
        <v>100</v>
      </c>
      <c r="I1508" s="852"/>
      <c r="J1508" s="802"/>
    </row>
    <row r="1509" spans="3:10" ht="20.100000000000001" hidden="1" customHeight="1">
      <c r="C1509" s="878"/>
      <c r="D1509" s="886" t="s">
        <v>3549</v>
      </c>
      <c r="E1509" s="1049">
        <v>200000000</v>
      </c>
      <c r="F1509" s="953">
        <v>196775845</v>
      </c>
      <c r="G1509" s="855">
        <f t="shared" si="66"/>
        <v>98.387922500000002</v>
      </c>
      <c r="H1509" s="887">
        <v>100</v>
      </c>
      <c r="I1509" s="852"/>
      <c r="J1509" s="802"/>
    </row>
    <row r="1510" spans="3:10" ht="20.100000000000001" hidden="1" customHeight="1">
      <c r="C1510" s="878"/>
      <c r="D1510" s="893" t="s">
        <v>3548</v>
      </c>
      <c r="E1510" s="953">
        <f>SUM(E1511:E1513)</f>
        <v>610000000</v>
      </c>
      <c r="F1510" s="953">
        <f>SUM(F1511:F1513)</f>
        <v>603174045</v>
      </c>
      <c r="G1510" s="855">
        <f t="shared" si="66"/>
        <v>98.880990983606551</v>
      </c>
      <c r="H1510" s="887">
        <f>SUM((H1511:H1513))/3</f>
        <v>100</v>
      </c>
      <c r="I1510" s="852"/>
      <c r="J1510" s="802"/>
    </row>
    <row r="1511" spans="3:10" ht="20.100000000000001" hidden="1" customHeight="1">
      <c r="C1511" s="878"/>
      <c r="D1511" s="886" t="s">
        <v>3547</v>
      </c>
      <c r="E1511" s="1049">
        <v>200000000</v>
      </c>
      <c r="F1511" s="949">
        <v>198183180</v>
      </c>
      <c r="G1511" s="855">
        <f t="shared" si="66"/>
        <v>99.091589999999997</v>
      </c>
      <c r="H1511" s="887">
        <v>100</v>
      </c>
      <c r="I1511" s="852"/>
      <c r="J1511" s="802"/>
    </row>
    <row r="1512" spans="3:10" ht="20.100000000000001" hidden="1" customHeight="1">
      <c r="C1512" s="878"/>
      <c r="D1512" s="886" t="s">
        <v>3546</v>
      </c>
      <c r="E1512" s="1049">
        <v>200000000</v>
      </c>
      <c r="F1512" s="949">
        <v>196078835</v>
      </c>
      <c r="G1512" s="855">
        <f t="shared" si="66"/>
        <v>98.039417499999999</v>
      </c>
      <c r="H1512" s="887">
        <v>100</v>
      </c>
      <c r="I1512" s="852"/>
      <c r="J1512" s="802"/>
    </row>
    <row r="1513" spans="3:10" ht="35.1" hidden="1" customHeight="1">
      <c r="C1513" s="878"/>
      <c r="D1513" s="886" t="s">
        <v>3545</v>
      </c>
      <c r="E1513" s="1049">
        <v>210000000</v>
      </c>
      <c r="F1513" s="949">
        <v>208912030</v>
      </c>
      <c r="G1513" s="855">
        <f t="shared" si="66"/>
        <v>99.481919047619044</v>
      </c>
      <c r="H1513" s="887">
        <v>100</v>
      </c>
      <c r="I1513" s="852"/>
      <c r="J1513" s="802"/>
    </row>
    <row r="1514" spans="3:10" ht="20.100000000000001" hidden="1" customHeight="1">
      <c r="C1514" s="878"/>
      <c r="D1514" s="893" t="s">
        <v>3544</v>
      </c>
      <c r="E1514" s="953">
        <f>SUM(E1515:E1516)</f>
        <v>755984000</v>
      </c>
      <c r="F1514" s="953">
        <f>SUM(F1515:F1516)</f>
        <v>749133585</v>
      </c>
      <c r="G1514" s="855">
        <f t="shared" si="66"/>
        <v>99.093841271772945</v>
      </c>
      <c r="H1514" s="887">
        <v>100</v>
      </c>
      <c r="I1514" s="852"/>
      <c r="J1514" s="802"/>
    </row>
    <row r="1515" spans="3:10" ht="20.100000000000001" hidden="1" customHeight="1">
      <c r="C1515" s="878"/>
      <c r="D1515" s="886" t="s">
        <v>3543</v>
      </c>
      <c r="E1515" s="1049">
        <v>356234000</v>
      </c>
      <c r="F1515" s="949">
        <v>351665735</v>
      </c>
      <c r="G1515" s="855">
        <f t="shared" si="66"/>
        <v>98.717622405497508</v>
      </c>
      <c r="H1515" s="887">
        <v>100</v>
      </c>
      <c r="I1515" s="852"/>
      <c r="J1515" s="802"/>
    </row>
    <row r="1516" spans="3:10" ht="20.100000000000001" hidden="1" customHeight="1">
      <c r="C1516" s="878"/>
      <c r="D1516" s="886" t="s">
        <v>3542</v>
      </c>
      <c r="E1516" s="1049">
        <v>399750000</v>
      </c>
      <c r="F1516" s="949">
        <v>397467850</v>
      </c>
      <c r="G1516" s="855">
        <f t="shared" si="66"/>
        <v>99.429105691056904</v>
      </c>
      <c r="H1516" s="887">
        <v>100</v>
      </c>
      <c r="I1516" s="852"/>
      <c r="J1516" s="802"/>
    </row>
    <row r="1517" spans="3:10" ht="15" hidden="1" customHeight="1">
      <c r="C1517" s="878"/>
      <c r="D1517" s="808"/>
      <c r="E1517" s="949"/>
      <c r="F1517" s="949"/>
      <c r="G1517" s="855"/>
      <c r="H1517" s="887"/>
      <c r="I1517" s="852"/>
      <c r="J1517" s="802"/>
    </row>
    <row r="1518" spans="3:10" ht="20.100000000000001" hidden="1" customHeight="1">
      <c r="C1518" s="878"/>
      <c r="D1518" s="889" t="s">
        <v>3541</v>
      </c>
      <c r="E1518" s="953">
        <f>E1519</f>
        <v>1238787231</v>
      </c>
      <c r="F1518" s="953">
        <f>F1519</f>
        <v>1234935000</v>
      </c>
      <c r="G1518" s="855">
        <f>+F1518/E1518*100</f>
        <v>99.689032070754365</v>
      </c>
      <c r="H1518" s="887">
        <v>100</v>
      </c>
      <c r="I1518" s="852"/>
      <c r="J1518" s="802"/>
    </row>
    <row r="1519" spans="3:10" s="656" customFormat="1" ht="20.100000000000001" hidden="1" customHeight="1">
      <c r="C1519" s="881"/>
      <c r="D1519" s="893" t="s">
        <v>3540</v>
      </c>
      <c r="E1519" s="953">
        <f>E1520</f>
        <v>1238787231</v>
      </c>
      <c r="F1519" s="953">
        <f>F1520</f>
        <v>1234935000</v>
      </c>
      <c r="G1519" s="855">
        <f>+F1519/E1519*100</f>
        <v>99.689032070754365</v>
      </c>
      <c r="H1519" s="887">
        <v>100</v>
      </c>
      <c r="I1519" s="863"/>
      <c r="J1519" s="44"/>
    </row>
    <row r="1520" spans="3:10" s="656" customFormat="1" ht="20.100000000000001" hidden="1" customHeight="1">
      <c r="C1520" s="881"/>
      <c r="D1520" s="886" t="s">
        <v>3539</v>
      </c>
      <c r="E1520" s="1049">
        <v>1238787231</v>
      </c>
      <c r="F1520" s="949">
        <v>1234935000</v>
      </c>
      <c r="G1520" s="855">
        <f>+F1520/E1520*100</f>
        <v>99.689032070754365</v>
      </c>
      <c r="H1520" s="887">
        <v>100</v>
      </c>
      <c r="I1520" s="863"/>
      <c r="J1520" s="44"/>
    </row>
    <row r="1521" spans="3:10" ht="15" hidden="1" customHeight="1">
      <c r="C1521" s="878"/>
      <c r="D1521" s="808"/>
      <c r="E1521" s="960"/>
      <c r="F1521" s="960"/>
      <c r="G1521" s="855"/>
      <c r="H1521" s="887"/>
      <c r="I1521" s="852"/>
      <c r="J1521" s="802"/>
    </row>
    <row r="1522" spans="3:10" ht="20.100000000000001" hidden="1" customHeight="1">
      <c r="C1522" s="878"/>
      <c r="D1522" s="889" t="s">
        <v>3538</v>
      </c>
      <c r="E1522" s="953">
        <f>E1523</f>
        <v>5274669035</v>
      </c>
      <c r="F1522" s="953">
        <f>F1523</f>
        <v>4855861000</v>
      </c>
      <c r="G1522" s="855">
        <f>+F1522/E1522*100</f>
        <v>92.060013012740612</v>
      </c>
      <c r="H1522" s="887">
        <f>H1523</f>
        <v>97.5</v>
      </c>
      <c r="I1522" s="852"/>
      <c r="J1522" s="802"/>
    </row>
    <row r="1523" spans="3:10" s="656" customFormat="1" ht="20.100000000000001" hidden="1" customHeight="1">
      <c r="C1523" s="881"/>
      <c r="D1523" s="893" t="s">
        <v>3537</v>
      </c>
      <c r="E1523" s="953">
        <f>SUM(E1524:E1525)</f>
        <v>5274669035</v>
      </c>
      <c r="F1523" s="953">
        <f>SUM(F1524:F1525)</f>
        <v>4855861000</v>
      </c>
      <c r="G1523" s="855">
        <f>+F1523/E1523*100</f>
        <v>92.060013012740612</v>
      </c>
      <c r="H1523" s="887">
        <f>195/2</f>
        <v>97.5</v>
      </c>
      <c r="I1523" s="863"/>
      <c r="J1523" s="44"/>
    </row>
    <row r="1524" spans="3:10" s="656" customFormat="1" ht="20.100000000000001" hidden="1" customHeight="1">
      <c r="C1524" s="881"/>
      <c r="D1524" s="886" t="s">
        <v>3536</v>
      </c>
      <c r="E1524" s="1049">
        <v>4860364000</v>
      </c>
      <c r="F1524" s="949">
        <v>4447915000</v>
      </c>
      <c r="G1524" s="855">
        <f>+F1524/E1524*100</f>
        <v>91.514030636388554</v>
      </c>
      <c r="H1524" s="887">
        <v>95</v>
      </c>
      <c r="I1524" s="863"/>
      <c r="J1524" s="44"/>
    </row>
    <row r="1525" spans="3:10" ht="20.100000000000001" hidden="1" customHeight="1">
      <c r="C1525" s="878"/>
      <c r="D1525" s="886" t="s">
        <v>3535</v>
      </c>
      <c r="E1525" s="1049">
        <v>414305035</v>
      </c>
      <c r="F1525" s="949">
        <v>407946000</v>
      </c>
      <c r="G1525" s="855">
        <f>+F1525/E1525*100</f>
        <v>98.46513209765844</v>
      </c>
      <c r="H1525" s="887">
        <v>100</v>
      </c>
      <c r="I1525" s="852"/>
      <c r="J1525" s="802"/>
    </row>
    <row r="1526" spans="3:10" ht="15" hidden="1" customHeight="1">
      <c r="C1526" s="878"/>
      <c r="D1526" s="808"/>
      <c r="E1526" s="960"/>
      <c r="F1526" s="960"/>
      <c r="G1526" s="855"/>
      <c r="H1526" s="887"/>
      <c r="I1526" s="852"/>
      <c r="J1526" s="802"/>
    </row>
    <row r="1527" spans="3:10" ht="35.1" hidden="1" customHeight="1">
      <c r="C1527" s="878"/>
      <c r="D1527" s="889" t="s">
        <v>3534</v>
      </c>
      <c r="E1527" s="953">
        <f>E1528+E1530</f>
        <v>3281985713</v>
      </c>
      <c r="F1527" s="953">
        <f>F1528+F1530</f>
        <v>2958270000</v>
      </c>
      <c r="G1527" s="855">
        <f>+F1527/E1527*100</f>
        <v>90.136589817629115</v>
      </c>
      <c r="H1527" s="887">
        <f>185/2</f>
        <v>92.5</v>
      </c>
      <c r="I1527" s="852"/>
      <c r="J1527" s="802"/>
    </row>
    <row r="1528" spans="3:10" s="656" customFormat="1" ht="20.100000000000001" hidden="1" customHeight="1">
      <c r="C1528" s="881"/>
      <c r="D1528" s="893" t="s">
        <v>1296</v>
      </c>
      <c r="E1528" s="1050">
        <f>E1529</f>
        <v>1645614713</v>
      </c>
      <c r="F1528" s="1050">
        <f>F1529</f>
        <v>1458440000</v>
      </c>
      <c r="G1528" s="855">
        <f>+F1528/E1528*100</f>
        <v>88.625848351903997</v>
      </c>
      <c r="H1528" s="887">
        <v>90</v>
      </c>
      <c r="I1528" s="863"/>
      <c r="J1528" s="44"/>
    </row>
    <row r="1529" spans="3:10" ht="20.100000000000001" hidden="1" customHeight="1">
      <c r="C1529" s="878"/>
      <c r="D1529" s="886" t="s">
        <v>3533</v>
      </c>
      <c r="E1529" s="1049">
        <v>1645614713</v>
      </c>
      <c r="F1529" s="949">
        <v>1458440000</v>
      </c>
      <c r="G1529" s="855">
        <f>+F1529/E1529*100</f>
        <v>88.625848351903997</v>
      </c>
      <c r="H1529" s="887">
        <v>90</v>
      </c>
      <c r="I1529" s="852"/>
      <c r="J1529" s="802"/>
    </row>
    <row r="1530" spans="3:10" ht="20.100000000000001" hidden="1" customHeight="1">
      <c r="C1530" s="878"/>
      <c r="D1530" s="893" t="s">
        <v>3532</v>
      </c>
      <c r="E1530" s="953">
        <f>E1531</f>
        <v>1636371000</v>
      </c>
      <c r="F1530" s="953">
        <f>F1531</f>
        <v>1499830000</v>
      </c>
      <c r="G1530" s="855">
        <f>+F1530/E1530*100</f>
        <v>91.655865326383818</v>
      </c>
      <c r="H1530" s="887">
        <v>95</v>
      </c>
      <c r="I1530" s="852"/>
      <c r="J1530" s="802"/>
    </row>
    <row r="1531" spans="3:10" ht="27.75" hidden="1" customHeight="1">
      <c r="C1531" s="878"/>
      <c r="D1531" s="886" t="s">
        <v>3531</v>
      </c>
      <c r="E1531" s="1049">
        <v>1636371000</v>
      </c>
      <c r="F1531" s="949">
        <v>1499830000</v>
      </c>
      <c r="G1531" s="855">
        <f>+F1531/E1531*100</f>
        <v>91.655865326383818</v>
      </c>
      <c r="H1531" s="887">
        <v>95</v>
      </c>
      <c r="I1531" s="852"/>
      <c r="J1531" s="802"/>
    </row>
    <row r="1532" spans="3:10" ht="15" hidden="1" customHeight="1">
      <c r="C1532" s="878"/>
      <c r="D1532" s="886"/>
      <c r="E1532" s="1049"/>
      <c r="F1532" s="949"/>
      <c r="G1532" s="1048"/>
      <c r="H1532" s="1048"/>
      <c r="I1532" s="852"/>
      <c r="J1532" s="802"/>
    </row>
    <row r="1533" spans="3:10" s="895" customFormat="1" ht="20.100000000000001" customHeight="1">
      <c r="C1533" s="904" t="s">
        <v>1381</v>
      </c>
      <c r="D1533" s="890" t="s">
        <v>1382</v>
      </c>
      <c r="E1533" s="129">
        <f>+E1534+E1560+E1580+E1587+E1593+E1609+E1624+E1631+E1635+E1639+E1644+E1649+E1666+E1674+E1680+E1684+E1688+E1694+E1701</f>
        <v>65595198072.370003</v>
      </c>
      <c r="F1533" s="129">
        <f>+F1534+F1560+F1580+F1587+F1593+F1609+F1624+F1631+F1635+F1639+F1644+F1649+F1666+F1674+F1680+F1684+F1688+F1694+F1701</f>
        <v>43703020368</v>
      </c>
      <c r="G1533" s="120">
        <f>+F1533/E1533*100</f>
        <v>66.62533486030982</v>
      </c>
      <c r="H1533" s="905">
        <f>(H1534+H1560+H1587+H1593+H1609+H1624+H1631+H1635+H1639+H1644+H1649+H1666+H1674+H1680+H1684+H1688+H1694+H1701)/18</f>
        <v>75.672799422799415</v>
      </c>
      <c r="I1533" s="903"/>
    </row>
    <row r="1534" spans="3:10" s="898" customFormat="1" ht="20.100000000000001" hidden="1" customHeight="1">
      <c r="C1534" s="973"/>
      <c r="D1534" s="893" t="s">
        <v>64</v>
      </c>
      <c r="E1534" s="1042">
        <f>E1535+E1538+E1550+E1556</f>
        <v>18000000000</v>
      </c>
      <c r="F1534" s="1042">
        <f>F1535+F1538+F1550+F1556</f>
        <v>15191707848</v>
      </c>
      <c r="G1534" s="1042">
        <f t="shared" ref="G1534:G1557" si="67">(F1534/E1534)*100</f>
        <v>84.398376933333324</v>
      </c>
      <c r="H1534" s="1042">
        <f>(H1535+H1538+H1550+H1556)/4</f>
        <v>90.681818181818187</v>
      </c>
      <c r="I1534" s="969"/>
    </row>
    <row r="1535" spans="3:10" s="898" customFormat="1" ht="20.100000000000001" hidden="1" customHeight="1">
      <c r="C1535" s="973"/>
      <c r="D1535" s="893" t="s">
        <v>388</v>
      </c>
      <c r="E1535" s="1042">
        <f>SUM(E1536:E1537)</f>
        <v>1022716300</v>
      </c>
      <c r="F1535" s="1042">
        <f>SUM(F1536:F1537)</f>
        <v>1022716300</v>
      </c>
      <c r="G1535" s="1042">
        <f t="shared" si="67"/>
        <v>100</v>
      </c>
      <c r="H1535" s="1042">
        <f>SUM(H1536:H1537)/2</f>
        <v>100</v>
      </c>
      <c r="I1535" s="969"/>
    </row>
    <row r="1536" spans="3:10" s="898" customFormat="1" ht="20.100000000000001" hidden="1" customHeight="1">
      <c r="C1536" s="973"/>
      <c r="D1536" s="886" t="s">
        <v>3530</v>
      </c>
      <c r="E1536" s="1041">
        <v>612716300</v>
      </c>
      <c r="F1536" s="1041">
        <v>612716300</v>
      </c>
      <c r="G1536" s="1041">
        <f t="shared" si="67"/>
        <v>100</v>
      </c>
      <c r="H1536" s="1041">
        <v>100</v>
      </c>
      <c r="I1536" s="969"/>
    </row>
    <row r="1537" spans="3:9" s="898" customFormat="1" ht="20.100000000000001" hidden="1" customHeight="1">
      <c r="C1537" s="973"/>
      <c r="D1537" s="886" t="s">
        <v>1385</v>
      </c>
      <c r="E1537" s="1041">
        <v>410000000</v>
      </c>
      <c r="F1537" s="1041">
        <v>410000000</v>
      </c>
      <c r="G1537" s="1041">
        <f t="shared" si="67"/>
        <v>100</v>
      </c>
      <c r="H1537" s="1041">
        <v>100</v>
      </c>
      <c r="I1537" s="969"/>
    </row>
    <row r="1538" spans="3:9" s="898" customFormat="1" ht="20.100000000000001" hidden="1" customHeight="1">
      <c r="C1538" s="973"/>
      <c r="D1538" s="893" t="s">
        <v>394</v>
      </c>
      <c r="E1538" s="1042">
        <f>SUM(E1539:E1549)</f>
        <v>14219575348</v>
      </c>
      <c r="F1538" s="1042">
        <f>SUM(F1539:F1549)</f>
        <v>12029391348</v>
      </c>
      <c r="G1538" s="1042">
        <f t="shared" si="67"/>
        <v>84.597402198033635</v>
      </c>
      <c r="H1538" s="1042">
        <f>SUM((H1539:H1549))/11</f>
        <v>72.727272727272734</v>
      </c>
      <c r="I1538" s="969"/>
    </row>
    <row r="1539" spans="3:9" s="898" customFormat="1" ht="20.100000000000001" hidden="1" customHeight="1">
      <c r="C1539" s="973"/>
      <c r="D1539" s="886" t="s">
        <v>1397</v>
      </c>
      <c r="E1539" s="1041">
        <v>1902944000</v>
      </c>
      <c r="F1539" s="1041">
        <v>1902944000</v>
      </c>
      <c r="G1539" s="1041">
        <f t="shared" si="67"/>
        <v>100</v>
      </c>
      <c r="H1539" s="1041">
        <v>100</v>
      </c>
      <c r="I1539" s="969"/>
    </row>
    <row r="1540" spans="3:9" s="898" customFormat="1" ht="20.100000000000001" hidden="1" customHeight="1">
      <c r="C1540" s="973"/>
      <c r="D1540" s="886" t="s">
        <v>2979</v>
      </c>
      <c r="E1540" s="1041">
        <v>2006466000</v>
      </c>
      <c r="F1540" s="1041">
        <v>0</v>
      </c>
      <c r="G1540" s="1041">
        <f t="shared" si="67"/>
        <v>0</v>
      </c>
      <c r="H1540" s="1041">
        <v>0</v>
      </c>
      <c r="I1540" s="969"/>
    </row>
    <row r="1541" spans="3:9" s="898" customFormat="1" ht="20.100000000000001" hidden="1" customHeight="1">
      <c r="C1541" s="973"/>
      <c r="D1541" s="886" t="s">
        <v>3529</v>
      </c>
      <c r="E1541" s="1041">
        <v>4239334400</v>
      </c>
      <c r="F1541" s="1041">
        <v>4239334400</v>
      </c>
      <c r="G1541" s="1041">
        <f t="shared" si="67"/>
        <v>100</v>
      </c>
      <c r="H1541" s="1041">
        <v>100</v>
      </c>
      <c r="I1541" s="969"/>
    </row>
    <row r="1542" spans="3:9" s="898" customFormat="1" ht="20.100000000000001" hidden="1" customHeight="1">
      <c r="C1542" s="973"/>
      <c r="D1542" s="886" t="s">
        <v>2023</v>
      </c>
      <c r="E1542" s="1041">
        <v>2250000000</v>
      </c>
      <c r="F1542" s="1041">
        <v>2250000000</v>
      </c>
      <c r="G1542" s="1041">
        <f t="shared" si="67"/>
        <v>100</v>
      </c>
      <c r="H1542" s="1041">
        <v>100</v>
      </c>
      <c r="I1542" s="969"/>
    </row>
    <row r="1543" spans="3:9" s="898" customFormat="1" ht="20.100000000000001" hidden="1" customHeight="1">
      <c r="C1543" s="973"/>
      <c r="D1543" s="886" t="s">
        <v>3528</v>
      </c>
      <c r="E1543" s="1041">
        <v>70000000</v>
      </c>
      <c r="F1543" s="1041">
        <v>0</v>
      </c>
      <c r="G1543" s="1041">
        <f t="shared" si="67"/>
        <v>0</v>
      </c>
      <c r="H1543" s="1041">
        <v>0</v>
      </c>
      <c r="I1543" s="969"/>
    </row>
    <row r="1544" spans="3:9" s="898" customFormat="1" ht="20.100000000000001" hidden="1" customHeight="1">
      <c r="C1544" s="973"/>
      <c r="D1544" s="886" t="s">
        <v>1400</v>
      </c>
      <c r="E1544" s="1041">
        <v>1028478548</v>
      </c>
      <c r="F1544" s="1041">
        <v>998478548</v>
      </c>
      <c r="G1544" s="1041">
        <f t="shared" si="67"/>
        <v>97.083069932927756</v>
      </c>
      <c r="H1544" s="1041">
        <v>100</v>
      </c>
      <c r="I1544" s="969"/>
    </row>
    <row r="1545" spans="3:9" s="898" customFormat="1" ht="20.100000000000001" hidden="1" customHeight="1">
      <c r="C1545" s="973"/>
      <c r="D1545" s="886" t="s">
        <v>3527</v>
      </c>
      <c r="E1545" s="1041">
        <v>427700000</v>
      </c>
      <c r="F1545" s="1041">
        <v>427700000</v>
      </c>
      <c r="G1545" s="1041">
        <f t="shared" si="67"/>
        <v>100</v>
      </c>
      <c r="H1545" s="1041">
        <v>100</v>
      </c>
      <c r="I1545" s="969"/>
    </row>
    <row r="1546" spans="3:9" s="898" customFormat="1" ht="20.100000000000001" hidden="1" customHeight="1">
      <c r="C1546" s="973"/>
      <c r="D1546" s="886" t="s">
        <v>3526</v>
      </c>
      <c r="E1546" s="1041">
        <v>83000000</v>
      </c>
      <c r="F1546" s="1041">
        <v>0</v>
      </c>
      <c r="G1546" s="1041">
        <f t="shared" si="67"/>
        <v>0</v>
      </c>
      <c r="H1546" s="1041">
        <v>0</v>
      </c>
      <c r="I1546" s="969"/>
    </row>
    <row r="1547" spans="3:9" s="898" customFormat="1" ht="20.100000000000001" hidden="1" customHeight="1">
      <c r="C1547" s="973"/>
      <c r="D1547" s="886" t="s">
        <v>3525</v>
      </c>
      <c r="E1547" s="1041">
        <v>1258552400</v>
      </c>
      <c r="F1547" s="1041">
        <v>1258552400</v>
      </c>
      <c r="G1547" s="1041">
        <f t="shared" si="67"/>
        <v>100</v>
      </c>
      <c r="H1547" s="1041">
        <v>100</v>
      </c>
      <c r="I1547" s="969"/>
    </row>
    <row r="1548" spans="3:9" s="898" customFormat="1" ht="35.1" hidden="1" customHeight="1">
      <c r="C1548" s="973"/>
      <c r="D1548" s="886" t="s">
        <v>3524</v>
      </c>
      <c r="E1548" s="1041">
        <v>167400000</v>
      </c>
      <c r="F1548" s="1041">
        <v>167400000</v>
      </c>
      <c r="G1548" s="1041">
        <f t="shared" si="67"/>
        <v>100</v>
      </c>
      <c r="H1548" s="1041">
        <v>100</v>
      </c>
      <c r="I1548" s="969"/>
    </row>
    <row r="1549" spans="3:9" s="898" customFormat="1" ht="35.1" hidden="1" customHeight="1">
      <c r="C1549" s="973"/>
      <c r="D1549" s="886" t="s">
        <v>3523</v>
      </c>
      <c r="E1549" s="1041">
        <v>785700000</v>
      </c>
      <c r="F1549" s="1041">
        <v>784982000</v>
      </c>
      <c r="G1549" s="1041">
        <f t="shared" si="67"/>
        <v>99.90861652030037</v>
      </c>
      <c r="H1549" s="1041">
        <v>100</v>
      </c>
      <c r="I1549" s="969"/>
    </row>
    <row r="1550" spans="3:9" s="898" customFormat="1" ht="20.100000000000001" hidden="1" customHeight="1">
      <c r="C1550" s="973"/>
      <c r="D1550" s="893" t="s">
        <v>404</v>
      </c>
      <c r="E1550" s="1042">
        <f>SUM(E1551:E1555)</f>
        <v>2417708352</v>
      </c>
      <c r="F1550" s="1042">
        <f>SUM(F1551:F1555)</f>
        <v>1799600200</v>
      </c>
      <c r="G1550" s="1042">
        <f t="shared" si="67"/>
        <v>74.434130920353454</v>
      </c>
      <c r="H1550" s="1042">
        <f>SUM(H1551:H1555)/5</f>
        <v>90</v>
      </c>
      <c r="I1550" s="969"/>
    </row>
    <row r="1551" spans="3:9" s="898" customFormat="1" ht="20.100000000000001" hidden="1" customHeight="1">
      <c r="C1551" s="973"/>
      <c r="D1551" s="886" t="s">
        <v>3522</v>
      </c>
      <c r="E1551" s="1041">
        <v>298078200</v>
      </c>
      <c r="F1551" s="1041">
        <v>298078200</v>
      </c>
      <c r="G1551" s="1041">
        <f t="shared" si="67"/>
        <v>100</v>
      </c>
      <c r="H1551" s="1041">
        <v>100</v>
      </c>
      <c r="I1551" s="969"/>
    </row>
    <row r="1552" spans="3:9" s="898" customFormat="1" ht="20.100000000000001" hidden="1" customHeight="1">
      <c r="C1552" s="973"/>
      <c r="D1552" s="886" t="s">
        <v>3521</v>
      </c>
      <c r="E1552" s="1041">
        <v>110000000</v>
      </c>
      <c r="F1552" s="1041">
        <v>110000000</v>
      </c>
      <c r="G1552" s="1041">
        <f t="shared" si="67"/>
        <v>100</v>
      </c>
      <c r="H1552" s="1041">
        <v>100</v>
      </c>
      <c r="I1552" s="969"/>
    </row>
    <row r="1553" spans="3:9" s="898" customFormat="1" ht="20.100000000000001" hidden="1" customHeight="1">
      <c r="C1553" s="973"/>
      <c r="D1553" s="886" t="s">
        <v>3520</v>
      </c>
      <c r="E1553" s="1041">
        <v>496797000</v>
      </c>
      <c r="F1553" s="1041">
        <v>496797000</v>
      </c>
      <c r="G1553" s="1041">
        <f t="shared" si="67"/>
        <v>100</v>
      </c>
      <c r="H1553" s="1041">
        <v>100</v>
      </c>
      <c r="I1553" s="969"/>
    </row>
    <row r="1554" spans="3:9" s="898" customFormat="1" ht="35.1" hidden="1" customHeight="1">
      <c r="C1554" s="973"/>
      <c r="D1554" s="886" t="s">
        <v>3519</v>
      </c>
      <c r="E1554" s="1041">
        <v>341898750</v>
      </c>
      <c r="F1554" s="1041">
        <v>338525000</v>
      </c>
      <c r="G1554" s="1041">
        <f t="shared" si="67"/>
        <v>99.013231256329533</v>
      </c>
      <c r="H1554" s="1041">
        <v>100</v>
      </c>
      <c r="I1554" s="969"/>
    </row>
    <row r="1555" spans="3:9" s="898" customFormat="1" ht="20.100000000000001" hidden="1" customHeight="1">
      <c r="C1555" s="973"/>
      <c r="D1555" s="886" t="s">
        <v>3518</v>
      </c>
      <c r="E1555" s="1041">
        <v>1170934402</v>
      </c>
      <c r="F1555" s="1041">
        <v>556200000</v>
      </c>
      <c r="G1555" s="1041">
        <f t="shared" si="67"/>
        <v>47.500525994452765</v>
      </c>
      <c r="H1555" s="1041">
        <v>50</v>
      </c>
      <c r="I1555" s="969"/>
    </row>
    <row r="1556" spans="3:9" s="898" customFormat="1" ht="20.100000000000001" hidden="1" customHeight="1">
      <c r="C1556" s="973"/>
      <c r="D1556" s="893" t="s">
        <v>106</v>
      </c>
      <c r="E1556" s="1042">
        <f>SUM(E1557)</f>
        <v>340000000</v>
      </c>
      <c r="F1556" s="1042">
        <f>SUM(F1557)</f>
        <v>340000000</v>
      </c>
      <c r="G1556" s="1042">
        <f t="shared" si="67"/>
        <v>100</v>
      </c>
      <c r="H1556" s="1042">
        <f>SUM(H1557)</f>
        <v>100</v>
      </c>
      <c r="I1556" s="969"/>
    </row>
    <row r="1557" spans="3:9" s="898" customFormat="1" ht="35.1" hidden="1" customHeight="1">
      <c r="C1557" s="973"/>
      <c r="D1557" s="886" t="s">
        <v>3517</v>
      </c>
      <c r="E1557" s="1041">
        <v>340000000</v>
      </c>
      <c r="F1557" s="1041">
        <v>340000000</v>
      </c>
      <c r="G1557" s="1041">
        <f t="shared" si="67"/>
        <v>100</v>
      </c>
      <c r="H1557" s="1041">
        <v>100</v>
      </c>
      <c r="I1557" s="969"/>
    </row>
    <row r="1558" spans="3:9" s="898" customFormat="1" ht="15" hidden="1" customHeight="1">
      <c r="C1558" s="973"/>
      <c r="D1558" s="886"/>
      <c r="E1558" s="1041"/>
      <c r="F1558" s="1041"/>
      <c r="G1558" s="1041"/>
      <c r="H1558" s="1041"/>
      <c r="I1558" s="969"/>
    </row>
    <row r="1559" spans="3:9" s="898" customFormat="1" ht="20.100000000000001" hidden="1" customHeight="1">
      <c r="C1559" s="973"/>
      <c r="D1559" s="893" t="s">
        <v>3516</v>
      </c>
      <c r="E1559" s="1042">
        <f>E1560+E1580</f>
        <v>11564528432</v>
      </c>
      <c r="F1559" s="1042">
        <f>F1560+F1580</f>
        <v>8657200000</v>
      </c>
      <c r="G1559" s="1042">
        <f t="shared" ref="G1559:G1578" si="68">(F1559/E1559)*100</f>
        <v>74.859948253876198</v>
      </c>
      <c r="H1559" s="1042">
        <f>(H1560+H1580)/2</f>
        <v>60.714285714285715</v>
      </c>
      <c r="I1559" s="969"/>
    </row>
    <row r="1560" spans="3:9" s="898" customFormat="1" ht="20.100000000000001" hidden="1" customHeight="1">
      <c r="C1560" s="973"/>
      <c r="D1560" s="893" t="s">
        <v>65</v>
      </c>
      <c r="E1560" s="1042">
        <f>E1561+E1563+E1565+E1567+E1571+E1573+E1577</f>
        <v>9000000000</v>
      </c>
      <c r="F1560" s="1042">
        <f>F1561+F1563+F1565+F1567+F1571+F1573+F1577</f>
        <v>8016000000</v>
      </c>
      <c r="G1560" s="1042">
        <f t="shared" si="68"/>
        <v>89.066666666666677</v>
      </c>
      <c r="H1560" s="1042">
        <f>(H1561+H1563+H1565+H1567+H1571+H1573+H1577)/7</f>
        <v>96.428571428571431</v>
      </c>
      <c r="I1560" s="969"/>
    </row>
    <row r="1561" spans="3:9" s="898" customFormat="1" ht="20.100000000000001" hidden="1" customHeight="1">
      <c r="C1561" s="973"/>
      <c r="D1561" s="893" t="s">
        <v>162</v>
      </c>
      <c r="E1561" s="1042">
        <f>SUM(E1562)</f>
        <v>1135850000</v>
      </c>
      <c r="F1561" s="1042">
        <f>SUM(F1562)</f>
        <v>1135850000</v>
      </c>
      <c r="G1561" s="1042">
        <f t="shared" si="68"/>
        <v>100</v>
      </c>
      <c r="H1561" s="1042">
        <f>SUM(H1562)</f>
        <v>100</v>
      </c>
      <c r="I1561" s="969"/>
    </row>
    <row r="1562" spans="3:9" s="898" customFormat="1" ht="20.100000000000001" hidden="1" customHeight="1">
      <c r="C1562" s="973"/>
      <c r="D1562" s="886" t="s">
        <v>2030</v>
      </c>
      <c r="E1562" s="1041">
        <v>1135850000</v>
      </c>
      <c r="F1562" s="1041">
        <v>1135850000</v>
      </c>
      <c r="G1562" s="1041">
        <f t="shared" si="68"/>
        <v>100</v>
      </c>
      <c r="H1562" s="1041">
        <v>100</v>
      </c>
      <c r="I1562" s="969"/>
    </row>
    <row r="1563" spans="3:9" s="898" customFormat="1" ht="20.100000000000001" hidden="1" customHeight="1">
      <c r="C1563" s="973"/>
      <c r="D1563" s="893" t="s">
        <v>186</v>
      </c>
      <c r="E1563" s="1042">
        <f>SUM(E1564)</f>
        <v>75000000</v>
      </c>
      <c r="F1563" s="1042">
        <f>SUM(F1564)</f>
        <v>75000000</v>
      </c>
      <c r="G1563" s="1042">
        <f t="shared" si="68"/>
        <v>100</v>
      </c>
      <c r="H1563" s="1042">
        <f>SUM(H1564)</f>
        <v>100</v>
      </c>
      <c r="I1563" s="969"/>
    </row>
    <row r="1564" spans="3:9" s="898" customFormat="1" ht="20.100000000000001" hidden="1" customHeight="1">
      <c r="C1564" s="973"/>
      <c r="D1564" s="886" t="s">
        <v>3515</v>
      </c>
      <c r="E1564" s="1041">
        <v>75000000</v>
      </c>
      <c r="F1564" s="1041">
        <v>75000000</v>
      </c>
      <c r="G1564" s="1041">
        <f t="shared" si="68"/>
        <v>100</v>
      </c>
      <c r="H1564" s="1041">
        <v>100</v>
      </c>
      <c r="I1564" s="969"/>
    </row>
    <row r="1565" spans="3:9" s="898" customFormat="1" ht="20.100000000000001" hidden="1" customHeight="1">
      <c r="C1565" s="973"/>
      <c r="D1565" s="893" t="s">
        <v>190</v>
      </c>
      <c r="E1565" s="1042">
        <f>SUM(E1566)</f>
        <v>100000000</v>
      </c>
      <c r="F1565" s="1042">
        <f>SUM(F1566)</f>
        <v>100000000</v>
      </c>
      <c r="G1565" s="1042">
        <f t="shared" si="68"/>
        <v>100</v>
      </c>
      <c r="H1565" s="1042">
        <f>SUM(H1566)</f>
        <v>100</v>
      </c>
      <c r="I1565" s="969"/>
    </row>
    <row r="1566" spans="3:9" s="898" customFormat="1" ht="35.1" hidden="1" customHeight="1">
      <c r="C1566" s="973"/>
      <c r="D1566" s="886" t="s">
        <v>3514</v>
      </c>
      <c r="E1566" s="1041">
        <v>100000000</v>
      </c>
      <c r="F1566" s="1041">
        <v>100000000</v>
      </c>
      <c r="G1566" s="1041">
        <f t="shared" si="68"/>
        <v>100</v>
      </c>
      <c r="H1566" s="1041">
        <v>100</v>
      </c>
      <c r="I1566" s="969"/>
    </row>
    <row r="1567" spans="3:9" s="898" customFormat="1" ht="20.100000000000001" hidden="1" customHeight="1">
      <c r="C1567" s="973"/>
      <c r="D1567" s="893" t="s">
        <v>196</v>
      </c>
      <c r="E1567" s="1042">
        <f>SUM(E1568:E1570)</f>
        <v>238400000</v>
      </c>
      <c r="F1567" s="1042">
        <f>SUM(F1568:F1570)</f>
        <v>238400000</v>
      </c>
      <c r="G1567" s="1042">
        <f t="shared" si="68"/>
        <v>100</v>
      </c>
      <c r="H1567" s="1042">
        <f>SUM(H1568:H1570)/3</f>
        <v>100</v>
      </c>
      <c r="I1567" s="969"/>
    </row>
    <row r="1568" spans="3:9" s="898" customFormat="1" ht="20.100000000000001" hidden="1" customHeight="1">
      <c r="C1568" s="973"/>
      <c r="D1568" s="886" t="s">
        <v>3513</v>
      </c>
      <c r="E1568" s="1041">
        <v>75000000</v>
      </c>
      <c r="F1568" s="1041">
        <v>75000000</v>
      </c>
      <c r="G1568" s="1041">
        <f t="shared" si="68"/>
        <v>100</v>
      </c>
      <c r="H1568" s="1041">
        <v>100</v>
      </c>
      <c r="I1568" s="969"/>
    </row>
    <row r="1569" spans="3:9" s="898" customFormat="1" ht="20.100000000000001" hidden="1" customHeight="1">
      <c r="C1569" s="973"/>
      <c r="D1569" s="886" t="s">
        <v>3512</v>
      </c>
      <c r="E1569" s="1041">
        <v>103400000</v>
      </c>
      <c r="F1569" s="1041">
        <v>103400000</v>
      </c>
      <c r="G1569" s="1041">
        <f t="shared" si="68"/>
        <v>100</v>
      </c>
      <c r="H1569" s="1041">
        <v>100</v>
      </c>
      <c r="I1569" s="969"/>
    </row>
    <row r="1570" spans="3:9" s="898" customFormat="1" ht="20.100000000000001" hidden="1" customHeight="1">
      <c r="C1570" s="973"/>
      <c r="D1570" s="886" t="s">
        <v>3511</v>
      </c>
      <c r="E1570" s="1041">
        <v>60000000</v>
      </c>
      <c r="F1570" s="1041">
        <v>60000000</v>
      </c>
      <c r="G1570" s="1041">
        <f t="shared" si="68"/>
        <v>100</v>
      </c>
      <c r="H1570" s="1041">
        <v>100</v>
      </c>
      <c r="I1570" s="969"/>
    </row>
    <row r="1571" spans="3:9" s="898" customFormat="1" ht="20.100000000000001" hidden="1" customHeight="1">
      <c r="C1571" s="973"/>
      <c r="D1571" s="893" t="s">
        <v>3510</v>
      </c>
      <c r="E1571" s="1042">
        <f>SUM(E1572)</f>
        <v>60000000</v>
      </c>
      <c r="F1571" s="1042">
        <f>SUM(F1572)</f>
        <v>60000000</v>
      </c>
      <c r="G1571" s="1042">
        <f t="shared" si="68"/>
        <v>100</v>
      </c>
      <c r="H1571" s="1042">
        <f>SUM(H1572)</f>
        <v>100</v>
      </c>
      <c r="I1571" s="969"/>
    </row>
    <row r="1572" spans="3:9" s="898" customFormat="1" ht="35.1" hidden="1" customHeight="1">
      <c r="C1572" s="973"/>
      <c r="D1572" s="886" t="s">
        <v>3509</v>
      </c>
      <c r="E1572" s="1041">
        <v>60000000</v>
      </c>
      <c r="F1572" s="1041">
        <v>60000000</v>
      </c>
      <c r="G1572" s="1041">
        <f t="shared" si="68"/>
        <v>100</v>
      </c>
      <c r="H1572" s="1041">
        <v>100</v>
      </c>
      <c r="I1572" s="969"/>
    </row>
    <row r="1573" spans="3:9" s="898" customFormat="1" ht="20.100000000000001" hidden="1" customHeight="1">
      <c r="C1573" s="973"/>
      <c r="D1573" s="893" t="s">
        <v>3508</v>
      </c>
      <c r="E1573" s="1042">
        <f>E1574</f>
        <v>7248000000</v>
      </c>
      <c r="F1573" s="1042">
        <f>F1574</f>
        <v>6264000000</v>
      </c>
      <c r="G1573" s="1042">
        <f t="shared" si="68"/>
        <v>86.423841059602651</v>
      </c>
      <c r="H1573" s="1042">
        <f>H1574</f>
        <v>75</v>
      </c>
      <c r="I1573" s="969"/>
    </row>
    <row r="1574" spans="3:9" s="898" customFormat="1" ht="20.100000000000001" hidden="1" customHeight="1">
      <c r="C1574" s="973"/>
      <c r="D1574" s="886" t="s">
        <v>3507</v>
      </c>
      <c r="E1574" s="1041">
        <f>SUM(E1575:E1576)</f>
        <v>7248000000</v>
      </c>
      <c r="F1574" s="1041">
        <f>SUM(F1575:F1576)</f>
        <v>6264000000</v>
      </c>
      <c r="G1574" s="1041">
        <f t="shared" si="68"/>
        <v>86.423841059602651</v>
      </c>
      <c r="H1574" s="1041">
        <f>SUM(H1575:H1576)/2</f>
        <v>75</v>
      </c>
      <c r="I1574" s="969"/>
    </row>
    <row r="1575" spans="3:9" s="898" customFormat="1" ht="20.100000000000001" hidden="1" customHeight="1">
      <c r="C1575" s="973"/>
      <c r="D1575" s="886" t="s">
        <v>3506</v>
      </c>
      <c r="E1575" s="1041">
        <v>5400000000</v>
      </c>
      <c r="F1575" s="1041">
        <v>5400000000</v>
      </c>
      <c r="G1575" s="1041">
        <f t="shared" si="68"/>
        <v>100</v>
      </c>
      <c r="H1575" s="1041">
        <v>100</v>
      </c>
      <c r="I1575" s="969"/>
    </row>
    <row r="1576" spans="3:9" s="898" customFormat="1" ht="20.100000000000001" hidden="1" customHeight="1">
      <c r="C1576" s="973"/>
      <c r="D1576" s="886" t="s">
        <v>3505</v>
      </c>
      <c r="E1576" s="1041">
        <v>1848000000</v>
      </c>
      <c r="F1576" s="1041">
        <v>864000000</v>
      </c>
      <c r="G1576" s="1041">
        <f t="shared" si="68"/>
        <v>46.753246753246749</v>
      </c>
      <c r="H1576" s="1041">
        <v>50</v>
      </c>
      <c r="I1576" s="969"/>
    </row>
    <row r="1577" spans="3:9" s="898" customFormat="1" ht="20.100000000000001" hidden="1" customHeight="1">
      <c r="C1577" s="973"/>
      <c r="D1577" s="893" t="s">
        <v>3504</v>
      </c>
      <c r="E1577" s="1042">
        <f>SUM(E1578)</f>
        <v>142750000</v>
      </c>
      <c r="F1577" s="1042">
        <f>SUM(F1578)</f>
        <v>142750000</v>
      </c>
      <c r="G1577" s="1042">
        <f t="shared" si="68"/>
        <v>100</v>
      </c>
      <c r="H1577" s="1042">
        <f>SUM(H1578)</f>
        <v>100</v>
      </c>
      <c r="I1577" s="969"/>
    </row>
    <row r="1578" spans="3:9" s="898" customFormat="1" ht="45" hidden="1" customHeight="1">
      <c r="C1578" s="973"/>
      <c r="D1578" s="886" t="s">
        <v>3503</v>
      </c>
      <c r="E1578" s="1041">
        <v>142750000</v>
      </c>
      <c r="F1578" s="1041">
        <v>142750000</v>
      </c>
      <c r="G1578" s="1041">
        <f t="shared" si="68"/>
        <v>100</v>
      </c>
      <c r="H1578" s="1041">
        <v>100</v>
      </c>
      <c r="I1578" s="969"/>
    </row>
    <row r="1579" spans="3:9" s="898" customFormat="1" ht="15" hidden="1" customHeight="1">
      <c r="C1579" s="973"/>
      <c r="D1579" s="886"/>
      <c r="E1579" s="1041"/>
      <c r="F1579" s="1041"/>
      <c r="G1579" s="1041"/>
      <c r="H1579" s="1041"/>
      <c r="I1579" s="969"/>
    </row>
    <row r="1580" spans="3:9" s="898" customFormat="1" ht="20.100000000000001" hidden="1" customHeight="1">
      <c r="C1580" s="973"/>
      <c r="D1580" s="893" t="s">
        <v>1411</v>
      </c>
      <c r="E1580" s="1042">
        <f>E1581+E1583</f>
        <v>2564528432</v>
      </c>
      <c r="F1580" s="1042">
        <f>F1581+F1583</f>
        <v>641200000</v>
      </c>
      <c r="G1580" s="1042">
        <f t="shared" ref="G1580:G1585" si="69">(F1580/E1580)*100</f>
        <v>25.002647348305945</v>
      </c>
      <c r="H1580" s="1042">
        <f>(H1581+H1583)/2</f>
        <v>25</v>
      </c>
      <c r="I1580" s="969"/>
    </row>
    <row r="1581" spans="3:9" s="898" customFormat="1" ht="20.100000000000001" hidden="1" customHeight="1">
      <c r="C1581" s="973"/>
      <c r="D1581" s="893" t="s">
        <v>162</v>
      </c>
      <c r="E1581" s="1042">
        <f>SUM(E1582)</f>
        <v>1503428432</v>
      </c>
      <c r="F1581" s="1042">
        <f>SUM(F1582)</f>
        <v>0</v>
      </c>
      <c r="G1581" s="1042">
        <f t="shared" si="69"/>
        <v>0</v>
      </c>
      <c r="H1581" s="1042">
        <f>SUM(H1582)</f>
        <v>0</v>
      </c>
      <c r="I1581" s="969"/>
    </row>
    <row r="1582" spans="3:9" s="898" customFormat="1" ht="20.100000000000001" hidden="1" customHeight="1">
      <c r="C1582" s="973"/>
      <c r="D1582" s="886" t="s">
        <v>3502</v>
      </c>
      <c r="E1582" s="1041">
        <v>1503428432</v>
      </c>
      <c r="F1582" s="1041">
        <v>0</v>
      </c>
      <c r="G1582" s="1041">
        <f t="shared" si="69"/>
        <v>0</v>
      </c>
      <c r="H1582" s="1041">
        <v>0</v>
      </c>
      <c r="I1582" s="969"/>
    </row>
    <row r="1583" spans="3:9" s="898" customFormat="1" ht="20.100000000000001" hidden="1" customHeight="1">
      <c r="C1583" s="973"/>
      <c r="D1583" s="893" t="s">
        <v>173</v>
      </c>
      <c r="E1583" s="1042">
        <f>SUM(E1584:E1585)</f>
        <v>1061100000</v>
      </c>
      <c r="F1583" s="1042">
        <f>SUM(F1584:F1585)</f>
        <v>641200000</v>
      </c>
      <c r="G1583" s="1042">
        <f t="shared" si="69"/>
        <v>60.42785788332862</v>
      </c>
      <c r="H1583" s="1042">
        <f>SUM(H1584:H1585)/2</f>
        <v>50</v>
      </c>
      <c r="I1583" s="969"/>
    </row>
    <row r="1584" spans="3:9" s="898" customFormat="1" ht="20.100000000000001" hidden="1" customHeight="1">
      <c r="C1584" s="973"/>
      <c r="D1584" s="886" t="s">
        <v>1413</v>
      </c>
      <c r="E1584" s="1041">
        <v>641200000</v>
      </c>
      <c r="F1584" s="1041">
        <v>641200000</v>
      </c>
      <c r="G1584" s="1041">
        <f t="shared" si="69"/>
        <v>100</v>
      </c>
      <c r="H1584" s="1041">
        <v>100</v>
      </c>
      <c r="I1584" s="969"/>
    </row>
    <row r="1585" spans="3:9" s="898" customFormat="1" ht="35.1" hidden="1" customHeight="1">
      <c r="C1585" s="973"/>
      <c r="D1585" s="886" t="s">
        <v>3501</v>
      </c>
      <c r="E1585" s="1041">
        <v>419900000</v>
      </c>
      <c r="F1585" s="1041">
        <v>0</v>
      </c>
      <c r="G1585" s="1041">
        <f t="shared" si="69"/>
        <v>0</v>
      </c>
      <c r="H1585" s="1041">
        <v>0</v>
      </c>
      <c r="I1585" s="969"/>
    </row>
    <row r="1586" spans="3:9" s="898" customFormat="1" ht="15" hidden="1" customHeight="1">
      <c r="C1586" s="973"/>
      <c r="D1586" s="886"/>
      <c r="E1586" s="1041"/>
      <c r="F1586" s="1041"/>
      <c r="G1586" s="1041"/>
      <c r="H1586" s="1041"/>
      <c r="I1586" s="969"/>
    </row>
    <row r="1587" spans="3:9" s="898" customFormat="1" ht="20.100000000000001" hidden="1" customHeight="1">
      <c r="C1587" s="973"/>
      <c r="D1587" s="893" t="s">
        <v>1137</v>
      </c>
      <c r="E1587" s="1042">
        <f>E1588</f>
        <v>550000000</v>
      </c>
      <c r="F1587" s="1042">
        <f>F1588</f>
        <v>550000000</v>
      </c>
      <c r="G1587" s="1042">
        <f>(F1587/E1587)*100</f>
        <v>100</v>
      </c>
      <c r="H1587" s="1042">
        <f>H1588</f>
        <v>100</v>
      </c>
      <c r="I1587" s="969"/>
    </row>
    <row r="1588" spans="3:9" s="898" customFormat="1" ht="20.100000000000001" hidden="1" customHeight="1">
      <c r="C1588" s="973"/>
      <c r="D1588" s="893" t="s">
        <v>304</v>
      </c>
      <c r="E1588" s="1042">
        <f>SUM(E1589:E1591)</f>
        <v>550000000</v>
      </c>
      <c r="F1588" s="1042">
        <f>SUM(F1589:F1591)</f>
        <v>550000000</v>
      </c>
      <c r="G1588" s="1042">
        <f>(F1588/E1588)*100</f>
        <v>100</v>
      </c>
      <c r="H1588" s="1042">
        <f>SUM(H1589:H1591)/3</f>
        <v>100</v>
      </c>
      <c r="I1588" s="969"/>
    </row>
    <row r="1589" spans="3:9" s="898" customFormat="1" ht="20.100000000000001" hidden="1" customHeight="1">
      <c r="C1589" s="973"/>
      <c r="D1589" s="886" t="s">
        <v>1418</v>
      </c>
      <c r="E1589" s="1041">
        <v>140000000</v>
      </c>
      <c r="F1589" s="1041">
        <v>140000000</v>
      </c>
      <c r="G1589" s="1041">
        <f>(F1589/E1589)*100</f>
        <v>100</v>
      </c>
      <c r="H1589" s="1041">
        <v>100</v>
      </c>
      <c r="I1589" s="969"/>
    </row>
    <row r="1590" spans="3:9" s="898" customFormat="1" ht="20.100000000000001" hidden="1" customHeight="1">
      <c r="C1590" s="973"/>
      <c r="D1590" s="886" t="s">
        <v>1419</v>
      </c>
      <c r="E1590" s="1041">
        <v>275000000</v>
      </c>
      <c r="F1590" s="1041">
        <v>275000000</v>
      </c>
      <c r="G1590" s="1041">
        <f>(F1590/E1590)*100</f>
        <v>100</v>
      </c>
      <c r="H1590" s="1041">
        <v>100</v>
      </c>
      <c r="I1590" s="969"/>
    </row>
    <row r="1591" spans="3:9" s="898" customFormat="1" ht="20.100000000000001" hidden="1" customHeight="1">
      <c r="C1591" s="973"/>
      <c r="D1591" s="886" t="s">
        <v>1427</v>
      </c>
      <c r="E1591" s="1041">
        <v>135000000</v>
      </c>
      <c r="F1591" s="1041">
        <v>135000000</v>
      </c>
      <c r="G1591" s="1041">
        <f>(F1591/E1591)*100</f>
        <v>100</v>
      </c>
      <c r="H1591" s="1041">
        <v>100</v>
      </c>
      <c r="I1591" s="969"/>
    </row>
    <row r="1592" spans="3:9" s="898" customFormat="1" ht="15" hidden="1" customHeight="1">
      <c r="C1592" s="973"/>
      <c r="D1592" s="886"/>
      <c r="E1592" s="1041"/>
      <c r="F1592" s="1041"/>
      <c r="G1592" s="1041"/>
      <c r="H1592" s="1041"/>
      <c r="I1592" s="969"/>
    </row>
    <row r="1593" spans="3:9" s="898" customFormat="1" ht="20.100000000000001" hidden="1" customHeight="1">
      <c r="C1593" s="973"/>
      <c r="D1593" s="893" t="s">
        <v>1422</v>
      </c>
      <c r="E1593" s="1042">
        <f>E1594+E1596+E1598+E1600+E1602+E1604</f>
        <v>4000000000</v>
      </c>
      <c r="F1593" s="1042">
        <f>F1594+F1596+F1598+F1600+F1602+F1604</f>
        <v>3263110000</v>
      </c>
      <c r="G1593" s="1042">
        <f>(F1593/E1593)*100</f>
        <v>81.577750000000009</v>
      </c>
      <c r="H1593" s="1042">
        <f>(H1594+H1596+H1598+H1600+H1602+H1604)/6</f>
        <v>66.666666666666671</v>
      </c>
      <c r="I1593" s="969"/>
    </row>
    <row r="1594" spans="3:9" s="898" customFormat="1" ht="20.100000000000001" hidden="1" customHeight="1">
      <c r="C1594" s="973"/>
      <c r="D1594" s="893" t="s">
        <v>576</v>
      </c>
      <c r="E1594" s="1042">
        <f>SUM(E1595)</f>
        <v>730036000</v>
      </c>
      <c r="F1594" s="1042">
        <f>SUM(F1595)</f>
        <v>0</v>
      </c>
      <c r="G1594" s="1042">
        <f>(F1594/E1594)*100</f>
        <v>0</v>
      </c>
      <c r="H1594" s="1042">
        <f>SUM(H1595)</f>
        <v>0</v>
      </c>
      <c r="I1594" s="969"/>
    </row>
    <row r="1595" spans="3:9" s="898" customFormat="1" ht="20.100000000000001" hidden="1" customHeight="1">
      <c r="C1595" s="973"/>
      <c r="D1595" s="886" t="s">
        <v>3500</v>
      </c>
      <c r="E1595" s="1041">
        <v>730036000</v>
      </c>
      <c r="F1595" s="1041">
        <v>0</v>
      </c>
      <c r="G1595" s="1041">
        <f>(F1595/E1595)*100</f>
        <v>0</v>
      </c>
      <c r="H1595" s="1041">
        <v>0</v>
      </c>
      <c r="I1595" s="969"/>
    </row>
    <row r="1596" spans="3:9" s="898" customFormat="1" ht="20.100000000000001" hidden="1" customHeight="1">
      <c r="C1596" s="973"/>
      <c r="D1596" s="893" t="s">
        <v>548</v>
      </c>
      <c r="E1596" s="1042">
        <f>SUM(E1597)</f>
        <v>500000000</v>
      </c>
      <c r="F1596" s="1042">
        <f>SUM(F1597)</f>
        <v>500000000</v>
      </c>
      <c r="G1596" s="1042">
        <f>(F1596/E1596)*100</f>
        <v>100</v>
      </c>
      <c r="H1596" s="1042">
        <f>SUM(H1597)</f>
        <v>0</v>
      </c>
      <c r="I1596" s="969"/>
    </row>
    <row r="1597" spans="3:9" s="898" customFormat="1" ht="35.1" hidden="1" customHeight="1">
      <c r="C1597" s="973"/>
      <c r="D1597" s="886" t="s">
        <v>3499</v>
      </c>
      <c r="E1597" s="1041">
        <v>500000000</v>
      </c>
      <c r="F1597" s="1041">
        <v>500000000</v>
      </c>
      <c r="G1597" s="1041">
        <v>0</v>
      </c>
      <c r="H1597" s="1041">
        <v>0</v>
      </c>
      <c r="I1597" s="969"/>
    </row>
    <row r="1598" spans="3:9" s="898" customFormat="1" ht="20.100000000000001" hidden="1" customHeight="1">
      <c r="C1598" s="973"/>
      <c r="D1598" s="893" t="s">
        <v>542</v>
      </c>
      <c r="E1598" s="1042">
        <f>SUM(E1599)</f>
        <v>200000000</v>
      </c>
      <c r="F1598" s="1042">
        <f>SUM(F1599)</f>
        <v>198110000</v>
      </c>
      <c r="G1598" s="1042">
        <f t="shared" ref="G1598:G1607" si="70">(F1598/E1598)*100</f>
        <v>99.055000000000007</v>
      </c>
      <c r="H1598" s="1042">
        <f>SUM(H1599)</f>
        <v>100</v>
      </c>
      <c r="I1598" s="969"/>
    </row>
    <row r="1599" spans="3:9" s="898" customFormat="1" ht="20.100000000000001" hidden="1" customHeight="1">
      <c r="C1599" s="973"/>
      <c r="D1599" s="886" t="s">
        <v>2099</v>
      </c>
      <c r="E1599" s="1041">
        <v>200000000</v>
      </c>
      <c r="F1599" s="1041">
        <v>198110000</v>
      </c>
      <c r="G1599" s="1041">
        <f t="shared" si="70"/>
        <v>99.055000000000007</v>
      </c>
      <c r="H1599" s="1041">
        <v>100</v>
      </c>
      <c r="I1599" s="969"/>
    </row>
    <row r="1600" spans="3:9" s="898" customFormat="1" ht="20.100000000000001" hidden="1" customHeight="1">
      <c r="C1600" s="973"/>
      <c r="D1600" s="893" t="s">
        <v>1433</v>
      </c>
      <c r="E1600" s="1042">
        <f>SUM(E1601)</f>
        <v>100000000</v>
      </c>
      <c r="F1600" s="1042">
        <f>SUM(F1601)</f>
        <v>100000000</v>
      </c>
      <c r="G1600" s="1042">
        <f t="shared" si="70"/>
        <v>100</v>
      </c>
      <c r="H1600" s="1042">
        <f>SUM(H1601)</f>
        <v>100</v>
      </c>
      <c r="I1600" s="969"/>
    </row>
    <row r="1601" spans="3:9" s="898" customFormat="1" ht="20.100000000000001" hidden="1" customHeight="1">
      <c r="C1601" s="973"/>
      <c r="D1601" s="886" t="s">
        <v>1891</v>
      </c>
      <c r="E1601" s="1041">
        <v>100000000</v>
      </c>
      <c r="F1601" s="1041">
        <v>100000000</v>
      </c>
      <c r="G1601" s="1041">
        <f t="shared" si="70"/>
        <v>100</v>
      </c>
      <c r="H1601" s="1041">
        <v>100</v>
      </c>
      <c r="I1601" s="969"/>
    </row>
    <row r="1602" spans="3:9" s="898" customFormat="1" ht="20.100000000000001" hidden="1" customHeight="1">
      <c r="C1602" s="973"/>
      <c r="D1602" s="893" t="s">
        <v>1814</v>
      </c>
      <c r="E1602" s="1042">
        <f>SUM(E1603)</f>
        <v>580000000</v>
      </c>
      <c r="F1602" s="1042">
        <f>SUM(F1603)</f>
        <v>580000000</v>
      </c>
      <c r="G1602" s="1042">
        <f t="shared" si="70"/>
        <v>100</v>
      </c>
      <c r="H1602" s="1042">
        <f>SUM(H1603)</f>
        <v>100</v>
      </c>
      <c r="I1602" s="969"/>
    </row>
    <row r="1603" spans="3:9" s="898" customFormat="1" ht="20.100000000000001" hidden="1" customHeight="1">
      <c r="C1603" s="973"/>
      <c r="D1603" s="886" t="s">
        <v>614</v>
      </c>
      <c r="E1603" s="1041">
        <v>580000000</v>
      </c>
      <c r="F1603" s="1041">
        <v>580000000</v>
      </c>
      <c r="G1603" s="1041">
        <f t="shared" si="70"/>
        <v>100</v>
      </c>
      <c r="H1603" s="1041">
        <v>100</v>
      </c>
      <c r="I1603" s="969"/>
    </row>
    <row r="1604" spans="3:9" s="898" customFormat="1" ht="20.100000000000001" hidden="1" customHeight="1">
      <c r="C1604" s="973"/>
      <c r="D1604" s="893" t="s">
        <v>1423</v>
      </c>
      <c r="E1604" s="1042">
        <f>SUM(E1605:E1607)</f>
        <v>1889964000</v>
      </c>
      <c r="F1604" s="1042">
        <f>SUM(F1605:F1607)</f>
        <v>1885000000</v>
      </c>
      <c r="G1604" s="1042">
        <f t="shared" si="70"/>
        <v>99.737349494487731</v>
      </c>
      <c r="H1604" s="1042">
        <f>SUM(H1605:H1607)/3</f>
        <v>100</v>
      </c>
      <c r="I1604" s="969"/>
    </row>
    <row r="1605" spans="3:9" s="898" customFormat="1" ht="20.100000000000001" hidden="1" customHeight="1">
      <c r="C1605" s="973"/>
      <c r="D1605" s="886" t="s">
        <v>3498</v>
      </c>
      <c r="E1605" s="1041">
        <v>1389964000</v>
      </c>
      <c r="F1605" s="1041">
        <v>1385000000</v>
      </c>
      <c r="G1605" s="1041">
        <f t="shared" si="70"/>
        <v>99.642868448391468</v>
      </c>
      <c r="H1605" s="1041">
        <v>100</v>
      </c>
      <c r="I1605" s="969"/>
    </row>
    <row r="1606" spans="3:9" s="898" customFormat="1" ht="20.100000000000001" hidden="1" customHeight="1">
      <c r="C1606" s="973"/>
      <c r="D1606" s="886" t="s">
        <v>704</v>
      </c>
      <c r="E1606" s="1041">
        <v>350000000</v>
      </c>
      <c r="F1606" s="1041">
        <v>350000000</v>
      </c>
      <c r="G1606" s="1041">
        <f t="shared" si="70"/>
        <v>100</v>
      </c>
      <c r="H1606" s="1041">
        <v>100</v>
      </c>
      <c r="I1606" s="969"/>
    </row>
    <row r="1607" spans="3:9" s="898" customFormat="1" ht="35.1" hidden="1" customHeight="1">
      <c r="C1607" s="973"/>
      <c r="D1607" s="886" t="s">
        <v>705</v>
      </c>
      <c r="E1607" s="1041">
        <v>150000000</v>
      </c>
      <c r="F1607" s="1041">
        <v>150000000</v>
      </c>
      <c r="G1607" s="1041">
        <f t="shared" si="70"/>
        <v>100</v>
      </c>
      <c r="H1607" s="1041">
        <v>100</v>
      </c>
      <c r="I1607" s="969"/>
    </row>
    <row r="1608" spans="3:9" s="898" customFormat="1" ht="15" hidden="1" customHeight="1">
      <c r="C1608" s="973"/>
      <c r="D1608" s="886"/>
      <c r="E1608" s="1041"/>
      <c r="F1608" s="1041"/>
      <c r="G1608" s="1041"/>
      <c r="H1608" s="1041"/>
      <c r="I1608" s="969"/>
    </row>
    <row r="1609" spans="3:9" s="898" customFormat="1" ht="20.100000000000001" hidden="1" customHeight="1">
      <c r="C1609" s="973"/>
      <c r="D1609" s="893" t="s">
        <v>1146</v>
      </c>
      <c r="E1609" s="1042">
        <f>E1610+E1612+E1614+E1616+E1618+E1621</f>
        <v>4000000000</v>
      </c>
      <c r="F1609" s="1042">
        <f>+F1610+F1612+F1614+F1618+F1621</f>
        <v>637375000</v>
      </c>
      <c r="G1609" s="1042">
        <f t="shared" ref="G1609:G1614" si="71">(F1609/E1609)*100</f>
        <v>15.934375000000001</v>
      </c>
      <c r="H1609" s="1042">
        <f>(H1610+H1612+H1614+H1616+H1618+H1621)/6</f>
        <v>33.333333333333336</v>
      </c>
      <c r="I1609" s="969"/>
    </row>
    <row r="1610" spans="3:9" s="898" customFormat="1" ht="20.100000000000001" hidden="1" customHeight="1">
      <c r="C1610" s="973"/>
      <c r="D1610" s="893" t="s">
        <v>912</v>
      </c>
      <c r="E1610" s="1042">
        <f>SUM(E1611)</f>
        <v>369125000</v>
      </c>
      <c r="F1610" s="1042">
        <f>SUM(F1611)</f>
        <v>369125000</v>
      </c>
      <c r="G1610" s="1042">
        <f t="shared" si="71"/>
        <v>100</v>
      </c>
      <c r="H1610" s="1042">
        <f>SUM(H1611)</f>
        <v>100</v>
      </c>
      <c r="I1610" s="969"/>
    </row>
    <row r="1611" spans="3:9" s="898" customFormat="1" ht="20.100000000000001" hidden="1" customHeight="1">
      <c r="C1611" s="973"/>
      <c r="D1611" s="886" t="s">
        <v>2057</v>
      </c>
      <c r="E1611" s="1041">
        <v>369125000</v>
      </c>
      <c r="F1611" s="1041">
        <v>369125000</v>
      </c>
      <c r="G1611" s="1041">
        <f t="shared" si="71"/>
        <v>100</v>
      </c>
      <c r="H1611" s="1041">
        <v>100</v>
      </c>
      <c r="I1611" s="969"/>
    </row>
    <row r="1612" spans="3:9" s="898" customFormat="1" ht="20.100000000000001" hidden="1" customHeight="1">
      <c r="C1612" s="973"/>
      <c r="D1612" s="893" t="s">
        <v>912</v>
      </c>
      <c r="E1612" s="1042">
        <f>SUM(E1613)</f>
        <v>268250000</v>
      </c>
      <c r="F1612" s="1042">
        <f>SUM(F1613)</f>
        <v>268250000</v>
      </c>
      <c r="G1612" s="1042">
        <f t="shared" si="71"/>
        <v>100</v>
      </c>
      <c r="H1612" s="1042">
        <f>SUM(H1613)</f>
        <v>100</v>
      </c>
      <c r="I1612" s="969"/>
    </row>
    <row r="1613" spans="3:9" s="898" customFormat="1" ht="20.100000000000001" hidden="1" customHeight="1">
      <c r="C1613" s="973"/>
      <c r="D1613" s="886" t="s">
        <v>3497</v>
      </c>
      <c r="E1613" s="1041">
        <v>268250000</v>
      </c>
      <c r="F1613" s="1041">
        <v>268250000</v>
      </c>
      <c r="G1613" s="1041">
        <f t="shared" si="71"/>
        <v>100</v>
      </c>
      <c r="H1613" s="1041">
        <v>100</v>
      </c>
      <c r="I1613" s="969"/>
    </row>
    <row r="1614" spans="3:9" s="898" customFormat="1" ht="20.100000000000001" hidden="1" customHeight="1">
      <c r="C1614" s="973"/>
      <c r="D1614" s="893" t="s">
        <v>304</v>
      </c>
      <c r="E1614" s="1042">
        <f>SUM(E1615)</f>
        <v>1324383689</v>
      </c>
      <c r="F1614" s="1042">
        <f>SUM(F1615)</f>
        <v>0</v>
      </c>
      <c r="G1614" s="1042">
        <f t="shared" si="71"/>
        <v>0</v>
      </c>
      <c r="H1614" s="1042">
        <f>SUM(H1615)</f>
        <v>0</v>
      </c>
      <c r="I1614" s="969"/>
    </row>
    <row r="1615" spans="3:9" s="898" customFormat="1" ht="20.100000000000001" hidden="1" customHeight="1">
      <c r="C1615" s="973"/>
      <c r="D1615" s="886" t="s">
        <v>307</v>
      </c>
      <c r="E1615" s="1041">
        <v>1324383689</v>
      </c>
      <c r="F1615" s="1041">
        <v>0</v>
      </c>
      <c r="G1615" s="1041">
        <v>0</v>
      </c>
      <c r="H1615" s="1041">
        <v>0</v>
      </c>
      <c r="I1615" s="969"/>
    </row>
    <row r="1616" spans="3:9" s="898" customFormat="1" ht="20.100000000000001" hidden="1" customHeight="1">
      <c r="C1616" s="973"/>
      <c r="D1616" s="893" t="s">
        <v>286</v>
      </c>
      <c r="E1616" s="1042">
        <f>SUM(E1617)</f>
        <v>93600000</v>
      </c>
      <c r="F1616" s="1042">
        <f>SUM(F1617)</f>
        <v>0</v>
      </c>
      <c r="G1616" s="1042">
        <f t="shared" ref="G1616:G1622" si="72">(F1616/E1616)*100</f>
        <v>0</v>
      </c>
      <c r="H1616" s="1042">
        <f>SUM(H1617)</f>
        <v>0</v>
      </c>
      <c r="I1616" s="969"/>
    </row>
    <row r="1617" spans="3:9" s="898" customFormat="1" ht="20.100000000000001" hidden="1" customHeight="1">
      <c r="C1617" s="973"/>
      <c r="D1617" s="886" t="s">
        <v>1514</v>
      </c>
      <c r="E1617" s="1041">
        <v>93600000</v>
      </c>
      <c r="F1617" s="1041">
        <v>0</v>
      </c>
      <c r="G1617" s="1041">
        <f t="shared" si="72"/>
        <v>0</v>
      </c>
      <c r="H1617" s="1041">
        <v>0</v>
      </c>
      <c r="I1617" s="969"/>
    </row>
    <row r="1618" spans="3:9" s="898" customFormat="1" ht="20.100000000000001" hidden="1" customHeight="1">
      <c r="C1618" s="973"/>
      <c r="D1618" s="893" t="s">
        <v>321</v>
      </c>
      <c r="E1618" s="1042">
        <f>SUM(E1619:E1620)</f>
        <v>1437778511</v>
      </c>
      <c r="F1618" s="1042">
        <f>SUM(F1619:F1620)</f>
        <v>0</v>
      </c>
      <c r="G1618" s="1042">
        <f t="shared" si="72"/>
        <v>0</v>
      </c>
      <c r="H1618" s="1042">
        <f>SUM(H1619:H1620)/2</f>
        <v>0</v>
      </c>
      <c r="I1618" s="969"/>
    </row>
    <row r="1619" spans="3:9" s="898" customFormat="1" ht="20.100000000000001" hidden="1" customHeight="1">
      <c r="C1619" s="973"/>
      <c r="D1619" s="886" t="s">
        <v>720</v>
      </c>
      <c r="E1619" s="1041">
        <v>1367778511</v>
      </c>
      <c r="F1619" s="1041">
        <v>0</v>
      </c>
      <c r="G1619" s="1041">
        <f t="shared" si="72"/>
        <v>0</v>
      </c>
      <c r="H1619" s="1041">
        <v>0</v>
      </c>
      <c r="I1619" s="969"/>
    </row>
    <row r="1620" spans="3:9" s="898" customFormat="1" ht="20.100000000000001" hidden="1" customHeight="1">
      <c r="C1620" s="973"/>
      <c r="D1620" s="886" t="s">
        <v>3496</v>
      </c>
      <c r="E1620" s="1041">
        <v>70000000</v>
      </c>
      <c r="F1620" s="1041">
        <v>0</v>
      </c>
      <c r="G1620" s="1041">
        <f t="shared" si="72"/>
        <v>0</v>
      </c>
      <c r="H1620" s="1041">
        <v>0</v>
      </c>
      <c r="I1620" s="969"/>
    </row>
    <row r="1621" spans="3:9" s="898" customFormat="1" ht="20.100000000000001" hidden="1" customHeight="1">
      <c r="C1621" s="973"/>
      <c r="D1621" s="893" t="s">
        <v>1839</v>
      </c>
      <c r="E1621" s="1042">
        <f>SUM(E1622)</f>
        <v>506862800</v>
      </c>
      <c r="F1621" s="1042">
        <f>SUM(F1622)</f>
        <v>0</v>
      </c>
      <c r="G1621" s="1042">
        <f t="shared" si="72"/>
        <v>0</v>
      </c>
      <c r="H1621" s="1042">
        <f>SUM(H1622)</f>
        <v>0</v>
      </c>
      <c r="I1621" s="969"/>
    </row>
    <row r="1622" spans="3:9" s="898" customFormat="1" ht="20.100000000000001" hidden="1" customHeight="1">
      <c r="C1622" s="973"/>
      <c r="D1622" s="886" t="s">
        <v>3495</v>
      </c>
      <c r="E1622" s="1041">
        <v>506862800</v>
      </c>
      <c r="F1622" s="1041">
        <v>0</v>
      </c>
      <c r="G1622" s="1041">
        <f t="shared" si="72"/>
        <v>0</v>
      </c>
      <c r="H1622" s="1041">
        <v>0</v>
      </c>
      <c r="I1622" s="969"/>
    </row>
    <row r="1623" spans="3:9" s="898" customFormat="1" ht="15" hidden="1" customHeight="1">
      <c r="C1623" s="973"/>
      <c r="D1623" s="886"/>
      <c r="E1623" s="1041"/>
      <c r="F1623" s="1041"/>
      <c r="G1623" s="1041"/>
      <c r="H1623" s="1041"/>
      <c r="I1623" s="969"/>
    </row>
    <row r="1624" spans="3:9" s="898" customFormat="1" ht="20.100000000000001" hidden="1" customHeight="1">
      <c r="C1624" s="973"/>
      <c r="D1624" s="893" t="s">
        <v>835</v>
      </c>
      <c r="E1624" s="1042">
        <f>E1625+E1627</f>
        <v>800000000</v>
      </c>
      <c r="F1624" s="1042">
        <f>F1625+F1627</f>
        <v>800000000</v>
      </c>
      <c r="G1624" s="1042">
        <f>(F1624/E1624)*100</f>
        <v>100</v>
      </c>
      <c r="H1624" s="1042">
        <f>(H1625+H1627)/2</f>
        <v>100</v>
      </c>
      <c r="I1624" s="969"/>
    </row>
    <row r="1625" spans="3:9" s="898" customFormat="1" ht="20.100000000000001" hidden="1" customHeight="1">
      <c r="C1625" s="973"/>
      <c r="D1625" s="893" t="s">
        <v>3494</v>
      </c>
      <c r="E1625" s="1042">
        <f>SUM(E1626)</f>
        <v>499200000</v>
      </c>
      <c r="F1625" s="1042">
        <f>SUM(F1626)</f>
        <v>499200000</v>
      </c>
      <c r="G1625" s="1042">
        <f>(F1625/E1625)*100</f>
        <v>100</v>
      </c>
      <c r="H1625" s="1042">
        <f>SUM(H1626)</f>
        <v>100</v>
      </c>
      <c r="I1625" s="969"/>
    </row>
    <row r="1626" spans="3:9" s="898" customFormat="1" ht="20.100000000000001" hidden="1" customHeight="1">
      <c r="C1626" s="973"/>
      <c r="D1626" s="886" t="s">
        <v>3493</v>
      </c>
      <c r="E1626" s="1041">
        <v>499200000</v>
      </c>
      <c r="F1626" s="1041">
        <v>499200000</v>
      </c>
      <c r="G1626" s="1041">
        <f>(F1626/E1626)*100</f>
        <v>100</v>
      </c>
      <c r="H1626" s="1041">
        <v>100</v>
      </c>
      <c r="I1626" s="969"/>
    </row>
    <row r="1627" spans="3:9" s="898" customFormat="1" ht="20.100000000000001" hidden="1" customHeight="1">
      <c r="C1627" s="973"/>
      <c r="D1627" s="893" t="s">
        <v>1433</v>
      </c>
      <c r="E1627" s="1042">
        <f>SUM(E1628)</f>
        <v>300800000</v>
      </c>
      <c r="F1627" s="1042">
        <f>SUM(F1628)</f>
        <v>300800000</v>
      </c>
      <c r="G1627" s="1042">
        <f>(F1627/E1627)*100</f>
        <v>100</v>
      </c>
      <c r="H1627" s="1042">
        <f>SUM(H1628)</f>
        <v>100</v>
      </c>
      <c r="I1627" s="969"/>
    </row>
    <row r="1628" spans="3:9" s="898" customFormat="1" ht="35.1" hidden="1" customHeight="1">
      <c r="C1628" s="973"/>
      <c r="D1628" s="886" t="s">
        <v>3492</v>
      </c>
      <c r="E1628" s="1041">
        <v>300800000</v>
      </c>
      <c r="F1628" s="1041">
        <v>300800000</v>
      </c>
      <c r="G1628" s="1041">
        <f>(F1628/E1628)*100</f>
        <v>100</v>
      </c>
      <c r="H1628" s="1041">
        <v>100</v>
      </c>
      <c r="I1628" s="969"/>
    </row>
    <row r="1629" spans="3:9" s="898" customFormat="1" ht="15" hidden="1" customHeight="1">
      <c r="C1629" s="973"/>
      <c r="D1629" s="886"/>
      <c r="E1629" s="1041"/>
      <c r="F1629" s="1041"/>
      <c r="G1629" s="1041"/>
      <c r="H1629" s="1041"/>
      <c r="I1629" s="969"/>
    </row>
    <row r="1630" spans="3:9" s="898" customFormat="1" ht="20.100000000000001" hidden="1" customHeight="1">
      <c r="C1630" s="973"/>
      <c r="D1630" s="893" t="s">
        <v>3491</v>
      </c>
      <c r="E1630" s="1042">
        <f>E1631+E1635+E1639+E1644</f>
        <v>11500000000</v>
      </c>
      <c r="F1630" s="1042">
        <f>F1631+F1635+F1639+F1644</f>
        <v>1992768000</v>
      </c>
      <c r="G1630" s="1042">
        <f>(F1630/E1630)*100</f>
        <v>17.328417391304349</v>
      </c>
      <c r="H1630" s="1042">
        <f>(H1631+H1635+H1639+H1644)/4</f>
        <v>25</v>
      </c>
      <c r="I1630" s="969"/>
    </row>
    <row r="1631" spans="3:9" s="898" customFormat="1" ht="20.100000000000001" hidden="1" customHeight="1">
      <c r="C1631" s="973"/>
      <c r="D1631" s="893" t="s">
        <v>610</v>
      </c>
      <c r="E1631" s="1042">
        <f>E1632</f>
        <v>5000000000</v>
      </c>
      <c r="F1631" s="1042">
        <f>F1632</f>
        <v>0</v>
      </c>
      <c r="G1631" s="1042">
        <f>(F1631/E1631)*100</f>
        <v>0</v>
      </c>
      <c r="H1631" s="1042">
        <f>H1632</f>
        <v>0</v>
      </c>
      <c r="I1631" s="969"/>
    </row>
    <row r="1632" spans="3:9" s="898" customFormat="1" ht="20.100000000000001" hidden="1" customHeight="1">
      <c r="C1632" s="973"/>
      <c r="D1632" s="893" t="s">
        <v>2688</v>
      </c>
      <c r="E1632" s="1042">
        <f>SUM(E1633)</f>
        <v>5000000000</v>
      </c>
      <c r="F1632" s="1042">
        <f>SUM(F1633)</f>
        <v>0</v>
      </c>
      <c r="G1632" s="1042">
        <f>(F1632/E1632)*100</f>
        <v>0</v>
      </c>
      <c r="H1632" s="1042">
        <f>SUM(H1633)</f>
        <v>0</v>
      </c>
      <c r="I1632" s="969"/>
    </row>
    <row r="1633" spans="3:9" s="898" customFormat="1" ht="20.100000000000001" hidden="1" customHeight="1">
      <c r="C1633" s="973"/>
      <c r="D1633" s="886" t="s">
        <v>723</v>
      </c>
      <c r="E1633" s="1041">
        <v>5000000000</v>
      </c>
      <c r="F1633" s="1041">
        <v>0</v>
      </c>
      <c r="G1633" s="1041">
        <f>(F1633/E1633)*100</f>
        <v>0</v>
      </c>
      <c r="H1633" s="1041">
        <v>0</v>
      </c>
      <c r="I1633" s="969"/>
    </row>
    <row r="1634" spans="3:9" s="898" customFormat="1" ht="15" hidden="1" customHeight="1">
      <c r="C1634" s="973"/>
      <c r="D1634" s="886"/>
      <c r="E1634" s="1041"/>
      <c r="F1634" s="1041"/>
      <c r="G1634" s="1041"/>
      <c r="H1634" s="1041"/>
      <c r="I1634" s="969"/>
    </row>
    <row r="1635" spans="3:9" s="898" customFormat="1" ht="20.100000000000001" hidden="1" customHeight="1">
      <c r="C1635" s="973"/>
      <c r="D1635" s="893" t="s">
        <v>1437</v>
      </c>
      <c r="E1635" s="1042">
        <f>E1636</f>
        <v>3000000000</v>
      </c>
      <c r="F1635" s="1042">
        <f>F1636</f>
        <v>0</v>
      </c>
      <c r="G1635" s="1042">
        <f>(F1635/E1635)*100</f>
        <v>0</v>
      </c>
      <c r="H1635" s="1042">
        <f>H1636</f>
        <v>0</v>
      </c>
      <c r="I1635" s="969"/>
    </row>
    <row r="1636" spans="3:9" s="898" customFormat="1" ht="20.100000000000001" hidden="1" customHeight="1">
      <c r="C1636" s="973"/>
      <c r="D1636" s="893" t="s">
        <v>498</v>
      </c>
      <c r="E1636" s="1042">
        <f>SUM(E1637)</f>
        <v>3000000000</v>
      </c>
      <c r="F1636" s="1042">
        <f>SUM(F1637)</f>
        <v>0</v>
      </c>
      <c r="G1636" s="1042">
        <f>(F1636/E1636)*100</f>
        <v>0</v>
      </c>
      <c r="H1636" s="1042">
        <f>SUM(H1637)</f>
        <v>0</v>
      </c>
      <c r="I1636" s="969"/>
    </row>
    <row r="1637" spans="3:9" s="898" customFormat="1" ht="20.100000000000001" hidden="1" customHeight="1">
      <c r="C1637" s="973"/>
      <c r="D1637" s="886" t="s">
        <v>3490</v>
      </c>
      <c r="E1637" s="1041">
        <v>3000000000</v>
      </c>
      <c r="F1637" s="1041">
        <v>0</v>
      </c>
      <c r="G1637" s="1041">
        <f>(F1637/E1637)*100</f>
        <v>0</v>
      </c>
      <c r="H1637" s="1041">
        <v>0</v>
      </c>
      <c r="I1637" s="969"/>
    </row>
    <row r="1638" spans="3:9" s="898" customFormat="1" ht="15" hidden="1" customHeight="1">
      <c r="C1638" s="973"/>
      <c r="D1638" s="886"/>
      <c r="E1638" s="1041"/>
      <c r="F1638" s="1041"/>
      <c r="G1638" s="1041"/>
      <c r="H1638" s="1041"/>
      <c r="I1638" s="969"/>
    </row>
    <row r="1639" spans="3:9" s="898" customFormat="1" ht="20.100000000000001" hidden="1" customHeight="1">
      <c r="C1639" s="973"/>
      <c r="D1639" s="893" t="s">
        <v>1347</v>
      </c>
      <c r="E1639" s="1042">
        <f>E1640</f>
        <v>2000000000</v>
      </c>
      <c r="F1639" s="1042">
        <f>F1640</f>
        <v>1992768000</v>
      </c>
      <c r="G1639" s="1042">
        <f>(F1639/E1639)*100</f>
        <v>99.638400000000004</v>
      </c>
      <c r="H1639" s="1042">
        <f>H1640</f>
        <v>100</v>
      </c>
      <c r="I1639" s="969"/>
    </row>
    <row r="1640" spans="3:9" s="898" customFormat="1" ht="20.100000000000001" hidden="1" customHeight="1">
      <c r="C1640" s="973"/>
      <c r="D1640" s="893" t="s">
        <v>2734</v>
      </c>
      <c r="E1640" s="1042">
        <f>SUM(E1641:E1642)</f>
        <v>2000000000</v>
      </c>
      <c r="F1640" s="1042">
        <f>SUM(F1641:F1642)</f>
        <v>1992768000</v>
      </c>
      <c r="G1640" s="1042">
        <f>(F1640/E1640)*100</f>
        <v>99.638400000000004</v>
      </c>
      <c r="H1640" s="1042">
        <f>SUM(H1641:H1642)/2</f>
        <v>100</v>
      </c>
      <c r="I1640" s="969"/>
    </row>
    <row r="1641" spans="3:9" s="898" customFormat="1" ht="20.100000000000001" hidden="1" customHeight="1">
      <c r="C1641" s="973"/>
      <c r="D1641" s="886" t="s">
        <v>1441</v>
      </c>
      <c r="E1641" s="1041">
        <v>1378000000</v>
      </c>
      <c r="F1641" s="1041">
        <v>1370768000</v>
      </c>
      <c r="G1641" s="1041">
        <f>(F1641/E1641)*100</f>
        <v>99.475181422351227</v>
      </c>
      <c r="H1641" s="1041">
        <v>100</v>
      </c>
      <c r="I1641" s="969"/>
    </row>
    <row r="1642" spans="3:9" s="898" customFormat="1" ht="20.100000000000001" hidden="1" customHeight="1">
      <c r="C1642" s="973"/>
      <c r="D1642" s="1047" t="s">
        <v>3489</v>
      </c>
      <c r="E1642" s="1041">
        <v>622000000</v>
      </c>
      <c r="F1642" s="1041">
        <v>622000000</v>
      </c>
      <c r="G1642" s="1041">
        <f>(F1642/E1642)*100</f>
        <v>100</v>
      </c>
      <c r="H1642" s="1041">
        <v>100</v>
      </c>
      <c r="I1642" s="969"/>
    </row>
    <row r="1643" spans="3:9" s="898" customFormat="1" ht="15" hidden="1" customHeight="1">
      <c r="C1643" s="973"/>
      <c r="D1643" s="886"/>
      <c r="E1643" s="1041"/>
      <c r="F1643" s="1041"/>
      <c r="G1643" s="1041"/>
      <c r="H1643" s="1041"/>
      <c r="I1643" s="969"/>
    </row>
    <row r="1644" spans="3:9" s="898" customFormat="1" ht="20.100000000000001" hidden="1" customHeight="1">
      <c r="C1644" s="973"/>
      <c r="D1644" s="893" t="s">
        <v>1442</v>
      </c>
      <c r="E1644" s="1042">
        <f>E1645</f>
        <v>1500000000</v>
      </c>
      <c r="F1644" s="1042">
        <f>F1645</f>
        <v>0</v>
      </c>
      <c r="G1644" s="1042">
        <f>(F1644/E1644)*100</f>
        <v>0</v>
      </c>
      <c r="H1644" s="1042">
        <f>H1645</f>
        <v>0</v>
      </c>
      <c r="I1644" s="969"/>
    </row>
    <row r="1645" spans="3:9" s="898" customFormat="1" ht="20.100000000000001" hidden="1" customHeight="1">
      <c r="C1645" s="973"/>
      <c r="D1645" s="893" t="s">
        <v>3488</v>
      </c>
      <c r="E1645" s="1042">
        <f>SUM(E1646:E1646)</f>
        <v>1500000000</v>
      </c>
      <c r="F1645" s="1042">
        <f>SUM(F1646:F1646)</f>
        <v>0</v>
      </c>
      <c r="G1645" s="1042">
        <f>(F1645/E1645)*100</f>
        <v>0</v>
      </c>
      <c r="H1645" s="1042">
        <f>SUM(H1646:H1646)</f>
        <v>0</v>
      </c>
      <c r="I1645" s="969"/>
    </row>
    <row r="1646" spans="3:9" s="898" customFormat="1" ht="20.100000000000001" hidden="1" customHeight="1">
      <c r="C1646" s="973"/>
      <c r="D1646" s="886" t="s">
        <v>3487</v>
      </c>
      <c r="E1646" s="1041">
        <v>1500000000</v>
      </c>
      <c r="F1646" s="1041">
        <v>0</v>
      </c>
      <c r="G1646" s="1041">
        <f>(F1646/E1646)*100</f>
        <v>0</v>
      </c>
      <c r="H1646" s="1041">
        <v>0</v>
      </c>
      <c r="I1646" s="969"/>
    </row>
    <row r="1647" spans="3:9" s="898" customFormat="1" ht="15" hidden="1" customHeight="1">
      <c r="C1647" s="973"/>
      <c r="D1647" s="886"/>
      <c r="E1647" s="1041"/>
      <c r="F1647" s="1041"/>
      <c r="G1647" s="1041"/>
      <c r="H1647" s="1041"/>
      <c r="I1647" s="969"/>
    </row>
    <row r="1648" spans="3:9" s="980" customFormat="1" ht="20.100000000000001" hidden="1" customHeight="1">
      <c r="C1648" s="1045"/>
      <c r="D1648" s="893" t="s">
        <v>3486</v>
      </c>
      <c r="E1648" s="1042">
        <f>E1649+E1666</f>
        <v>9130669640</v>
      </c>
      <c r="F1648" s="1042">
        <f>F1649+F1666</f>
        <v>9031069640</v>
      </c>
      <c r="G1648" s="1042">
        <f t="shared" ref="G1648:G1664" si="73">(F1648/E1648)*100</f>
        <v>98.909170915968005</v>
      </c>
      <c r="H1648" s="1042">
        <f>(H1649+H1666)/2</f>
        <v>100</v>
      </c>
      <c r="I1648" s="1044"/>
    </row>
    <row r="1649" spans="3:9" s="898" customFormat="1" ht="20.100000000000001" hidden="1" customHeight="1">
      <c r="C1649" s="973"/>
      <c r="D1649" s="893" t="s">
        <v>1445</v>
      </c>
      <c r="E1649" s="1042">
        <f>E1650+E1661</f>
        <v>8430669640</v>
      </c>
      <c r="F1649" s="1042">
        <f>F1650+F1661</f>
        <v>8331069640</v>
      </c>
      <c r="G1649" s="1042">
        <f t="shared" si="73"/>
        <v>98.818599183065601</v>
      </c>
      <c r="H1649" s="1042">
        <f>(H1650+H1661)/2</f>
        <v>100</v>
      </c>
      <c r="I1649" s="969"/>
    </row>
    <row r="1650" spans="3:9" s="898" customFormat="1" ht="20.100000000000001" hidden="1" customHeight="1">
      <c r="C1650" s="973"/>
      <c r="D1650" s="893" t="s">
        <v>1446</v>
      </c>
      <c r="E1650" s="1042">
        <f>SUM(E1651:E1660)</f>
        <v>5691669640</v>
      </c>
      <c r="F1650" s="1042">
        <f>SUM(F1651:F1660)</f>
        <v>5691669640</v>
      </c>
      <c r="G1650" s="1042">
        <f t="shared" si="73"/>
        <v>100</v>
      </c>
      <c r="H1650" s="1042">
        <f>SUM(H1651:H1660)/10</f>
        <v>100</v>
      </c>
      <c r="I1650" s="969"/>
    </row>
    <row r="1651" spans="3:9" s="898" customFormat="1" ht="20.100000000000001" hidden="1" customHeight="1">
      <c r="C1651" s="973"/>
      <c r="D1651" s="886" t="s">
        <v>1447</v>
      </c>
      <c r="E1651" s="1041">
        <v>1991669640</v>
      </c>
      <c r="F1651" s="1041">
        <v>1991669640</v>
      </c>
      <c r="G1651" s="1041">
        <f t="shared" si="73"/>
        <v>100</v>
      </c>
      <c r="H1651" s="1041">
        <v>100</v>
      </c>
      <c r="I1651" s="969"/>
    </row>
    <row r="1652" spans="3:9" s="898" customFormat="1" ht="20.100000000000001" hidden="1" customHeight="1">
      <c r="C1652" s="973"/>
      <c r="D1652" s="886" t="s">
        <v>1448</v>
      </c>
      <c r="E1652" s="1041">
        <v>1100000000</v>
      </c>
      <c r="F1652" s="1041">
        <v>1100000000</v>
      </c>
      <c r="G1652" s="1041">
        <f t="shared" si="73"/>
        <v>100</v>
      </c>
      <c r="H1652" s="1041">
        <v>100</v>
      </c>
      <c r="I1652" s="969"/>
    </row>
    <row r="1653" spans="3:9" s="898" customFormat="1" ht="20.100000000000001" hidden="1" customHeight="1">
      <c r="C1653" s="973"/>
      <c r="D1653" s="886" t="s">
        <v>1449</v>
      </c>
      <c r="E1653" s="1041">
        <v>350000000</v>
      </c>
      <c r="F1653" s="1041">
        <v>350000000</v>
      </c>
      <c r="G1653" s="1041">
        <f t="shared" si="73"/>
        <v>100</v>
      </c>
      <c r="H1653" s="1041">
        <v>100</v>
      </c>
      <c r="I1653" s="969"/>
    </row>
    <row r="1654" spans="3:9" s="898" customFormat="1" ht="20.100000000000001" hidden="1" customHeight="1">
      <c r="C1654" s="973"/>
      <c r="D1654" s="886" t="s">
        <v>1450</v>
      </c>
      <c r="E1654" s="1041">
        <v>140000000</v>
      </c>
      <c r="F1654" s="1041">
        <v>140000000</v>
      </c>
      <c r="G1654" s="1041">
        <f t="shared" si="73"/>
        <v>100</v>
      </c>
      <c r="H1654" s="1041">
        <v>100</v>
      </c>
      <c r="I1654" s="969"/>
    </row>
    <row r="1655" spans="3:9" s="898" customFormat="1" ht="20.100000000000001" hidden="1" customHeight="1">
      <c r="C1655" s="973"/>
      <c r="D1655" s="886" t="s">
        <v>1451</v>
      </c>
      <c r="E1655" s="1041">
        <v>800000000</v>
      </c>
      <c r="F1655" s="1041">
        <v>800000000</v>
      </c>
      <c r="G1655" s="1041">
        <f t="shared" si="73"/>
        <v>100</v>
      </c>
      <c r="H1655" s="1041">
        <v>100</v>
      </c>
      <c r="I1655" s="969"/>
    </row>
    <row r="1656" spans="3:9" s="898" customFormat="1" ht="20.100000000000001" hidden="1" customHeight="1">
      <c r="C1656" s="973"/>
      <c r="D1656" s="886" t="s">
        <v>1452</v>
      </c>
      <c r="E1656" s="1041">
        <v>150000000</v>
      </c>
      <c r="F1656" s="1041">
        <v>150000000</v>
      </c>
      <c r="G1656" s="1041">
        <f t="shared" si="73"/>
        <v>100</v>
      </c>
      <c r="H1656" s="1041">
        <v>100</v>
      </c>
      <c r="I1656" s="969"/>
    </row>
    <row r="1657" spans="3:9" s="898" customFormat="1" ht="20.100000000000001" hidden="1" customHeight="1">
      <c r="C1657" s="973"/>
      <c r="D1657" s="886" t="s">
        <v>1453</v>
      </c>
      <c r="E1657" s="1041">
        <v>170000000</v>
      </c>
      <c r="F1657" s="1041">
        <v>170000000</v>
      </c>
      <c r="G1657" s="1041">
        <f t="shared" si="73"/>
        <v>100</v>
      </c>
      <c r="H1657" s="1041">
        <v>100</v>
      </c>
      <c r="I1657" s="969"/>
    </row>
    <row r="1658" spans="3:9" s="898" customFormat="1" ht="20.100000000000001" hidden="1" customHeight="1">
      <c r="C1658" s="973"/>
      <c r="D1658" s="886" t="s">
        <v>1454</v>
      </c>
      <c r="E1658" s="1041">
        <v>140000000</v>
      </c>
      <c r="F1658" s="1041">
        <v>140000000</v>
      </c>
      <c r="G1658" s="1041">
        <f t="shared" si="73"/>
        <v>100</v>
      </c>
      <c r="H1658" s="1041">
        <v>100</v>
      </c>
      <c r="I1658" s="969"/>
    </row>
    <row r="1659" spans="3:9" s="898" customFormat="1" ht="20.100000000000001" hidden="1" customHeight="1">
      <c r="C1659" s="973"/>
      <c r="D1659" s="886" t="s">
        <v>1455</v>
      </c>
      <c r="E1659" s="1041">
        <v>700000000</v>
      </c>
      <c r="F1659" s="1041">
        <v>700000000</v>
      </c>
      <c r="G1659" s="1041">
        <f t="shared" si="73"/>
        <v>100</v>
      </c>
      <c r="H1659" s="1041">
        <v>100</v>
      </c>
      <c r="I1659" s="969"/>
    </row>
    <row r="1660" spans="3:9" s="898" customFormat="1" ht="20.100000000000001" hidden="1" customHeight="1">
      <c r="C1660" s="973"/>
      <c r="D1660" s="886" t="s">
        <v>1456</v>
      </c>
      <c r="E1660" s="1041">
        <v>150000000</v>
      </c>
      <c r="F1660" s="1041">
        <v>150000000</v>
      </c>
      <c r="G1660" s="1041">
        <f t="shared" si="73"/>
        <v>100</v>
      </c>
      <c r="H1660" s="1041">
        <v>100</v>
      </c>
      <c r="I1660" s="969"/>
    </row>
    <row r="1661" spans="3:9" s="898" customFormat="1" ht="20.100000000000001" hidden="1" customHeight="1">
      <c r="C1661" s="973"/>
      <c r="D1661" s="893" t="s">
        <v>3485</v>
      </c>
      <c r="E1661" s="1042">
        <f>SUM(E1662:E1664)</f>
        <v>2739000000</v>
      </c>
      <c r="F1661" s="1042">
        <f>SUM(F1662:F1664)</f>
        <v>2639400000</v>
      </c>
      <c r="G1661" s="1042">
        <f t="shared" si="73"/>
        <v>96.36363636363636</v>
      </c>
      <c r="H1661" s="1042">
        <f>SUM(H1662:H1664)/3</f>
        <v>100</v>
      </c>
      <c r="I1661" s="969"/>
    </row>
    <row r="1662" spans="3:9" s="898" customFormat="1" ht="20.100000000000001" hidden="1" customHeight="1">
      <c r="C1662" s="973"/>
      <c r="D1662" s="886" t="s">
        <v>3484</v>
      </c>
      <c r="E1662" s="1041">
        <v>819000000</v>
      </c>
      <c r="F1662" s="1041">
        <v>819000000</v>
      </c>
      <c r="G1662" s="1041">
        <f t="shared" si="73"/>
        <v>100</v>
      </c>
      <c r="H1662" s="1041">
        <v>100</v>
      </c>
      <c r="I1662" s="969"/>
    </row>
    <row r="1663" spans="3:9" s="898" customFormat="1" ht="20.100000000000001" hidden="1" customHeight="1">
      <c r="C1663" s="973"/>
      <c r="D1663" s="886" t="s">
        <v>3483</v>
      </c>
      <c r="E1663" s="1041">
        <v>800000000</v>
      </c>
      <c r="F1663" s="1041">
        <v>800000000</v>
      </c>
      <c r="G1663" s="1041">
        <f t="shared" si="73"/>
        <v>100</v>
      </c>
      <c r="H1663" s="1041">
        <v>100</v>
      </c>
      <c r="I1663" s="969"/>
    </row>
    <row r="1664" spans="3:9" s="898" customFormat="1" ht="20.100000000000001" hidden="1" customHeight="1">
      <c r="C1664" s="973"/>
      <c r="D1664" s="886" t="s">
        <v>3482</v>
      </c>
      <c r="E1664" s="1041">
        <v>1120000000</v>
      </c>
      <c r="F1664" s="1046">
        <v>1020400000</v>
      </c>
      <c r="G1664" s="1041">
        <f t="shared" si="73"/>
        <v>91.107142857142847</v>
      </c>
      <c r="H1664" s="1041">
        <v>100</v>
      </c>
      <c r="I1664" s="969"/>
    </row>
    <row r="1665" spans="3:10" s="980" customFormat="1" ht="15" hidden="1" customHeight="1">
      <c r="C1665" s="1045"/>
      <c r="D1665" s="886"/>
      <c r="E1665" s="1041"/>
      <c r="F1665" s="1041"/>
      <c r="G1665" s="1041"/>
      <c r="H1665" s="1041"/>
      <c r="I1665" s="1044"/>
    </row>
    <row r="1666" spans="3:10" s="980" customFormat="1" ht="20.100000000000001" hidden="1" customHeight="1">
      <c r="C1666" s="1045"/>
      <c r="D1666" s="893" t="s">
        <v>654</v>
      </c>
      <c r="E1666" s="1042">
        <f>E1667+E1669</f>
        <v>700000000</v>
      </c>
      <c r="F1666" s="1042">
        <f>F1667+F1669</f>
        <v>700000000</v>
      </c>
      <c r="G1666" s="1042">
        <f t="shared" ref="G1666:G1671" si="74">(F1666/E1666)*100</f>
        <v>100</v>
      </c>
      <c r="H1666" s="1042">
        <f>(H1667+H1669)/2</f>
        <v>100</v>
      </c>
      <c r="I1666" s="1044"/>
    </row>
    <row r="1667" spans="3:10" s="898" customFormat="1" ht="20.100000000000001" hidden="1" customHeight="1">
      <c r="C1667" s="973"/>
      <c r="D1667" s="893" t="s">
        <v>257</v>
      </c>
      <c r="E1667" s="1042">
        <f>SUM(E1668:E1668)</f>
        <v>221800000</v>
      </c>
      <c r="F1667" s="1042">
        <f>SUM(F1668:F1668)</f>
        <v>221800000</v>
      </c>
      <c r="G1667" s="1042">
        <f t="shared" si="74"/>
        <v>100</v>
      </c>
      <c r="H1667" s="1042">
        <f>SUM(H1668)</f>
        <v>100</v>
      </c>
      <c r="I1667" s="969"/>
    </row>
    <row r="1668" spans="3:10" s="980" customFormat="1" ht="20.100000000000001" hidden="1" customHeight="1">
      <c r="C1668" s="1045"/>
      <c r="D1668" s="886" t="s">
        <v>3481</v>
      </c>
      <c r="E1668" s="1041">
        <v>221800000</v>
      </c>
      <c r="F1668" s="1041">
        <v>221800000</v>
      </c>
      <c r="G1668" s="1041">
        <f t="shared" si="74"/>
        <v>100</v>
      </c>
      <c r="H1668" s="1041">
        <v>100</v>
      </c>
      <c r="I1668" s="1044"/>
    </row>
    <row r="1669" spans="3:10" s="898" customFormat="1" ht="20.100000000000001" hidden="1" customHeight="1">
      <c r="C1669" s="973"/>
      <c r="D1669" s="893" t="s">
        <v>1458</v>
      </c>
      <c r="E1669" s="1042">
        <f>SUM(E1670:E1671)</f>
        <v>478200000</v>
      </c>
      <c r="F1669" s="1042">
        <f>SUM(F1670:F1671)</f>
        <v>478200000</v>
      </c>
      <c r="G1669" s="1042">
        <f t="shared" si="74"/>
        <v>100</v>
      </c>
      <c r="H1669" s="1042">
        <f>SUM(H1670:H1671)/2</f>
        <v>100</v>
      </c>
      <c r="I1669" s="969"/>
    </row>
    <row r="1670" spans="3:10" s="898" customFormat="1" ht="35.1" hidden="1" customHeight="1">
      <c r="C1670" s="973"/>
      <c r="D1670" s="886" t="s">
        <v>3480</v>
      </c>
      <c r="E1670" s="1041">
        <v>221420000</v>
      </c>
      <c r="F1670" s="1041">
        <v>221420000</v>
      </c>
      <c r="G1670" s="1041">
        <f t="shared" si="74"/>
        <v>100</v>
      </c>
      <c r="H1670" s="1041">
        <v>100</v>
      </c>
      <c r="I1670" s="969"/>
    </row>
    <row r="1671" spans="3:10" s="980" customFormat="1" ht="20.100000000000001" hidden="1" customHeight="1">
      <c r="C1671" s="1045"/>
      <c r="D1671" s="886" t="s">
        <v>3479</v>
      </c>
      <c r="E1671" s="1041">
        <v>256780000</v>
      </c>
      <c r="F1671" s="1041">
        <v>256780000</v>
      </c>
      <c r="G1671" s="1041">
        <f t="shared" si="74"/>
        <v>100</v>
      </c>
      <c r="H1671" s="1041">
        <v>100</v>
      </c>
      <c r="I1671" s="1044"/>
    </row>
    <row r="1672" spans="3:10" s="898" customFormat="1" ht="15" hidden="1" customHeight="1">
      <c r="C1672" s="973"/>
      <c r="D1672" s="886"/>
      <c r="E1672" s="1041"/>
      <c r="F1672" s="1041"/>
      <c r="G1672" s="1041"/>
      <c r="H1672" s="1041"/>
      <c r="I1672" s="969"/>
    </row>
    <row r="1673" spans="3:10" s="980" customFormat="1" ht="20.100000000000001" hidden="1" customHeight="1">
      <c r="C1673" s="1045"/>
      <c r="D1673" s="893" t="s">
        <v>3478</v>
      </c>
      <c r="E1673" s="1042">
        <f>E1674+E1680</f>
        <v>800000000.37</v>
      </c>
      <c r="F1673" s="1042">
        <f>F1674+F1680</f>
        <v>800000000</v>
      </c>
      <c r="G1673" s="1042">
        <f t="shared" ref="G1673:G1678" si="75">(F1673/E1673)*100</f>
        <v>99.999999953749992</v>
      </c>
      <c r="H1673" s="1042">
        <f>(H1674+H1680)/2</f>
        <v>100</v>
      </c>
      <c r="I1673" s="1044"/>
    </row>
    <row r="1674" spans="3:10" ht="20.100000000000001" hidden="1" customHeight="1">
      <c r="C1674" s="878"/>
      <c r="D1674" s="893" t="s">
        <v>651</v>
      </c>
      <c r="E1674" s="1042">
        <f>E1675+E1677</f>
        <v>600000000.37</v>
      </c>
      <c r="F1674" s="1042">
        <f>F1675+F1677</f>
        <v>600000000</v>
      </c>
      <c r="G1674" s="1042">
        <f t="shared" si="75"/>
        <v>99.999999938333332</v>
      </c>
      <c r="H1674" s="1042">
        <f>(H1675+H1677)/2</f>
        <v>100</v>
      </c>
      <c r="I1674" s="852"/>
      <c r="J1674" s="802"/>
    </row>
    <row r="1675" spans="3:10" ht="35.1" hidden="1" customHeight="1">
      <c r="C1675" s="878"/>
      <c r="D1675" s="893" t="s">
        <v>884</v>
      </c>
      <c r="E1675" s="1042">
        <f>SUM(E1676)</f>
        <v>162150000</v>
      </c>
      <c r="F1675" s="1042">
        <f>SUM(F1676)</f>
        <v>162150000</v>
      </c>
      <c r="G1675" s="1042">
        <f t="shared" si="75"/>
        <v>100</v>
      </c>
      <c r="H1675" s="1042">
        <f>SUM(H1676)</f>
        <v>100</v>
      </c>
      <c r="I1675" s="852"/>
      <c r="J1675" s="802"/>
    </row>
    <row r="1676" spans="3:10" ht="48.75" hidden="1" customHeight="1">
      <c r="C1676" s="878"/>
      <c r="D1676" s="886" t="s">
        <v>3477</v>
      </c>
      <c r="E1676" s="1041">
        <v>162150000</v>
      </c>
      <c r="F1676" s="1041">
        <v>162150000</v>
      </c>
      <c r="G1676" s="1041">
        <f t="shared" si="75"/>
        <v>100</v>
      </c>
      <c r="H1676" s="1041">
        <v>100</v>
      </c>
      <c r="I1676" s="852"/>
      <c r="J1676" s="802"/>
    </row>
    <row r="1677" spans="3:10" ht="35.1" hidden="1" customHeight="1">
      <c r="C1677" s="878"/>
      <c r="D1677" s="893" t="s">
        <v>993</v>
      </c>
      <c r="E1677" s="1042">
        <f>SUM(E1678)</f>
        <v>437850000.37</v>
      </c>
      <c r="F1677" s="1042">
        <f>SUM(F1678)</f>
        <v>437850000</v>
      </c>
      <c r="G1677" s="1042">
        <f t="shared" si="75"/>
        <v>99.999999915496176</v>
      </c>
      <c r="H1677" s="1042">
        <f>SUM(H1678)</f>
        <v>100</v>
      </c>
      <c r="I1677" s="852"/>
      <c r="J1677" s="802"/>
    </row>
    <row r="1678" spans="3:10" ht="35.1" hidden="1" customHeight="1">
      <c r="C1678" s="878"/>
      <c r="D1678" s="886" t="s">
        <v>3476</v>
      </c>
      <c r="E1678" s="1043">
        <v>437850000.37</v>
      </c>
      <c r="F1678" s="1041">
        <v>437850000</v>
      </c>
      <c r="G1678" s="1041">
        <f t="shared" si="75"/>
        <v>99.999999915496176</v>
      </c>
      <c r="H1678" s="1041">
        <v>100</v>
      </c>
      <c r="I1678" s="852"/>
      <c r="J1678" s="802"/>
    </row>
    <row r="1679" spans="3:10" ht="15" hidden="1" customHeight="1">
      <c r="C1679" s="878"/>
      <c r="D1679" s="886"/>
      <c r="E1679" s="1041"/>
      <c r="F1679" s="1041"/>
      <c r="G1679" s="1041"/>
      <c r="H1679" s="1041"/>
      <c r="I1679" s="852"/>
      <c r="J1679" s="802"/>
    </row>
    <row r="1680" spans="3:10" ht="20.100000000000001" hidden="1" customHeight="1">
      <c r="C1680" s="878"/>
      <c r="D1680" s="893" t="s">
        <v>1182</v>
      </c>
      <c r="E1680" s="1042">
        <f>E1681</f>
        <v>200000000</v>
      </c>
      <c r="F1680" s="1042">
        <f>F1681</f>
        <v>200000000</v>
      </c>
      <c r="G1680" s="1042">
        <f>(F1680/E1680)*100</f>
        <v>100</v>
      </c>
      <c r="H1680" s="1042">
        <f>H1681</f>
        <v>100</v>
      </c>
      <c r="I1680" s="852"/>
      <c r="J1680" s="802"/>
    </row>
    <row r="1681" spans="3:10" ht="20.100000000000001" hidden="1" customHeight="1">
      <c r="C1681" s="878"/>
      <c r="D1681" s="893" t="s">
        <v>899</v>
      </c>
      <c r="E1681" s="1042">
        <f>SUM(E1682)</f>
        <v>200000000</v>
      </c>
      <c r="F1681" s="1042">
        <f>SUM(F1682)</f>
        <v>200000000</v>
      </c>
      <c r="G1681" s="1042">
        <f>(F1681/E1681)*100</f>
        <v>100</v>
      </c>
      <c r="H1681" s="1042">
        <f>SUM(H1682)</f>
        <v>100</v>
      </c>
      <c r="I1681" s="852"/>
      <c r="J1681" s="802"/>
    </row>
    <row r="1682" spans="3:10" ht="48" hidden="1" customHeight="1">
      <c r="C1682" s="878"/>
      <c r="D1682" s="886" t="s">
        <v>3475</v>
      </c>
      <c r="E1682" s="1041">
        <v>200000000</v>
      </c>
      <c r="F1682" s="1041">
        <v>200000000</v>
      </c>
      <c r="G1682" s="1041">
        <f>(F1682/E1682)*100</f>
        <v>100</v>
      </c>
      <c r="H1682" s="1041">
        <v>100</v>
      </c>
      <c r="I1682" s="852"/>
      <c r="J1682" s="802"/>
    </row>
    <row r="1683" spans="3:10" ht="15" hidden="1" customHeight="1">
      <c r="C1683" s="878"/>
      <c r="D1683" s="893"/>
      <c r="E1683" s="1042"/>
      <c r="F1683" s="1042"/>
      <c r="G1683" s="1042"/>
      <c r="H1683" s="1042"/>
      <c r="I1683" s="852"/>
      <c r="J1683" s="802"/>
    </row>
    <row r="1684" spans="3:10" ht="20.100000000000001" hidden="1" customHeight="1">
      <c r="C1684" s="878"/>
      <c r="D1684" s="893" t="s">
        <v>1128</v>
      </c>
      <c r="E1684" s="1042">
        <f>E1685</f>
        <v>500000000</v>
      </c>
      <c r="F1684" s="1042">
        <f>F1685</f>
        <v>500000000</v>
      </c>
      <c r="G1684" s="1042">
        <f>(F1684/E1684)*100</f>
        <v>100</v>
      </c>
      <c r="H1684" s="1042">
        <f>H1685</f>
        <v>100</v>
      </c>
      <c r="I1684" s="852"/>
      <c r="J1684" s="802"/>
    </row>
    <row r="1685" spans="3:10" ht="20.100000000000001" hidden="1" customHeight="1">
      <c r="C1685" s="878"/>
      <c r="D1685" s="893" t="s">
        <v>1205</v>
      </c>
      <c r="E1685" s="1042">
        <f>SUM(E1686)</f>
        <v>500000000</v>
      </c>
      <c r="F1685" s="1042">
        <f>SUM(F1686)</f>
        <v>500000000</v>
      </c>
      <c r="G1685" s="1042">
        <f>(F1685/E1685)*100</f>
        <v>100</v>
      </c>
      <c r="H1685" s="1042">
        <f>SUM(H1686)</f>
        <v>100</v>
      </c>
      <c r="I1685" s="852"/>
      <c r="J1685" s="802"/>
    </row>
    <row r="1686" spans="3:10" ht="35.1" hidden="1" customHeight="1">
      <c r="C1686" s="878"/>
      <c r="D1686" s="886" t="s">
        <v>3474</v>
      </c>
      <c r="E1686" s="1041">
        <v>500000000</v>
      </c>
      <c r="F1686" s="1041">
        <v>500000000</v>
      </c>
      <c r="G1686" s="1041">
        <f>(F1686/E1686)*100</f>
        <v>100</v>
      </c>
      <c r="H1686" s="1041">
        <v>100</v>
      </c>
      <c r="I1686" s="852"/>
      <c r="J1686" s="802"/>
    </row>
    <row r="1687" spans="3:10" ht="15" hidden="1" customHeight="1">
      <c r="C1687" s="878"/>
      <c r="D1687" s="886"/>
      <c r="E1687" s="1041"/>
      <c r="F1687" s="1041"/>
      <c r="G1687" s="1041"/>
      <c r="H1687" s="1041"/>
      <c r="I1687" s="852"/>
      <c r="J1687" s="802"/>
    </row>
    <row r="1688" spans="3:10" ht="20.100000000000001" hidden="1" customHeight="1">
      <c r="C1688" s="878"/>
      <c r="D1688" s="893" t="s">
        <v>624</v>
      </c>
      <c r="E1688" s="1042">
        <f>E1689</f>
        <v>800000000</v>
      </c>
      <c r="F1688" s="1042">
        <f>F1689</f>
        <v>800000000</v>
      </c>
      <c r="G1688" s="1042">
        <f>(F1688/E1688)*100</f>
        <v>100</v>
      </c>
      <c r="H1688" s="1042">
        <f>H1689</f>
        <v>100</v>
      </c>
      <c r="I1688" s="852"/>
      <c r="J1688" s="802"/>
    </row>
    <row r="1689" spans="3:10" ht="20.100000000000001" hidden="1" customHeight="1">
      <c r="C1689" s="878"/>
      <c r="D1689" s="893" t="s">
        <v>3473</v>
      </c>
      <c r="E1689" s="1042">
        <f>SUM(E1690:E1692)</f>
        <v>800000000</v>
      </c>
      <c r="F1689" s="1042">
        <f>SUM(F1690:F1692)</f>
        <v>800000000</v>
      </c>
      <c r="G1689" s="1042">
        <f>(F1689/E1689)*100</f>
        <v>100</v>
      </c>
      <c r="H1689" s="1042">
        <f>SUM(H1690:H1692)/3</f>
        <v>100</v>
      </c>
      <c r="I1689" s="852"/>
      <c r="J1689" s="802"/>
    </row>
    <row r="1690" spans="3:10" ht="20.100000000000001" hidden="1" customHeight="1">
      <c r="C1690" s="878"/>
      <c r="D1690" s="886" t="s">
        <v>3472</v>
      </c>
      <c r="E1690" s="1041">
        <v>100000000</v>
      </c>
      <c r="F1690" s="1041">
        <v>100000000</v>
      </c>
      <c r="G1690" s="1041">
        <f>(F1690/E1690)*100</f>
        <v>100</v>
      </c>
      <c r="H1690" s="1041">
        <v>100</v>
      </c>
      <c r="I1690" s="852"/>
      <c r="J1690" s="802"/>
    </row>
    <row r="1691" spans="3:10" ht="35.1" hidden="1" customHeight="1">
      <c r="C1691" s="878"/>
      <c r="D1691" s="886" t="s">
        <v>3471</v>
      </c>
      <c r="E1691" s="1041">
        <v>200000000</v>
      </c>
      <c r="F1691" s="1041">
        <v>200000000</v>
      </c>
      <c r="G1691" s="1041">
        <f>(F1691/E1691)*100</f>
        <v>100</v>
      </c>
      <c r="H1691" s="1041">
        <v>100</v>
      </c>
      <c r="I1691" s="852"/>
      <c r="J1691" s="802"/>
    </row>
    <row r="1692" spans="3:10" ht="20.100000000000001" hidden="1" customHeight="1">
      <c r="C1692" s="878"/>
      <c r="D1692" s="886" t="s">
        <v>3470</v>
      </c>
      <c r="E1692" s="1041">
        <v>500000000</v>
      </c>
      <c r="F1692" s="1041">
        <v>500000000</v>
      </c>
      <c r="G1692" s="1041">
        <f>(F1692/E1692)*100</f>
        <v>100</v>
      </c>
      <c r="H1692" s="1041">
        <v>100</v>
      </c>
      <c r="I1692" s="852"/>
      <c r="J1692" s="802"/>
    </row>
    <row r="1693" spans="3:10" ht="15" hidden="1" customHeight="1">
      <c r="C1693" s="878"/>
      <c r="D1693" s="886"/>
      <c r="E1693" s="1041"/>
      <c r="F1693" s="1041"/>
      <c r="G1693" s="1041"/>
      <c r="H1693" s="1041"/>
      <c r="I1693" s="852"/>
      <c r="J1693" s="802"/>
    </row>
    <row r="1694" spans="3:10" ht="20.100000000000001" hidden="1" customHeight="1">
      <c r="C1694" s="878"/>
      <c r="D1694" s="893" t="s">
        <v>642</v>
      </c>
      <c r="E1694" s="1042">
        <f>E1695+E1698</f>
        <v>3000000000</v>
      </c>
      <c r="F1694" s="1042">
        <f>F1695+F1698</f>
        <v>529889880</v>
      </c>
      <c r="G1694" s="1042">
        <f t="shared" ref="G1694:G1699" si="76">(F1694/E1694)*100</f>
        <v>17.662996</v>
      </c>
      <c r="H1694" s="1042">
        <f>(H1695+H1698)/2</f>
        <v>75</v>
      </c>
      <c r="I1694" s="852"/>
      <c r="J1694" s="802"/>
    </row>
    <row r="1695" spans="3:10" ht="35.1" hidden="1" customHeight="1">
      <c r="C1695" s="878"/>
      <c r="D1695" s="893" t="s">
        <v>890</v>
      </c>
      <c r="E1695" s="1042">
        <f>SUM(E1696:E1697)</f>
        <v>2884000000</v>
      </c>
      <c r="F1695" s="1042">
        <f>SUM(F1696:F1697)</f>
        <v>413889880</v>
      </c>
      <c r="G1695" s="1042">
        <f t="shared" si="76"/>
        <v>14.351244105409153</v>
      </c>
      <c r="H1695" s="1042">
        <f>SUM(H1696:H1697)/2</f>
        <v>50</v>
      </c>
      <c r="I1695" s="852"/>
      <c r="J1695" s="802"/>
    </row>
    <row r="1696" spans="3:10" ht="20.100000000000001" hidden="1" customHeight="1">
      <c r="C1696" s="878"/>
      <c r="D1696" s="886" t="s">
        <v>1914</v>
      </c>
      <c r="E1696" s="1041">
        <v>413889880</v>
      </c>
      <c r="F1696" s="1041">
        <v>413889880</v>
      </c>
      <c r="G1696" s="1041">
        <f t="shared" si="76"/>
        <v>100</v>
      </c>
      <c r="H1696" s="1041">
        <v>100</v>
      </c>
      <c r="I1696" s="852"/>
      <c r="J1696" s="802"/>
    </row>
    <row r="1697" spans="3:10" ht="20.100000000000001" hidden="1" customHeight="1">
      <c r="C1697" s="878"/>
      <c r="D1697" s="886" t="s">
        <v>3469</v>
      </c>
      <c r="E1697" s="1041">
        <v>2470110120</v>
      </c>
      <c r="F1697" s="1041">
        <v>0</v>
      </c>
      <c r="G1697" s="1041">
        <f t="shared" si="76"/>
        <v>0</v>
      </c>
      <c r="H1697" s="1041">
        <v>0</v>
      </c>
      <c r="I1697" s="852"/>
      <c r="J1697" s="802"/>
    </row>
    <row r="1698" spans="3:10" ht="20.100000000000001" hidden="1" customHeight="1">
      <c r="C1698" s="878"/>
      <c r="D1698" s="893" t="s">
        <v>1474</v>
      </c>
      <c r="E1698" s="1042">
        <f>SUM(E1699:E1699)</f>
        <v>116000000</v>
      </c>
      <c r="F1698" s="1042">
        <f>SUM(F1699:F1699)</f>
        <v>116000000</v>
      </c>
      <c r="G1698" s="1042">
        <f t="shared" si="76"/>
        <v>100</v>
      </c>
      <c r="H1698" s="1042">
        <f>SUM(H1699:H1699)</f>
        <v>100</v>
      </c>
      <c r="I1698" s="852"/>
      <c r="J1698" s="802"/>
    </row>
    <row r="1699" spans="3:10" ht="20.100000000000001" hidden="1" customHeight="1">
      <c r="C1699" s="878"/>
      <c r="D1699" s="886" t="s">
        <v>1475</v>
      </c>
      <c r="E1699" s="1041">
        <v>116000000</v>
      </c>
      <c r="F1699" s="1041">
        <v>116000000</v>
      </c>
      <c r="G1699" s="1041">
        <f t="shared" si="76"/>
        <v>100</v>
      </c>
      <c r="H1699" s="1041">
        <v>100</v>
      </c>
      <c r="I1699" s="852"/>
      <c r="J1699" s="802"/>
    </row>
    <row r="1700" spans="3:10" ht="15" hidden="1" customHeight="1">
      <c r="C1700" s="878"/>
      <c r="D1700" s="886"/>
      <c r="E1700" s="1041"/>
      <c r="F1700" s="1041"/>
      <c r="G1700" s="1041"/>
      <c r="H1700" s="1041"/>
      <c r="I1700" s="852"/>
      <c r="J1700" s="802"/>
    </row>
    <row r="1701" spans="3:10" ht="20.100000000000001" hidden="1" customHeight="1">
      <c r="C1701" s="878"/>
      <c r="D1701" s="893" t="s">
        <v>1139</v>
      </c>
      <c r="E1701" s="1042">
        <f>E1702+E1704</f>
        <v>950000000</v>
      </c>
      <c r="F1701" s="1042">
        <f>F1702+F1704</f>
        <v>949900000</v>
      </c>
      <c r="G1701" s="1042">
        <f>(F1701/E1701)*100</f>
        <v>99.989473684210523</v>
      </c>
      <c r="H1701" s="1042">
        <f>(H1702+H1704)/2</f>
        <v>100</v>
      </c>
      <c r="I1701" s="852"/>
      <c r="J1701" s="802"/>
    </row>
    <row r="1702" spans="3:10" ht="20.100000000000001" hidden="1" customHeight="1">
      <c r="C1702" s="878"/>
      <c r="D1702" s="893" t="s">
        <v>536</v>
      </c>
      <c r="E1702" s="1042">
        <f>E1703</f>
        <v>594900000</v>
      </c>
      <c r="F1702" s="1042">
        <f>F1703</f>
        <v>594900000</v>
      </c>
      <c r="G1702" s="1042">
        <f>(F1702/E1702)*100</f>
        <v>100</v>
      </c>
      <c r="H1702" s="1042">
        <f>H1703</f>
        <v>100</v>
      </c>
      <c r="I1702" s="852"/>
      <c r="J1702" s="802"/>
    </row>
    <row r="1703" spans="3:10" ht="20.100000000000001" hidden="1" customHeight="1">
      <c r="C1703" s="878"/>
      <c r="D1703" s="886" t="s">
        <v>2096</v>
      </c>
      <c r="E1703" s="1041">
        <v>594900000</v>
      </c>
      <c r="F1703" s="1041">
        <v>594900000</v>
      </c>
      <c r="G1703" s="1041">
        <f>(F1703/E1703)*100</f>
        <v>100</v>
      </c>
      <c r="H1703" s="1041">
        <v>100</v>
      </c>
      <c r="I1703" s="852"/>
      <c r="J1703" s="802"/>
    </row>
    <row r="1704" spans="3:10" ht="20.100000000000001" hidden="1" customHeight="1">
      <c r="C1704" s="878"/>
      <c r="D1704" s="893" t="s">
        <v>536</v>
      </c>
      <c r="E1704" s="1042">
        <f>E1705</f>
        <v>355100000</v>
      </c>
      <c r="F1704" s="1042">
        <f>F1705</f>
        <v>355000000</v>
      </c>
      <c r="G1704" s="1042">
        <f>(F1704/E1704)*100</f>
        <v>99.97183891861448</v>
      </c>
      <c r="H1704" s="1042">
        <f>H1705</f>
        <v>100</v>
      </c>
      <c r="I1704" s="852"/>
      <c r="J1704" s="802"/>
    </row>
    <row r="1705" spans="3:10" ht="20.100000000000001" hidden="1" customHeight="1">
      <c r="C1705" s="878"/>
      <c r="D1705" s="886" t="s">
        <v>1917</v>
      </c>
      <c r="E1705" s="1041">
        <v>355100000</v>
      </c>
      <c r="F1705" s="1041">
        <v>355000000</v>
      </c>
      <c r="G1705" s="1041">
        <f>(F1705/E1705)*100</f>
        <v>99.97183891861448</v>
      </c>
      <c r="H1705" s="1041">
        <v>100</v>
      </c>
      <c r="I1705" s="852"/>
      <c r="J1705" s="802"/>
    </row>
    <row r="1706" spans="3:10" ht="15" hidden="1" customHeight="1">
      <c r="C1706" s="878"/>
      <c r="D1706" s="859"/>
      <c r="E1706" s="855"/>
      <c r="F1706" s="854"/>
      <c r="G1706" s="854"/>
      <c r="H1706" s="876"/>
      <c r="I1706" s="852"/>
      <c r="J1706" s="802"/>
    </row>
    <row r="1707" spans="3:10" s="522" customFormat="1" ht="20.100000000000001" customHeight="1">
      <c r="C1707" s="1666" t="s">
        <v>1478</v>
      </c>
      <c r="D1707" s="1673" t="s">
        <v>3468</v>
      </c>
      <c r="E1707" s="1668">
        <v>62592857239.279999</v>
      </c>
      <c r="F1707" s="1668">
        <f>+F1708+F1726+F1743+F1751+F1762+F1766+F1774+F1778</f>
        <v>60200998200</v>
      </c>
      <c r="G1707" s="1674">
        <f t="shared" ref="G1707:G1724" si="77">+F1707/E1707*100</f>
        <v>96.178702898740667</v>
      </c>
      <c r="H1707" s="1675">
        <f>(H1708+H1726+H1743+H1751+H1762+H1766+H1774+H1778)/8</f>
        <v>96.484375</v>
      </c>
      <c r="I1707" s="1672"/>
      <c r="J1707" s="1359"/>
    </row>
    <row r="1708" spans="3:10" s="656" customFormat="1" ht="20.100000000000001" hidden="1" customHeight="1">
      <c r="C1708" s="881"/>
      <c r="D1708" s="1037" t="s">
        <v>64</v>
      </c>
      <c r="E1708" s="398">
        <f>+E1709+E1714+E1719+E1722</f>
        <v>22400000000</v>
      </c>
      <c r="F1708" s="398">
        <f>+F1709+F1714+F1719+F1722</f>
        <v>22257934000</v>
      </c>
      <c r="G1708" s="1035">
        <f t="shared" si="77"/>
        <v>99.365776785714289</v>
      </c>
      <c r="H1708" s="1034">
        <f>(H1709+H1714+H1719+H1722)/4</f>
        <v>99.375</v>
      </c>
      <c r="I1708" s="863"/>
      <c r="J1708" s="44"/>
    </row>
    <row r="1709" spans="3:10" s="656" customFormat="1" ht="20.100000000000001" hidden="1" customHeight="1">
      <c r="C1709" s="881"/>
      <c r="D1709" s="1040" t="s">
        <v>388</v>
      </c>
      <c r="E1709" s="401">
        <f>+E1710+E1711+E1712+E1713</f>
        <v>3850000000</v>
      </c>
      <c r="F1709" s="398">
        <f>+F1710+F1711+F1712+F1713</f>
        <v>3759600000</v>
      </c>
      <c r="G1709" s="1035">
        <f t="shared" si="77"/>
        <v>97.651948051948054</v>
      </c>
      <c r="H1709" s="1034">
        <f>SUM((H1710:H1713))/4</f>
        <v>97.5</v>
      </c>
      <c r="I1709" s="863"/>
      <c r="J1709" s="44"/>
    </row>
    <row r="1710" spans="3:10" ht="20.100000000000001" hidden="1" customHeight="1">
      <c r="C1710" s="878"/>
      <c r="D1710" s="1039" t="s">
        <v>3467</v>
      </c>
      <c r="E1710" s="401">
        <v>1600000000</v>
      </c>
      <c r="F1710" s="401">
        <v>1597100000</v>
      </c>
      <c r="G1710" s="1035">
        <f t="shared" si="77"/>
        <v>99.818749999999994</v>
      </c>
      <c r="H1710" s="1034">
        <v>100</v>
      </c>
      <c r="I1710" s="852"/>
      <c r="J1710" s="802"/>
    </row>
    <row r="1711" spans="3:10" ht="20.100000000000001" hidden="1" customHeight="1">
      <c r="C1711" s="878"/>
      <c r="D1711" s="1039" t="s">
        <v>3466</v>
      </c>
      <c r="E1711" s="401">
        <v>700000000</v>
      </c>
      <c r="F1711" s="401">
        <v>612500000</v>
      </c>
      <c r="G1711" s="1035">
        <f t="shared" si="77"/>
        <v>87.5</v>
      </c>
      <c r="H1711" s="1034">
        <v>90</v>
      </c>
      <c r="I1711" s="852"/>
      <c r="J1711" s="802"/>
    </row>
    <row r="1712" spans="3:10" ht="20.100000000000001" hidden="1" customHeight="1">
      <c r="C1712" s="878"/>
      <c r="D1712" s="1039" t="s">
        <v>3465</v>
      </c>
      <c r="E1712" s="401">
        <v>250000000</v>
      </c>
      <c r="F1712" s="401">
        <v>250000000</v>
      </c>
      <c r="G1712" s="1035">
        <f t="shared" si="77"/>
        <v>100</v>
      </c>
      <c r="H1712" s="1034">
        <f>+G1712</f>
        <v>100</v>
      </c>
      <c r="I1712" s="852"/>
      <c r="J1712" s="802"/>
    </row>
    <row r="1713" spans="3:10" ht="20.100000000000001" hidden="1" customHeight="1">
      <c r="C1713" s="878"/>
      <c r="D1713" s="1039" t="s">
        <v>2069</v>
      </c>
      <c r="E1713" s="401">
        <v>1300000000</v>
      </c>
      <c r="F1713" s="401">
        <v>1300000000</v>
      </c>
      <c r="G1713" s="1035">
        <f t="shared" si="77"/>
        <v>100</v>
      </c>
      <c r="H1713" s="1034">
        <f>+G1713</f>
        <v>100</v>
      </c>
      <c r="I1713" s="852"/>
      <c r="J1713" s="802"/>
    </row>
    <row r="1714" spans="3:10" s="656" customFormat="1" ht="20.100000000000001" hidden="1" customHeight="1">
      <c r="C1714" s="881"/>
      <c r="D1714" s="1040" t="s">
        <v>394</v>
      </c>
      <c r="E1714" s="401">
        <f>+E1715+E1716+E1717+E1718</f>
        <v>16400000000</v>
      </c>
      <c r="F1714" s="401">
        <f>+F1715+F1716+F1717+F1718</f>
        <v>16349634000</v>
      </c>
      <c r="G1714" s="1035">
        <f t="shared" si="77"/>
        <v>99.69289024390244</v>
      </c>
      <c r="H1714" s="1034">
        <f>SUM((H1715:H1718))/4</f>
        <v>100</v>
      </c>
      <c r="I1714" s="863"/>
      <c r="J1714" s="44"/>
    </row>
    <row r="1715" spans="3:10" ht="20.100000000000001" hidden="1" customHeight="1">
      <c r="C1715" s="878"/>
      <c r="D1715" s="1039" t="s">
        <v>2071</v>
      </c>
      <c r="E1715" s="401">
        <v>6700000000</v>
      </c>
      <c r="F1715" s="401">
        <v>6652500000</v>
      </c>
      <c r="G1715" s="1035">
        <f t="shared" si="77"/>
        <v>99.291044776119406</v>
      </c>
      <c r="H1715" s="1034">
        <v>100</v>
      </c>
      <c r="I1715" s="852"/>
      <c r="J1715" s="802"/>
    </row>
    <row r="1716" spans="3:10" ht="35.1" hidden="1" customHeight="1">
      <c r="C1716" s="878"/>
      <c r="D1716" s="1039" t="s">
        <v>3464</v>
      </c>
      <c r="E1716" s="401">
        <v>500000000</v>
      </c>
      <c r="F1716" s="401">
        <v>498500000</v>
      </c>
      <c r="G1716" s="1035">
        <f t="shared" si="77"/>
        <v>99.7</v>
      </c>
      <c r="H1716" s="1034">
        <v>100</v>
      </c>
      <c r="I1716" s="852"/>
      <c r="J1716" s="802"/>
    </row>
    <row r="1717" spans="3:10" ht="20.100000000000001" hidden="1" customHeight="1">
      <c r="C1717" s="878"/>
      <c r="D1717" s="1039" t="s">
        <v>1397</v>
      </c>
      <c r="E1717" s="401">
        <v>5800000000</v>
      </c>
      <c r="F1717" s="401">
        <v>5800000000</v>
      </c>
      <c r="G1717" s="1035">
        <f t="shared" si="77"/>
        <v>100</v>
      </c>
      <c r="H1717" s="1034">
        <f>+G1717</f>
        <v>100</v>
      </c>
      <c r="I1717" s="852"/>
      <c r="J1717" s="802"/>
    </row>
    <row r="1718" spans="3:10" ht="20.100000000000001" hidden="1" customHeight="1">
      <c r="C1718" s="878"/>
      <c r="D1718" s="1039" t="s">
        <v>3463</v>
      </c>
      <c r="E1718" s="401">
        <v>3400000000</v>
      </c>
      <c r="F1718" s="401">
        <f>1199245000+2199389000</f>
        <v>3398634000</v>
      </c>
      <c r="G1718" s="1035">
        <f t="shared" si="77"/>
        <v>99.959823529411764</v>
      </c>
      <c r="H1718" s="1034">
        <v>100</v>
      </c>
      <c r="I1718" s="852"/>
      <c r="J1718" s="802"/>
    </row>
    <row r="1719" spans="3:10" s="656" customFormat="1" ht="20.100000000000001" hidden="1" customHeight="1">
      <c r="C1719" s="881"/>
      <c r="D1719" s="1040" t="s">
        <v>404</v>
      </c>
      <c r="E1719" s="401">
        <f>+E1720+E1721</f>
        <v>600000000</v>
      </c>
      <c r="F1719" s="401">
        <f>+F1720+F1721</f>
        <v>600000000</v>
      </c>
      <c r="G1719" s="1035">
        <f t="shared" si="77"/>
        <v>100</v>
      </c>
      <c r="H1719" s="1034">
        <f>+G1719</f>
        <v>100</v>
      </c>
      <c r="I1719" s="863"/>
      <c r="J1719" s="44"/>
    </row>
    <row r="1720" spans="3:10" ht="20.100000000000001" hidden="1" customHeight="1">
      <c r="C1720" s="878"/>
      <c r="D1720" s="1039" t="s">
        <v>1403</v>
      </c>
      <c r="E1720" s="401">
        <v>300000000</v>
      </c>
      <c r="F1720" s="401">
        <v>300000000</v>
      </c>
      <c r="G1720" s="1035">
        <f t="shared" si="77"/>
        <v>100</v>
      </c>
      <c r="H1720" s="1034">
        <f>+G1720</f>
        <v>100</v>
      </c>
      <c r="I1720" s="852"/>
      <c r="J1720" s="802"/>
    </row>
    <row r="1721" spans="3:10" ht="20.100000000000001" hidden="1" customHeight="1">
      <c r="C1721" s="878"/>
      <c r="D1721" s="1039" t="s">
        <v>3462</v>
      </c>
      <c r="E1721" s="401">
        <v>300000000</v>
      </c>
      <c r="F1721" s="401">
        <v>300000000</v>
      </c>
      <c r="G1721" s="1035">
        <f t="shared" si="77"/>
        <v>100</v>
      </c>
      <c r="H1721" s="1034">
        <f>+G1721</f>
        <v>100</v>
      </c>
      <c r="I1721" s="852"/>
      <c r="J1721" s="802"/>
    </row>
    <row r="1722" spans="3:10" s="656" customFormat="1" ht="20.100000000000001" hidden="1" customHeight="1">
      <c r="C1722" s="881"/>
      <c r="D1722" s="1040" t="s">
        <v>1487</v>
      </c>
      <c r="E1722" s="401">
        <f>+E1723+E1724</f>
        <v>1550000000</v>
      </c>
      <c r="F1722" s="401">
        <f>+F1723+F1724</f>
        <v>1548700000</v>
      </c>
      <c r="G1722" s="1035">
        <f t="shared" si="77"/>
        <v>99.916129032258056</v>
      </c>
      <c r="H1722" s="1034">
        <v>100</v>
      </c>
      <c r="I1722" s="863"/>
      <c r="J1722" s="44"/>
    </row>
    <row r="1723" spans="3:10" ht="20.100000000000001" hidden="1" customHeight="1">
      <c r="C1723" s="878"/>
      <c r="D1723" s="1039" t="s">
        <v>1388</v>
      </c>
      <c r="E1723" s="401">
        <v>1000000000</v>
      </c>
      <c r="F1723" s="401">
        <v>998700000</v>
      </c>
      <c r="G1723" s="1035">
        <f t="shared" si="77"/>
        <v>99.87</v>
      </c>
      <c r="H1723" s="1034">
        <v>100</v>
      </c>
      <c r="I1723" s="852"/>
      <c r="J1723" s="802"/>
    </row>
    <row r="1724" spans="3:10" ht="35.1" hidden="1" customHeight="1">
      <c r="C1724" s="878"/>
      <c r="D1724" s="1039" t="s">
        <v>3461</v>
      </c>
      <c r="E1724" s="401">
        <v>550000000</v>
      </c>
      <c r="F1724" s="401">
        <v>550000000</v>
      </c>
      <c r="G1724" s="1035">
        <f t="shared" si="77"/>
        <v>100</v>
      </c>
      <c r="H1724" s="1034">
        <f>+G1724</f>
        <v>100</v>
      </c>
      <c r="I1724" s="852"/>
      <c r="J1724" s="802"/>
    </row>
    <row r="1725" spans="3:10" ht="15" hidden="1" customHeight="1">
      <c r="C1725" s="878"/>
      <c r="D1725" s="1039"/>
      <c r="E1725" s="401"/>
      <c r="F1725" s="398"/>
      <c r="G1725" s="1035"/>
      <c r="H1725" s="1034"/>
      <c r="I1725" s="852"/>
      <c r="J1725" s="802"/>
    </row>
    <row r="1726" spans="3:10" ht="20.100000000000001" hidden="1" customHeight="1">
      <c r="C1726" s="878"/>
      <c r="D1726" s="1037" t="s">
        <v>65</v>
      </c>
      <c r="E1726" s="398">
        <f>+E1727+E1729+E1731+E1733+E1735+E1738+E1740</f>
        <v>8010000000</v>
      </c>
      <c r="F1726" s="398">
        <f>+F1727+F1729+F1731+F1733+F1735</f>
        <v>6384028000</v>
      </c>
      <c r="G1726" s="1035">
        <f t="shared" ref="G1726:G1741" si="78">+F1726/E1726*100</f>
        <v>79.700724094881409</v>
      </c>
      <c r="H1726" s="1034">
        <f>(H1727+H1729+H1731+H1733+H1735+H1738)/6</f>
        <v>97.5</v>
      </c>
      <c r="I1726" s="1034"/>
      <c r="J1726" s="802"/>
    </row>
    <row r="1727" spans="3:10" ht="20.100000000000001" hidden="1" customHeight="1">
      <c r="C1727" s="878"/>
      <c r="D1727" s="1040" t="s">
        <v>162</v>
      </c>
      <c r="E1727" s="398">
        <f>+E1728</f>
        <v>1710000000</v>
      </c>
      <c r="F1727" s="398">
        <f>+F1728</f>
        <v>1410000000</v>
      </c>
      <c r="G1727" s="1035">
        <f t="shared" si="78"/>
        <v>82.456140350877192</v>
      </c>
      <c r="H1727" s="1034">
        <v>85</v>
      </c>
      <c r="I1727" s="1034"/>
      <c r="J1727" s="802"/>
    </row>
    <row r="1728" spans="3:10" ht="20.100000000000001" hidden="1" customHeight="1">
      <c r="C1728" s="878"/>
      <c r="D1728" s="1039" t="s">
        <v>2030</v>
      </c>
      <c r="E1728" s="401">
        <v>1710000000</v>
      </c>
      <c r="F1728" s="398">
        <v>1410000000</v>
      </c>
      <c r="G1728" s="1035">
        <f t="shared" si="78"/>
        <v>82.456140350877192</v>
      </c>
      <c r="H1728" s="1034">
        <v>85</v>
      </c>
      <c r="I1728" s="1034"/>
      <c r="J1728" s="802"/>
    </row>
    <row r="1729" spans="3:10" ht="20.100000000000001" hidden="1" customHeight="1">
      <c r="C1729" s="878"/>
      <c r="D1729" s="1040" t="s">
        <v>1171</v>
      </c>
      <c r="E1729" s="401">
        <f>+E1730</f>
        <v>1800000000</v>
      </c>
      <c r="F1729" s="398">
        <f>+F1730</f>
        <v>1800000000</v>
      </c>
      <c r="G1729" s="1035">
        <f t="shared" si="78"/>
        <v>100</v>
      </c>
      <c r="H1729" s="1034">
        <f>+G1729</f>
        <v>100</v>
      </c>
      <c r="I1729" s="1034"/>
      <c r="J1729" s="802"/>
    </row>
    <row r="1730" spans="3:10" ht="20.100000000000001" hidden="1" customHeight="1">
      <c r="C1730" s="878"/>
      <c r="D1730" s="1039" t="s">
        <v>3460</v>
      </c>
      <c r="E1730" s="401">
        <v>1800000000</v>
      </c>
      <c r="F1730" s="398">
        <v>1800000000</v>
      </c>
      <c r="G1730" s="1035">
        <f t="shared" si="78"/>
        <v>100</v>
      </c>
      <c r="H1730" s="1034">
        <f>+G1730</f>
        <v>100</v>
      </c>
      <c r="I1730" s="1034"/>
      <c r="J1730" s="802"/>
    </row>
    <row r="1731" spans="3:10" ht="20.100000000000001" hidden="1" customHeight="1">
      <c r="C1731" s="878"/>
      <c r="D1731" s="1040" t="s">
        <v>190</v>
      </c>
      <c r="E1731" s="401">
        <f>+E1732</f>
        <v>1000000000</v>
      </c>
      <c r="F1731" s="398">
        <f>+F1732</f>
        <v>987456000</v>
      </c>
      <c r="G1731" s="1035">
        <f t="shared" si="78"/>
        <v>98.745599999999996</v>
      </c>
      <c r="H1731" s="1034">
        <v>100</v>
      </c>
      <c r="I1731" s="1034"/>
      <c r="J1731" s="802"/>
    </row>
    <row r="1732" spans="3:10" ht="20.100000000000001" hidden="1" customHeight="1">
      <c r="C1732" s="878"/>
      <c r="D1732" s="1039" t="s">
        <v>3459</v>
      </c>
      <c r="E1732" s="401">
        <v>1000000000</v>
      </c>
      <c r="F1732" s="398">
        <v>987456000</v>
      </c>
      <c r="G1732" s="1035">
        <f t="shared" si="78"/>
        <v>98.745599999999996</v>
      </c>
      <c r="H1732" s="1034">
        <v>100</v>
      </c>
      <c r="I1732" s="1034"/>
      <c r="J1732" s="802"/>
    </row>
    <row r="1733" spans="3:10" ht="20.100000000000001" hidden="1" customHeight="1">
      <c r="C1733" s="878"/>
      <c r="D1733" s="1040" t="s">
        <v>196</v>
      </c>
      <c r="E1733" s="401">
        <f>+E1734</f>
        <v>1000000000</v>
      </c>
      <c r="F1733" s="398">
        <f>+F1734</f>
        <v>1000000000</v>
      </c>
      <c r="G1733" s="1035">
        <f t="shared" si="78"/>
        <v>100</v>
      </c>
      <c r="H1733" s="1034">
        <f>+G1733</f>
        <v>100</v>
      </c>
      <c r="I1733" s="1034"/>
      <c r="J1733" s="802"/>
    </row>
    <row r="1734" spans="3:10" ht="20.100000000000001" hidden="1" customHeight="1">
      <c r="C1734" s="878"/>
      <c r="D1734" s="1039" t="s">
        <v>1499</v>
      </c>
      <c r="E1734" s="401">
        <v>1000000000</v>
      </c>
      <c r="F1734" s="401">
        <v>1000000000</v>
      </c>
      <c r="G1734" s="1035">
        <f t="shared" si="78"/>
        <v>100</v>
      </c>
      <c r="H1734" s="1034">
        <f>+G1734</f>
        <v>100</v>
      </c>
      <c r="I1734" s="1034"/>
      <c r="J1734" s="802"/>
    </row>
    <row r="1735" spans="3:10" ht="20.100000000000001" hidden="1" customHeight="1">
      <c r="C1735" s="878"/>
      <c r="D1735" s="1040" t="s">
        <v>212</v>
      </c>
      <c r="E1735" s="401">
        <f>+E1736+E1737</f>
        <v>1200000000</v>
      </c>
      <c r="F1735" s="401">
        <f>+F1736+F1737</f>
        <v>1186572000</v>
      </c>
      <c r="G1735" s="1035">
        <f t="shared" si="78"/>
        <v>98.881</v>
      </c>
      <c r="H1735" s="1034">
        <v>100</v>
      </c>
      <c r="I1735" s="1034"/>
      <c r="J1735" s="802"/>
    </row>
    <row r="1736" spans="3:10" ht="35.1" hidden="1" customHeight="1">
      <c r="C1736" s="878"/>
      <c r="D1736" s="1039" t="s">
        <v>1500</v>
      </c>
      <c r="E1736" s="401">
        <v>1000000000</v>
      </c>
      <c r="F1736" s="401">
        <v>989822000</v>
      </c>
      <c r="G1736" s="1035">
        <f t="shared" si="78"/>
        <v>98.982199999999992</v>
      </c>
      <c r="H1736" s="1034">
        <v>100</v>
      </c>
      <c r="I1736" s="1034"/>
      <c r="J1736" s="802"/>
    </row>
    <row r="1737" spans="3:10" ht="20.100000000000001" hidden="1" customHeight="1">
      <c r="C1737" s="878"/>
      <c r="D1737" s="1039" t="s">
        <v>3458</v>
      </c>
      <c r="E1737" s="401">
        <v>200000000</v>
      </c>
      <c r="F1737" s="401">
        <v>196750000</v>
      </c>
      <c r="G1737" s="1035">
        <f t="shared" si="78"/>
        <v>98.375</v>
      </c>
      <c r="H1737" s="1034">
        <v>100</v>
      </c>
      <c r="I1737" s="1034"/>
      <c r="J1737" s="802"/>
    </row>
    <row r="1738" spans="3:10" ht="20.100000000000001" hidden="1" customHeight="1">
      <c r="C1738" s="878"/>
      <c r="D1738" s="1040" t="s">
        <v>221</v>
      </c>
      <c r="E1738" s="401">
        <f>+E1739</f>
        <v>600000000</v>
      </c>
      <c r="F1738" s="401">
        <f>+F1739</f>
        <v>600000000</v>
      </c>
      <c r="G1738" s="1035">
        <f t="shared" si="78"/>
        <v>100</v>
      </c>
      <c r="H1738" s="1034">
        <f>+G1738</f>
        <v>100</v>
      </c>
      <c r="I1738" s="1034"/>
      <c r="J1738" s="802"/>
    </row>
    <row r="1739" spans="3:10" ht="20.100000000000001" hidden="1" customHeight="1">
      <c r="C1739" s="878"/>
      <c r="D1739" s="1039" t="s">
        <v>1410</v>
      </c>
      <c r="E1739" s="401">
        <v>600000000</v>
      </c>
      <c r="F1739" s="401">
        <v>600000000</v>
      </c>
      <c r="G1739" s="1035">
        <f t="shared" si="78"/>
        <v>100</v>
      </c>
      <c r="H1739" s="1034">
        <f>+G1739</f>
        <v>100</v>
      </c>
      <c r="I1739" s="1034"/>
      <c r="J1739" s="802"/>
    </row>
    <row r="1740" spans="3:10" ht="20.100000000000001" hidden="1" customHeight="1">
      <c r="C1740" s="878"/>
      <c r="D1740" s="1040" t="s">
        <v>1501</v>
      </c>
      <c r="E1740" s="401">
        <f>+E1741</f>
        <v>700000000</v>
      </c>
      <c r="F1740" s="401">
        <f>+F1741</f>
        <v>647500000</v>
      </c>
      <c r="G1740" s="1035">
        <f t="shared" si="78"/>
        <v>92.5</v>
      </c>
      <c r="H1740" s="1034">
        <v>95</v>
      </c>
      <c r="I1740" s="1034"/>
      <c r="J1740" s="802"/>
    </row>
    <row r="1741" spans="3:10" s="656" customFormat="1" ht="60.75" hidden="1" customHeight="1">
      <c r="C1741" s="881"/>
      <c r="D1741" s="808" t="s">
        <v>3457</v>
      </c>
      <c r="E1741" s="401">
        <v>700000000</v>
      </c>
      <c r="F1741" s="401">
        <v>647500000</v>
      </c>
      <c r="G1741" s="1035">
        <f t="shared" si="78"/>
        <v>92.5</v>
      </c>
      <c r="H1741" s="1034">
        <v>95</v>
      </c>
      <c r="I1741" s="863"/>
      <c r="J1741" s="44"/>
    </row>
    <row r="1742" spans="3:10" s="656" customFormat="1" ht="15" hidden="1" customHeight="1">
      <c r="C1742" s="881"/>
      <c r="D1742" s="1040"/>
      <c r="E1742" s="401"/>
      <c r="F1742" s="401"/>
      <c r="G1742" s="1035"/>
      <c r="H1742" s="1034"/>
      <c r="I1742" s="863"/>
      <c r="J1742" s="44"/>
    </row>
    <row r="1743" spans="3:10" ht="20.100000000000001" hidden="1" customHeight="1">
      <c r="C1743" s="878"/>
      <c r="D1743" s="1037" t="s">
        <v>1231</v>
      </c>
      <c r="E1743" s="398">
        <f>+E1744+E1746+E1748</f>
        <v>4850000000</v>
      </c>
      <c r="F1743" s="398">
        <f>+F1744+F1746+F1748</f>
        <v>4809306000</v>
      </c>
      <c r="G1743" s="1035">
        <f t="shared" ref="G1743:G1749" si="79">+F1743/E1743*100</f>
        <v>99.160948453608242</v>
      </c>
      <c r="H1743" s="1034">
        <v>100</v>
      </c>
      <c r="I1743" s="852"/>
      <c r="J1743" s="802"/>
    </row>
    <row r="1744" spans="3:10" s="656" customFormat="1" ht="20.100000000000001" hidden="1" customHeight="1">
      <c r="C1744" s="881"/>
      <c r="D1744" s="1040" t="s">
        <v>162</v>
      </c>
      <c r="E1744" s="401">
        <f>+E1745</f>
        <v>1400000000</v>
      </c>
      <c r="F1744" s="401">
        <f>+F1745</f>
        <v>1384531000</v>
      </c>
      <c r="G1744" s="1035">
        <f t="shared" si="79"/>
        <v>98.895071428571427</v>
      </c>
      <c r="H1744" s="1034">
        <v>100</v>
      </c>
      <c r="I1744" s="863"/>
      <c r="J1744" s="44"/>
    </row>
    <row r="1745" spans="3:10" ht="20.100000000000001" hidden="1" customHeight="1">
      <c r="C1745" s="878"/>
      <c r="D1745" s="1039" t="s">
        <v>3139</v>
      </c>
      <c r="E1745" s="401">
        <v>1400000000</v>
      </c>
      <c r="F1745" s="401">
        <v>1384531000</v>
      </c>
      <c r="G1745" s="1035">
        <f t="shared" si="79"/>
        <v>98.895071428571427</v>
      </c>
      <c r="H1745" s="1034">
        <v>100</v>
      </c>
      <c r="I1745" s="852"/>
      <c r="J1745" s="802"/>
    </row>
    <row r="1746" spans="3:10" ht="20.100000000000001" hidden="1" customHeight="1">
      <c r="C1746" s="878"/>
      <c r="D1746" s="1040" t="s">
        <v>173</v>
      </c>
      <c r="E1746" s="401">
        <f>+E1747</f>
        <v>2200000000</v>
      </c>
      <c r="F1746" s="401">
        <f>+F1747</f>
        <v>2174775000</v>
      </c>
      <c r="G1746" s="1035">
        <f t="shared" si="79"/>
        <v>98.853409090909096</v>
      </c>
      <c r="H1746" s="1034">
        <v>100</v>
      </c>
      <c r="I1746" s="852"/>
      <c r="J1746" s="802"/>
    </row>
    <row r="1747" spans="3:10" s="656" customFormat="1" ht="20.100000000000001" hidden="1" customHeight="1">
      <c r="C1747" s="881"/>
      <c r="D1747" s="1039" t="s">
        <v>2346</v>
      </c>
      <c r="E1747" s="401">
        <v>2200000000</v>
      </c>
      <c r="F1747" s="401">
        <v>2174775000</v>
      </c>
      <c r="G1747" s="1035">
        <f t="shared" si="79"/>
        <v>98.853409090909096</v>
      </c>
      <c r="H1747" s="1034">
        <v>100</v>
      </c>
      <c r="I1747" s="863"/>
      <c r="J1747" s="44"/>
    </row>
    <row r="1748" spans="3:10" s="656" customFormat="1" ht="20.100000000000001" hidden="1" customHeight="1">
      <c r="C1748" s="881"/>
      <c r="D1748" s="1040" t="s">
        <v>1171</v>
      </c>
      <c r="E1748" s="401">
        <f>+E1749</f>
        <v>1250000000</v>
      </c>
      <c r="F1748" s="401">
        <f>+F1749</f>
        <v>1250000000</v>
      </c>
      <c r="G1748" s="1035">
        <f t="shared" si="79"/>
        <v>100</v>
      </c>
      <c r="H1748" s="1034">
        <f>+G1748</f>
        <v>100</v>
      </c>
      <c r="I1748" s="863"/>
      <c r="J1748" s="44"/>
    </row>
    <row r="1749" spans="3:10" ht="20.100000000000001" hidden="1" customHeight="1">
      <c r="C1749" s="878"/>
      <c r="D1749" s="1039" t="s">
        <v>1496</v>
      </c>
      <c r="E1749" s="401">
        <v>1250000000</v>
      </c>
      <c r="F1749" s="401">
        <v>1250000000</v>
      </c>
      <c r="G1749" s="1035">
        <f t="shared" si="79"/>
        <v>100</v>
      </c>
      <c r="H1749" s="1034">
        <f>+G1749</f>
        <v>100</v>
      </c>
      <c r="I1749" s="852"/>
      <c r="J1749" s="802"/>
    </row>
    <row r="1750" spans="3:10" ht="15" hidden="1" customHeight="1">
      <c r="C1750" s="878"/>
      <c r="D1750" s="1036"/>
      <c r="E1750" s="401"/>
      <c r="F1750" s="401"/>
      <c r="G1750" s="1035"/>
      <c r="H1750" s="1034"/>
      <c r="I1750" s="852"/>
      <c r="J1750" s="802"/>
    </row>
    <row r="1751" spans="3:10" s="656" customFormat="1" ht="20.100000000000001" hidden="1" customHeight="1">
      <c r="C1751" s="881"/>
      <c r="D1751" s="1037" t="s">
        <v>1146</v>
      </c>
      <c r="E1751" s="398">
        <f>+E1752+E1756+E1758</f>
        <v>6300000000</v>
      </c>
      <c r="F1751" s="398">
        <f>+F1752+F1756+F1758</f>
        <v>5840685000</v>
      </c>
      <c r="G1751" s="1035">
        <f t="shared" ref="G1751:G1760" si="80">+F1751/E1751*100</f>
        <v>92.709285714285713</v>
      </c>
      <c r="H1751" s="1034">
        <f>(H1752+H1756+H1758)/3</f>
        <v>95</v>
      </c>
      <c r="I1751" s="863"/>
      <c r="J1751" s="44"/>
    </row>
    <row r="1752" spans="3:10" s="656" customFormat="1" ht="20.100000000000001" hidden="1" customHeight="1">
      <c r="C1752" s="881"/>
      <c r="D1752" s="1037" t="s">
        <v>312</v>
      </c>
      <c r="E1752" s="401">
        <f>+E1753+E1754+E1755</f>
        <v>4184000000</v>
      </c>
      <c r="F1752" s="401">
        <f>+F1753+F1754+F1755</f>
        <v>3726640000</v>
      </c>
      <c r="G1752" s="1035">
        <f t="shared" si="80"/>
        <v>89.068833652007655</v>
      </c>
      <c r="H1752" s="1034">
        <f>SUM((H1753:H1755))/3</f>
        <v>85</v>
      </c>
      <c r="I1752" s="863"/>
      <c r="J1752" s="44"/>
    </row>
    <row r="1753" spans="3:10" s="656" customFormat="1" ht="20.100000000000001" hidden="1" customHeight="1">
      <c r="C1753" s="881"/>
      <c r="D1753" s="1036" t="s">
        <v>3456</v>
      </c>
      <c r="E1753" s="401">
        <v>588000000</v>
      </c>
      <c r="F1753" s="401">
        <v>359500000</v>
      </c>
      <c r="G1753" s="1035">
        <f t="shared" si="80"/>
        <v>61.139455782312922</v>
      </c>
      <c r="H1753" s="1034">
        <v>65</v>
      </c>
      <c r="I1753" s="863"/>
      <c r="J1753" s="44"/>
    </row>
    <row r="1754" spans="3:10" s="656" customFormat="1" ht="20.100000000000001" hidden="1" customHeight="1">
      <c r="C1754" s="881"/>
      <c r="D1754" s="1036" t="s">
        <v>3455</v>
      </c>
      <c r="E1754" s="401">
        <v>2092000000</v>
      </c>
      <c r="F1754" s="401">
        <v>1863140000</v>
      </c>
      <c r="G1754" s="1035">
        <f t="shared" si="80"/>
        <v>89.060229445506693</v>
      </c>
      <c r="H1754" s="1034">
        <v>90</v>
      </c>
      <c r="I1754" s="863"/>
      <c r="J1754" s="44"/>
    </row>
    <row r="1755" spans="3:10" ht="20.100000000000001" hidden="1" customHeight="1">
      <c r="C1755" s="878"/>
      <c r="D1755" s="1036" t="s">
        <v>3454</v>
      </c>
      <c r="E1755" s="401">
        <v>1504000000</v>
      </c>
      <c r="F1755" s="401">
        <v>1504000000</v>
      </c>
      <c r="G1755" s="1035">
        <f t="shared" si="80"/>
        <v>100</v>
      </c>
      <c r="H1755" s="1034">
        <f>+G1755</f>
        <v>100</v>
      </c>
      <c r="I1755" s="852"/>
      <c r="J1755" s="802"/>
    </row>
    <row r="1756" spans="3:10" ht="20.100000000000001" hidden="1" customHeight="1">
      <c r="C1756" s="878"/>
      <c r="D1756" s="1037" t="s">
        <v>286</v>
      </c>
      <c r="E1756" s="401">
        <f>+E1757</f>
        <v>1000000000</v>
      </c>
      <c r="F1756" s="401">
        <f>+F1757</f>
        <v>999320000</v>
      </c>
      <c r="G1756" s="1035">
        <f t="shared" si="80"/>
        <v>99.932000000000002</v>
      </c>
      <c r="H1756" s="1034">
        <v>100</v>
      </c>
      <c r="I1756" s="852"/>
      <c r="J1756" s="802"/>
    </row>
    <row r="1757" spans="3:10" ht="20.100000000000001" hidden="1" customHeight="1">
      <c r="C1757" s="878"/>
      <c r="D1757" s="1036" t="s">
        <v>1514</v>
      </c>
      <c r="E1757" s="401">
        <v>1000000000</v>
      </c>
      <c r="F1757" s="401">
        <v>999320000</v>
      </c>
      <c r="G1757" s="1035">
        <f t="shared" si="80"/>
        <v>99.932000000000002</v>
      </c>
      <c r="H1757" s="1034">
        <v>100</v>
      </c>
      <c r="I1757" s="852"/>
      <c r="J1757" s="802"/>
    </row>
    <row r="1758" spans="3:10" s="656" customFormat="1" ht="20.100000000000001" hidden="1" customHeight="1">
      <c r="C1758" s="881"/>
      <c r="D1758" s="1037" t="s">
        <v>321</v>
      </c>
      <c r="E1758" s="401">
        <f>+E1759+E1760</f>
        <v>1116000000</v>
      </c>
      <c r="F1758" s="401">
        <f>+F1759+F1760</f>
        <v>1114725000</v>
      </c>
      <c r="G1758" s="1035">
        <f t="shared" si="80"/>
        <v>99.885752688172047</v>
      </c>
      <c r="H1758" s="1034">
        <v>100</v>
      </c>
      <c r="I1758" s="863"/>
      <c r="J1758" s="44"/>
    </row>
    <row r="1759" spans="3:10" s="656" customFormat="1" ht="20.100000000000001" hidden="1" customHeight="1">
      <c r="C1759" s="881"/>
      <c r="D1759" s="1036" t="s">
        <v>720</v>
      </c>
      <c r="E1759" s="401">
        <v>617970000</v>
      </c>
      <c r="F1759" s="401">
        <v>617145000</v>
      </c>
      <c r="G1759" s="1035">
        <f t="shared" si="80"/>
        <v>99.866498373707458</v>
      </c>
      <c r="H1759" s="1034">
        <v>100</v>
      </c>
      <c r="I1759" s="863"/>
      <c r="J1759" s="44"/>
    </row>
    <row r="1760" spans="3:10" ht="20.100000000000001" hidden="1" customHeight="1">
      <c r="C1760" s="878"/>
      <c r="D1760" s="1036" t="s">
        <v>1662</v>
      </c>
      <c r="E1760" s="401">
        <v>498030000</v>
      </c>
      <c r="F1760" s="401">
        <v>497580000</v>
      </c>
      <c r="G1760" s="1035">
        <f t="shared" si="80"/>
        <v>99.909643997349562</v>
      </c>
      <c r="H1760" s="1034">
        <v>100</v>
      </c>
      <c r="I1760" s="852"/>
      <c r="J1760" s="802"/>
    </row>
    <row r="1761" spans="3:10" ht="15" hidden="1" customHeight="1">
      <c r="C1761" s="878"/>
      <c r="D1761" s="1036"/>
      <c r="E1761" s="401"/>
      <c r="F1761" s="401"/>
      <c r="G1761" s="1035"/>
      <c r="H1761" s="1034"/>
      <c r="I1761" s="852"/>
      <c r="J1761" s="802"/>
    </row>
    <row r="1762" spans="3:10" s="656" customFormat="1" ht="20.100000000000001" hidden="1" customHeight="1">
      <c r="C1762" s="881"/>
      <c r="D1762" s="1037" t="s">
        <v>1517</v>
      </c>
      <c r="E1762" s="398">
        <f>+E1763</f>
        <v>797857239</v>
      </c>
      <c r="F1762" s="398">
        <v>775415000</v>
      </c>
      <c r="G1762" s="1035">
        <f>+F1762/E1762*100</f>
        <v>97.187186140201206</v>
      </c>
      <c r="H1762" s="1034">
        <v>100</v>
      </c>
      <c r="I1762" s="863"/>
      <c r="J1762" s="44"/>
    </row>
    <row r="1763" spans="3:10" s="656" customFormat="1" ht="20.100000000000001" hidden="1" customHeight="1">
      <c r="C1763" s="881"/>
      <c r="D1763" s="1037" t="s">
        <v>536</v>
      </c>
      <c r="E1763" s="401">
        <f>+E1764</f>
        <v>797857239</v>
      </c>
      <c r="F1763" s="401">
        <f>+F1764</f>
        <v>775415000</v>
      </c>
      <c r="G1763" s="1035">
        <f>+F1763/E1763*100</f>
        <v>97.187186140201206</v>
      </c>
      <c r="H1763" s="1034">
        <v>100</v>
      </c>
      <c r="I1763" s="863"/>
      <c r="J1763" s="44"/>
    </row>
    <row r="1764" spans="3:10" ht="20.100000000000001" hidden="1" customHeight="1">
      <c r="C1764" s="878"/>
      <c r="D1764" s="1036" t="s">
        <v>3453</v>
      </c>
      <c r="E1764" s="401">
        <v>797857239</v>
      </c>
      <c r="F1764" s="401">
        <v>775415000</v>
      </c>
      <c r="G1764" s="1035">
        <f>+F1764/E1764*100</f>
        <v>97.187186140201206</v>
      </c>
      <c r="H1764" s="1034">
        <v>100</v>
      </c>
      <c r="I1764" s="852"/>
      <c r="J1764" s="802"/>
    </row>
    <row r="1765" spans="3:10" s="656" customFormat="1" ht="15" hidden="1" customHeight="1">
      <c r="C1765" s="881"/>
      <c r="D1765" s="1036"/>
      <c r="E1765" s="401"/>
      <c r="F1765" s="401"/>
      <c r="G1765" s="1035"/>
      <c r="H1765" s="1034"/>
      <c r="I1765" s="863"/>
      <c r="J1765" s="44"/>
    </row>
    <row r="1766" spans="3:10" s="656" customFormat="1" ht="20.100000000000001" hidden="1" customHeight="1">
      <c r="C1766" s="881"/>
      <c r="D1766" s="1037" t="s">
        <v>1524</v>
      </c>
      <c r="E1766" s="398">
        <f>+E1767+E1769+E1771</f>
        <v>19935000000</v>
      </c>
      <c r="F1766" s="398">
        <f>+F1767+F1769+F1771</f>
        <v>19868180200</v>
      </c>
      <c r="G1766" s="1035">
        <f t="shared" ref="G1766:G1772" si="81">+F1766/E1766*100</f>
        <v>99.664811637822922</v>
      </c>
      <c r="H1766" s="1034">
        <v>100</v>
      </c>
      <c r="I1766" s="863"/>
      <c r="J1766" s="44"/>
    </row>
    <row r="1767" spans="3:10" s="656" customFormat="1" ht="20.100000000000001" hidden="1" customHeight="1">
      <c r="C1767" s="881"/>
      <c r="D1767" s="1037" t="s">
        <v>498</v>
      </c>
      <c r="E1767" s="401">
        <f>+E1768</f>
        <v>15710000000</v>
      </c>
      <c r="F1767" s="401">
        <f>+F1768</f>
        <v>15687630000</v>
      </c>
      <c r="G1767" s="1035">
        <f t="shared" si="81"/>
        <v>99.857606619987266</v>
      </c>
      <c r="H1767" s="1034">
        <v>100</v>
      </c>
      <c r="I1767" s="863"/>
      <c r="J1767" s="44"/>
    </row>
    <row r="1768" spans="3:10" ht="20.100000000000001" hidden="1" customHeight="1">
      <c r="C1768" s="878"/>
      <c r="D1768" s="1036" t="s">
        <v>966</v>
      </c>
      <c r="E1768" s="401">
        <v>15710000000</v>
      </c>
      <c r="F1768" s="401">
        <v>15687630000</v>
      </c>
      <c r="G1768" s="1035">
        <f t="shared" si="81"/>
        <v>99.857606619987266</v>
      </c>
      <c r="H1768" s="1034">
        <v>100</v>
      </c>
      <c r="I1768" s="852"/>
      <c r="J1768" s="802"/>
    </row>
    <row r="1769" spans="3:10" s="656" customFormat="1" ht="20.100000000000001" hidden="1" customHeight="1">
      <c r="C1769" s="881"/>
      <c r="D1769" s="1037" t="s">
        <v>1525</v>
      </c>
      <c r="E1769" s="398">
        <f>+E1770</f>
        <v>1055000000</v>
      </c>
      <c r="F1769" s="398">
        <f>+F1770</f>
        <v>1053550000</v>
      </c>
      <c r="G1769" s="1035">
        <f t="shared" si="81"/>
        <v>99.862559241706165</v>
      </c>
      <c r="H1769" s="1034">
        <v>100</v>
      </c>
      <c r="I1769" s="863"/>
      <c r="J1769" s="44"/>
    </row>
    <row r="1770" spans="3:10" s="656" customFormat="1" ht="20.100000000000001" hidden="1" customHeight="1">
      <c r="C1770" s="881"/>
      <c r="D1770" s="1036" t="s">
        <v>3452</v>
      </c>
      <c r="E1770" s="401">
        <v>1055000000</v>
      </c>
      <c r="F1770" s="401">
        <v>1053550000</v>
      </c>
      <c r="G1770" s="1035">
        <f t="shared" si="81"/>
        <v>99.862559241706165</v>
      </c>
      <c r="H1770" s="1034">
        <v>100</v>
      </c>
      <c r="I1770" s="863"/>
      <c r="J1770" s="44"/>
    </row>
    <row r="1771" spans="3:10" s="656" customFormat="1" ht="20.100000000000001" hidden="1" customHeight="1">
      <c r="C1771" s="881"/>
      <c r="D1771" s="1037" t="s">
        <v>1529</v>
      </c>
      <c r="E1771" s="398">
        <f>+E1772</f>
        <v>3170000000</v>
      </c>
      <c r="F1771" s="398">
        <f>+F1772</f>
        <v>3127000200</v>
      </c>
      <c r="G1771" s="1035">
        <f t="shared" si="81"/>
        <v>98.643539432176652</v>
      </c>
      <c r="H1771" s="1034">
        <v>100</v>
      </c>
      <c r="I1771" s="863"/>
      <c r="J1771" s="44"/>
    </row>
    <row r="1772" spans="3:10" s="656" customFormat="1" ht="20.100000000000001" hidden="1" customHeight="1">
      <c r="C1772" s="881"/>
      <c r="D1772" s="1036" t="s">
        <v>3451</v>
      </c>
      <c r="E1772" s="401">
        <v>3170000000</v>
      </c>
      <c r="F1772" s="401">
        <v>3127000200</v>
      </c>
      <c r="G1772" s="1035">
        <f t="shared" si="81"/>
        <v>98.643539432176652</v>
      </c>
      <c r="H1772" s="1034">
        <v>100</v>
      </c>
      <c r="I1772" s="863"/>
      <c r="J1772" s="44"/>
    </row>
    <row r="1773" spans="3:10" s="656" customFormat="1" ht="15" hidden="1" customHeight="1">
      <c r="C1773" s="881"/>
      <c r="D1773" s="1036"/>
      <c r="E1773" s="401"/>
      <c r="F1773" s="401"/>
      <c r="G1773" s="1035"/>
      <c r="H1773" s="1034"/>
      <c r="I1773" s="863"/>
      <c r="J1773" s="44"/>
    </row>
    <row r="1774" spans="3:10" ht="20.100000000000001" hidden="1" customHeight="1">
      <c r="C1774" s="878"/>
      <c r="D1774" s="1037" t="s">
        <v>651</v>
      </c>
      <c r="E1774" s="398">
        <f>+E1775</f>
        <v>140000000</v>
      </c>
      <c r="F1774" s="398">
        <f>+F1775</f>
        <v>139500000</v>
      </c>
      <c r="G1774" s="1035">
        <f>+F1774/E1774*100</f>
        <v>99.642857142857139</v>
      </c>
      <c r="H1774" s="1034">
        <v>100</v>
      </c>
      <c r="I1774" s="852"/>
      <c r="J1774" s="802"/>
    </row>
    <row r="1775" spans="3:10" ht="20.100000000000001" hidden="1" customHeight="1">
      <c r="C1775" s="878"/>
      <c r="D1775" s="1037" t="s">
        <v>1536</v>
      </c>
      <c r="E1775" s="401">
        <f>+E1776</f>
        <v>140000000</v>
      </c>
      <c r="F1775" s="401">
        <f>+F1776</f>
        <v>139500000</v>
      </c>
      <c r="G1775" s="1035">
        <f>+F1775/E1775*100</f>
        <v>99.642857142857139</v>
      </c>
      <c r="H1775" s="1034">
        <v>100</v>
      </c>
      <c r="I1775" s="852"/>
      <c r="J1775" s="802"/>
    </row>
    <row r="1776" spans="3:10" ht="35.1" hidden="1" customHeight="1">
      <c r="C1776" s="878"/>
      <c r="D1776" s="1038" t="s">
        <v>1537</v>
      </c>
      <c r="E1776" s="401">
        <v>140000000</v>
      </c>
      <c r="F1776" s="401">
        <v>139500000</v>
      </c>
      <c r="G1776" s="1035">
        <f>+F1776/E1776*100</f>
        <v>99.642857142857139</v>
      </c>
      <c r="H1776" s="1034">
        <v>100</v>
      </c>
      <c r="I1776" s="852"/>
      <c r="J1776" s="802"/>
    </row>
    <row r="1777" spans="3:10" ht="15" hidden="1" customHeight="1">
      <c r="C1777" s="878"/>
      <c r="D1777" s="1038"/>
      <c r="E1777" s="401"/>
      <c r="F1777" s="401"/>
      <c r="G1777" s="1035"/>
      <c r="H1777" s="1034"/>
      <c r="I1777" s="852"/>
      <c r="J1777" s="802"/>
    </row>
    <row r="1778" spans="3:10" ht="20.100000000000001" hidden="1" customHeight="1">
      <c r="C1778" s="878"/>
      <c r="D1778" s="1037" t="s">
        <v>648</v>
      </c>
      <c r="E1778" s="398">
        <f>+E1779</f>
        <v>160000000</v>
      </c>
      <c r="F1778" s="398">
        <f>SUM(F1780)</f>
        <v>125950000</v>
      </c>
      <c r="G1778" s="1035">
        <f>+F1778/E1778*100</f>
        <v>78.71875</v>
      </c>
      <c r="H1778" s="1034">
        <v>80</v>
      </c>
      <c r="I1778" s="852"/>
      <c r="J1778" s="802"/>
    </row>
    <row r="1779" spans="3:10" ht="20.100000000000001" hidden="1" customHeight="1">
      <c r="C1779" s="878"/>
      <c r="D1779" s="1037" t="s">
        <v>1466</v>
      </c>
      <c r="E1779" s="401">
        <f>+E1780</f>
        <v>160000000</v>
      </c>
      <c r="F1779" s="401">
        <f>+F1780</f>
        <v>125950000</v>
      </c>
      <c r="G1779" s="1035">
        <f>+F1779/E1779*100</f>
        <v>78.71875</v>
      </c>
      <c r="H1779" s="1034">
        <v>80</v>
      </c>
      <c r="I1779" s="852"/>
      <c r="J1779" s="802"/>
    </row>
    <row r="1780" spans="3:10" ht="51" hidden="1" customHeight="1">
      <c r="C1780" s="878"/>
      <c r="D1780" s="1036" t="s">
        <v>1539</v>
      </c>
      <c r="E1780" s="401">
        <v>160000000</v>
      </c>
      <c r="F1780" s="401">
        <v>125950000</v>
      </c>
      <c r="G1780" s="1035">
        <f>+F1780/E1780*100</f>
        <v>78.71875</v>
      </c>
      <c r="H1780" s="1034">
        <v>80</v>
      </c>
      <c r="I1780" s="852"/>
      <c r="J1780" s="802"/>
    </row>
    <row r="1781" spans="3:10" ht="15" hidden="1" customHeight="1">
      <c r="C1781" s="878"/>
      <c r="D1781" s="859"/>
      <c r="E1781" s="855"/>
      <c r="F1781" s="854"/>
      <c r="G1781" s="854"/>
      <c r="H1781" s="876"/>
      <c r="I1781" s="852"/>
      <c r="J1781" s="802"/>
    </row>
    <row r="1782" spans="3:10" s="656" customFormat="1" ht="20.100000000000001" customHeight="1">
      <c r="C1782" s="881" t="s">
        <v>1542</v>
      </c>
      <c r="D1782" s="1033" t="s">
        <v>3450</v>
      </c>
      <c r="E1782" s="1030">
        <f>+E1783+E1799+E1807+E1811+E1815+E1819+E1825+E1832+E1845+E1855+E1859</f>
        <v>64759842666.910004</v>
      </c>
      <c r="F1782" s="1030">
        <v>60704277874</v>
      </c>
      <c r="G1782" s="1030">
        <v>93.737531430003585</v>
      </c>
      <c r="H1782" s="1030">
        <f>(H1783+H1807+H1811+H1815+H1819+H1825+H1832+H1845+H1855+H1859)/10</f>
        <v>95.190972222222214</v>
      </c>
      <c r="I1782" s="863"/>
      <c r="J1782" s="1032" t="s">
        <v>443</v>
      </c>
    </row>
    <row r="1783" spans="3:10" ht="20.100000000000001" hidden="1" customHeight="1">
      <c r="C1783" s="878"/>
      <c r="D1783" s="404" t="s">
        <v>444</v>
      </c>
      <c r="E1783" s="1027">
        <f>E1784+E1786+E1791+E1796</f>
        <v>16907671820</v>
      </c>
      <c r="F1783" s="1027">
        <v>16401201145</v>
      </c>
      <c r="G1783" s="1030">
        <v>97.004491923004451</v>
      </c>
      <c r="H1783" s="1029">
        <v>95.659722222222229</v>
      </c>
      <c r="I1783" s="852"/>
      <c r="J1783" s="1031"/>
    </row>
    <row r="1784" spans="3:10" ht="20.100000000000001" hidden="1" customHeight="1">
      <c r="C1784" s="878"/>
      <c r="D1784" s="404" t="s">
        <v>388</v>
      </c>
      <c r="E1784" s="1027">
        <f>E1785</f>
        <v>576000000</v>
      </c>
      <c r="F1784" s="1027">
        <v>576000000</v>
      </c>
      <c r="G1784" s="1030">
        <v>100</v>
      </c>
      <c r="H1784" s="1029">
        <v>100</v>
      </c>
      <c r="I1784" s="852"/>
      <c r="J1784" s="1031"/>
    </row>
    <row r="1785" spans="3:10" ht="20.100000000000001" hidden="1" customHeight="1">
      <c r="C1785" s="878"/>
      <c r="D1785" s="406" t="s">
        <v>3449</v>
      </c>
      <c r="E1785" s="1028">
        <v>576000000</v>
      </c>
      <c r="F1785" s="1027">
        <v>576000000</v>
      </c>
      <c r="G1785" s="1030">
        <v>100</v>
      </c>
      <c r="H1785" s="1029">
        <v>100</v>
      </c>
      <c r="I1785" s="852"/>
      <c r="J1785" s="802"/>
    </row>
    <row r="1786" spans="3:10" ht="20.100000000000001" hidden="1" customHeight="1">
      <c r="C1786" s="878"/>
      <c r="D1786" s="404" t="s">
        <v>394</v>
      </c>
      <c r="E1786" s="1027">
        <f>SUM(E1787:E1790)</f>
        <v>11662095820</v>
      </c>
      <c r="F1786" s="1027">
        <v>11575625145</v>
      </c>
      <c r="G1786" s="1030">
        <v>99.258532288409882</v>
      </c>
      <c r="H1786" s="1029">
        <v>100</v>
      </c>
      <c r="I1786" s="852"/>
      <c r="J1786" s="802"/>
    </row>
    <row r="1787" spans="3:10" ht="20.100000000000001" hidden="1" customHeight="1">
      <c r="C1787" s="878"/>
      <c r="D1787" s="406" t="s">
        <v>3448</v>
      </c>
      <c r="E1787" s="1028">
        <v>4269970675</v>
      </c>
      <c r="F1787" s="1027">
        <v>4207500000</v>
      </c>
      <c r="G1787" s="1030">
        <v>98.536976486378322</v>
      </c>
      <c r="H1787" s="1029">
        <v>100</v>
      </c>
      <c r="I1787" s="852"/>
      <c r="J1787" s="802"/>
    </row>
    <row r="1788" spans="3:10" ht="20.100000000000001" hidden="1" customHeight="1">
      <c r="C1788" s="878"/>
      <c r="D1788" s="406" t="s">
        <v>1547</v>
      </c>
      <c r="E1788" s="1028">
        <v>420125145</v>
      </c>
      <c r="F1788" s="1027">
        <v>420125145</v>
      </c>
      <c r="G1788" s="1030">
        <v>100</v>
      </c>
      <c r="H1788" s="1029">
        <v>100</v>
      </c>
      <c r="I1788" s="852"/>
      <c r="J1788" s="802"/>
    </row>
    <row r="1789" spans="3:10" ht="20.100000000000001" hidden="1" customHeight="1">
      <c r="C1789" s="878"/>
      <c r="D1789" s="406" t="s">
        <v>3447</v>
      </c>
      <c r="E1789" s="1028">
        <v>3672000000</v>
      </c>
      <c r="F1789" s="1027">
        <v>3648000000</v>
      </c>
      <c r="G1789" s="1030">
        <v>99.346405228758172</v>
      </c>
      <c r="H1789" s="1029">
        <v>100</v>
      </c>
      <c r="I1789" s="852"/>
      <c r="J1789" s="802"/>
    </row>
    <row r="1790" spans="3:10" ht="20.100000000000001" hidden="1" customHeight="1">
      <c r="C1790" s="878"/>
      <c r="D1790" s="406" t="s">
        <v>3446</v>
      </c>
      <c r="E1790" s="1028">
        <v>3300000000</v>
      </c>
      <c r="F1790" s="1027">
        <v>3300000000</v>
      </c>
      <c r="G1790" s="1030">
        <v>100</v>
      </c>
      <c r="H1790" s="1029">
        <v>100</v>
      </c>
      <c r="I1790" s="852"/>
      <c r="J1790" s="802"/>
    </row>
    <row r="1791" spans="3:10" ht="20.100000000000001" hidden="1" customHeight="1">
      <c r="C1791" s="878"/>
      <c r="D1791" s="404" t="s">
        <v>404</v>
      </c>
      <c r="E1791" s="1027">
        <f>SUM(E1792:E1795)</f>
        <v>3749576000</v>
      </c>
      <c r="F1791" s="1027">
        <v>3329576000</v>
      </c>
      <c r="G1791" s="1030">
        <v>88.798733510135548</v>
      </c>
      <c r="H1791" s="1029">
        <v>82.638888888888886</v>
      </c>
      <c r="I1791" s="852"/>
      <c r="J1791" s="802"/>
    </row>
    <row r="1792" spans="3:10" ht="20.100000000000001" hidden="1" customHeight="1">
      <c r="C1792" s="878"/>
      <c r="D1792" s="406" t="s">
        <v>1551</v>
      </c>
      <c r="E1792" s="1028">
        <v>1805576000</v>
      </c>
      <c r="F1792" s="1027">
        <v>1805576000</v>
      </c>
      <c r="G1792" s="1026">
        <v>100</v>
      </c>
      <c r="H1792" s="1025">
        <v>100</v>
      </c>
      <c r="I1792" s="852"/>
      <c r="J1792" s="802"/>
    </row>
    <row r="1793" spans="3:10" ht="20.100000000000001" hidden="1" customHeight="1">
      <c r="C1793" s="878"/>
      <c r="D1793" s="406" t="s">
        <v>3445</v>
      </c>
      <c r="E1793" s="1028">
        <v>648000000</v>
      </c>
      <c r="F1793" s="1027">
        <v>594000000</v>
      </c>
      <c r="G1793" s="1026">
        <v>91.666666666666657</v>
      </c>
      <c r="H1793" s="1025">
        <v>100</v>
      </c>
      <c r="I1793" s="852"/>
      <c r="J1793" s="802"/>
    </row>
    <row r="1794" spans="3:10" ht="20.100000000000001" hidden="1" customHeight="1">
      <c r="C1794" s="878"/>
      <c r="D1794" s="406" t="s">
        <v>3444</v>
      </c>
      <c r="E1794" s="1028">
        <v>1080000000</v>
      </c>
      <c r="F1794" s="1027">
        <v>810000000</v>
      </c>
      <c r="G1794" s="1026">
        <v>75</v>
      </c>
      <c r="H1794" s="1025">
        <v>75</v>
      </c>
      <c r="I1794" s="852"/>
      <c r="J1794" s="802"/>
    </row>
    <row r="1795" spans="3:10" ht="35.1" hidden="1" customHeight="1">
      <c r="C1795" s="878"/>
      <c r="D1795" s="406" t="s">
        <v>3443</v>
      </c>
      <c r="E1795" s="1028">
        <v>216000000</v>
      </c>
      <c r="F1795" s="1027">
        <v>120000000</v>
      </c>
      <c r="G1795" s="1026">
        <v>55.555555555555557</v>
      </c>
      <c r="H1795" s="1025">
        <v>55.555555555555557</v>
      </c>
      <c r="I1795" s="852"/>
      <c r="J1795" s="802"/>
    </row>
    <row r="1796" spans="3:10" ht="20.100000000000001" hidden="1" customHeight="1">
      <c r="C1796" s="878"/>
      <c r="D1796" s="404" t="s">
        <v>1555</v>
      </c>
      <c r="E1796" s="1027">
        <f>SUM(E1797:E1797)</f>
        <v>920000000</v>
      </c>
      <c r="F1796" s="1027">
        <v>920000000</v>
      </c>
      <c r="G1796" s="1030">
        <v>100</v>
      </c>
      <c r="H1796" s="1029">
        <v>100</v>
      </c>
      <c r="I1796" s="852"/>
      <c r="J1796" s="802"/>
    </row>
    <row r="1797" spans="3:10" ht="35.1" hidden="1" customHeight="1">
      <c r="C1797" s="878"/>
      <c r="D1797" s="406" t="s">
        <v>1556</v>
      </c>
      <c r="E1797" s="1028">
        <v>920000000</v>
      </c>
      <c r="F1797" s="1027">
        <v>920000000</v>
      </c>
      <c r="G1797" s="1026">
        <v>100</v>
      </c>
      <c r="H1797" s="1025">
        <v>100</v>
      </c>
      <c r="I1797" s="852"/>
      <c r="J1797" s="802"/>
    </row>
    <row r="1798" spans="3:10" ht="15" hidden="1" customHeight="1">
      <c r="C1798" s="878"/>
      <c r="D1798" s="406"/>
      <c r="E1798" s="1028"/>
      <c r="F1798" s="1027"/>
      <c r="G1798" s="1026"/>
      <c r="H1798" s="1025"/>
      <c r="I1798" s="852"/>
      <c r="J1798" s="802"/>
    </row>
    <row r="1799" spans="3:10" ht="20.100000000000001" hidden="1" customHeight="1">
      <c r="C1799" s="878"/>
      <c r="D1799" s="404" t="s">
        <v>161</v>
      </c>
      <c r="E1799" s="1027">
        <f>E1800++E1802+E1804</f>
        <v>9713976399.9100037</v>
      </c>
      <c r="F1799" s="1027">
        <v>9564292000</v>
      </c>
      <c r="G1799" s="1030">
        <v>98.459082111832188</v>
      </c>
      <c r="H1799" s="1029">
        <v>100</v>
      </c>
      <c r="I1799" s="852"/>
      <c r="J1799" s="802"/>
    </row>
    <row r="1800" spans="3:10" ht="20.100000000000001" hidden="1" customHeight="1">
      <c r="C1800" s="878"/>
      <c r="D1800" s="404" t="s">
        <v>173</v>
      </c>
      <c r="E1800" s="1027">
        <f>E1801</f>
        <v>3473965849.9100037</v>
      </c>
      <c r="F1800" s="1027">
        <v>3334444000</v>
      </c>
      <c r="G1800" s="1030">
        <v>95.983787520536509</v>
      </c>
      <c r="H1800" s="1029">
        <v>100</v>
      </c>
      <c r="I1800" s="852"/>
      <c r="J1800" s="802"/>
    </row>
    <row r="1801" spans="3:10" ht="35.1" hidden="1" customHeight="1">
      <c r="C1801" s="878"/>
      <c r="D1801" s="406" t="s">
        <v>1557</v>
      </c>
      <c r="E1801" s="1028">
        <v>3473965849.9100037</v>
      </c>
      <c r="F1801" s="1027">
        <v>3334444000</v>
      </c>
      <c r="G1801" s="1026">
        <v>95.983787520536509</v>
      </c>
      <c r="H1801" s="1025">
        <v>100</v>
      </c>
      <c r="I1801" s="852"/>
      <c r="J1801" s="802"/>
    </row>
    <row r="1802" spans="3:10" ht="20.100000000000001" hidden="1" customHeight="1">
      <c r="C1802" s="878"/>
      <c r="D1802" s="404" t="s">
        <v>212</v>
      </c>
      <c r="E1802" s="1027">
        <f>E1803</f>
        <v>5099685550</v>
      </c>
      <c r="F1802" s="1027">
        <v>5089523000</v>
      </c>
      <c r="G1802" s="1030">
        <v>99.800722026870858</v>
      </c>
      <c r="H1802" s="1029">
        <v>100</v>
      </c>
      <c r="I1802" s="852"/>
      <c r="J1802" s="802"/>
    </row>
    <row r="1803" spans="3:10" ht="35.1" hidden="1" customHeight="1">
      <c r="C1803" s="878"/>
      <c r="D1803" s="406" t="s">
        <v>1558</v>
      </c>
      <c r="E1803" s="1028">
        <v>5099685550</v>
      </c>
      <c r="F1803" s="1027">
        <v>5089523000</v>
      </c>
      <c r="G1803" s="1030">
        <v>99.800722026870858</v>
      </c>
      <c r="H1803" s="1025">
        <v>100</v>
      </c>
      <c r="I1803" s="852"/>
      <c r="J1803" s="802"/>
    </row>
    <row r="1804" spans="3:10" ht="20.100000000000001" hidden="1" customHeight="1">
      <c r="C1804" s="878"/>
      <c r="D1804" s="404" t="s">
        <v>2764</v>
      </c>
      <c r="E1804" s="1027">
        <f>E1805</f>
        <v>1140325000</v>
      </c>
      <c r="F1804" s="1027">
        <v>1140325000</v>
      </c>
      <c r="G1804" s="1030">
        <v>100</v>
      </c>
      <c r="H1804" s="1029">
        <v>100</v>
      </c>
      <c r="I1804" s="852"/>
      <c r="J1804" s="802"/>
    </row>
    <row r="1805" spans="3:10" ht="35.1" hidden="1" customHeight="1">
      <c r="C1805" s="878"/>
      <c r="D1805" s="406" t="s">
        <v>3442</v>
      </c>
      <c r="E1805" s="1028">
        <v>1140325000</v>
      </c>
      <c r="F1805" s="1027">
        <v>1140325000</v>
      </c>
      <c r="G1805" s="1030">
        <v>100</v>
      </c>
      <c r="H1805" s="1025">
        <v>100</v>
      </c>
      <c r="I1805" s="852"/>
      <c r="J1805" s="802"/>
    </row>
    <row r="1806" spans="3:10" ht="15" hidden="1" customHeight="1">
      <c r="C1806" s="878"/>
      <c r="D1806" s="406"/>
      <c r="E1806" s="1028"/>
      <c r="F1806" s="1027"/>
      <c r="G1806" s="1030"/>
      <c r="H1806" s="1025"/>
      <c r="I1806" s="852"/>
      <c r="J1806" s="802"/>
    </row>
    <row r="1807" spans="3:10" ht="20.100000000000001" hidden="1" customHeight="1">
      <c r="C1807" s="878"/>
      <c r="D1807" s="404" t="s">
        <v>1559</v>
      </c>
      <c r="E1807" s="1027">
        <f>E1808</f>
        <v>5539000000</v>
      </c>
      <c r="F1807" s="1027">
        <v>5511025500</v>
      </c>
      <c r="G1807" s="1030">
        <v>99.494953962809177</v>
      </c>
      <c r="H1807" s="1029">
        <v>100</v>
      </c>
      <c r="I1807" s="852"/>
      <c r="J1807" s="802"/>
    </row>
    <row r="1808" spans="3:10" ht="20.100000000000001" hidden="1" customHeight="1">
      <c r="C1808" s="878"/>
      <c r="D1808" s="404" t="s">
        <v>879</v>
      </c>
      <c r="E1808" s="1027">
        <f>E1809</f>
        <v>5539000000</v>
      </c>
      <c r="F1808" s="1027">
        <v>5511025500</v>
      </c>
      <c r="G1808" s="1030">
        <v>99.494953962809177</v>
      </c>
      <c r="H1808" s="1029">
        <v>100</v>
      </c>
      <c r="I1808" s="852"/>
      <c r="J1808" s="802"/>
    </row>
    <row r="1809" spans="3:10" ht="20.100000000000001" hidden="1" customHeight="1">
      <c r="C1809" s="878"/>
      <c r="D1809" s="406" t="s">
        <v>3441</v>
      </c>
      <c r="E1809" s="1028">
        <v>5539000000</v>
      </c>
      <c r="F1809" s="1027">
        <v>5511025500</v>
      </c>
      <c r="G1809" s="1030">
        <v>99.494953962809177</v>
      </c>
      <c r="H1809" s="1025">
        <v>100</v>
      </c>
      <c r="I1809" s="852"/>
      <c r="J1809" s="802"/>
    </row>
    <row r="1810" spans="3:10" ht="15" hidden="1" customHeight="1">
      <c r="C1810" s="878"/>
      <c r="D1810" s="406"/>
      <c r="E1810" s="1028"/>
      <c r="F1810" s="1027"/>
      <c r="G1810" s="1030"/>
      <c r="H1810" s="1025"/>
      <c r="I1810" s="852"/>
      <c r="J1810" s="802"/>
    </row>
    <row r="1811" spans="3:10" ht="20.100000000000001" hidden="1" customHeight="1">
      <c r="C1811" s="878"/>
      <c r="D1811" s="404" t="s">
        <v>965</v>
      </c>
      <c r="E1811" s="1027">
        <f>E1812</f>
        <v>9272692800</v>
      </c>
      <c r="F1811" s="1027">
        <v>7160393725</v>
      </c>
      <c r="G1811" s="1030">
        <v>77.220219405952932</v>
      </c>
      <c r="H1811" s="1029">
        <v>80</v>
      </c>
      <c r="I1811" s="852"/>
      <c r="J1811" s="802"/>
    </row>
    <row r="1812" spans="3:10" ht="20.100000000000001" hidden="1" customHeight="1">
      <c r="C1812" s="878"/>
      <c r="D1812" s="404" t="s">
        <v>498</v>
      </c>
      <c r="E1812" s="1027">
        <f>E1813</f>
        <v>9272692800</v>
      </c>
      <c r="F1812" s="1027">
        <v>7160393725</v>
      </c>
      <c r="G1812" s="1030">
        <v>77.220219405952932</v>
      </c>
      <c r="H1812" s="1029">
        <v>80</v>
      </c>
      <c r="I1812" s="852"/>
      <c r="J1812" s="802"/>
    </row>
    <row r="1813" spans="3:10" ht="20.100000000000001" hidden="1" customHeight="1">
      <c r="C1813" s="878"/>
      <c r="D1813" s="406" t="s">
        <v>1563</v>
      </c>
      <c r="E1813" s="1028">
        <v>9272692800</v>
      </c>
      <c r="F1813" s="1027">
        <v>7160393725</v>
      </c>
      <c r="G1813" s="1030">
        <v>77.220219405952932</v>
      </c>
      <c r="H1813" s="1029">
        <v>80</v>
      </c>
      <c r="I1813" s="852"/>
      <c r="J1813" s="802"/>
    </row>
    <row r="1814" spans="3:10" ht="15" hidden="1" customHeight="1">
      <c r="C1814" s="878"/>
      <c r="D1814" s="406"/>
      <c r="E1814" s="1028"/>
      <c r="F1814" s="1027"/>
      <c r="G1814" s="1030"/>
      <c r="H1814" s="1029"/>
      <c r="I1814" s="852"/>
      <c r="J1814" s="802"/>
    </row>
    <row r="1815" spans="3:10" ht="20.100000000000001" hidden="1" customHeight="1">
      <c r="C1815" s="878"/>
      <c r="D1815" s="404" t="s">
        <v>1564</v>
      </c>
      <c r="E1815" s="1027">
        <f>E1816</f>
        <v>2546200000</v>
      </c>
      <c r="F1815" s="1027">
        <v>2546200000</v>
      </c>
      <c r="G1815" s="1030">
        <v>100</v>
      </c>
      <c r="H1815" s="1029">
        <v>100</v>
      </c>
      <c r="I1815" s="852"/>
      <c r="J1815" s="802"/>
    </row>
    <row r="1816" spans="3:10" ht="20.100000000000001" hidden="1" customHeight="1">
      <c r="C1816" s="878"/>
      <c r="D1816" s="404" t="s">
        <v>1565</v>
      </c>
      <c r="E1816" s="1027">
        <f>E1817</f>
        <v>2546200000</v>
      </c>
      <c r="F1816" s="1027">
        <v>2546200000</v>
      </c>
      <c r="G1816" s="1030">
        <v>100</v>
      </c>
      <c r="H1816" s="1029">
        <v>100</v>
      </c>
      <c r="I1816" s="852"/>
      <c r="J1816" s="802"/>
    </row>
    <row r="1817" spans="3:10" ht="48.75" hidden="1" customHeight="1">
      <c r="C1817" s="878"/>
      <c r="D1817" s="406" t="s">
        <v>1566</v>
      </c>
      <c r="E1817" s="1028">
        <v>2546200000</v>
      </c>
      <c r="F1817" s="1027">
        <v>2546200000</v>
      </c>
      <c r="G1817" s="1030">
        <v>100</v>
      </c>
      <c r="H1817" s="1025">
        <v>100</v>
      </c>
      <c r="I1817" s="852"/>
      <c r="J1817" s="802"/>
    </row>
    <row r="1818" spans="3:10" ht="15" hidden="1" customHeight="1">
      <c r="C1818" s="878"/>
      <c r="D1818" s="406"/>
      <c r="E1818" s="1028"/>
      <c r="F1818" s="1027"/>
      <c r="G1818" s="1030"/>
      <c r="H1818" s="1025"/>
      <c r="I1818" s="852"/>
      <c r="J1818" s="802"/>
    </row>
    <row r="1819" spans="3:10" ht="20.100000000000001" hidden="1" customHeight="1">
      <c r="C1819" s="878"/>
      <c r="D1819" s="404" t="s">
        <v>525</v>
      </c>
      <c r="E1819" s="1027">
        <f>E1820+E1822</f>
        <v>3329500000</v>
      </c>
      <c r="F1819" s="1027">
        <v>3318900000</v>
      </c>
      <c r="G1819" s="1030">
        <v>99.68163387896081</v>
      </c>
      <c r="H1819" s="1029">
        <v>100</v>
      </c>
      <c r="I1819" s="852"/>
      <c r="J1819" s="802"/>
    </row>
    <row r="1820" spans="3:10" ht="35.1" hidden="1" customHeight="1">
      <c r="C1820" s="878"/>
      <c r="D1820" s="404" t="s">
        <v>890</v>
      </c>
      <c r="E1820" s="1027">
        <f>E1821</f>
        <v>1329500000</v>
      </c>
      <c r="F1820" s="1027">
        <v>1321000000</v>
      </c>
      <c r="G1820" s="1030">
        <v>99.360661902971032</v>
      </c>
      <c r="H1820" s="1029">
        <v>100</v>
      </c>
      <c r="I1820" s="852"/>
      <c r="J1820" s="802"/>
    </row>
    <row r="1821" spans="3:10" s="656" customFormat="1" ht="20.100000000000001" hidden="1" customHeight="1">
      <c r="C1821" s="881"/>
      <c r="D1821" s="406" t="s">
        <v>1803</v>
      </c>
      <c r="E1821" s="1028">
        <v>1329500000</v>
      </c>
      <c r="F1821" s="1027">
        <v>1321000000</v>
      </c>
      <c r="G1821" s="1030">
        <v>99.360661902971032</v>
      </c>
      <c r="H1821" s="1025">
        <v>100</v>
      </c>
      <c r="I1821" s="863"/>
      <c r="J1821" s="44"/>
    </row>
    <row r="1822" spans="3:10" ht="20.100000000000001" hidden="1" customHeight="1">
      <c r="C1822" s="878"/>
      <c r="D1822" s="404" t="s">
        <v>3440</v>
      </c>
      <c r="E1822" s="1027">
        <f>E1823</f>
        <v>2000000000</v>
      </c>
      <c r="F1822" s="1027">
        <v>1997900000</v>
      </c>
      <c r="G1822" s="1030">
        <v>99.894999999999996</v>
      </c>
      <c r="H1822" s="1029">
        <v>100</v>
      </c>
      <c r="I1822" s="852"/>
      <c r="J1822" s="802"/>
    </row>
    <row r="1823" spans="3:10" s="656" customFormat="1" ht="35.1" hidden="1" customHeight="1">
      <c r="C1823" s="881"/>
      <c r="D1823" s="406" t="s">
        <v>3439</v>
      </c>
      <c r="E1823" s="1028">
        <v>2000000000</v>
      </c>
      <c r="F1823" s="1027">
        <v>1997900000</v>
      </c>
      <c r="G1823" s="1030">
        <v>99.894999999999996</v>
      </c>
      <c r="H1823" s="1025">
        <v>100</v>
      </c>
      <c r="I1823" s="863"/>
      <c r="J1823" s="44"/>
    </row>
    <row r="1824" spans="3:10" s="656" customFormat="1" ht="15" hidden="1" customHeight="1">
      <c r="C1824" s="881"/>
      <c r="D1824" s="406"/>
      <c r="E1824" s="1028"/>
      <c r="F1824" s="1027"/>
      <c r="G1824" s="1030"/>
      <c r="H1824" s="1025"/>
      <c r="I1824" s="863"/>
      <c r="J1824" s="44"/>
    </row>
    <row r="1825" spans="3:10" ht="20.100000000000001" hidden="1" customHeight="1">
      <c r="C1825" s="878"/>
      <c r="D1825" s="404" t="s">
        <v>967</v>
      </c>
      <c r="E1825" s="1027">
        <f>E1826</f>
        <v>2000000000</v>
      </c>
      <c r="F1825" s="1027">
        <v>962215000</v>
      </c>
      <c r="G1825" s="1030">
        <v>48.110750000000003</v>
      </c>
      <c r="H1825" s="1029">
        <f>H1826</f>
        <v>76.25</v>
      </c>
      <c r="I1825" s="852"/>
      <c r="J1825" s="802"/>
    </row>
    <row r="1826" spans="3:10" ht="20.100000000000001" hidden="1" customHeight="1">
      <c r="C1826" s="878"/>
      <c r="D1826" s="404" t="s">
        <v>914</v>
      </c>
      <c r="E1826" s="1027">
        <f>SUM(E1827:E1830)</f>
        <v>2000000000</v>
      </c>
      <c r="F1826" s="1027">
        <v>962215000</v>
      </c>
      <c r="G1826" s="1030">
        <v>48.110750000000003</v>
      </c>
      <c r="H1826" s="1029">
        <f>SUM((H1827:H1830))/4</f>
        <v>76.25</v>
      </c>
      <c r="I1826" s="852"/>
      <c r="J1826" s="802"/>
    </row>
    <row r="1827" spans="3:10" ht="20.100000000000001" hidden="1" customHeight="1">
      <c r="C1827" s="878"/>
      <c r="D1827" s="406" t="s">
        <v>915</v>
      </c>
      <c r="E1827" s="1028">
        <v>250000000</v>
      </c>
      <c r="F1827" s="1027">
        <v>248000000</v>
      </c>
      <c r="G1827" s="1026">
        <v>99.2</v>
      </c>
      <c r="H1827" s="1025">
        <v>100</v>
      </c>
      <c r="I1827" s="852"/>
      <c r="J1827" s="802"/>
    </row>
    <row r="1828" spans="3:10" ht="20.100000000000001" hidden="1" customHeight="1">
      <c r="C1828" s="878"/>
      <c r="D1828" s="406" t="s">
        <v>3438</v>
      </c>
      <c r="E1828" s="1028">
        <v>426215000</v>
      </c>
      <c r="F1828" s="1027">
        <v>426215000</v>
      </c>
      <c r="G1828" s="1026">
        <v>100</v>
      </c>
      <c r="H1828" s="1025">
        <v>100</v>
      </c>
      <c r="I1828" s="852"/>
      <c r="J1828" s="802"/>
    </row>
    <row r="1829" spans="3:10" ht="20.100000000000001" hidden="1" customHeight="1">
      <c r="C1829" s="878"/>
      <c r="D1829" s="406" t="s">
        <v>3437</v>
      </c>
      <c r="E1829" s="1028">
        <v>250000000</v>
      </c>
      <c r="F1829" s="1027">
        <v>250000000</v>
      </c>
      <c r="G1829" s="1026">
        <v>100</v>
      </c>
      <c r="H1829" s="1025">
        <v>100</v>
      </c>
      <c r="I1829" s="852"/>
      <c r="J1829" s="802"/>
    </row>
    <row r="1830" spans="3:10" ht="20.100000000000001" hidden="1" customHeight="1">
      <c r="C1830" s="878"/>
      <c r="D1830" s="406" t="s">
        <v>3436</v>
      </c>
      <c r="E1830" s="1028">
        <f>1067500000+6285000</f>
        <v>1073785000</v>
      </c>
      <c r="F1830" s="1027">
        <v>38000000</v>
      </c>
      <c r="G1830" s="1026">
        <v>3.5388834822613466</v>
      </c>
      <c r="H1830" s="1025">
        <v>5</v>
      </c>
      <c r="I1830" s="852"/>
      <c r="J1830" s="802"/>
    </row>
    <row r="1831" spans="3:10" ht="15" hidden="1" customHeight="1">
      <c r="C1831" s="878"/>
      <c r="D1831" s="406"/>
      <c r="E1831" s="1028"/>
      <c r="F1831" s="1027"/>
      <c r="G1831" s="1026"/>
      <c r="H1831" s="1025"/>
      <c r="I1831" s="852"/>
      <c r="J1831" s="802"/>
    </row>
    <row r="1832" spans="3:10" ht="20.100000000000001" hidden="1" customHeight="1">
      <c r="C1832" s="878"/>
      <c r="D1832" s="404" t="s">
        <v>1567</v>
      </c>
      <c r="E1832" s="1027">
        <f>E1833+E1836+E1838+E1840+E1842</f>
        <v>7165577500</v>
      </c>
      <c r="F1832" s="1027">
        <v>7123326524</v>
      </c>
      <c r="G1832" s="1030">
        <v>99.410361886393659</v>
      </c>
      <c r="H1832" s="1029">
        <v>100</v>
      </c>
      <c r="I1832" s="852"/>
      <c r="J1832" s="802"/>
    </row>
    <row r="1833" spans="3:10" ht="20.100000000000001" hidden="1" customHeight="1">
      <c r="C1833" s="878"/>
      <c r="D1833" s="404" t="s">
        <v>286</v>
      </c>
      <c r="E1833" s="1027">
        <f>SUM(E1834:E1835)</f>
        <v>1662950000</v>
      </c>
      <c r="F1833" s="1027">
        <v>1655903000</v>
      </c>
      <c r="G1833" s="1030">
        <v>99.576235004059058</v>
      </c>
      <c r="H1833" s="1029">
        <v>100</v>
      </c>
      <c r="I1833" s="852"/>
      <c r="J1833" s="802"/>
    </row>
    <row r="1834" spans="3:10" ht="20.100000000000001" hidden="1" customHeight="1">
      <c r="C1834" s="878"/>
      <c r="D1834" s="406" t="s">
        <v>1568</v>
      </c>
      <c r="E1834" s="1028">
        <v>469750000</v>
      </c>
      <c r="F1834" s="1027">
        <v>465203000</v>
      </c>
      <c r="G1834" s="1026">
        <v>99.032038318254394</v>
      </c>
      <c r="H1834" s="1025">
        <v>100</v>
      </c>
      <c r="I1834" s="852"/>
      <c r="J1834" s="802"/>
    </row>
    <row r="1835" spans="3:10" ht="20.100000000000001" hidden="1" customHeight="1">
      <c r="C1835" s="878"/>
      <c r="D1835" s="406" t="s">
        <v>3435</v>
      </c>
      <c r="E1835" s="1028">
        <v>1193200000</v>
      </c>
      <c r="F1835" s="1027">
        <v>1190700000</v>
      </c>
      <c r="G1835" s="1026">
        <v>99.790479383171302</v>
      </c>
      <c r="H1835" s="1025">
        <v>100</v>
      </c>
      <c r="I1835" s="852"/>
      <c r="J1835" s="802"/>
    </row>
    <row r="1836" spans="3:10" ht="20.100000000000001" hidden="1" customHeight="1">
      <c r="C1836" s="878"/>
      <c r="D1836" s="404" t="s">
        <v>1839</v>
      </c>
      <c r="E1836" s="1027">
        <f>E1837</f>
        <v>337050000</v>
      </c>
      <c r="F1836" s="1027">
        <v>335255000</v>
      </c>
      <c r="G1836" s="1030">
        <v>99.467438065568899</v>
      </c>
      <c r="H1836" s="1029">
        <v>100</v>
      </c>
      <c r="I1836" s="852"/>
      <c r="J1836" s="802"/>
    </row>
    <row r="1837" spans="3:10" ht="20.100000000000001" hidden="1" customHeight="1">
      <c r="C1837" s="878"/>
      <c r="D1837" s="406" t="s">
        <v>3434</v>
      </c>
      <c r="E1837" s="1028">
        <v>337050000</v>
      </c>
      <c r="F1837" s="1027">
        <v>335255000</v>
      </c>
      <c r="G1837" s="1026">
        <v>99.467438065568899</v>
      </c>
      <c r="H1837" s="1025">
        <v>100</v>
      </c>
      <c r="I1837" s="852"/>
      <c r="J1837" s="802"/>
    </row>
    <row r="1838" spans="3:10" ht="20.100000000000001" hidden="1" customHeight="1">
      <c r="C1838" s="878"/>
      <c r="D1838" s="404" t="s">
        <v>912</v>
      </c>
      <c r="E1838" s="1027">
        <f>SUM(E1839:E1839)</f>
        <v>1715577500</v>
      </c>
      <c r="F1838" s="1027">
        <v>1715577500</v>
      </c>
      <c r="G1838" s="1030">
        <v>100</v>
      </c>
      <c r="H1838" s="1029">
        <v>100</v>
      </c>
      <c r="I1838" s="852"/>
      <c r="J1838" s="802"/>
    </row>
    <row r="1839" spans="3:10" ht="20.100000000000001" hidden="1" customHeight="1">
      <c r="C1839" s="878"/>
      <c r="D1839" s="406" t="s">
        <v>1570</v>
      </c>
      <c r="E1839" s="1028">
        <v>1715577500</v>
      </c>
      <c r="F1839" s="1027">
        <v>1715577500</v>
      </c>
      <c r="G1839" s="1026">
        <v>100</v>
      </c>
      <c r="H1839" s="1025">
        <v>100</v>
      </c>
      <c r="I1839" s="852"/>
      <c r="J1839" s="802"/>
    </row>
    <row r="1840" spans="3:10" ht="20.100000000000001" hidden="1" customHeight="1">
      <c r="C1840" s="878"/>
      <c r="D1840" s="404" t="s">
        <v>312</v>
      </c>
      <c r="E1840" s="1027">
        <f>SUM(E1841:E1841)</f>
        <v>2200000000</v>
      </c>
      <c r="F1840" s="1027">
        <v>2172060000</v>
      </c>
      <c r="G1840" s="1030">
        <v>98.72999999999999</v>
      </c>
      <c r="H1840" s="1029">
        <v>100</v>
      </c>
      <c r="I1840" s="852"/>
      <c r="J1840" s="802"/>
    </row>
    <row r="1841" spans="3:10" ht="20.100000000000001" hidden="1" customHeight="1">
      <c r="C1841" s="878"/>
      <c r="D1841" s="406" t="s">
        <v>3433</v>
      </c>
      <c r="E1841" s="1028">
        <v>2200000000</v>
      </c>
      <c r="F1841" s="1027">
        <v>2172060000</v>
      </c>
      <c r="G1841" s="1026">
        <v>98.72999999999999</v>
      </c>
      <c r="H1841" s="1025">
        <v>100</v>
      </c>
      <c r="I1841" s="852"/>
      <c r="J1841" s="802"/>
    </row>
    <row r="1842" spans="3:10" ht="20.100000000000001" hidden="1" customHeight="1">
      <c r="C1842" s="878"/>
      <c r="D1842" s="404" t="s">
        <v>321</v>
      </c>
      <c r="E1842" s="1027">
        <f>SUM(E1843:E1843)</f>
        <v>1250000000</v>
      </c>
      <c r="F1842" s="1027">
        <v>1244531024</v>
      </c>
      <c r="G1842" s="1030">
        <v>99.562481919999996</v>
      </c>
      <c r="H1842" s="1029">
        <v>100</v>
      </c>
      <c r="I1842" s="852"/>
      <c r="J1842" s="802"/>
    </row>
    <row r="1843" spans="3:10" ht="20.100000000000001" hidden="1" customHeight="1">
      <c r="C1843" s="878"/>
      <c r="D1843" s="406" t="s">
        <v>3432</v>
      </c>
      <c r="E1843" s="1028">
        <v>1250000000</v>
      </c>
      <c r="F1843" s="1027">
        <v>1244531024</v>
      </c>
      <c r="G1843" s="1026">
        <v>99.562481919999996</v>
      </c>
      <c r="H1843" s="1025">
        <v>100</v>
      </c>
      <c r="I1843" s="852"/>
      <c r="J1843" s="802"/>
    </row>
    <row r="1844" spans="3:10" ht="15" hidden="1" customHeight="1">
      <c r="C1844" s="878"/>
      <c r="D1844" s="406"/>
      <c r="E1844" s="1028"/>
      <c r="F1844" s="1027"/>
      <c r="G1844" s="1026"/>
      <c r="H1844" s="1025"/>
      <c r="I1844" s="852"/>
      <c r="J1844" s="802"/>
    </row>
    <row r="1845" spans="3:10" ht="35.1" hidden="1" customHeight="1">
      <c r="C1845" s="878"/>
      <c r="D1845" s="404" t="s">
        <v>1575</v>
      </c>
      <c r="E1845" s="1027">
        <f>E1846+E1848+E1850+E1852</f>
        <v>6150000000</v>
      </c>
      <c r="F1845" s="1027">
        <v>5981500000</v>
      </c>
      <c r="G1845" s="1030">
        <v>97.260162601626021</v>
      </c>
      <c r="H1845" s="1029">
        <v>100</v>
      </c>
      <c r="I1845" s="852"/>
      <c r="J1845" s="802"/>
    </row>
    <row r="1846" spans="3:10" s="656" customFormat="1" ht="35.1" hidden="1" customHeight="1">
      <c r="C1846" s="881"/>
      <c r="D1846" s="404" t="s">
        <v>546</v>
      </c>
      <c r="E1846" s="1027">
        <f>SUM(E1847:E1847)</f>
        <v>900000000</v>
      </c>
      <c r="F1846" s="1027">
        <v>897000000</v>
      </c>
      <c r="G1846" s="1030">
        <v>99.666666666666671</v>
      </c>
      <c r="H1846" s="1029">
        <v>100</v>
      </c>
      <c r="I1846" s="863"/>
      <c r="J1846" s="44"/>
    </row>
    <row r="1847" spans="3:10" ht="20.100000000000001" hidden="1" customHeight="1">
      <c r="C1847" s="878"/>
      <c r="D1847" s="406" t="s">
        <v>3431</v>
      </c>
      <c r="E1847" s="1028">
        <v>900000000</v>
      </c>
      <c r="F1847" s="1027">
        <v>897000000</v>
      </c>
      <c r="G1847" s="1030">
        <v>99.666666666666671</v>
      </c>
      <c r="H1847" s="1025">
        <v>100</v>
      </c>
      <c r="I1847" s="852"/>
      <c r="J1847" s="802"/>
    </row>
    <row r="1848" spans="3:10" ht="20.100000000000001" hidden="1" customHeight="1">
      <c r="C1848" s="878"/>
      <c r="D1848" s="404" t="s">
        <v>548</v>
      </c>
      <c r="E1848" s="1027">
        <f>SUM(E1849:E1849)</f>
        <v>1600000000</v>
      </c>
      <c r="F1848" s="1027">
        <v>1586250000</v>
      </c>
      <c r="G1848" s="1030">
        <v>99.140625</v>
      </c>
      <c r="H1848" s="1029">
        <v>100</v>
      </c>
      <c r="I1848" s="852"/>
      <c r="J1848" s="802"/>
    </row>
    <row r="1849" spans="3:10" ht="35.1" hidden="1" customHeight="1">
      <c r="C1849" s="878"/>
      <c r="D1849" s="406" t="s">
        <v>3430</v>
      </c>
      <c r="E1849" s="1028">
        <v>1600000000</v>
      </c>
      <c r="F1849" s="1027">
        <v>1586250000</v>
      </c>
      <c r="G1849" s="1026">
        <v>99.140625</v>
      </c>
      <c r="H1849" s="1025">
        <v>100</v>
      </c>
      <c r="I1849" s="852"/>
      <c r="J1849" s="802"/>
    </row>
    <row r="1850" spans="3:10" ht="20.100000000000001" hidden="1" customHeight="1">
      <c r="C1850" s="878"/>
      <c r="D1850" s="404" t="s">
        <v>1433</v>
      </c>
      <c r="E1850" s="1027">
        <f>E1851</f>
        <v>3000000000</v>
      </c>
      <c r="F1850" s="1027">
        <v>2853250000</v>
      </c>
      <c r="G1850" s="1030">
        <v>95.108333333333334</v>
      </c>
      <c r="H1850" s="1029">
        <v>100</v>
      </c>
      <c r="I1850" s="852"/>
      <c r="J1850" s="802"/>
    </row>
    <row r="1851" spans="3:10" ht="35.1" hidden="1" customHeight="1">
      <c r="C1851" s="878"/>
      <c r="D1851" s="406" t="s">
        <v>1576</v>
      </c>
      <c r="E1851" s="1028">
        <v>3000000000</v>
      </c>
      <c r="F1851" s="1027">
        <v>2853250000</v>
      </c>
      <c r="G1851" s="1026">
        <v>95.108333333333334</v>
      </c>
      <c r="H1851" s="1025">
        <v>100</v>
      </c>
      <c r="I1851" s="852"/>
      <c r="J1851" s="802"/>
    </row>
    <row r="1852" spans="3:10" ht="20.100000000000001" hidden="1" customHeight="1">
      <c r="C1852" s="878"/>
      <c r="D1852" s="404" t="s">
        <v>1577</v>
      </c>
      <c r="E1852" s="1027">
        <f>SUM(E1853:E1853)</f>
        <v>650000000</v>
      </c>
      <c r="F1852" s="1027">
        <v>645000000</v>
      </c>
      <c r="G1852" s="1030">
        <v>99.230769230769226</v>
      </c>
      <c r="H1852" s="1029">
        <v>100</v>
      </c>
      <c r="I1852" s="852"/>
      <c r="J1852" s="802"/>
    </row>
    <row r="1853" spans="3:10" ht="35.1" hidden="1" customHeight="1">
      <c r="C1853" s="878"/>
      <c r="D1853" s="406" t="s">
        <v>3429</v>
      </c>
      <c r="E1853" s="1028">
        <v>650000000</v>
      </c>
      <c r="F1853" s="1027">
        <v>645000000</v>
      </c>
      <c r="G1853" s="1026">
        <v>99.230769230769226</v>
      </c>
      <c r="H1853" s="1025">
        <v>100</v>
      </c>
      <c r="I1853" s="852"/>
      <c r="J1853" s="802"/>
    </row>
    <row r="1854" spans="3:10" ht="20.100000000000001" hidden="1" customHeight="1">
      <c r="C1854" s="878"/>
      <c r="D1854" s="406"/>
      <c r="E1854" s="1028"/>
      <c r="F1854" s="1027"/>
      <c r="G1854" s="1026"/>
      <c r="H1854" s="1025"/>
      <c r="I1854" s="852"/>
      <c r="J1854" s="802"/>
    </row>
    <row r="1855" spans="3:10" ht="20.100000000000001" hidden="1" customHeight="1">
      <c r="C1855" s="878"/>
      <c r="D1855" s="404" t="s">
        <v>898</v>
      </c>
      <c r="E1855" s="1027">
        <f>E1856</f>
        <v>500000000</v>
      </c>
      <c r="F1855" s="1027">
        <v>500000000</v>
      </c>
      <c r="G1855" s="1030">
        <v>100</v>
      </c>
      <c r="H1855" s="1029">
        <v>100</v>
      </c>
      <c r="I1855" s="852"/>
      <c r="J1855" s="802"/>
    </row>
    <row r="1856" spans="3:10" ht="35.1" hidden="1" customHeight="1">
      <c r="C1856" s="878"/>
      <c r="D1856" s="404" t="s">
        <v>1864</v>
      </c>
      <c r="E1856" s="1027">
        <f>E1857</f>
        <v>500000000</v>
      </c>
      <c r="F1856" s="1027">
        <v>500000000</v>
      </c>
      <c r="G1856" s="1030">
        <v>100</v>
      </c>
      <c r="H1856" s="1029">
        <v>100</v>
      </c>
      <c r="I1856" s="852"/>
      <c r="J1856" s="802"/>
    </row>
    <row r="1857" spans="3:10" s="656" customFormat="1" ht="35.1" hidden="1" customHeight="1">
      <c r="C1857" s="881"/>
      <c r="D1857" s="406" t="s">
        <v>3428</v>
      </c>
      <c r="E1857" s="1028">
        <v>500000000</v>
      </c>
      <c r="F1857" s="1027">
        <v>500000000</v>
      </c>
      <c r="G1857" s="1026">
        <v>100</v>
      </c>
      <c r="H1857" s="1025">
        <v>100</v>
      </c>
      <c r="I1857" s="863"/>
      <c r="J1857" s="44"/>
    </row>
    <row r="1858" spans="3:10" s="656" customFormat="1" ht="15" hidden="1" customHeight="1">
      <c r="C1858" s="881"/>
      <c r="D1858" s="406"/>
      <c r="E1858" s="1028"/>
      <c r="F1858" s="1027"/>
      <c r="G1858" s="1026"/>
      <c r="H1858" s="1025"/>
      <c r="I1858" s="863"/>
      <c r="J1858" s="44"/>
    </row>
    <row r="1859" spans="3:10" ht="20.100000000000001" hidden="1" customHeight="1">
      <c r="C1859" s="878"/>
      <c r="D1859" s="404" t="s">
        <v>1580</v>
      </c>
      <c r="E1859" s="1027">
        <f>E1860</f>
        <v>1635224147</v>
      </c>
      <c r="F1859" s="1027">
        <v>1635223980</v>
      </c>
      <c r="G1859" s="1030">
        <v>99.999989787332808</v>
      </c>
      <c r="H1859" s="1029">
        <v>100</v>
      </c>
      <c r="I1859" s="852"/>
      <c r="J1859" s="802"/>
    </row>
    <row r="1860" spans="3:10" ht="20.100000000000001" hidden="1" customHeight="1">
      <c r="C1860" s="878"/>
      <c r="D1860" s="404" t="s">
        <v>439</v>
      </c>
      <c r="E1860" s="1027">
        <f>SUM(E1861:E1863)</f>
        <v>1635224147</v>
      </c>
      <c r="F1860" s="1027">
        <v>1635223980</v>
      </c>
      <c r="G1860" s="1030">
        <v>99.999989787332808</v>
      </c>
      <c r="H1860" s="1029">
        <v>100</v>
      </c>
      <c r="I1860" s="852"/>
      <c r="J1860" s="802"/>
    </row>
    <row r="1861" spans="3:10" ht="35.1" hidden="1" customHeight="1">
      <c r="C1861" s="878"/>
      <c r="D1861" s="406" t="s">
        <v>1582</v>
      </c>
      <c r="E1861" s="1028">
        <v>277143167</v>
      </c>
      <c r="F1861" s="1027">
        <v>277143000</v>
      </c>
      <c r="G1861" s="1026">
        <v>99.999939742335414</v>
      </c>
      <c r="H1861" s="1025">
        <v>100</v>
      </c>
      <c r="I1861" s="852"/>
      <c r="J1861" s="802"/>
    </row>
    <row r="1862" spans="3:10" ht="35.1" hidden="1" customHeight="1">
      <c r="C1862" s="878"/>
      <c r="D1862" s="406" t="s">
        <v>1583</v>
      </c>
      <c r="E1862" s="1028">
        <v>582880980</v>
      </c>
      <c r="F1862" s="1027">
        <v>582880980</v>
      </c>
      <c r="G1862" s="1026">
        <v>100</v>
      </c>
      <c r="H1862" s="1025">
        <v>100</v>
      </c>
      <c r="I1862" s="852"/>
      <c r="J1862" s="802"/>
    </row>
    <row r="1863" spans="3:10" ht="47.25" hidden="1" customHeight="1">
      <c r="C1863" s="878"/>
      <c r="D1863" s="406" t="s">
        <v>3427</v>
      </c>
      <c r="E1863" s="1028">
        <v>775200000</v>
      </c>
      <c r="F1863" s="1027">
        <v>775200000</v>
      </c>
      <c r="G1863" s="1026">
        <v>100</v>
      </c>
      <c r="H1863" s="1025">
        <v>100</v>
      </c>
      <c r="I1863" s="852"/>
      <c r="J1863" s="802"/>
    </row>
    <row r="1864" spans="3:10" ht="15" hidden="1" customHeight="1">
      <c r="C1864" s="878"/>
      <c r="D1864" s="358"/>
      <c r="E1864" s="125"/>
      <c r="F1864" s="854"/>
      <c r="G1864" s="854"/>
      <c r="H1864" s="876"/>
      <c r="I1864" s="852"/>
      <c r="J1864" s="802"/>
    </row>
    <row r="1865" spans="3:10" s="895" customFormat="1" ht="20.100000000000001" customHeight="1">
      <c r="C1865" s="881" t="s">
        <v>1584</v>
      </c>
      <c r="D1865" s="856" t="s">
        <v>3426</v>
      </c>
      <c r="E1865" s="855">
        <f>+E1866+E1888+E1892+E1922+E1931+E1939+E1942+E1946+E1954+E1958+E1962+E1966+E1972+E1978+E1982+E1992+E1996</f>
        <v>44404979591.989998</v>
      </c>
      <c r="F1865" s="855">
        <f>+F1866+F1888+F1892+F1922+F1931+F1939+F1942+F1946+F1954+F1958+F1962+F1966+F1972+F1978+F1982+F1992+F1996</f>
        <v>36914939076</v>
      </c>
      <c r="G1865" s="855">
        <f t="shared" ref="G1865:G1886" si="82">+F1865/E1865*100</f>
        <v>83.132431126393101</v>
      </c>
      <c r="H1865" s="887">
        <f>(H1866+H1888+H1892+H1922+H1931+H1939+H1946+H1954+H1958+H1962+H1966+H1972+H1978+H1982+H1992+H1996)/16</f>
        <v>86.153546925941058</v>
      </c>
      <c r="I1865" s="863"/>
      <c r="J1865" s="44"/>
    </row>
    <row r="1866" spans="3:10" s="2" customFormat="1" ht="20.100000000000001" hidden="1" customHeight="1">
      <c r="C1866" s="878"/>
      <c r="D1866" s="968" t="s">
        <v>1586</v>
      </c>
      <c r="E1866" s="1021">
        <f>E1867+E1870+E1878+E1882+E1885</f>
        <v>18590282918.989998</v>
      </c>
      <c r="F1866" s="1015">
        <f>F1867+F1870+F1878+F1882+F1885</f>
        <v>17469324446</v>
      </c>
      <c r="G1866" s="855">
        <f t="shared" si="82"/>
        <v>93.970191428098502</v>
      </c>
      <c r="H1866" s="887">
        <f>(H1867+H1870+H1878+H1882+H1885)/5</f>
        <v>95.238095238095241</v>
      </c>
      <c r="I1866" s="852"/>
      <c r="J1866" s="802"/>
    </row>
    <row r="1867" spans="3:10" s="2" customFormat="1" ht="20.100000000000001" hidden="1" customHeight="1">
      <c r="C1867" s="878"/>
      <c r="D1867" s="889" t="s">
        <v>1587</v>
      </c>
      <c r="E1867" s="1021">
        <f>SUM(E1868:E1869)</f>
        <v>778500000</v>
      </c>
      <c r="F1867" s="1015">
        <f>F1868+F1869</f>
        <v>701400000</v>
      </c>
      <c r="G1867" s="855">
        <f t="shared" si="82"/>
        <v>90.096339113680159</v>
      </c>
      <c r="H1867" s="887">
        <v>95</v>
      </c>
      <c r="I1867" s="852"/>
      <c r="J1867" s="802"/>
    </row>
    <row r="1868" spans="3:10" s="2" customFormat="1" ht="20.100000000000001" hidden="1" customHeight="1">
      <c r="C1868" s="878"/>
      <c r="D1868" s="808" t="s">
        <v>3425</v>
      </c>
      <c r="E1868" s="1020">
        <v>36000000</v>
      </c>
      <c r="F1868" s="1017">
        <v>36000000</v>
      </c>
      <c r="G1868" s="855">
        <f t="shared" si="82"/>
        <v>100</v>
      </c>
      <c r="H1868" s="887">
        <f>+G1868</f>
        <v>100</v>
      </c>
      <c r="I1868" s="852"/>
      <c r="J1868" s="802"/>
    </row>
    <row r="1869" spans="3:10" s="2" customFormat="1" ht="20.100000000000001" hidden="1" customHeight="1">
      <c r="C1869" s="878"/>
      <c r="D1869" s="808" t="s">
        <v>1590</v>
      </c>
      <c r="E1869" s="1020">
        <v>742500000</v>
      </c>
      <c r="F1869" s="1017">
        <v>665400000</v>
      </c>
      <c r="G1869" s="855">
        <f t="shared" si="82"/>
        <v>89.616161616161619</v>
      </c>
      <c r="H1869" s="887">
        <v>90</v>
      </c>
      <c r="I1869" s="852"/>
      <c r="J1869" s="802"/>
    </row>
    <row r="1870" spans="3:10" s="2" customFormat="1" ht="20.100000000000001" hidden="1" customHeight="1">
      <c r="C1870" s="878"/>
      <c r="D1870" s="889" t="s">
        <v>394</v>
      </c>
      <c r="E1870" s="1013">
        <f>SUM(E1871:E1877)</f>
        <v>14675683480.99</v>
      </c>
      <c r="F1870" s="1015">
        <f>F1871+F1872+F1874+F1875+F1876+F1877</f>
        <v>13723525008</v>
      </c>
      <c r="G1870" s="855">
        <f t="shared" si="82"/>
        <v>93.511999122743632</v>
      </c>
      <c r="H1870" s="887">
        <f>SUM((H1871:H1877))/7</f>
        <v>82.857142857142861</v>
      </c>
      <c r="I1870" s="852"/>
      <c r="J1870" s="802"/>
    </row>
    <row r="1871" spans="3:10" s="2" customFormat="1" ht="20.100000000000001" hidden="1" customHeight="1">
      <c r="C1871" s="878"/>
      <c r="D1871" s="808" t="s">
        <v>1592</v>
      </c>
      <c r="E1871" s="1020">
        <v>6582500000</v>
      </c>
      <c r="F1871" s="1017">
        <v>6133600000</v>
      </c>
      <c r="G1871" s="855">
        <f t="shared" si="82"/>
        <v>93.180402582605396</v>
      </c>
      <c r="H1871" s="887">
        <v>95</v>
      </c>
      <c r="I1871" s="852"/>
      <c r="J1871" s="802"/>
    </row>
    <row r="1872" spans="3:10" s="2" customFormat="1" ht="20.100000000000001" hidden="1" customHeight="1">
      <c r="C1872" s="878"/>
      <c r="D1872" s="808" t="s">
        <v>1593</v>
      </c>
      <c r="E1872" s="1020">
        <v>3240000000</v>
      </c>
      <c r="F1872" s="1017">
        <v>2979000000</v>
      </c>
      <c r="G1872" s="855">
        <f t="shared" si="82"/>
        <v>91.944444444444443</v>
      </c>
      <c r="H1872" s="887">
        <v>95</v>
      </c>
      <c r="I1872" s="852"/>
      <c r="J1872" s="802"/>
    </row>
    <row r="1873" spans="3:10" s="2" customFormat="1" ht="35.1" hidden="1" customHeight="1">
      <c r="C1873" s="878"/>
      <c r="D1873" s="808" t="s">
        <v>3424</v>
      </c>
      <c r="E1873" s="1020">
        <v>84075000</v>
      </c>
      <c r="F1873" s="1017"/>
      <c r="G1873" s="855">
        <f t="shared" si="82"/>
        <v>0</v>
      </c>
      <c r="H1873" s="887">
        <f>+G1873</f>
        <v>0</v>
      </c>
      <c r="I1873" s="852"/>
      <c r="J1873" s="802"/>
    </row>
    <row r="1874" spans="3:10" s="2" customFormat="1" ht="20.100000000000001" hidden="1" customHeight="1">
      <c r="C1874" s="878"/>
      <c r="D1874" s="808" t="s">
        <v>3423</v>
      </c>
      <c r="E1874" s="1020">
        <v>1620000000</v>
      </c>
      <c r="F1874" s="1017">
        <v>1464000000</v>
      </c>
      <c r="G1874" s="855">
        <f t="shared" si="82"/>
        <v>90.370370370370367</v>
      </c>
      <c r="H1874" s="887">
        <v>90</v>
      </c>
      <c r="I1874" s="852"/>
      <c r="J1874" s="802"/>
    </row>
    <row r="1875" spans="3:10" s="2" customFormat="1" ht="35.1" hidden="1" customHeight="1">
      <c r="C1875" s="878"/>
      <c r="D1875" s="808" t="s">
        <v>1594</v>
      </c>
      <c r="E1875" s="1024">
        <v>1813183472.99</v>
      </c>
      <c r="F1875" s="1017">
        <v>1811000000</v>
      </c>
      <c r="G1875" s="855">
        <f t="shared" si="82"/>
        <v>99.879577934471271</v>
      </c>
      <c r="H1875" s="887">
        <v>100</v>
      </c>
      <c r="I1875" s="852"/>
      <c r="J1875" s="802"/>
    </row>
    <row r="1876" spans="3:10" s="2" customFormat="1" ht="35.1" hidden="1" customHeight="1">
      <c r="C1876" s="878"/>
      <c r="D1876" s="808" t="s">
        <v>3422</v>
      </c>
      <c r="E1876" s="1020">
        <v>714925000</v>
      </c>
      <c r="F1876" s="1017">
        <v>714925000</v>
      </c>
      <c r="G1876" s="855">
        <f t="shared" si="82"/>
        <v>100</v>
      </c>
      <c r="H1876" s="887">
        <f>+G1876</f>
        <v>100</v>
      </c>
      <c r="I1876" s="852"/>
      <c r="J1876" s="802"/>
    </row>
    <row r="1877" spans="3:10" s="2" customFormat="1" ht="35.1" hidden="1" customHeight="1">
      <c r="C1877" s="878"/>
      <c r="D1877" s="808" t="s">
        <v>3421</v>
      </c>
      <c r="E1877" s="1020">
        <v>621000008</v>
      </c>
      <c r="F1877" s="1017">
        <v>621000008</v>
      </c>
      <c r="G1877" s="855">
        <f t="shared" si="82"/>
        <v>100</v>
      </c>
      <c r="H1877" s="887">
        <f>+G1877</f>
        <v>100</v>
      </c>
      <c r="I1877" s="852"/>
      <c r="J1877" s="802"/>
    </row>
    <row r="1878" spans="3:10" s="2" customFormat="1" ht="20.100000000000001" hidden="1" customHeight="1">
      <c r="C1878" s="878"/>
      <c r="D1878" s="889" t="s">
        <v>3420</v>
      </c>
      <c r="E1878" s="1006">
        <f>SUM(E1879:E1881)</f>
        <v>2408360000</v>
      </c>
      <c r="F1878" s="1015">
        <f>F1879+F1880+F1881</f>
        <v>2316660000</v>
      </c>
      <c r="G1878" s="855">
        <f t="shared" si="82"/>
        <v>96.192429703200517</v>
      </c>
      <c r="H1878" s="887">
        <f>SUM((H1879:H1881))/3</f>
        <v>98.333333333333329</v>
      </c>
      <c r="I1878" s="852"/>
      <c r="J1878" s="802"/>
    </row>
    <row r="1879" spans="3:10" s="2" customFormat="1" ht="20.100000000000001" hidden="1" customHeight="1">
      <c r="C1879" s="878"/>
      <c r="D1879" s="808" t="s">
        <v>1596</v>
      </c>
      <c r="E1879" s="1020">
        <v>1954600000</v>
      </c>
      <c r="F1879" s="1017">
        <v>1862900000</v>
      </c>
      <c r="G1879" s="855">
        <f t="shared" si="82"/>
        <v>95.308503018520412</v>
      </c>
      <c r="H1879" s="887">
        <v>95</v>
      </c>
      <c r="I1879" s="852"/>
      <c r="J1879" s="802"/>
    </row>
    <row r="1880" spans="3:10" s="2" customFormat="1" ht="35.1" hidden="1" customHeight="1">
      <c r="C1880" s="878"/>
      <c r="D1880" s="808" t="s">
        <v>3419</v>
      </c>
      <c r="E1880" s="1020">
        <v>356260000</v>
      </c>
      <c r="F1880" s="1017">
        <v>356260000</v>
      </c>
      <c r="G1880" s="855">
        <f t="shared" si="82"/>
        <v>100</v>
      </c>
      <c r="H1880" s="887">
        <f t="shared" ref="H1880:H1886" si="83">+G1880</f>
        <v>100</v>
      </c>
      <c r="I1880" s="852"/>
      <c r="J1880" s="802"/>
    </row>
    <row r="1881" spans="3:10" s="2" customFormat="1" ht="35.1" hidden="1" customHeight="1">
      <c r="C1881" s="878"/>
      <c r="D1881" s="808" t="s">
        <v>3418</v>
      </c>
      <c r="E1881" s="1020">
        <v>97500000</v>
      </c>
      <c r="F1881" s="1017">
        <v>97500000</v>
      </c>
      <c r="G1881" s="855">
        <f t="shared" si="82"/>
        <v>100</v>
      </c>
      <c r="H1881" s="887">
        <f t="shared" si="83"/>
        <v>100</v>
      </c>
      <c r="I1881" s="852"/>
      <c r="J1881" s="802"/>
    </row>
    <row r="1882" spans="3:10" s="2" customFormat="1" ht="20.100000000000001" hidden="1" customHeight="1">
      <c r="C1882" s="878"/>
      <c r="D1882" s="889" t="s">
        <v>2759</v>
      </c>
      <c r="E1882" s="1013">
        <f>SUM(E1883:E1884)</f>
        <v>457404000</v>
      </c>
      <c r="F1882" s="1015">
        <f>F1883+F1884</f>
        <v>457404000</v>
      </c>
      <c r="G1882" s="855">
        <f t="shared" si="82"/>
        <v>100</v>
      </c>
      <c r="H1882" s="887">
        <f t="shared" si="83"/>
        <v>100</v>
      </c>
      <c r="I1882" s="852"/>
      <c r="J1882" s="802"/>
    </row>
    <row r="1883" spans="3:10" s="2" customFormat="1" ht="35.1" hidden="1" customHeight="1">
      <c r="C1883" s="878"/>
      <c r="D1883" s="808" t="s">
        <v>3077</v>
      </c>
      <c r="E1883" s="1020">
        <v>131400000</v>
      </c>
      <c r="F1883" s="1017">
        <v>131400000</v>
      </c>
      <c r="G1883" s="855">
        <f t="shared" si="82"/>
        <v>100</v>
      </c>
      <c r="H1883" s="887">
        <f t="shared" si="83"/>
        <v>100</v>
      </c>
      <c r="I1883" s="852"/>
      <c r="J1883" s="802"/>
    </row>
    <row r="1884" spans="3:10" s="2" customFormat="1" ht="35.1" hidden="1" customHeight="1">
      <c r="C1884" s="878"/>
      <c r="D1884" s="808" t="s">
        <v>1598</v>
      </c>
      <c r="E1884" s="1020">
        <v>326004000</v>
      </c>
      <c r="F1884" s="1023">
        <v>326004000</v>
      </c>
      <c r="G1884" s="855">
        <f t="shared" si="82"/>
        <v>100</v>
      </c>
      <c r="H1884" s="887">
        <f t="shared" si="83"/>
        <v>100</v>
      </c>
      <c r="I1884" s="852"/>
      <c r="J1884" s="802"/>
    </row>
    <row r="1885" spans="3:10" s="2" customFormat="1" ht="20.100000000000001" hidden="1" customHeight="1">
      <c r="C1885" s="878"/>
      <c r="D1885" s="890" t="s">
        <v>3096</v>
      </c>
      <c r="E1885" s="1007">
        <f>SUM(E1886:E1886)</f>
        <v>270335438</v>
      </c>
      <c r="F1885" s="1015">
        <f>F1886</f>
        <v>270335438</v>
      </c>
      <c r="G1885" s="855">
        <f t="shared" si="82"/>
        <v>100</v>
      </c>
      <c r="H1885" s="887">
        <f t="shared" si="83"/>
        <v>100</v>
      </c>
      <c r="I1885" s="852"/>
      <c r="J1885" s="802"/>
    </row>
    <row r="1886" spans="3:10" s="2" customFormat="1" ht="20.100000000000001" hidden="1" customHeight="1">
      <c r="C1886" s="878"/>
      <c r="D1886" s="808" t="s">
        <v>3417</v>
      </c>
      <c r="E1886" s="1020">
        <v>270335438</v>
      </c>
      <c r="F1886" s="1022">
        <v>270335438</v>
      </c>
      <c r="G1886" s="855">
        <f t="shared" si="82"/>
        <v>100</v>
      </c>
      <c r="H1886" s="887">
        <f t="shared" si="83"/>
        <v>100</v>
      </c>
      <c r="I1886" s="852"/>
      <c r="J1886" s="802"/>
    </row>
    <row r="1887" spans="3:10" s="2" customFormat="1" ht="15" hidden="1" customHeight="1">
      <c r="C1887" s="878"/>
      <c r="D1887" s="808"/>
      <c r="E1887" s="1020"/>
      <c r="F1887" s="1022"/>
      <c r="G1887" s="855"/>
      <c r="H1887" s="887"/>
      <c r="I1887" s="852"/>
      <c r="J1887" s="802"/>
    </row>
    <row r="1888" spans="3:10" s="2" customFormat="1" ht="20.100000000000001" hidden="1" customHeight="1">
      <c r="C1888" s="878"/>
      <c r="D1888" s="890" t="s">
        <v>1599</v>
      </c>
      <c r="E1888" s="1006">
        <f>SUM(E1889:E1890)</f>
        <v>2552500000</v>
      </c>
      <c r="F1888" s="1015">
        <f>F1889+F1890</f>
        <v>1795000000</v>
      </c>
      <c r="G1888" s="855">
        <f>+F1888/E1888*100</f>
        <v>70.32321253672869</v>
      </c>
      <c r="H1888" s="887">
        <v>50</v>
      </c>
      <c r="I1888" s="852"/>
      <c r="J1888" s="802"/>
    </row>
    <row r="1889" spans="3:10" s="2" customFormat="1" ht="20.100000000000001" hidden="1" customHeight="1">
      <c r="C1889" s="878"/>
      <c r="D1889" s="808" t="s">
        <v>1600</v>
      </c>
      <c r="E1889" s="1004">
        <v>1890000000</v>
      </c>
      <c r="F1889" s="1017">
        <v>1770000000</v>
      </c>
      <c r="G1889" s="855">
        <f>+F1889/E1889*100</f>
        <v>93.650793650793645</v>
      </c>
      <c r="H1889" s="887">
        <v>95</v>
      </c>
      <c r="I1889" s="852"/>
      <c r="J1889" s="802"/>
    </row>
    <row r="1890" spans="3:10" s="2" customFormat="1" ht="20.100000000000001" hidden="1" customHeight="1">
      <c r="C1890" s="878"/>
      <c r="D1890" s="808" t="s">
        <v>3416</v>
      </c>
      <c r="E1890" s="1004">
        <v>662500000</v>
      </c>
      <c r="F1890" s="1017">
        <v>25000000</v>
      </c>
      <c r="G1890" s="855">
        <f>+F1890/E1890*100</f>
        <v>3.7735849056603774</v>
      </c>
      <c r="H1890" s="887">
        <v>5</v>
      </c>
      <c r="I1890" s="852"/>
      <c r="J1890" s="802"/>
    </row>
    <row r="1891" spans="3:10" s="2" customFormat="1" ht="15" hidden="1" customHeight="1">
      <c r="C1891" s="878"/>
      <c r="D1891" s="808"/>
      <c r="E1891" s="1004"/>
      <c r="F1891" s="1017"/>
      <c r="G1891" s="855"/>
      <c r="H1891" s="887"/>
      <c r="I1891" s="852"/>
      <c r="J1891" s="802"/>
    </row>
    <row r="1892" spans="3:10" s="2" customFormat="1" ht="20.100000000000001" hidden="1" customHeight="1">
      <c r="C1892" s="878"/>
      <c r="D1892" s="890" t="s">
        <v>65</v>
      </c>
      <c r="E1892" s="1006">
        <f>E1893+E1895+E1899+E1901+E1908+E1910+E1912+E1914+E1916+E1919</f>
        <v>8800000000</v>
      </c>
      <c r="F1892" s="1015">
        <f>F1893+F1895+F1899+F1901+F1908+F1910+F1912+F1914+F1916+F1919</f>
        <v>6628226000</v>
      </c>
      <c r="G1892" s="855">
        <f t="shared" ref="G1892:G1920" si="84">+F1892/E1892*100</f>
        <v>75.320750000000004</v>
      </c>
      <c r="H1892" s="887">
        <f>(H1893+H1895+H1899+H1901+H1908+H1910+H1912+H1914+H1916+H1919)/10</f>
        <v>96.666666666666671</v>
      </c>
      <c r="I1892" s="852"/>
      <c r="J1892" s="802"/>
    </row>
    <row r="1893" spans="3:10" s="2" customFormat="1" ht="20.100000000000001" hidden="1" customHeight="1">
      <c r="C1893" s="878"/>
      <c r="D1893" s="889" t="s">
        <v>162</v>
      </c>
      <c r="E1893" s="1013">
        <f>E1894</f>
        <v>1740000000</v>
      </c>
      <c r="F1893" s="1015">
        <f>F1894</f>
        <v>1739486400</v>
      </c>
      <c r="G1893" s="855">
        <f t="shared" si="84"/>
        <v>99.97048275862069</v>
      </c>
      <c r="H1893" s="887">
        <v>100</v>
      </c>
      <c r="I1893" s="852"/>
      <c r="J1893" s="802"/>
    </row>
    <row r="1894" spans="3:10" s="2" customFormat="1" ht="20.100000000000001" hidden="1" customHeight="1">
      <c r="C1894" s="878"/>
      <c r="D1894" s="808" t="s">
        <v>1504</v>
      </c>
      <c r="E1894" s="1020">
        <v>1740000000</v>
      </c>
      <c r="F1894" s="1017">
        <v>1739486400</v>
      </c>
      <c r="G1894" s="855">
        <f t="shared" si="84"/>
        <v>99.97048275862069</v>
      </c>
      <c r="H1894" s="887">
        <v>100</v>
      </c>
      <c r="I1894" s="852"/>
      <c r="J1894" s="802"/>
    </row>
    <row r="1895" spans="3:10" s="2" customFormat="1" ht="20.100000000000001" hidden="1" customHeight="1">
      <c r="C1895" s="878"/>
      <c r="D1895" s="889" t="s">
        <v>3415</v>
      </c>
      <c r="E1895" s="1013">
        <f>SUM(E1896:E1898)</f>
        <v>3520000000</v>
      </c>
      <c r="F1895" s="1015">
        <f>F1896+F1897+F1898</f>
        <v>1362630000</v>
      </c>
      <c r="G1895" s="855">
        <f t="shared" si="84"/>
        <v>38.711079545454545</v>
      </c>
      <c r="H1895" s="887">
        <f>SUM((H1896:H1898))/3</f>
        <v>76.666666666666671</v>
      </c>
      <c r="I1895" s="852"/>
      <c r="J1895" s="802"/>
    </row>
    <row r="1896" spans="3:10" s="2" customFormat="1" ht="20.100000000000001" hidden="1" customHeight="1">
      <c r="C1896" s="878"/>
      <c r="D1896" s="808" t="s">
        <v>2346</v>
      </c>
      <c r="E1896" s="1020">
        <v>2875350000</v>
      </c>
      <c r="F1896" s="1017">
        <v>729280000</v>
      </c>
      <c r="G1896" s="855">
        <f t="shared" si="84"/>
        <v>25.363173178917346</v>
      </c>
      <c r="H1896" s="887">
        <v>30</v>
      </c>
      <c r="I1896" s="852"/>
      <c r="J1896" s="802"/>
    </row>
    <row r="1897" spans="3:10" s="2" customFormat="1" ht="20.100000000000001" hidden="1" customHeight="1">
      <c r="C1897" s="878"/>
      <c r="D1897" s="808" t="s">
        <v>414</v>
      </c>
      <c r="E1897" s="1020">
        <v>244650000</v>
      </c>
      <c r="F1897" s="1017">
        <v>244650000</v>
      </c>
      <c r="G1897" s="855">
        <f t="shared" si="84"/>
        <v>100</v>
      </c>
      <c r="H1897" s="887">
        <f>+G1897</f>
        <v>100</v>
      </c>
      <c r="I1897" s="852"/>
      <c r="J1897" s="802"/>
    </row>
    <row r="1898" spans="3:10" s="2" customFormat="1" ht="20.100000000000001" hidden="1" customHeight="1">
      <c r="C1898" s="878"/>
      <c r="D1898" s="808" t="s">
        <v>3414</v>
      </c>
      <c r="E1898" s="1020">
        <v>400000000</v>
      </c>
      <c r="F1898" s="1017">
        <v>388700000</v>
      </c>
      <c r="G1898" s="855">
        <f t="shared" si="84"/>
        <v>97.174999999999997</v>
      </c>
      <c r="H1898" s="887">
        <v>100</v>
      </c>
      <c r="I1898" s="852"/>
      <c r="J1898" s="802"/>
    </row>
    <row r="1899" spans="3:10" s="2" customFormat="1" ht="20.100000000000001" hidden="1" customHeight="1">
      <c r="C1899" s="878"/>
      <c r="D1899" s="890" t="s">
        <v>190</v>
      </c>
      <c r="E1899" s="1021">
        <f>E1900</f>
        <v>400000000</v>
      </c>
      <c r="F1899" s="1015">
        <f>SUM(F1900)</f>
        <v>400000000</v>
      </c>
      <c r="G1899" s="855">
        <f t="shared" si="84"/>
        <v>100</v>
      </c>
      <c r="H1899" s="887">
        <f t="shared" ref="H1899:H1909" si="85">+G1899</f>
        <v>100</v>
      </c>
      <c r="I1899" s="852"/>
      <c r="J1899" s="802"/>
    </row>
    <row r="1900" spans="3:10" s="2" customFormat="1" ht="20.100000000000001" hidden="1" customHeight="1">
      <c r="C1900" s="878"/>
      <c r="D1900" s="808" t="s">
        <v>1605</v>
      </c>
      <c r="E1900" s="1020">
        <v>400000000</v>
      </c>
      <c r="F1900" s="1017">
        <v>400000000</v>
      </c>
      <c r="G1900" s="855">
        <f t="shared" si="84"/>
        <v>100</v>
      </c>
      <c r="H1900" s="887">
        <f t="shared" si="85"/>
        <v>100</v>
      </c>
      <c r="I1900" s="852"/>
      <c r="J1900" s="802"/>
    </row>
    <row r="1901" spans="3:10" s="2" customFormat="1" ht="20.100000000000001" hidden="1" customHeight="1">
      <c r="C1901" s="878"/>
      <c r="D1901" s="889" t="s">
        <v>3413</v>
      </c>
      <c r="E1901" s="1006">
        <f>E1902+E1903+E1904+E1905+E1906+E1907</f>
        <v>900000000</v>
      </c>
      <c r="F1901" s="1015">
        <f>SUM(F1902:F1907)</f>
        <v>900000000</v>
      </c>
      <c r="G1901" s="855">
        <f t="shared" si="84"/>
        <v>100</v>
      </c>
      <c r="H1901" s="887">
        <f t="shared" si="85"/>
        <v>100</v>
      </c>
      <c r="I1901" s="852"/>
      <c r="J1901" s="802"/>
    </row>
    <row r="1902" spans="3:10" s="2" customFormat="1" ht="20.100000000000001" hidden="1" customHeight="1">
      <c r="C1902" s="878"/>
      <c r="D1902" s="808" t="s">
        <v>3412</v>
      </c>
      <c r="E1902" s="1019">
        <v>300000000</v>
      </c>
      <c r="F1902" s="1017">
        <v>300000000</v>
      </c>
      <c r="G1902" s="855">
        <f t="shared" si="84"/>
        <v>100</v>
      </c>
      <c r="H1902" s="887">
        <f t="shared" si="85"/>
        <v>100</v>
      </c>
      <c r="I1902" s="852"/>
      <c r="J1902" s="802"/>
    </row>
    <row r="1903" spans="3:10" s="2" customFormat="1" ht="20.100000000000001" hidden="1" customHeight="1">
      <c r="C1903" s="878"/>
      <c r="D1903" s="808" t="s">
        <v>3411</v>
      </c>
      <c r="E1903" s="1019">
        <v>200000000</v>
      </c>
      <c r="F1903" s="1017">
        <v>200000000</v>
      </c>
      <c r="G1903" s="855">
        <f t="shared" si="84"/>
        <v>100</v>
      </c>
      <c r="H1903" s="887">
        <f t="shared" si="85"/>
        <v>100</v>
      </c>
      <c r="I1903" s="852"/>
      <c r="J1903" s="802"/>
    </row>
    <row r="1904" spans="3:10" s="2" customFormat="1" ht="20.100000000000001" hidden="1" customHeight="1">
      <c r="C1904" s="878"/>
      <c r="D1904" s="808" t="s">
        <v>3410</v>
      </c>
      <c r="E1904" s="1019">
        <v>100000000</v>
      </c>
      <c r="F1904" s="1017">
        <v>100000000</v>
      </c>
      <c r="G1904" s="855">
        <f t="shared" si="84"/>
        <v>100</v>
      </c>
      <c r="H1904" s="887">
        <f t="shared" si="85"/>
        <v>100</v>
      </c>
      <c r="I1904" s="852"/>
      <c r="J1904" s="802"/>
    </row>
    <row r="1905" spans="3:10" s="2" customFormat="1" ht="20.100000000000001" hidden="1" customHeight="1">
      <c r="C1905" s="878"/>
      <c r="D1905" s="808" t="s">
        <v>3409</v>
      </c>
      <c r="E1905" s="1019">
        <v>100000000</v>
      </c>
      <c r="F1905" s="1017">
        <v>100000000</v>
      </c>
      <c r="G1905" s="855">
        <f t="shared" si="84"/>
        <v>100</v>
      </c>
      <c r="H1905" s="887">
        <f t="shared" si="85"/>
        <v>100</v>
      </c>
      <c r="I1905" s="852"/>
      <c r="J1905" s="802"/>
    </row>
    <row r="1906" spans="3:10" s="2" customFormat="1" ht="20.100000000000001" hidden="1" customHeight="1">
      <c r="C1906" s="878"/>
      <c r="D1906" s="808" t="s">
        <v>3408</v>
      </c>
      <c r="E1906" s="1019">
        <v>100000000</v>
      </c>
      <c r="F1906" s="1017">
        <v>100000000</v>
      </c>
      <c r="G1906" s="855">
        <f t="shared" si="84"/>
        <v>100</v>
      </c>
      <c r="H1906" s="887">
        <f t="shared" si="85"/>
        <v>100</v>
      </c>
      <c r="I1906" s="852"/>
      <c r="J1906" s="802"/>
    </row>
    <row r="1907" spans="3:10" s="2" customFormat="1" ht="20.100000000000001" hidden="1" customHeight="1">
      <c r="C1907" s="878"/>
      <c r="D1907" s="808" t="s">
        <v>3407</v>
      </c>
      <c r="E1907" s="1019">
        <v>100000000</v>
      </c>
      <c r="F1907" s="1017">
        <v>100000000</v>
      </c>
      <c r="G1907" s="855">
        <f t="shared" si="84"/>
        <v>100</v>
      </c>
      <c r="H1907" s="887">
        <f t="shared" si="85"/>
        <v>100</v>
      </c>
      <c r="I1907" s="852"/>
      <c r="J1907" s="802"/>
    </row>
    <row r="1908" spans="3:10" s="2" customFormat="1" ht="20.100000000000001" hidden="1" customHeight="1">
      <c r="C1908" s="878"/>
      <c r="D1908" s="889" t="s">
        <v>3406</v>
      </c>
      <c r="E1908" s="1006">
        <f>E1909</f>
        <v>200000000</v>
      </c>
      <c r="F1908" s="1015">
        <f>SUM(F1909)</f>
        <v>200000000</v>
      </c>
      <c r="G1908" s="855">
        <f t="shared" si="84"/>
        <v>100</v>
      </c>
      <c r="H1908" s="887">
        <f t="shared" si="85"/>
        <v>100</v>
      </c>
      <c r="I1908" s="852"/>
      <c r="J1908" s="802"/>
    </row>
    <row r="1909" spans="3:10" s="2" customFormat="1" ht="20.100000000000001" hidden="1" customHeight="1">
      <c r="C1909" s="878"/>
      <c r="D1909" s="808" t="s">
        <v>1614</v>
      </c>
      <c r="E1909" s="1004">
        <v>200000000</v>
      </c>
      <c r="F1909" s="1017">
        <v>200000000</v>
      </c>
      <c r="G1909" s="855">
        <f t="shared" si="84"/>
        <v>100</v>
      </c>
      <c r="H1909" s="887">
        <f t="shared" si="85"/>
        <v>100</v>
      </c>
      <c r="I1909" s="852"/>
      <c r="J1909" s="802"/>
    </row>
    <row r="1910" spans="3:10" s="2" customFormat="1" ht="20.100000000000001" hidden="1" customHeight="1">
      <c r="C1910" s="878"/>
      <c r="D1910" s="889" t="s">
        <v>3405</v>
      </c>
      <c r="E1910" s="1007">
        <f>E1911</f>
        <v>200000000</v>
      </c>
      <c r="F1910" s="1015">
        <f>SUM(F1911)</f>
        <v>199909600</v>
      </c>
      <c r="G1910" s="855">
        <f t="shared" si="84"/>
        <v>99.954800000000006</v>
      </c>
      <c r="H1910" s="887">
        <v>100</v>
      </c>
      <c r="I1910" s="852"/>
      <c r="J1910" s="802"/>
    </row>
    <row r="1911" spans="3:10" s="2" customFormat="1" ht="35.1" hidden="1" customHeight="1">
      <c r="C1911" s="878"/>
      <c r="D1911" s="808" t="s">
        <v>1616</v>
      </c>
      <c r="E1911" s="1004">
        <v>200000000</v>
      </c>
      <c r="F1911" s="1017">
        <v>199909600</v>
      </c>
      <c r="G1911" s="855">
        <f t="shared" si="84"/>
        <v>99.954800000000006</v>
      </c>
      <c r="H1911" s="887">
        <v>100</v>
      </c>
      <c r="I1911" s="852"/>
      <c r="J1911" s="802"/>
    </row>
    <row r="1912" spans="3:10" s="2" customFormat="1" ht="20.100000000000001" hidden="1" customHeight="1">
      <c r="C1912" s="878"/>
      <c r="D1912" s="889" t="s">
        <v>3404</v>
      </c>
      <c r="E1912" s="1006">
        <f>E1913</f>
        <v>300000000</v>
      </c>
      <c r="F1912" s="1015">
        <f>SUM(F1913)</f>
        <v>300000000</v>
      </c>
      <c r="G1912" s="855">
        <f t="shared" si="84"/>
        <v>100</v>
      </c>
      <c r="H1912" s="887">
        <f>+G1912</f>
        <v>100</v>
      </c>
      <c r="I1912" s="852"/>
      <c r="J1912" s="802"/>
    </row>
    <row r="1913" spans="3:10" s="2" customFormat="1" ht="66.75" hidden="1" customHeight="1">
      <c r="C1913" s="878"/>
      <c r="D1913" s="808" t="s">
        <v>3403</v>
      </c>
      <c r="E1913" s="1004">
        <v>300000000</v>
      </c>
      <c r="F1913" s="1017">
        <v>300000000</v>
      </c>
      <c r="G1913" s="855">
        <f t="shared" si="84"/>
        <v>100</v>
      </c>
      <c r="H1913" s="887">
        <f>+G1913</f>
        <v>100</v>
      </c>
      <c r="I1913" s="852"/>
      <c r="J1913" s="802"/>
    </row>
    <row r="1914" spans="3:10" s="2" customFormat="1" ht="20.100000000000001" hidden="1" customHeight="1">
      <c r="C1914" s="878"/>
      <c r="D1914" s="889" t="s">
        <v>3402</v>
      </c>
      <c r="E1914" s="1018">
        <f>E1915</f>
        <v>920304000</v>
      </c>
      <c r="F1914" s="1015">
        <f>SUM(F1915)</f>
        <v>919304000</v>
      </c>
      <c r="G1914" s="855">
        <f t="shared" si="84"/>
        <v>99.891340252786037</v>
      </c>
      <c r="H1914" s="887">
        <v>100</v>
      </c>
      <c r="I1914" s="852"/>
      <c r="J1914" s="802"/>
    </row>
    <row r="1915" spans="3:10" s="2" customFormat="1" ht="20.100000000000001" hidden="1" customHeight="1">
      <c r="C1915" s="878"/>
      <c r="D1915" s="808" t="s">
        <v>1619</v>
      </c>
      <c r="E1915" s="1004">
        <v>920304000</v>
      </c>
      <c r="F1915" s="1017">
        <v>919304000</v>
      </c>
      <c r="G1915" s="855">
        <f t="shared" si="84"/>
        <v>99.891340252786037</v>
      </c>
      <c r="H1915" s="887">
        <v>100</v>
      </c>
      <c r="I1915" s="852"/>
      <c r="J1915" s="802"/>
    </row>
    <row r="1916" spans="3:10" s="2" customFormat="1" ht="20.100000000000001" hidden="1" customHeight="1">
      <c r="C1916" s="878"/>
      <c r="D1916" s="889" t="s">
        <v>3401</v>
      </c>
      <c r="E1916" s="234">
        <f>SUM(E1917:E1918)</f>
        <v>500000000</v>
      </c>
      <c r="F1916" s="1015">
        <f>SUM(F1917:F1918)</f>
        <v>500000000</v>
      </c>
      <c r="G1916" s="855">
        <f t="shared" si="84"/>
        <v>100</v>
      </c>
      <c r="H1916" s="887">
        <f>+G1916</f>
        <v>100</v>
      </c>
      <c r="I1916" s="852"/>
      <c r="J1916" s="802"/>
    </row>
    <row r="1917" spans="3:10" s="2" customFormat="1" ht="20.100000000000001" hidden="1" customHeight="1">
      <c r="C1917" s="878"/>
      <c r="D1917" s="808" t="s">
        <v>3400</v>
      </c>
      <c r="E1917" s="1004">
        <v>100000000</v>
      </c>
      <c r="F1917" s="1017">
        <v>100000000</v>
      </c>
      <c r="G1917" s="855">
        <f t="shared" si="84"/>
        <v>100</v>
      </c>
      <c r="H1917" s="887">
        <f>+G1917</f>
        <v>100</v>
      </c>
      <c r="I1917" s="852"/>
      <c r="J1917" s="802"/>
    </row>
    <row r="1918" spans="3:10" s="2" customFormat="1" ht="20.100000000000001" hidden="1" customHeight="1">
      <c r="C1918" s="878"/>
      <c r="D1918" s="808" t="s">
        <v>3399</v>
      </c>
      <c r="E1918" s="1004">
        <v>400000000</v>
      </c>
      <c r="F1918" s="1017">
        <v>400000000</v>
      </c>
      <c r="G1918" s="855">
        <f t="shared" si="84"/>
        <v>100</v>
      </c>
      <c r="H1918" s="887">
        <f>+G1918</f>
        <v>100</v>
      </c>
      <c r="I1918" s="852"/>
      <c r="J1918" s="802"/>
    </row>
    <row r="1919" spans="3:10" s="2" customFormat="1" ht="20.100000000000001" hidden="1" customHeight="1">
      <c r="C1919" s="878"/>
      <c r="D1919" s="889" t="s">
        <v>3398</v>
      </c>
      <c r="E1919" s="1007">
        <f>E1920</f>
        <v>119696000</v>
      </c>
      <c r="F1919" s="1015">
        <f>SUM(F1920)</f>
        <v>106896000</v>
      </c>
      <c r="G1919" s="855">
        <f t="shared" si="84"/>
        <v>89.306242480951752</v>
      </c>
      <c r="H1919" s="887">
        <v>90</v>
      </c>
      <c r="I1919" s="852"/>
      <c r="J1919" s="802"/>
    </row>
    <row r="1920" spans="3:10" s="2" customFormat="1" ht="20.100000000000001" hidden="1" customHeight="1">
      <c r="C1920" s="878"/>
      <c r="D1920" s="808" t="s">
        <v>1622</v>
      </c>
      <c r="E1920" s="1012">
        <v>119696000</v>
      </c>
      <c r="F1920" s="1017">
        <v>106896000</v>
      </c>
      <c r="G1920" s="855">
        <f t="shared" si="84"/>
        <v>89.306242480951752</v>
      </c>
      <c r="H1920" s="887">
        <v>90</v>
      </c>
      <c r="I1920" s="852"/>
      <c r="J1920" s="802"/>
    </row>
    <row r="1921" spans="3:10" s="2" customFormat="1" ht="15" hidden="1" customHeight="1">
      <c r="C1921" s="878"/>
      <c r="D1921" s="808"/>
      <c r="E1921" s="1012"/>
      <c r="F1921" s="1017"/>
      <c r="G1921" s="855"/>
      <c r="H1921" s="887"/>
      <c r="I1921" s="852"/>
      <c r="J1921" s="802"/>
    </row>
    <row r="1922" spans="3:10" s="2" customFormat="1" ht="20.100000000000001" hidden="1" customHeight="1">
      <c r="C1922" s="878"/>
      <c r="D1922" s="890" t="s">
        <v>1231</v>
      </c>
      <c r="E1922" s="1006">
        <f>E1923+E1925+E1928</f>
        <v>2501196997</v>
      </c>
      <c r="F1922" s="1015">
        <f>F1923+F1929</f>
        <v>571704294</v>
      </c>
      <c r="G1922" s="855">
        <f t="shared" ref="G1922:G1929" si="86">+F1922/E1922*100</f>
        <v>22.857227746783511</v>
      </c>
      <c r="H1922" s="887">
        <f>115/3</f>
        <v>38.333333333333336</v>
      </c>
      <c r="I1922" s="852"/>
      <c r="J1922" s="802"/>
    </row>
    <row r="1923" spans="3:10" s="2" customFormat="1" ht="20.100000000000001" hidden="1" customHeight="1">
      <c r="C1923" s="878"/>
      <c r="D1923" s="890" t="s">
        <v>162</v>
      </c>
      <c r="E1923" s="1013">
        <f>E1924</f>
        <v>433102700</v>
      </c>
      <c r="F1923" s="1015">
        <f>F1924</f>
        <v>373714000</v>
      </c>
      <c r="G1923" s="855">
        <f t="shared" si="86"/>
        <v>86.287617232587095</v>
      </c>
      <c r="H1923" s="887">
        <v>90</v>
      </c>
      <c r="I1923" s="852"/>
      <c r="J1923" s="802"/>
    </row>
    <row r="1924" spans="3:10" s="2" customFormat="1" ht="20.100000000000001" hidden="1" customHeight="1">
      <c r="C1924" s="878"/>
      <c r="D1924" s="808" t="s">
        <v>1504</v>
      </c>
      <c r="E1924" s="1012">
        <v>433102700</v>
      </c>
      <c r="F1924" s="1017">
        <v>373714000</v>
      </c>
      <c r="G1924" s="855">
        <f t="shared" si="86"/>
        <v>86.287617232587095</v>
      </c>
      <c r="H1924" s="887">
        <v>90</v>
      </c>
      <c r="I1924" s="852"/>
      <c r="J1924" s="802"/>
    </row>
    <row r="1925" spans="3:10" s="2" customFormat="1" ht="20.100000000000001" hidden="1" customHeight="1">
      <c r="C1925" s="878"/>
      <c r="D1925" s="890" t="s">
        <v>3397</v>
      </c>
      <c r="E1925" s="1007">
        <f>SUM(E1926:E1927)</f>
        <v>1197104003</v>
      </c>
      <c r="F1925" s="1017"/>
      <c r="G1925" s="855">
        <f t="shared" si="86"/>
        <v>0</v>
      </c>
      <c r="H1925" s="887">
        <f>+G1925</f>
        <v>0</v>
      </c>
      <c r="I1925" s="852"/>
      <c r="J1925" s="802"/>
    </row>
    <row r="1926" spans="3:10" s="2" customFormat="1" ht="20.100000000000001" hidden="1" customHeight="1">
      <c r="C1926" s="878"/>
      <c r="D1926" s="1012" t="s">
        <v>3396</v>
      </c>
      <c r="E1926" s="1012">
        <v>819549150</v>
      </c>
      <c r="F1926" s="1017"/>
      <c r="G1926" s="855">
        <f t="shared" si="86"/>
        <v>0</v>
      </c>
      <c r="H1926" s="887">
        <f>+G1926</f>
        <v>0</v>
      </c>
      <c r="I1926" s="852"/>
      <c r="J1926" s="802"/>
    </row>
    <row r="1927" spans="3:10" s="2" customFormat="1" ht="20.100000000000001" hidden="1" customHeight="1">
      <c r="C1927" s="878"/>
      <c r="D1927" s="808" t="s">
        <v>3395</v>
      </c>
      <c r="E1927" s="1012">
        <v>377554853</v>
      </c>
      <c r="F1927" s="1017"/>
      <c r="G1927" s="855">
        <f t="shared" si="86"/>
        <v>0</v>
      </c>
      <c r="H1927" s="887">
        <f>+G1927</f>
        <v>0</v>
      </c>
      <c r="I1927" s="852"/>
      <c r="J1927" s="802"/>
    </row>
    <row r="1928" spans="3:10" s="2" customFormat="1" ht="20.100000000000001" hidden="1" customHeight="1">
      <c r="C1928" s="878"/>
      <c r="D1928" s="890" t="s">
        <v>3394</v>
      </c>
      <c r="E1928" s="1007">
        <f>E1929</f>
        <v>870990294</v>
      </c>
      <c r="F1928" s="1015">
        <f>F1929</f>
        <v>197990294</v>
      </c>
      <c r="G1928" s="855">
        <f t="shared" si="86"/>
        <v>22.7316303481104</v>
      </c>
      <c r="H1928" s="887">
        <v>25</v>
      </c>
      <c r="I1928" s="852"/>
      <c r="J1928" s="802"/>
    </row>
    <row r="1929" spans="3:10" s="2" customFormat="1" ht="20.100000000000001" hidden="1" customHeight="1">
      <c r="C1929" s="878"/>
      <c r="D1929" s="808" t="s">
        <v>1627</v>
      </c>
      <c r="E1929" s="1012">
        <v>870990294</v>
      </c>
      <c r="F1929" s="1017">
        <v>197990294</v>
      </c>
      <c r="G1929" s="855">
        <f t="shared" si="86"/>
        <v>22.7316303481104</v>
      </c>
      <c r="H1929" s="887">
        <v>25</v>
      </c>
      <c r="I1929" s="852"/>
      <c r="J1929" s="802"/>
    </row>
    <row r="1930" spans="3:10" s="2" customFormat="1" ht="15" hidden="1" customHeight="1">
      <c r="C1930" s="878"/>
      <c r="D1930" s="808"/>
      <c r="E1930" s="1012"/>
      <c r="F1930" s="1017"/>
      <c r="G1930" s="855"/>
      <c r="H1930" s="887"/>
      <c r="I1930" s="852"/>
      <c r="J1930" s="802"/>
    </row>
    <row r="1931" spans="3:10" ht="20.100000000000001" hidden="1" customHeight="1">
      <c r="C1931" s="878"/>
      <c r="D1931" s="1016" t="s">
        <v>1628</v>
      </c>
      <c r="E1931" s="1006">
        <f>E1932+E1934+E1936</f>
        <v>1339046517</v>
      </c>
      <c r="F1931" s="1015">
        <f>F1932+F1934+F1936</f>
        <v>1336046517</v>
      </c>
      <c r="G1931" s="855">
        <f t="shared" ref="G1931:G1937" si="87">+F1931/E1931*100</f>
        <v>99.77595998631017</v>
      </c>
      <c r="H1931" s="887">
        <v>100</v>
      </c>
      <c r="I1931" s="852"/>
      <c r="J1931" s="802"/>
    </row>
    <row r="1932" spans="3:10" ht="20.100000000000001" hidden="1" customHeight="1">
      <c r="C1932" s="878"/>
      <c r="D1932" s="890" t="s">
        <v>3393</v>
      </c>
      <c r="E1932" s="1013">
        <f>E1933</f>
        <v>683926517</v>
      </c>
      <c r="F1932" s="1015">
        <f>F1933</f>
        <v>683926517</v>
      </c>
      <c r="G1932" s="855">
        <f t="shared" si="87"/>
        <v>100</v>
      </c>
      <c r="H1932" s="887">
        <f>+G1932</f>
        <v>100</v>
      </c>
      <c r="I1932" s="852"/>
      <c r="J1932" s="802"/>
    </row>
    <row r="1933" spans="3:10" ht="20.100000000000001" hidden="1" customHeight="1">
      <c r="C1933" s="878"/>
      <c r="D1933" s="808" t="s">
        <v>3392</v>
      </c>
      <c r="E1933" s="1004">
        <v>683926517</v>
      </c>
      <c r="F1933" s="1015">
        <v>683926517</v>
      </c>
      <c r="G1933" s="855">
        <f t="shared" si="87"/>
        <v>100</v>
      </c>
      <c r="H1933" s="887">
        <f>+G1933</f>
        <v>100</v>
      </c>
      <c r="I1933" s="852"/>
      <c r="J1933" s="802"/>
    </row>
    <row r="1934" spans="3:10" ht="20.100000000000001" hidden="1" customHeight="1">
      <c r="C1934" s="878"/>
      <c r="D1934" s="890" t="s">
        <v>3391</v>
      </c>
      <c r="E1934" s="1006">
        <f>E1935</f>
        <v>520370000</v>
      </c>
      <c r="F1934" s="1015">
        <f>F1935</f>
        <v>520370000</v>
      </c>
      <c r="G1934" s="855">
        <f t="shared" si="87"/>
        <v>100</v>
      </c>
      <c r="H1934" s="887">
        <f>+G1934</f>
        <v>100</v>
      </c>
      <c r="I1934" s="852"/>
      <c r="J1934" s="802"/>
    </row>
    <row r="1935" spans="3:10" ht="35.1" hidden="1" customHeight="1">
      <c r="C1935" s="878"/>
      <c r="D1935" s="808" t="s">
        <v>1630</v>
      </c>
      <c r="E1935" s="1004">
        <v>520370000</v>
      </c>
      <c r="F1935" s="1015">
        <v>520370000</v>
      </c>
      <c r="G1935" s="855">
        <f t="shared" si="87"/>
        <v>100</v>
      </c>
      <c r="H1935" s="887">
        <f>+G1935</f>
        <v>100</v>
      </c>
      <c r="I1935" s="852"/>
      <c r="J1935" s="802"/>
    </row>
    <row r="1936" spans="3:10" ht="20.100000000000001" hidden="1" customHeight="1">
      <c r="C1936" s="878"/>
      <c r="D1936" s="890" t="s">
        <v>1631</v>
      </c>
      <c r="E1936" s="1006">
        <f>E1937</f>
        <v>134750000</v>
      </c>
      <c r="F1936" s="1005">
        <f>F1937</f>
        <v>131750000</v>
      </c>
      <c r="G1936" s="855">
        <f t="shared" si="87"/>
        <v>97.773654916512058</v>
      </c>
      <c r="H1936" s="887">
        <v>100</v>
      </c>
      <c r="I1936" s="852"/>
      <c r="J1936" s="802"/>
    </row>
    <row r="1937" spans="3:10" ht="42.75" hidden="1" customHeight="1">
      <c r="C1937" s="878"/>
      <c r="D1937" s="808" t="s">
        <v>1632</v>
      </c>
      <c r="E1937" s="1004">
        <v>134750000</v>
      </c>
      <c r="F1937" s="1003">
        <v>131750000</v>
      </c>
      <c r="G1937" s="855">
        <f t="shared" si="87"/>
        <v>97.773654916512058</v>
      </c>
      <c r="H1937" s="887">
        <v>100</v>
      </c>
      <c r="I1937" s="852"/>
      <c r="J1937" s="802"/>
    </row>
    <row r="1938" spans="3:10" ht="15" hidden="1" customHeight="1">
      <c r="C1938" s="878"/>
      <c r="D1938" s="808"/>
      <c r="E1938" s="1004"/>
      <c r="F1938" s="1003"/>
      <c r="G1938" s="855"/>
      <c r="H1938" s="887"/>
      <c r="I1938" s="852"/>
      <c r="J1938" s="802"/>
    </row>
    <row r="1939" spans="3:10" ht="20.100000000000001" hidden="1" customHeight="1">
      <c r="C1939" s="878"/>
      <c r="D1939" s="890" t="s">
        <v>1139</v>
      </c>
      <c r="E1939" s="1006">
        <f>E1940</f>
        <v>600000000</v>
      </c>
      <c r="F1939" s="1005">
        <f>F1940</f>
        <v>600000000</v>
      </c>
      <c r="G1939" s="855">
        <f t="shared" ref="G1939:G1944" si="88">+F1939/E1939*100</f>
        <v>100</v>
      </c>
      <c r="H1939" s="887">
        <f t="shared" ref="H1939:H1944" si="89">+G1939</f>
        <v>100</v>
      </c>
      <c r="I1939" s="852"/>
      <c r="J1939" s="802"/>
    </row>
    <row r="1940" spans="3:10" ht="20.100000000000001" hidden="1" customHeight="1">
      <c r="C1940" s="878"/>
      <c r="D1940" s="890" t="s">
        <v>1633</v>
      </c>
      <c r="E1940" s="1006">
        <f>E1941</f>
        <v>600000000</v>
      </c>
      <c r="F1940" s="1005">
        <f>F1941</f>
        <v>600000000</v>
      </c>
      <c r="G1940" s="855">
        <f t="shared" si="88"/>
        <v>100</v>
      </c>
      <c r="H1940" s="887">
        <f t="shared" si="89"/>
        <v>100</v>
      </c>
      <c r="I1940" s="852"/>
      <c r="J1940" s="802"/>
    </row>
    <row r="1941" spans="3:10" ht="20.100000000000001" hidden="1" customHeight="1">
      <c r="C1941" s="878"/>
      <c r="D1941" s="808" t="s">
        <v>1634</v>
      </c>
      <c r="E1941" s="1004">
        <v>600000000</v>
      </c>
      <c r="F1941" s="1003">
        <v>600000000</v>
      </c>
      <c r="G1941" s="855">
        <f t="shared" si="88"/>
        <v>100</v>
      </c>
      <c r="H1941" s="887">
        <f t="shared" si="89"/>
        <v>100</v>
      </c>
      <c r="I1941" s="852"/>
      <c r="J1941" s="802"/>
    </row>
    <row r="1942" spans="3:10" ht="20.100000000000001" hidden="1" customHeight="1">
      <c r="C1942" s="878"/>
      <c r="D1942" s="890" t="s">
        <v>654</v>
      </c>
      <c r="E1942" s="1006">
        <f>E1943</f>
        <v>300000000</v>
      </c>
      <c r="F1942" s="1005">
        <f>F1943</f>
        <v>300000000</v>
      </c>
      <c r="G1942" s="855">
        <f t="shared" si="88"/>
        <v>100</v>
      </c>
      <c r="H1942" s="887">
        <f t="shared" si="89"/>
        <v>100</v>
      </c>
      <c r="I1942" s="852"/>
      <c r="J1942" s="802"/>
    </row>
    <row r="1943" spans="3:10" ht="20.100000000000001" hidden="1" customHeight="1">
      <c r="C1943" s="878"/>
      <c r="D1943" s="890" t="s">
        <v>3390</v>
      </c>
      <c r="E1943" s="1006">
        <f>E1944</f>
        <v>300000000</v>
      </c>
      <c r="F1943" s="1005">
        <f>SUM(F1944)</f>
        <v>300000000</v>
      </c>
      <c r="G1943" s="855">
        <f t="shared" si="88"/>
        <v>100</v>
      </c>
      <c r="H1943" s="887">
        <f t="shared" si="89"/>
        <v>100</v>
      </c>
      <c r="I1943" s="852"/>
      <c r="J1943" s="802"/>
    </row>
    <row r="1944" spans="3:10" ht="35.1" hidden="1" customHeight="1">
      <c r="C1944" s="878"/>
      <c r="D1944" s="808" t="s">
        <v>3389</v>
      </c>
      <c r="E1944" s="1004">
        <v>300000000</v>
      </c>
      <c r="F1944" s="1003">
        <v>300000000</v>
      </c>
      <c r="G1944" s="855">
        <f t="shared" si="88"/>
        <v>100</v>
      </c>
      <c r="H1944" s="887">
        <f t="shared" si="89"/>
        <v>100</v>
      </c>
      <c r="I1944" s="852"/>
      <c r="J1944" s="802"/>
    </row>
    <row r="1945" spans="3:10" ht="15" hidden="1" customHeight="1">
      <c r="C1945" s="878"/>
      <c r="D1945" s="808"/>
      <c r="E1945" s="1004"/>
      <c r="F1945" s="1003"/>
      <c r="G1945" s="855"/>
      <c r="H1945" s="887"/>
      <c r="I1945" s="852"/>
      <c r="J1945" s="802"/>
    </row>
    <row r="1946" spans="3:10" ht="20.100000000000001" hidden="1" customHeight="1">
      <c r="C1946" s="878"/>
      <c r="D1946" s="1014" t="s">
        <v>3388</v>
      </c>
      <c r="E1946" s="1013">
        <f>E1947+E1951</f>
        <v>2560478500</v>
      </c>
      <c r="F1946" s="1005">
        <f>F1947+F1951</f>
        <v>2416328500</v>
      </c>
      <c r="G1946" s="855">
        <f t="shared" ref="G1946:G1952" si="90">+F1946/E1946*100</f>
        <v>94.370192915113321</v>
      </c>
      <c r="H1946" s="887">
        <f>195/2</f>
        <v>97.5</v>
      </c>
      <c r="I1946" s="852"/>
      <c r="J1946" s="802"/>
    </row>
    <row r="1947" spans="3:10" ht="20.100000000000001" hidden="1" customHeight="1">
      <c r="C1947" s="878"/>
      <c r="D1947" s="1014" t="s">
        <v>3387</v>
      </c>
      <c r="E1947" s="1013">
        <f>SUM(E1948:E1950)</f>
        <v>2273171500</v>
      </c>
      <c r="F1947" s="1005">
        <f>SUM(F1948:F1950)</f>
        <v>2129021500</v>
      </c>
      <c r="G1947" s="855">
        <f t="shared" si="90"/>
        <v>93.658639482326791</v>
      </c>
      <c r="H1947" s="887">
        <f>285/3</f>
        <v>95</v>
      </c>
      <c r="I1947" s="852"/>
      <c r="J1947" s="802"/>
    </row>
    <row r="1948" spans="3:10" ht="20.100000000000001" hidden="1" customHeight="1">
      <c r="C1948" s="878"/>
      <c r="D1948" s="808" t="s">
        <v>1640</v>
      </c>
      <c r="E1948" s="1012">
        <v>691836434</v>
      </c>
      <c r="F1948" s="1003">
        <v>691836434</v>
      </c>
      <c r="G1948" s="855">
        <f t="shared" si="90"/>
        <v>100</v>
      </c>
      <c r="H1948" s="887">
        <f>+G1948</f>
        <v>100</v>
      </c>
      <c r="I1948" s="852"/>
      <c r="J1948" s="802"/>
    </row>
    <row r="1949" spans="3:10" ht="20.100000000000001" hidden="1" customHeight="1">
      <c r="C1949" s="878"/>
      <c r="D1949" s="808" t="s">
        <v>1189</v>
      </c>
      <c r="E1949" s="1012">
        <v>868642533</v>
      </c>
      <c r="F1949" s="1003">
        <v>724492533</v>
      </c>
      <c r="G1949" s="855">
        <f t="shared" si="90"/>
        <v>83.40514141045405</v>
      </c>
      <c r="H1949" s="887">
        <v>85</v>
      </c>
      <c r="I1949" s="852"/>
      <c r="J1949" s="802"/>
    </row>
    <row r="1950" spans="3:10" ht="20.100000000000001" hidden="1" customHeight="1">
      <c r="C1950" s="878"/>
      <c r="D1950" s="808" t="s">
        <v>1641</v>
      </c>
      <c r="E1950" s="1012">
        <v>712692533</v>
      </c>
      <c r="F1950" s="1003">
        <v>712692533</v>
      </c>
      <c r="G1950" s="855">
        <f t="shared" si="90"/>
        <v>100</v>
      </c>
      <c r="H1950" s="887">
        <f>+G1950</f>
        <v>100</v>
      </c>
      <c r="I1950" s="852"/>
      <c r="J1950" s="802"/>
    </row>
    <row r="1951" spans="3:10" ht="20.100000000000001" hidden="1" customHeight="1">
      <c r="C1951" s="878"/>
      <c r="D1951" s="890" t="s">
        <v>1642</v>
      </c>
      <c r="E1951" s="1013">
        <f>E1952</f>
        <v>287307000</v>
      </c>
      <c r="F1951" s="1005">
        <f>SUM(F1952)</f>
        <v>287307000</v>
      </c>
      <c r="G1951" s="855">
        <f t="shared" si="90"/>
        <v>100</v>
      </c>
      <c r="H1951" s="887">
        <f>+G1951</f>
        <v>100</v>
      </c>
      <c r="I1951" s="852"/>
      <c r="J1951" s="802"/>
    </row>
    <row r="1952" spans="3:10" ht="20.100000000000001" hidden="1" customHeight="1">
      <c r="C1952" s="878"/>
      <c r="D1952" s="808" t="s">
        <v>1643</v>
      </c>
      <c r="E1952" s="1012">
        <v>287307000</v>
      </c>
      <c r="F1952" s="1003">
        <v>287307000</v>
      </c>
      <c r="G1952" s="855">
        <f t="shared" si="90"/>
        <v>100</v>
      </c>
      <c r="H1952" s="887">
        <f>+G1952</f>
        <v>100</v>
      </c>
      <c r="I1952" s="852"/>
      <c r="J1952" s="802"/>
    </row>
    <row r="1953" spans="3:10" ht="15" hidden="1" customHeight="1">
      <c r="C1953" s="878"/>
      <c r="D1953" s="808"/>
      <c r="E1953" s="1012"/>
      <c r="F1953" s="1003"/>
      <c r="G1953" s="855"/>
      <c r="H1953" s="887"/>
      <c r="I1953" s="852"/>
      <c r="J1953" s="802"/>
    </row>
    <row r="1954" spans="3:10" ht="20.100000000000001" hidden="1" customHeight="1">
      <c r="C1954" s="878"/>
      <c r="D1954" s="890" t="s">
        <v>1644</v>
      </c>
      <c r="E1954" s="1008">
        <f>E1955</f>
        <v>360000000</v>
      </c>
      <c r="F1954" s="1005">
        <f>F1955</f>
        <v>360000000</v>
      </c>
      <c r="G1954" s="855">
        <f>+F1954/E1954*100</f>
        <v>100</v>
      </c>
      <c r="H1954" s="887">
        <f>+G1954</f>
        <v>100</v>
      </c>
      <c r="I1954" s="852"/>
      <c r="J1954" s="802"/>
    </row>
    <row r="1955" spans="3:10" ht="20.100000000000001" hidden="1" customHeight="1">
      <c r="C1955" s="878"/>
      <c r="D1955" s="890" t="s">
        <v>1645</v>
      </c>
      <c r="E1955" s="1008">
        <f>E1956</f>
        <v>360000000</v>
      </c>
      <c r="F1955" s="1003">
        <f>F1956</f>
        <v>360000000</v>
      </c>
      <c r="G1955" s="855">
        <f>+F1955/E1955*100</f>
        <v>100</v>
      </c>
      <c r="H1955" s="887">
        <f>+G1955</f>
        <v>100</v>
      </c>
      <c r="I1955" s="852"/>
      <c r="J1955" s="802"/>
    </row>
    <row r="1956" spans="3:10" ht="20.100000000000001" hidden="1" customHeight="1">
      <c r="C1956" s="878"/>
      <c r="D1956" s="808" t="s">
        <v>3386</v>
      </c>
      <c r="E1956" s="1009">
        <v>360000000</v>
      </c>
      <c r="F1956" s="1003">
        <v>360000000</v>
      </c>
      <c r="G1956" s="855">
        <f>+F1956/E1956*100</f>
        <v>100</v>
      </c>
      <c r="H1956" s="887">
        <f>+G1956</f>
        <v>100</v>
      </c>
      <c r="I1956" s="852"/>
      <c r="J1956" s="802"/>
    </row>
    <row r="1957" spans="3:10" ht="15" hidden="1" customHeight="1">
      <c r="C1957" s="878"/>
      <c r="D1957" s="808"/>
      <c r="E1957" s="1009"/>
      <c r="F1957" s="1003"/>
      <c r="G1957" s="855"/>
      <c r="H1957" s="887"/>
      <c r="I1957" s="852"/>
      <c r="J1957" s="802"/>
    </row>
    <row r="1958" spans="3:10" ht="20.100000000000001" hidden="1" customHeight="1">
      <c r="C1958" s="878"/>
      <c r="D1958" s="890" t="s">
        <v>835</v>
      </c>
      <c r="E1958" s="1008">
        <f>E1959</f>
        <v>230957000</v>
      </c>
      <c r="F1958" s="1008">
        <f>F1959</f>
        <v>230957000</v>
      </c>
      <c r="G1958" s="855">
        <f>+F1958/E1958*100</f>
        <v>100</v>
      </c>
      <c r="H1958" s="887">
        <f>+G1958</f>
        <v>100</v>
      </c>
      <c r="I1958" s="852"/>
      <c r="J1958" s="802"/>
    </row>
    <row r="1959" spans="3:10" ht="20.100000000000001" hidden="1" customHeight="1">
      <c r="C1959" s="878"/>
      <c r="D1959" s="890" t="s">
        <v>3385</v>
      </c>
      <c r="E1959" s="1008">
        <f>E1960</f>
        <v>230957000</v>
      </c>
      <c r="F1959" s="1008">
        <f>F1960</f>
        <v>230957000</v>
      </c>
      <c r="G1959" s="855">
        <f>+F1959/E1959*100</f>
        <v>100</v>
      </c>
      <c r="H1959" s="887">
        <f>+G1959</f>
        <v>100</v>
      </c>
      <c r="I1959" s="852"/>
      <c r="J1959" s="802"/>
    </row>
    <row r="1960" spans="3:10" ht="20.100000000000001" hidden="1" customHeight="1">
      <c r="C1960" s="878"/>
      <c r="D1960" s="808" t="s">
        <v>1888</v>
      </c>
      <c r="E1960" s="1009">
        <v>230957000</v>
      </c>
      <c r="F1960" s="1009">
        <v>230957000</v>
      </c>
      <c r="G1960" s="855">
        <f>+F1960/E1960*100</f>
        <v>100</v>
      </c>
      <c r="H1960" s="887">
        <f>+G1960</f>
        <v>100</v>
      </c>
      <c r="I1960" s="852"/>
      <c r="J1960" s="802"/>
    </row>
    <row r="1961" spans="3:10" ht="15" hidden="1" customHeight="1">
      <c r="C1961" s="878"/>
      <c r="D1961" s="808"/>
      <c r="E1961" s="1009"/>
      <c r="F1961" s="1009"/>
      <c r="G1961" s="855"/>
      <c r="H1961" s="887"/>
      <c r="I1961" s="852"/>
      <c r="J1961" s="802"/>
    </row>
    <row r="1962" spans="3:10" ht="20.100000000000001" hidden="1" customHeight="1">
      <c r="C1962" s="878"/>
      <c r="D1962" s="890" t="s">
        <v>1647</v>
      </c>
      <c r="E1962" s="1008">
        <f>E1963</f>
        <v>250000000</v>
      </c>
      <c r="F1962" s="1008">
        <f>F1963</f>
        <v>250000000</v>
      </c>
      <c r="G1962" s="855">
        <f>+F1962/E1962*100</f>
        <v>100</v>
      </c>
      <c r="H1962" s="887">
        <f>+G1962</f>
        <v>100</v>
      </c>
      <c r="I1962" s="852"/>
      <c r="J1962" s="802"/>
    </row>
    <row r="1963" spans="3:10" ht="20.100000000000001" hidden="1" customHeight="1">
      <c r="C1963" s="878"/>
      <c r="D1963" s="890" t="s">
        <v>1648</v>
      </c>
      <c r="E1963" s="1008">
        <f>SUM(E1964:E1964)</f>
        <v>250000000</v>
      </c>
      <c r="F1963" s="1008">
        <f>SUM(F1964:F1964)</f>
        <v>250000000</v>
      </c>
      <c r="G1963" s="855">
        <f>+F1963/E1963*100</f>
        <v>100</v>
      </c>
      <c r="H1963" s="887">
        <f>+G1963</f>
        <v>100</v>
      </c>
      <c r="I1963" s="852"/>
      <c r="J1963" s="802"/>
    </row>
    <row r="1964" spans="3:10" ht="20.100000000000001" hidden="1" customHeight="1">
      <c r="C1964" s="878"/>
      <c r="D1964" s="808" t="s">
        <v>1649</v>
      </c>
      <c r="E1964" s="1009">
        <v>250000000</v>
      </c>
      <c r="F1964" s="1009">
        <v>250000000</v>
      </c>
      <c r="G1964" s="855">
        <f>+F1964/E1964*100</f>
        <v>100</v>
      </c>
      <c r="H1964" s="887">
        <f>+G1964</f>
        <v>100</v>
      </c>
      <c r="I1964" s="852"/>
      <c r="J1964" s="802"/>
    </row>
    <row r="1965" spans="3:10" ht="15" hidden="1" customHeight="1">
      <c r="C1965" s="878"/>
      <c r="D1965" s="808"/>
      <c r="E1965" s="1009"/>
      <c r="F1965" s="1009"/>
      <c r="G1965" s="855"/>
      <c r="H1965" s="887"/>
      <c r="I1965" s="852"/>
      <c r="J1965" s="802"/>
    </row>
    <row r="1966" spans="3:10" ht="20.100000000000001" hidden="1" customHeight="1">
      <c r="C1966" s="878"/>
      <c r="D1966" s="890" t="s">
        <v>1650</v>
      </c>
      <c r="E1966" s="1008">
        <f>E1967+E1969</f>
        <v>500000000</v>
      </c>
      <c r="F1966" s="1005">
        <f>F1967+F1969</f>
        <v>500000000</v>
      </c>
      <c r="G1966" s="855">
        <f>+F1966/E1966*100</f>
        <v>100</v>
      </c>
      <c r="H1966" s="887">
        <f>+G1966</f>
        <v>100</v>
      </c>
      <c r="I1966" s="852"/>
      <c r="J1966" s="802"/>
    </row>
    <row r="1967" spans="3:10" ht="20.100000000000001" hidden="1" customHeight="1">
      <c r="C1967" s="878"/>
      <c r="D1967" s="890" t="s">
        <v>3384</v>
      </c>
      <c r="E1967" s="1008">
        <f>SUM(E1968)</f>
        <v>241800000</v>
      </c>
      <c r="F1967" s="1005">
        <f>F1968</f>
        <v>241800000</v>
      </c>
      <c r="G1967" s="855">
        <f>+F1967/E1967*100</f>
        <v>100</v>
      </c>
      <c r="H1967" s="887">
        <f>+G1967</f>
        <v>100</v>
      </c>
      <c r="I1967" s="852"/>
      <c r="J1967" s="802"/>
    </row>
    <row r="1968" spans="3:10" ht="35.1" hidden="1" customHeight="1">
      <c r="C1968" s="878"/>
      <c r="D1968" s="808" t="s">
        <v>1654</v>
      </c>
      <c r="E1968" s="1009">
        <v>241800000</v>
      </c>
      <c r="F1968" s="1010">
        <v>241800000</v>
      </c>
      <c r="G1968" s="855">
        <f>+F1968/E1968*100</f>
        <v>100</v>
      </c>
      <c r="H1968" s="887">
        <f>+G1968</f>
        <v>100</v>
      </c>
      <c r="I1968" s="852"/>
      <c r="J1968" s="802"/>
    </row>
    <row r="1969" spans="3:10" ht="20.100000000000001" hidden="1" customHeight="1">
      <c r="C1969" s="878"/>
      <c r="D1969" s="890" t="s">
        <v>542</v>
      </c>
      <c r="E1969" s="1008">
        <f>SUM(E1970)</f>
        <v>258200000</v>
      </c>
      <c r="F1969" s="1011">
        <v>258200000</v>
      </c>
      <c r="G1969" s="855">
        <f>+F1969/E1969*100</f>
        <v>100</v>
      </c>
      <c r="H1969" s="887">
        <f>+G1969</f>
        <v>100</v>
      </c>
      <c r="I1969" s="852"/>
      <c r="J1969" s="802"/>
    </row>
    <row r="1970" spans="3:10" ht="20.100000000000001" hidden="1" customHeight="1">
      <c r="C1970" s="878"/>
      <c r="D1970" s="808" t="s">
        <v>3383</v>
      </c>
      <c r="E1970" s="1009">
        <v>258200000</v>
      </c>
      <c r="F1970" s="1010">
        <v>258200000</v>
      </c>
      <c r="G1970" s="855">
        <f>+F1970/E1970*100</f>
        <v>100</v>
      </c>
      <c r="H1970" s="887">
        <f>+G1970</f>
        <v>100</v>
      </c>
      <c r="I1970" s="852"/>
      <c r="J1970" s="802"/>
    </row>
    <row r="1971" spans="3:10" ht="15" hidden="1" customHeight="1">
      <c r="C1971" s="878"/>
      <c r="D1971" s="808"/>
      <c r="E1971" s="1009"/>
      <c r="F1971" s="1010"/>
      <c r="G1971" s="855"/>
      <c r="H1971" s="887"/>
      <c r="I1971" s="852"/>
      <c r="J1971" s="802"/>
    </row>
    <row r="1972" spans="3:10" ht="20.100000000000001" hidden="1" customHeight="1">
      <c r="C1972" s="878"/>
      <c r="D1972" s="890" t="s">
        <v>1186</v>
      </c>
      <c r="E1972" s="1008">
        <f>E1973+E1975</f>
        <v>500000000</v>
      </c>
      <c r="F1972" s="1005">
        <f>F1973+F1975</f>
        <v>500000000</v>
      </c>
      <c r="G1972" s="855">
        <f>+F1972/E1972*100</f>
        <v>100</v>
      </c>
      <c r="H1972" s="887">
        <f>+G1972</f>
        <v>100</v>
      </c>
      <c r="I1972" s="852"/>
      <c r="J1972" s="802"/>
    </row>
    <row r="1973" spans="3:10" ht="20.100000000000001" hidden="1" customHeight="1">
      <c r="C1973" s="878"/>
      <c r="D1973" s="890" t="s">
        <v>1655</v>
      </c>
      <c r="E1973" s="1008">
        <f>E1974</f>
        <v>225800000</v>
      </c>
      <c r="F1973" s="1005">
        <f>SUM(F1974)</f>
        <v>225800000</v>
      </c>
      <c r="G1973" s="855">
        <f>+F1973/E1973*100</f>
        <v>100</v>
      </c>
      <c r="H1973" s="887">
        <f>+G1973</f>
        <v>100</v>
      </c>
      <c r="I1973" s="852"/>
      <c r="J1973" s="802"/>
    </row>
    <row r="1974" spans="3:10" ht="20.100000000000001" hidden="1" customHeight="1">
      <c r="C1974" s="878"/>
      <c r="D1974" s="808" t="s">
        <v>708</v>
      </c>
      <c r="E1974" s="1009">
        <v>225800000</v>
      </c>
      <c r="F1974" s="1003">
        <v>225800000</v>
      </c>
      <c r="G1974" s="855">
        <f>+F1974/E1974*100</f>
        <v>100</v>
      </c>
      <c r="H1974" s="887">
        <f>+G1974</f>
        <v>100</v>
      </c>
      <c r="I1974" s="852"/>
      <c r="J1974" s="802"/>
    </row>
    <row r="1975" spans="3:10" ht="20.100000000000001" hidden="1" customHeight="1">
      <c r="C1975" s="878"/>
      <c r="D1975" s="890" t="s">
        <v>506</v>
      </c>
      <c r="E1975" s="1008">
        <f>E1976</f>
        <v>274200000</v>
      </c>
      <c r="F1975" s="1005">
        <f>SUM(F1976)</f>
        <v>274200000</v>
      </c>
      <c r="G1975" s="855">
        <f>+F1975/E1975*100</f>
        <v>100</v>
      </c>
      <c r="H1975" s="887">
        <f>+G1975</f>
        <v>100</v>
      </c>
      <c r="I1975" s="852"/>
      <c r="J1975" s="802"/>
    </row>
    <row r="1976" spans="3:10" ht="20.100000000000001" hidden="1" customHeight="1">
      <c r="C1976" s="878"/>
      <c r="D1976" s="808" t="s">
        <v>290</v>
      </c>
      <c r="E1976" s="1009">
        <v>274200000</v>
      </c>
      <c r="F1976" s="1003">
        <v>274200000</v>
      </c>
      <c r="G1976" s="855">
        <f>+F1976/E1976*100</f>
        <v>100</v>
      </c>
      <c r="H1976" s="887">
        <f>+G1976</f>
        <v>100</v>
      </c>
      <c r="I1976" s="852"/>
      <c r="J1976" s="802"/>
    </row>
    <row r="1977" spans="3:10" ht="15" hidden="1" customHeight="1">
      <c r="C1977" s="878"/>
      <c r="D1977" s="808"/>
      <c r="E1977" s="1009"/>
      <c r="F1977" s="1003"/>
      <c r="G1977" s="855"/>
      <c r="H1977" s="887"/>
      <c r="I1977" s="852"/>
      <c r="J1977" s="802"/>
    </row>
    <row r="1978" spans="3:10" ht="20.100000000000001" hidden="1" customHeight="1">
      <c r="C1978" s="878"/>
      <c r="D1978" s="890" t="s">
        <v>2774</v>
      </c>
      <c r="E1978" s="1008">
        <f>E1979</f>
        <v>1000000000</v>
      </c>
      <c r="F1978" s="1005">
        <f>F1979</f>
        <v>1000000000</v>
      </c>
      <c r="G1978" s="855">
        <f>+F1978/E1978*100</f>
        <v>100</v>
      </c>
      <c r="H1978" s="887">
        <f>+G1978</f>
        <v>100</v>
      </c>
      <c r="I1978" s="852"/>
      <c r="J1978" s="802"/>
    </row>
    <row r="1979" spans="3:10" ht="20.100000000000001" hidden="1" customHeight="1">
      <c r="C1979" s="878"/>
      <c r="D1979" s="890" t="s">
        <v>3382</v>
      </c>
      <c r="E1979" s="1008">
        <f>E1980</f>
        <v>1000000000</v>
      </c>
      <c r="F1979" s="1005">
        <f>SUM(F1980)</f>
        <v>1000000000</v>
      </c>
      <c r="G1979" s="855">
        <f>+F1979/E1979*100</f>
        <v>100</v>
      </c>
      <c r="H1979" s="887">
        <f>+G1979</f>
        <v>100</v>
      </c>
      <c r="I1979" s="852"/>
      <c r="J1979" s="802"/>
    </row>
    <row r="1980" spans="3:10" ht="20.100000000000001" hidden="1" customHeight="1">
      <c r="C1980" s="878"/>
      <c r="D1980" s="808" t="s">
        <v>1198</v>
      </c>
      <c r="E1980" s="1009">
        <v>1000000000</v>
      </c>
      <c r="F1980" s="1003">
        <v>1000000000</v>
      </c>
      <c r="G1980" s="855">
        <f>+F1980/E1980*100</f>
        <v>100</v>
      </c>
      <c r="H1980" s="887">
        <f>+G1980</f>
        <v>100</v>
      </c>
      <c r="I1980" s="852"/>
      <c r="J1980" s="802"/>
    </row>
    <row r="1981" spans="3:10" ht="15" hidden="1" customHeight="1">
      <c r="C1981" s="878"/>
      <c r="D1981" s="808"/>
      <c r="E1981" s="1009"/>
      <c r="F1981" s="1003"/>
      <c r="G1981" s="855"/>
      <c r="H1981" s="887"/>
      <c r="I1981" s="852"/>
      <c r="J1981" s="802"/>
    </row>
    <row r="1982" spans="3:10" ht="20.100000000000001" hidden="1" customHeight="1">
      <c r="C1982" s="878"/>
      <c r="D1982" s="890" t="s">
        <v>1305</v>
      </c>
      <c r="E1982" s="1008">
        <f>E1983+E1985+E1987+E1989</f>
        <v>2100268680</v>
      </c>
      <c r="F1982" s="1005">
        <f>F1983+F1985+F1987+F1989</f>
        <v>1380268340</v>
      </c>
      <c r="G1982" s="855">
        <f t="shared" ref="G1982:G1990" si="91">+F1982/E1982*100</f>
        <v>65.718655576961709</v>
      </c>
      <c r="H1982" s="887">
        <f t="shared" ref="H1982:H1990" si="92">+G1982</f>
        <v>65.718655576961709</v>
      </c>
      <c r="I1982" s="852"/>
      <c r="J1982" s="802"/>
    </row>
    <row r="1983" spans="3:10" ht="20.100000000000001" hidden="1" customHeight="1">
      <c r="C1983" s="878"/>
      <c r="D1983" s="890" t="s">
        <v>1657</v>
      </c>
      <c r="E1983" s="1008">
        <f>E1984</f>
        <v>250000000</v>
      </c>
      <c r="F1983" s="1005">
        <f>F1984</f>
        <v>250000000</v>
      </c>
      <c r="G1983" s="855">
        <f t="shared" si="91"/>
        <v>100</v>
      </c>
      <c r="H1983" s="887">
        <f t="shared" si="92"/>
        <v>100</v>
      </c>
      <c r="I1983" s="852"/>
      <c r="J1983" s="802"/>
    </row>
    <row r="1984" spans="3:10" ht="20.100000000000001" hidden="1" customHeight="1">
      <c r="C1984" s="878"/>
      <c r="D1984" s="808" t="s">
        <v>3381</v>
      </c>
      <c r="E1984" s="1009">
        <v>250000000</v>
      </c>
      <c r="F1984" s="1003">
        <v>250000000</v>
      </c>
      <c r="G1984" s="855">
        <f t="shared" si="91"/>
        <v>100</v>
      </c>
      <c r="H1984" s="887">
        <f t="shared" si="92"/>
        <v>100</v>
      </c>
      <c r="I1984" s="852"/>
      <c r="J1984" s="802"/>
    </row>
    <row r="1985" spans="3:10" ht="20.100000000000001" hidden="1" customHeight="1">
      <c r="C1985" s="878"/>
      <c r="D1985" s="890" t="s">
        <v>3380</v>
      </c>
      <c r="E1985" s="1008">
        <v>720000000</v>
      </c>
      <c r="F1985" s="1005"/>
      <c r="G1985" s="855">
        <f t="shared" si="91"/>
        <v>0</v>
      </c>
      <c r="H1985" s="887">
        <f t="shared" si="92"/>
        <v>0</v>
      </c>
      <c r="I1985" s="852"/>
      <c r="J1985" s="802"/>
    </row>
    <row r="1986" spans="3:10" ht="20.100000000000001" hidden="1" customHeight="1">
      <c r="C1986" s="878"/>
      <c r="D1986" s="808" t="s">
        <v>3379</v>
      </c>
      <c r="E1986" s="1009">
        <v>720000000</v>
      </c>
      <c r="F1986" s="1003"/>
      <c r="G1986" s="855">
        <f t="shared" si="91"/>
        <v>0</v>
      </c>
      <c r="H1986" s="887">
        <f t="shared" si="92"/>
        <v>0</v>
      </c>
      <c r="I1986" s="852"/>
      <c r="J1986" s="802"/>
    </row>
    <row r="1987" spans="3:10" ht="20.100000000000001" hidden="1" customHeight="1">
      <c r="C1987" s="878"/>
      <c r="D1987" s="890" t="s">
        <v>1658</v>
      </c>
      <c r="E1987" s="1008">
        <f>SUM(E1988:E1988)</f>
        <v>565134340</v>
      </c>
      <c r="F1987" s="1005">
        <f>F1988</f>
        <v>565134000</v>
      </c>
      <c r="G1987" s="855">
        <f t="shared" si="91"/>
        <v>99.999939837313718</v>
      </c>
      <c r="H1987" s="887">
        <f t="shared" si="92"/>
        <v>99.999939837313718</v>
      </c>
      <c r="I1987" s="852"/>
      <c r="J1987" s="802"/>
    </row>
    <row r="1988" spans="3:10" ht="20.100000000000001" hidden="1" customHeight="1">
      <c r="C1988" s="878"/>
      <c r="D1988" s="808" t="s">
        <v>3378</v>
      </c>
      <c r="E1988" s="1009">
        <v>565134340</v>
      </c>
      <c r="F1988" s="1003">
        <v>565134000</v>
      </c>
      <c r="G1988" s="855">
        <f t="shared" si="91"/>
        <v>99.999939837313718</v>
      </c>
      <c r="H1988" s="887">
        <f t="shared" si="92"/>
        <v>99.999939837313718</v>
      </c>
      <c r="I1988" s="852"/>
      <c r="J1988" s="802"/>
    </row>
    <row r="1989" spans="3:10" ht="20.100000000000001" hidden="1" customHeight="1">
      <c r="C1989" s="878"/>
      <c r="D1989" s="890" t="s">
        <v>1661</v>
      </c>
      <c r="E1989" s="1008">
        <f>E1990</f>
        <v>565134340</v>
      </c>
      <c r="F1989" s="1005">
        <f>F1990</f>
        <v>565134340</v>
      </c>
      <c r="G1989" s="855">
        <f t="shared" si="91"/>
        <v>100</v>
      </c>
      <c r="H1989" s="887">
        <f t="shared" si="92"/>
        <v>100</v>
      </c>
      <c r="I1989" s="852"/>
      <c r="J1989" s="802"/>
    </row>
    <row r="1990" spans="3:10" ht="20.100000000000001" hidden="1" customHeight="1">
      <c r="C1990" s="878"/>
      <c r="D1990" s="808" t="s">
        <v>3377</v>
      </c>
      <c r="E1990" s="1009">
        <v>565134340</v>
      </c>
      <c r="F1990" s="1003">
        <v>565134340</v>
      </c>
      <c r="G1990" s="855">
        <f t="shared" si="91"/>
        <v>100</v>
      </c>
      <c r="H1990" s="887">
        <f t="shared" si="92"/>
        <v>100</v>
      </c>
      <c r="I1990" s="852"/>
      <c r="J1990" s="802"/>
    </row>
    <row r="1991" spans="3:10" ht="15" hidden="1" customHeight="1">
      <c r="C1991" s="878"/>
      <c r="D1991" s="808"/>
      <c r="E1991" s="1009"/>
      <c r="F1991" s="1003"/>
      <c r="G1991" s="855"/>
      <c r="H1991" s="887"/>
      <c r="I1991" s="852"/>
      <c r="J1991" s="802"/>
    </row>
    <row r="1992" spans="3:10" ht="20.100000000000001" hidden="1" customHeight="1">
      <c r="C1992" s="878"/>
      <c r="D1992" s="890" t="s">
        <v>1182</v>
      </c>
      <c r="E1992" s="1008">
        <f>E1993</f>
        <v>242691379</v>
      </c>
      <c r="F1992" s="1005">
        <f>SUM(F1993)</f>
        <v>242691379</v>
      </c>
      <c r="G1992" s="855">
        <f>+F1992/E1992*100</f>
        <v>100</v>
      </c>
      <c r="H1992" s="887">
        <f>+G1992</f>
        <v>100</v>
      </c>
      <c r="I1992" s="852"/>
      <c r="J1992" s="802"/>
    </row>
    <row r="1993" spans="3:10" ht="20.100000000000001" hidden="1" customHeight="1">
      <c r="C1993" s="878"/>
      <c r="D1993" s="890" t="s">
        <v>1466</v>
      </c>
      <c r="E1993" s="1007">
        <f>E1994</f>
        <v>242691379</v>
      </c>
      <c r="F1993" s="1005">
        <f>SUM(F1994)</f>
        <v>242691379</v>
      </c>
      <c r="G1993" s="855">
        <f>+F1993/E1993*100</f>
        <v>100</v>
      </c>
      <c r="H1993" s="887">
        <f>+G1993</f>
        <v>100</v>
      </c>
      <c r="I1993" s="852"/>
      <c r="J1993" s="802"/>
    </row>
    <row r="1994" spans="3:10" ht="47.25" hidden="1" customHeight="1">
      <c r="C1994" s="878"/>
      <c r="D1994" s="808" t="s">
        <v>1664</v>
      </c>
      <c r="E1994" s="1004">
        <v>242691379</v>
      </c>
      <c r="F1994" s="1003">
        <v>242691379</v>
      </c>
      <c r="G1994" s="855">
        <f>+F1994/E1994*100</f>
        <v>100</v>
      </c>
      <c r="H1994" s="887">
        <f>+G1994</f>
        <v>100</v>
      </c>
      <c r="I1994" s="852"/>
      <c r="J1994" s="802"/>
    </row>
    <row r="1995" spans="3:10" ht="15" hidden="1" customHeight="1">
      <c r="C1995" s="878"/>
      <c r="D1995" s="808"/>
      <c r="E1995" s="1004"/>
      <c r="F1995" s="1003"/>
      <c r="G1995" s="855"/>
      <c r="H1995" s="887"/>
      <c r="I1995" s="852"/>
      <c r="J1995" s="802"/>
    </row>
    <row r="1996" spans="3:10" ht="20.100000000000001" hidden="1" customHeight="1">
      <c r="C1996" s="878"/>
      <c r="D1996" s="890" t="s">
        <v>651</v>
      </c>
      <c r="E1996" s="1008">
        <f>E1997+E1999</f>
        <v>1977557600</v>
      </c>
      <c r="F1996" s="1005">
        <f>F1997</f>
        <v>1334392600</v>
      </c>
      <c r="G1996" s="855">
        <f>+F1996/E1996*100</f>
        <v>67.476800675742638</v>
      </c>
      <c r="H1996" s="887">
        <v>35</v>
      </c>
      <c r="I1996" s="852"/>
      <c r="J1996" s="802"/>
    </row>
    <row r="1997" spans="3:10" ht="20.100000000000001" hidden="1" customHeight="1">
      <c r="C1997" s="878"/>
      <c r="D1997" s="890" t="s">
        <v>1665</v>
      </c>
      <c r="E1997" s="1007">
        <f>E1998</f>
        <v>1926992600</v>
      </c>
      <c r="F1997" s="1005">
        <f>SUM(F1998)</f>
        <v>1334392600</v>
      </c>
      <c r="G1997" s="855">
        <f>+F1997/E1997*100</f>
        <v>69.247416933515993</v>
      </c>
      <c r="H1997" s="887">
        <v>70</v>
      </c>
      <c r="I1997" s="852"/>
      <c r="J1997" s="802"/>
    </row>
    <row r="1998" spans="3:10" ht="35.1" hidden="1" customHeight="1">
      <c r="C1998" s="878"/>
      <c r="D1998" s="808" t="s">
        <v>3376</v>
      </c>
      <c r="E1998" s="1004">
        <v>1926992600</v>
      </c>
      <c r="F1998" s="1003">
        <v>1334392600</v>
      </c>
      <c r="G1998" s="855">
        <f>+F1998/E1998*100</f>
        <v>69.247416933515993</v>
      </c>
      <c r="H1998" s="887">
        <v>70</v>
      </c>
      <c r="I1998" s="852"/>
      <c r="J1998" s="802"/>
    </row>
    <row r="1999" spans="3:10" ht="20.100000000000001" hidden="1" customHeight="1">
      <c r="C1999" s="878"/>
      <c r="D1999" s="890" t="s">
        <v>3375</v>
      </c>
      <c r="E1999" s="1006">
        <f>E2000</f>
        <v>50565000</v>
      </c>
      <c r="F1999" s="1005"/>
      <c r="G1999" s="855">
        <f>+F1999/E1999*100</f>
        <v>0</v>
      </c>
      <c r="H1999" s="887">
        <f>+G1999</f>
        <v>0</v>
      </c>
      <c r="I1999" s="852"/>
      <c r="J1999" s="802"/>
    </row>
    <row r="2000" spans="3:10" ht="20.100000000000001" hidden="1" customHeight="1">
      <c r="C2000" s="878"/>
      <c r="D2000" s="808" t="s">
        <v>3374</v>
      </c>
      <c r="E2000" s="1004">
        <v>50565000</v>
      </c>
      <c r="F2000" s="1003"/>
      <c r="G2000" s="855">
        <f>+F2000/E2000*100</f>
        <v>0</v>
      </c>
      <c r="H2000" s="887">
        <f>+G2000</f>
        <v>0</v>
      </c>
      <c r="I2000" s="852"/>
      <c r="J2000" s="802"/>
    </row>
    <row r="2001" spans="3:10" ht="15" hidden="1" customHeight="1">
      <c r="C2001" s="878"/>
      <c r="D2001" s="859"/>
      <c r="E2001" s="855"/>
      <c r="F2001" s="854"/>
      <c r="G2001" s="854"/>
      <c r="H2001" s="876"/>
      <c r="I2001" s="852"/>
      <c r="J2001" s="802"/>
    </row>
    <row r="2002" spans="3:10" s="656" customFormat="1" ht="20.100000000000001" customHeight="1">
      <c r="C2002" s="881" t="s">
        <v>3373</v>
      </c>
      <c r="D2002" s="856" t="s">
        <v>1669</v>
      </c>
      <c r="E2002" s="855">
        <v>29015053505.560001</v>
      </c>
      <c r="F2002" s="855">
        <f>+F2003+F2024+F2034+F2038+F2044+F2048+F2052+F2060+F2064</f>
        <v>26502537854</v>
      </c>
      <c r="G2002" s="855">
        <f>+F2002/E2002*100</f>
        <v>91.340647877562802</v>
      </c>
      <c r="H2002" s="887">
        <f>(H2003+H2024+H2038+H2034+H2044+H2048+H2052+H2064+H2060)/9</f>
        <v>92.142857142857139</v>
      </c>
      <c r="I2002" s="863"/>
      <c r="J2002" s="44"/>
    </row>
    <row r="2003" spans="3:10" ht="20.100000000000001" hidden="1" customHeight="1">
      <c r="C2003" s="878"/>
      <c r="D2003" s="893" t="s">
        <v>767</v>
      </c>
      <c r="E2003" s="410">
        <f>E2004+E2006+E2010+E2015+E2018+E2021</f>
        <v>10500000000</v>
      </c>
      <c r="F2003" s="410">
        <f>F2004+F2006+F2010+F2015+F2018+F2021</f>
        <v>10466738654</v>
      </c>
      <c r="G2003" s="432">
        <f t="shared" ref="G2003:G2022" si="93">F2003/E2003*100</f>
        <v>99.683225276190484</v>
      </c>
      <c r="H2003" s="432">
        <f>(H2004+H2006+H2008+H2010+H2015+H2018+H2021)/7</f>
        <v>99.285714285714292</v>
      </c>
      <c r="I2003" s="852"/>
      <c r="J2003" s="802"/>
    </row>
    <row r="2004" spans="3:10" ht="20.100000000000001" hidden="1" customHeight="1">
      <c r="C2004" s="878"/>
      <c r="D2004" s="893" t="s">
        <v>1670</v>
      </c>
      <c r="E2004" s="410">
        <f>SUM(E2005:E2005)</f>
        <v>942000000</v>
      </c>
      <c r="F2004" s="410">
        <f>SUM(F2005:F2005)</f>
        <v>942000000</v>
      </c>
      <c r="G2004" s="432">
        <f t="shared" si="93"/>
        <v>100</v>
      </c>
      <c r="H2004" s="432">
        <v>100</v>
      </c>
      <c r="I2004" s="852"/>
      <c r="J2004" s="802"/>
    </row>
    <row r="2005" spans="3:10" ht="20.100000000000001" hidden="1" customHeight="1">
      <c r="C2005" s="878"/>
      <c r="D2005" s="1002" t="s">
        <v>1671</v>
      </c>
      <c r="E2005" s="411">
        <v>942000000</v>
      </c>
      <c r="F2005" s="411">
        <v>942000000</v>
      </c>
      <c r="G2005" s="433">
        <f t="shared" si="93"/>
        <v>100</v>
      </c>
      <c r="H2005" s="433">
        <v>100</v>
      </c>
      <c r="I2005" s="852"/>
      <c r="J2005" s="802"/>
    </row>
    <row r="2006" spans="3:10" ht="20.100000000000001" hidden="1" customHeight="1">
      <c r="C2006" s="878"/>
      <c r="D2006" s="893" t="s">
        <v>3372</v>
      </c>
      <c r="E2006" s="410">
        <f>SUM(E2007:E2009)</f>
        <v>4570017000</v>
      </c>
      <c r="F2006" s="410">
        <f>SUM(F2007:F2009)</f>
        <v>4568610154</v>
      </c>
      <c r="G2006" s="432">
        <f t="shared" si="93"/>
        <v>99.969215738147142</v>
      </c>
      <c r="H2006" s="432">
        <v>100</v>
      </c>
      <c r="I2006" s="852"/>
      <c r="J2006" s="802"/>
    </row>
    <row r="2007" spans="3:10" ht="20.100000000000001" hidden="1" customHeight="1">
      <c r="C2007" s="878"/>
      <c r="D2007" s="1002" t="s">
        <v>1673</v>
      </c>
      <c r="E2007" s="411">
        <v>1909200000</v>
      </c>
      <c r="F2007" s="411">
        <v>1909200000</v>
      </c>
      <c r="G2007" s="433">
        <f t="shared" si="93"/>
        <v>100</v>
      </c>
      <c r="H2007" s="433">
        <v>100</v>
      </c>
      <c r="I2007" s="852"/>
      <c r="J2007" s="802"/>
    </row>
    <row r="2008" spans="3:10" ht="35.1" hidden="1" customHeight="1">
      <c r="C2008" s="878"/>
      <c r="D2008" s="1002" t="s">
        <v>3371</v>
      </c>
      <c r="E2008" s="411">
        <v>2314920000</v>
      </c>
      <c r="F2008" s="411">
        <v>2314604000</v>
      </c>
      <c r="G2008" s="433">
        <f t="shared" si="93"/>
        <v>99.986349420282338</v>
      </c>
      <c r="H2008" s="432">
        <v>100</v>
      </c>
      <c r="I2008" s="852"/>
      <c r="J2008" s="802"/>
    </row>
    <row r="2009" spans="3:10" ht="20.100000000000001" hidden="1" customHeight="1">
      <c r="C2009" s="878"/>
      <c r="D2009" s="1002" t="s">
        <v>3370</v>
      </c>
      <c r="E2009" s="411">
        <v>345897000</v>
      </c>
      <c r="F2009" s="411">
        <v>344806154</v>
      </c>
      <c r="G2009" s="433">
        <f t="shared" si="93"/>
        <v>99.684632708580878</v>
      </c>
      <c r="H2009" s="433">
        <v>100</v>
      </c>
      <c r="I2009" s="852"/>
      <c r="J2009" s="802"/>
    </row>
    <row r="2010" spans="3:10" ht="20.100000000000001" hidden="1" customHeight="1">
      <c r="C2010" s="878"/>
      <c r="D2010" s="893" t="s">
        <v>3369</v>
      </c>
      <c r="E2010" s="410">
        <f>SUM(E2011:E2014)</f>
        <v>2081747000</v>
      </c>
      <c r="F2010" s="410">
        <f>SUM(F2011:F2014)</f>
        <v>2052299500</v>
      </c>
      <c r="G2010" s="432">
        <f t="shared" si="93"/>
        <v>98.585442899641507</v>
      </c>
      <c r="H2010" s="432">
        <f>SUM((H2011:H2014))/4</f>
        <v>95</v>
      </c>
      <c r="I2010" s="852"/>
      <c r="J2010" s="802"/>
    </row>
    <row r="2011" spans="3:10" ht="35.1" hidden="1" customHeight="1">
      <c r="C2011" s="878"/>
      <c r="D2011" s="886" t="s">
        <v>3368</v>
      </c>
      <c r="E2011" s="411">
        <v>80800000</v>
      </c>
      <c r="F2011" s="411">
        <v>64800000</v>
      </c>
      <c r="G2011" s="433">
        <f t="shared" si="93"/>
        <v>80.198019801980209</v>
      </c>
      <c r="H2011" s="433">
        <v>80</v>
      </c>
      <c r="I2011" s="852"/>
      <c r="J2011" s="802"/>
    </row>
    <row r="2012" spans="3:10" ht="20.100000000000001" hidden="1" customHeight="1">
      <c r="C2012" s="878"/>
      <c r="D2012" s="886" t="s">
        <v>3367</v>
      </c>
      <c r="E2012" s="411">
        <v>1282800000</v>
      </c>
      <c r="F2012" s="411">
        <v>1282800000</v>
      </c>
      <c r="G2012" s="433">
        <f t="shared" si="93"/>
        <v>100</v>
      </c>
      <c r="H2012" s="433">
        <v>100</v>
      </c>
      <c r="I2012" s="852"/>
      <c r="J2012" s="802"/>
    </row>
    <row r="2013" spans="3:10" ht="20.100000000000001" hidden="1" customHeight="1">
      <c r="C2013" s="878"/>
      <c r="D2013" s="886" t="s">
        <v>3366</v>
      </c>
      <c r="E2013" s="411">
        <v>513147000</v>
      </c>
      <c r="F2013" s="411">
        <v>500827000</v>
      </c>
      <c r="G2013" s="433">
        <f t="shared" si="93"/>
        <v>97.599128514831037</v>
      </c>
      <c r="H2013" s="433">
        <v>100</v>
      </c>
      <c r="I2013" s="852"/>
      <c r="J2013" s="802"/>
    </row>
    <row r="2014" spans="3:10" ht="35.1" hidden="1" customHeight="1">
      <c r="C2014" s="878"/>
      <c r="D2014" s="886" t="s">
        <v>3365</v>
      </c>
      <c r="E2014" s="411">
        <v>205000000</v>
      </c>
      <c r="F2014" s="411">
        <v>203872500</v>
      </c>
      <c r="G2014" s="433">
        <f t="shared" si="93"/>
        <v>99.45</v>
      </c>
      <c r="H2014" s="433">
        <v>100</v>
      </c>
      <c r="I2014" s="852"/>
      <c r="J2014" s="802"/>
    </row>
    <row r="2015" spans="3:10" ht="20.100000000000001" hidden="1" customHeight="1">
      <c r="C2015" s="878"/>
      <c r="D2015" s="893" t="s">
        <v>3364</v>
      </c>
      <c r="E2015" s="410">
        <f>SUM(E2016:E2017)</f>
        <v>1018036000</v>
      </c>
      <c r="F2015" s="410">
        <f>SUM(F2016:F2017)</f>
        <v>1018036000</v>
      </c>
      <c r="G2015" s="432">
        <f t="shared" si="93"/>
        <v>100</v>
      </c>
      <c r="H2015" s="432">
        <f>G2015</f>
        <v>100</v>
      </c>
      <c r="I2015" s="852"/>
      <c r="J2015" s="802"/>
    </row>
    <row r="2016" spans="3:10" ht="20.100000000000001" hidden="1" customHeight="1">
      <c r="C2016" s="878"/>
      <c r="D2016" s="1002" t="s">
        <v>3363</v>
      </c>
      <c r="E2016" s="411">
        <v>442036000</v>
      </c>
      <c r="F2016" s="411">
        <v>442036000</v>
      </c>
      <c r="G2016" s="433">
        <f t="shared" si="93"/>
        <v>100</v>
      </c>
      <c r="H2016" s="433">
        <v>100</v>
      </c>
      <c r="I2016" s="852"/>
      <c r="J2016" s="802"/>
    </row>
    <row r="2017" spans="3:10" ht="20.100000000000001" hidden="1" customHeight="1">
      <c r="C2017" s="878"/>
      <c r="D2017" s="1002" t="s">
        <v>3362</v>
      </c>
      <c r="E2017" s="411">
        <v>576000000</v>
      </c>
      <c r="F2017" s="411">
        <v>576000000</v>
      </c>
      <c r="G2017" s="433">
        <f t="shared" si="93"/>
        <v>100</v>
      </c>
      <c r="H2017" s="433">
        <v>100</v>
      </c>
      <c r="I2017" s="852"/>
      <c r="J2017" s="802"/>
    </row>
    <row r="2018" spans="3:10" ht="20.100000000000001" hidden="1" customHeight="1">
      <c r="C2018" s="878"/>
      <c r="D2018" s="893" t="s">
        <v>3361</v>
      </c>
      <c r="E2018" s="410">
        <f>SUM(E2019:E2020)</f>
        <v>563800000</v>
      </c>
      <c r="F2018" s="410">
        <f>SUM(F2019:F2020)</f>
        <v>561393000</v>
      </c>
      <c r="G2018" s="432">
        <f t="shared" si="93"/>
        <v>99.573075558708751</v>
      </c>
      <c r="H2018" s="433">
        <v>100</v>
      </c>
      <c r="I2018" s="852"/>
      <c r="J2018" s="802"/>
    </row>
    <row r="2019" spans="3:10" ht="20.100000000000001" hidden="1" customHeight="1">
      <c r="C2019" s="878"/>
      <c r="D2019" s="886" t="s">
        <v>3360</v>
      </c>
      <c r="E2019" s="411">
        <v>275800000</v>
      </c>
      <c r="F2019" s="411">
        <v>275793000</v>
      </c>
      <c r="G2019" s="433">
        <f t="shared" si="93"/>
        <v>99.997461928934001</v>
      </c>
      <c r="H2019" s="433">
        <v>100</v>
      </c>
      <c r="I2019" s="852"/>
      <c r="J2019" s="802"/>
    </row>
    <row r="2020" spans="3:10" ht="20.100000000000001" hidden="1" customHeight="1">
      <c r="C2020" s="878"/>
      <c r="D2020" s="886" t="s">
        <v>3359</v>
      </c>
      <c r="E2020" s="411">
        <v>288000000</v>
      </c>
      <c r="F2020" s="411">
        <v>285600000</v>
      </c>
      <c r="G2020" s="433">
        <f t="shared" si="93"/>
        <v>99.166666666666671</v>
      </c>
      <c r="H2020" s="433">
        <v>100</v>
      </c>
      <c r="I2020" s="852"/>
      <c r="J2020" s="802"/>
    </row>
    <row r="2021" spans="3:10" ht="20.100000000000001" hidden="1" customHeight="1">
      <c r="C2021" s="878"/>
      <c r="D2021" s="1001" t="s">
        <v>3358</v>
      </c>
      <c r="E2021" s="410">
        <f>E2022</f>
        <v>1324400000</v>
      </c>
      <c r="F2021" s="410">
        <f>F2022</f>
        <v>1324400000</v>
      </c>
      <c r="G2021" s="432">
        <f t="shared" si="93"/>
        <v>100</v>
      </c>
      <c r="H2021" s="432">
        <v>100</v>
      </c>
      <c r="I2021" s="852"/>
      <c r="J2021" s="802"/>
    </row>
    <row r="2022" spans="3:10" ht="35.1" hidden="1" customHeight="1">
      <c r="C2022" s="878"/>
      <c r="D2022" s="886" t="s">
        <v>3357</v>
      </c>
      <c r="E2022" s="998">
        <v>1324400000</v>
      </c>
      <c r="F2022" s="998">
        <v>1324400000</v>
      </c>
      <c r="G2022" s="433">
        <f t="shared" si="93"/>
        <v>100</v>
      </c>
      <c r="H2022" s="433">
        <v>100</v>
      </c>
      <c r="I2022" s="852"/>
      <c r="J2022" s="802"/>
    </row>
    <row r="2023" spans="3:10" ht="15" hidden="1" customHeight="1">
      <c r="C2023" s="878"/>
      <c r="D2023" s="886"/>
      <c r="E2023" s="411"/>
      <c r="F2023" s="411"/>
      <c r="G2023" s="433"/>
      <c r="H2023" s="433"/>
      <c r="I2023" s="852"/>
      <c r="J2023" s="802"/>
    </row>
    <row r="2024" spans="3:10" ht="20.100000000000001" hidden="1" customHeight="1">
      <c r="C2024" s="878"/>
      <c r="D2024" s="893" t="s">
        <v>65</v>
      </c>
      <c r="E2024" s="410">
        <f>E2025+E2027+E2029+E2031</f>
        <v>8000000000</v>
      </c>
      <c r="F2024" s="410">
        <f>F2025+F2027+F2029+F2031</f>
        <v>6169740000</v>
      </c>
      <c r="G2024" s="432">
        <f t="shared" ref="G2024:G2032" si="94">F2024/E2024*100</f>
        <v>77.121750000000006</v>
      </c>
      <c r="H2024" s="432">
        <f>300/4</f>
        <v>75</v>
      </c>
      <c r="I2024" s="852"/>
      <c r="J2024" s="802"/>
    </row>
    <row r="2025" spans="3:10" ht="20.100000000000001" hidden="1" customHeight="1">
      <c r="C2025" s="878"/>
      <c r="D2025" s="893" t="s">
        <v>1682</v>
      </c>
      <c r="E2025" s="410">
        <f>E2026</f>
        <v>1738760000</v>
      </c>
      <c r="F2025" s="410">
        <f>F2026</f>
        <v>0</v>
      </c>
      <c r="G2025" s="433">
        <f t="shared" si="94"/>
        <v>0</v>
      </c>
      <c r="H2025" s="433">
        <v>0</v>
      </c>
      <c r="I2025" s="852"/>
      <c r="J2025" s="802"/>
    </row>
    <row r="2026" spans="3:10" ht="20.100000000000001" hidden="1" customHeight="1">
      <c r="C2026" s="878"/>
      <c r="D2026" s="886" t="s">
        <v>3356</v>
      </c>
      <c r="E2026" s="411">
        <v>1738760000</v>
      </c>
      <c r="F2026" s="411">
        <v>0</v>
      </c>
      <c r="G2026" s="433">
        <f t="shared" si="94"/>
        <v>0</v>
      </c>
      <c r="H2026" s="432">
        <v>0</v>
      </c>
      <c r="I2026" s="852"/>
      <c r="J2026" s="802"/>
    </row>
    <row r="2027" spans="3:10" ht="20.100000000000001" hidden="1" customHeight="1">
      <c r="C2027" s="878"/>
      <c r="D2027" s="893" t="s">
        <v>3355</v>
      </c>
      <c r="E2027" s="410">
        <f>E2028</f>
        <v>825240000</v>
      </c>
      <c r="F2027" s="410">
        <f>F2028</f>
        <v>825240000</v>
      </c>
      <c r="G2027" s="432">
        <f t="shared" si="94"/>
        <v>100</v>
      </c>
      <c r="H2027" s="433">
        <v>100</v>
      </c>
      <c r="I2027" s="852"/>
      <c r="J2027" s="802"/>
    </row>
    <row r="2028" spans="3:10" ht="20.100000000000001" hidden="1" customHeight="1">
      <c r="C2028" s="878"/>
      <c r="D2028" s="886" t="s">
        <v>3354</v>
      </c>
      <c r="E2028" s="411">
        <v>825240000</v>
      </c>
      <c r="F2028" s="411">
        <v>825240000</v>
      </c>
      <c r="G2028" s="433">
        <f t="shared" si="94"/>
        <v>100</v>
      </c>
      <c r="H2028" s="432">
        <v>100</v>
      </c>
      <c r="I2028" s="852"/>
      <c r="J2028" s="802"/>
    </row>
    <row r="2029" spans="3:10" ht="20.100000000000001" hidden="1" customHeight="1">
      <c r="C2029" s="878"/>
      <c r="D2029" s="893" t="s">
        <v>1693</v>
      </c>
      <c r="E2029" s="410">
        <f>E2030</f>
        <v>4446000000</v>
      </c>
      <c r="F2029" s="410">
        <f>F2030</f>
        <v>4354500000</v>
      </c>
      <c r="G2029" s="432">
        <f t="shared" si="94"/>
        <v>97.941970310391355</v>
      </c>
      <c r="H2029" s="432">
        <v>100</v>
      </c>
      <c r="I2029" s="852"/>
      <c r="J2029" s="802"/>
    </row>
    <row r="2030" spans="3:10" ht="20.100000000000001" hidden="1" customHeight="1">
      <c r="C2030" s="878"/>
      <c r="D2030" s="886" t="s">
        <v>3353</v>
      </c>
      <c r="E2030" s="998">
        <v>4446000000</v>
      </c>
      <c r="F2030" s="998">
        <v>4354500000</v>
      </c>
      <c r="G2030" s="433">
        <f t="shared" si="94"/>
        <v>97.941970310391355</v>
      </c>
      <c r="H2030" s="433">
        <v>100</v>
      </c>
      <c r="I2030" s="852"/>
      <c r="J2030" s="802"/>
    </row>
    <row r="2031" spans="3:10" ht="35.1" hidden="1" customHeight="1">
      <c r="C2031" s="878"/>
      <c r="D2031" s="893" t="s">
        <v>3352</v>
      </c>
      <c r="E2031" s="410">
        <f>E2032</f>
        <v>990000000</v>
      </c>
      <c r="F2031" s="410">
        <f>F2032</f>
        <v>990000000</v>
      </c>
      <c r="G2031" s="432">
        <f t="shared" si="94"/>
        <v>100</v>
      </c>
      <c r="H2031" s="432">
        <v>100</v>
      </c>
      <c r="I2031" s="852"/>
      <c r="J2031" s="802"/>
    </row>
    <row r="2032" spans="3:10" ht="20.100000000000001" hidden="1" customHeight="1">
      <c r="C2032" s="878"/>
      <c r="D2032" s="886" t="s">
        <v>1415</v>
      </c>
      <c r="E2032" s="411">
        <v>990000000</v>
      </c>
      <c r="F2032" s="411">
        <v>990000000</v>
      </c>
      <c r="G2032" s="433">
        <f t="shared" si="94"/>
        <v>100</v>
      </c>
      <c r="H2032" s="433">
        <v>100</v>
      </c>
      <c r="I2032" s="852"/>
      <c r="J2032" s="802"/>
    </row>
    <row r="2033" spans="3:10" ht="15" hidden="1" customHeight="1">
      <c r="C2033" s="878"/>
      <c r="D2033" s="886"/>
      <c r="E2033" s="411"/>
      <c r="F2033" s="411"/>
      <c r="G2033" s="433"/>
      <c r="H2033" s="433"/>
      <c r="I2033" s="852"/>
      <c r="J2033" s="802"/>
    </row>
    <row r="2034" spans="3:10" ht="20.100000000000001" hidden="1" customHeight="1">
      <c r="C2034" s="878"/>
      <c r="D2034" s="893" t="s">
        <v>1695</v>
      </c>
      <c r="E2034" s="410">
        <f>E2035</f>
        <v>2000000000</v>
      </c>
      <c r="F2034" s="410">
        <f>F2035</f>
        <v>1630395000</v>
      </c>
      <c r="G2034" s="432">
        <f>F2034/E2034*100</f>
        <v>81.519750000000002</v>
      </c>
      <c r="H2034" s="432">
        <v>85</v>
      </c>
      <c r="I2034" s="852"/>
      <c r="J2034" s="802"/>
    </row>
    <row r="2035" spans="3:10" ht="20.100000000000001" hidden="1" customHeight="1">
      <c r="C2035" s="878"/>
      <c r="D2035" s="893" t="s">
        <v>1696</v>
      </c>
      <c r="E2035" s="1000">
        <f>E2036</f>
        <v>2000000000</v>
      </c>
      <c r="F2035" s="1000">
        <f>F2036</f>
        <v>1630395000</v>
      </c>
      <c r="G2035" s="432">
        <f>F2035/E2035*100</f>
        <v>81.519750000000002</v>
      </c>
      <c r="H2035" s="432">
        <v>85</v>
      </c>
      <c r="I2035" s="852"/>
      <c r="J2035" s="802"/>
    </row>
    <row r="2036" spans="3:10" ht="20.100000000000001" hidden="1" customHeight="1">
      <c r="C2036" s="878"/>
      <c r="D2036" s="925" t="s">
        <v>3351</v>
      </c>
      <c r="E2036" s="960">
        <v>2000000000</v>
      </c>
      <c r="F2036" s="960">
        <f>1630395000</f>
        <v>1630395000</v>
      </c>
      <c r="G2036" s="433">
        <f>F2036/E2036*100</f>
        <v>81.519750000000002</v>
      </c>
      <c r="H2036" s="432">
        <v>85</v>
      </c>
      <c r="I2036" s="852"/>
      <c r="J2036" s="802"/>
    </row>
    <row r="2037" spans="3:10" ht="15" hidden="1" customHeight="1">
      <c r="C2037" s="878"/>
      <c r="D2037" s="859"/>
      <c r="E2037" s="999"/>
      <c r="F2037" s="999"/>
      <c r="G2037" s="433"/>
      <c r="H2037" s="433"/>
      <c r="I2037" s="852"/>
      <c r="J2037" s="802"/>
    </row>
    <row r="2038" spans="3:10" ht="20.100000000000001" hidden="1" customHeight="1">
      <c r="C2038" s="878"/>
      <c r="D2038" s="893" t="s">
        <v>642</v>
      </c>
      <c r="E2038" s="410">
        <f>E2039+E2041</f>
        <v>1798000000</v>
      </c>
      <c r="F2038" s="410">
        <f>F2039+F2041</f>
        <v>1596900000</v>
      </c>
      <c r="G2038" s="432">
        <f>F2038/E2038*100</f>
        <v>88.815350389321466</v>
      </c>
      <c r="H2038" s="432">
        <v>90</v>
      </c>
      <c r="I2038" s="852"/>
      <c r="J2038" s="802"/>
    </row>
    <row r="2039" spans="3:10" ht="20.100000000000001" hidden="1" customHeight="1">
      <c r="C2039" s="878"/>
      <c r="D2039" s="893" t="s">
        <v>3350</v>
      </c>
      <c r="E2039" s="410">
        <f>E2040</f>
        <v>1000000000</v>
      </c>
      <c r="F2039" s="410">
        <f>F2040</f>
        <v>798900000</v>
      </c>
      <c r="G2039" s="432">
        <f>F2039/E2039*100</f>
        <v>79.89</v>
      </c>
      <c r="H2039" s="432">
        <v>80</v>
      </c>
      <c r="I2039" s="852"/>
      <c r="J2039" s="802"/>
    </row>
    <row r="2040" spans="3:10" ht="35.1" hidden="1" customHeight="1">
      <c r="C2040" s="878"/>
      <c r="D2040" s="886" t="s">
        <v>3349</v>
      </c>
      <c r="E2040" s="411">
        <v>1000000000</v>
      </c>
      <c r="F2040" s="411">
        <v>798900000</v>
      </c>
      <c r="G2040" s="433">
        <f>F2040/E2040*100</f>
        <v>79.89</v>
      </c>
      <c r="H2040" s="433">
        <v>80</v>
      </c>
      <c r="I2040" s="852"/>
      <c r="J2040" s="802"/>
    </row>
    <row r="2041" spans="3:10" ht="35.1" hidden="1" customHeight="1">
      <c r="C2041" s="878"/>
      <c r="D2041" s="893" t="s">
        <v>1698</v>
      </c>
      <c r="E2041" s="410">
        <f>E2042</f>
        <v>798000000</v>
      </c>
      <c r="F2041" s="410">
        <f>F2042</f>
        <v>798000000</v>
      </c>
      <c r="G2041" s="432">
        <f>F2041/E2041*100</f>
        <v>100</v>
      </c>
      <c r="H2041" s="432">
        <v>100</v>
      </c>
      <c r="I2041" s="852"/>
      <c r="J2041" s="802"/>
    </row>
    <row r="2042" spans="3:10" ht="35.1" hidden="1" customHeight="1">
      <c r="C2042" s="878"/>
      <c r="D2042" s="886" t="s">
        <v>3348</v>
      </c>
      <c r="E2042" s="998">
        <v>798000000</v>
      </c>
      <c r="F2042" s="998">
        <v>798000000</v>
      </c>
      <c r="G2042" s="433">
        <f>F2042/E2042*100</f>
        <v>100</v>
      </c>
      <c r="H2042" s="432">
        <v>100</v>
      </c>
      <c r="I2042" s="852"/>
      <c r="J2042" s="802"/>
    </row>
    <row r="2043" spans="3:10" ht="15" hidden="1" customHeight="1">
      <c r="C2043" s="878"/>
      <c r="D2043" s="886"/>
      <c r="E2043" s="411"/>
      <c r="F2043" s="411"/>
      <c r="G2043" s="433"/>
      <c r="H2043" s="433"/>
      <c r="I2043" s="852"/>
      <c r="J2043" s="802"/>
    </row>
    <row r="2044" spans="3:10" ht="20.100000000000001" hidden="1" customHeight="1">
      <c r="C2044" s="878"/>
      <c r="D2044" s="893" t="s">
        <v>1137</v>
      </c>
      <c r="E2044" s="410">
        <f>E2045</f>
        <v>500000000</v>
      </c>
      <c r="F2044" s="410">
        <f>F2045</f>
        <v>499397200</v>
      </c>
      <c r="G2044" s="432">
        <f>F2044/E2044*100</f>
        <v>99.879440000000002</v>
      </c>
      <c r="H2044" s="432">
        <v>100</v>
      </c>
      <c r="I2044" s="852"/>
      <c r="J2044" s="802"/>
    </row>
    <row r="2045" spans="3:10" ht="20.100000000000001" hidden="1" customHeight="1">
      <c r="C2045" s="878"/>
      <c r="D2045" s="893" t="s">
        <v>3347</v>
      </c>
      <c r="E2045" s="410">
        <f>E2046</f>
        <v>500000000</v>
      </c>
      <c r="F2045" s="410">
        <f>F2046</f>
        <v>499397200</v>
      </c>
      <c r="G2045" s="432">
        <f>F2045/E2045*100</f>
        <v>99.879440000000002</v>
      </c>
      <c r="H2045" s="432">
        <v>100</v>
      </c>
      <c r="I2045" s="852"/>
      <c r="J2045" s="802"/>
    </row>
    <row r="2046" spans="3:10" ht="20.100000000000001" hidden="1" customHeight="1">
      <c r="C2046" s="878"/>
      <c r="D2046" s="886" t="s">
        <v>1185</v>
      </c>
      <c r="E2046" s="411">
        <v>500000000</v>
      </c>
      <c r="F2046" s="411">
        <f>499397200</f>
        <v>499397200</v>
      </c>
      <c r="G2046" s="433">
        <f>F2046/E2046*100</f>
        <v>99.879440000000002</v>
      </c>
      <c r="H2046" s="432">
        <v>100</v>
      </c>
      <c r="I2046" s="852"/>
      <c r="J2046" s="802"/>
    </row>
    <row r="2047" spans="3:10" ht="15" hidden="1" customHeight="1">
      <c r="C2047" s="878"/>
      <c r="D2047" s="886"/>
      <c r="E2047" s="411"/>
      <c r="F2047" s="411"/>
      <c r="G2047" s="433"/>
      <c r="H2047" s="433"/>
      <c r="I2047" s="852"/>
      <c r="J2047" s="802"/>
    </row>
    <row r="2048" spans="3:10" ht="20.100000000000001" hidden="1" customHeight="1">
      <c r="C2048" s="878"/>
      <c r="D2048" s="893" t="s">
        <v>3346</v>
      </c>
      <c r="E2048" s="410">
        <f>E2049</f>
        <v>700000000</v>
      </c>
      <c r="F2048" s="410">
        <f>F2049</f>
        <v>699787000</v>
      </c>
      <c r="G2048" s="432">
        <f>F2048/E2048*100</f>
        <v>99.969571428571427</v>
      </c>
      <c r="H2048" s="432">
        <v>100</v>
      </c>
      <c r="I2048" s="852"/>
      <c r="J2048" s="802"/>
    </row>
    <row r="2049" spans="3:10" ht="20.100000000000001" hidden="1" customHeight="1">
      <c r="C2049" s="878"/>
      <c r="D2049" s="893" t="s">
        <v>3345</v>
      </c>
      <c r="E2049" s="410">
        <f>E2050</f>
        <v>700000000</v>
      </c>
      <c r="F2049" s="410">
        <f>F2050</f>
        <v>699787000</v>
      </c>
      <c r="G2049" s="432">
        <f>F2049/E2049*100</f>
        <v>99.969571428571427</v>
      </c>
      <c r="H2049" s="432">
        <v>100</v>
      </c>
      <c r="I2049" s="852"/>
      <c r="J2049" s="802"/>
    </row>
    <row r="2050" spans="3:10" ht="35.1" hidden="1" customHeight="1">
      <c r="C2050" s="878"/>
      <c r="D2050" s="886" t="s">
        <v>3344</v>
      </c>
      <c r="E2050" s="411">
        <v>700000000</v>
      </c>
      <c r="F2050" s="411">
        <v>699787000</v>
      </c>
      <c r="G2050" s="433">
        <f>F2050/E2050*100</f>
        <v>99.969571428571427</v>
      </c>
      <c r="H2050" s="432">
        <v>100</v>
      </c>
      <c r="I2050" s="852"/>
      <c r="J2050" s="802"/>
    </row>
    <row r="2051" spans="3:10" ht="15" hidden="1" customHeight="1">
      <c r="C2051" s="878"/>
      <c r="D2051" s="997"/>
      <c r="E2051" s="996"/>
      <c r="F2051" s="996"/>
      <c r="G2051" s="433"/>
      <c r="H2051" s="433"/>
      <c r="I2051" s="852"/>
      <c r="J2051" s="802"/>
    </row>
    <row r="2052" spans="3:10" ht="20.100000000000001" hidden="1" customHeight="1">
      <c r="C2052" s="878"/>
      <c r="D2052" s="893" t="s">
        <v>1146</v>
      </c>
      <c r="E2052" s="410">
        <f>E2053+E2057</f>
        <v>2700000000</v>
      </c>
      <c r="F2052" s="410">
        <f>F2053+F2057</f>
        <v>2639580000</v>
      </c>
      <c r="G2052" s="432">
        <f t="shared" ref="G2052:G2058" si="95">F2052/E2052*100</f>
        <v>97.762222222222221</v>
      </c>
      <c r="H2052" s="432">
        <f>160/2</f>
        <v>80</v>
      </c>
      <c r="I2052" s="852"/>
      <c r="J2052" s="802"/>
    </row>
    <row r="2053" spans="3:10" ht="20.100000000000001" hidden="1" customHeight="1">
      <c r="C2053" s="878"/>
      <c r="D2053" s="893" t="s">
        <v>1712</v>
      </c>
      <c r="E2053" s="410">
        <f>E2054+E2055+E2056</f>
        <v>1740000000</v>
      </c>
      <c r="F2053" s="410">
        <f>F2054+F2055+F2056</f>
        <v>1680052000</v>
      </c>
      <c r="G2053" s="432">
        <f t="shared" si="95"/>
        <v>96.554712643678158</v>
      </c>
      <c r="H2053" s="432">
        <f>180/3</f>
        <v>60</v>
      </c>
      <c r="I2053" s="852"/>
      <c r="J2053" s="802"/>
    </row>
    <row r="2054" spans="3:10" ht="20.100000000000001" hidden="1" customHeight="1">
      <c r="C2054" s="878"/>
      <c r="D2054" s="886" t="s">
        <v>313</v>
      </c>
      <c r="E2054" s="995">
        <v>1148700000</v>
      </c>
      <c r="F2054" s="995">
        <v>1143574000</v>
      </c>
      <c r="G2054" s="433">
        <f t="shared" si="95"/>
        <v>99.553756420301212</v>
      </c>
      <c r="H2054" s="433">
        <v>80</v>
      </c>
      <c r="I2054" s="852"/>
      <c r="J2054" s="802"/>
    </row>
    <row r="2055" spans="3:10" ht="20.100000000000001" hidden="1" customHeight="1">
      <c r="C2055" s="878"/>
      <c r="D2055" s="886" t="s">
        <v>3343</v>
      </c>
      <c r="E2055" s="994">
        <v>541300000</v>
      </c>
      <c r="F2055" s="994">
        <v>536478000</v>
      </c>
      <c r="G2055" s="433">
        <f t="shared" si="95"/>
        <v>99.109181599852207</v>
      </c>
      <c r="H2055" s="433">
        <v>100</v>
      </c>
      <c r="I2055" s="852"/>
      <c r="J2055" s="802"/>
    </row>
    <row r="2056" spans="3:10" ht="20.100000000000001" hidden="1" customHeight="1">
      <c r="C2056" s="878"/>
      <c r="D2056" s="886" t="s">
        <v>3342</v>
      </c>
      <c r="E2056" s="993">
        <v>50000000</v>
      </c>
      <c r="F2056" s="993">
        <v>0</v>
      </c>
      <c r="G2056" s="433">
        <f t="shared" si="95"/>
        <v>0</v>
      </c>
      <c r="H2056" s="433">
        <v>0</v>
      </c>
      <c r="I2056" s="852"/>
      <c r="J2056" s="802"/>
    </row>
    <row r="2057" spans="3:10" ht="20.100000000000001" hidden="1" customHeight="1">
      <c r="C2057" s="878"/>
      <c r="D2057" s="893" t="s">
        <v>1714</v>
      </c>
      <c r="E2057" s="992">
        <f>E2058</f>
        <v>960000000</v>
      </c>
      <c r="F2057" s="992">
        <f>F2058</f>
        <v>959528000</v>
      </c>
      <c r="G2057" s="432">
        <f t="shared" si="95"/>
        <v>99.950833333333335</v>
      </c>
      <c r="H2057" s="432">
        <v>100</v>
      </c>
      <c r="I2057" s="852"/>
      <c r="J2057" s="802"/>
    </row>
    <row r="2058" spans="3:10" ht="20.100000000000001" hidden="1" customHeight="1">
      <c r="C2058" s="878"/>
      <c r="D2058" s="886" t="s">
        <v>1715</v>
      </c>
      <c r="E2058" s="340">
        <v>960000000</v>
      </c>
      <c r="F2058" s="340">
        <v>959528000</v>
      </c>
      <c r="G2058" s="433">
        <f t="shared" si="95"/>
        <v>99.950833333333335</v>
      </c>
      <c r="H2058" s="433">
        <v>100</v>
      </c>
      <c r="I2058" s="852"/>
      <c r="J2058" s="802"/>
    </row>
    <row r="2059" spans="3:10" ht="15" hidden="1" customHeight="1">
      <c r="C2059" s="878"/>
      <c r="D2059" s="859"/>
      <c r="E2059" s="340"/>
      <c r="F2059" s="340"/>
      <c r="G2059" s="433"/>
      <c r="H2059" s="432"/>
      <c r="I2059" s="852"/>
      <c r="J2059" s="802"/>
    </row>
    <row r="2060" spans="3:10" ht="20.100000000000001" hidden="1" customHeight="1">
      <c r="C2060" s="878"/>
      <c r="D2060" s="893" t="s">
        <v>651</v>
      </c>
      <c r="E2060" s="410">
        <f>E2061</f>
        <v>800000000</v>
      </c>
      <c r="F2060" s="410">
        <f>F2061</f>
        <v>800000000</v>
      </c>
      <c r="G2060" s="432">
        <f>F2060/E2060*100</f>
        <v>100</v>
      </c>
      <c r="H2060" s="432">
        <v>100</v>
      </c>
      <c r="I2060" s="852"/>
      <c r="J2060" s="802"/>
    </row>
    <row r="2061" spans="3:10" ht="20.100000000000001" hidden="1" customHeight="1">
      <c r="C2061" s="878"/>
      <c r="D2061" s="893" t="s">
        <v>1716</v>
      </c>
      <c r="E2061" s="410">
        <f>E2062</f>
        <v>800000000</v>
      </c>
      <c r="F2061" s="410">
        <f>F2062</f>
        <v>800000000</v>
      </c>
      <c r="G2061" s="432">
        <f>F2061/E2061*100</f>
        <v>100</v>
      </c>
      <c r="H2061" s="432">
        <v>100</v>
      </c>
      <c r="I2061" s="852"/>
      <c r="J2061" s="802"/>
    </row>
    <row r="2062" spans="3:10" ht="20.100000000000001" hidden="1" customHeight="1">
      <c r="C2062" s="878"/>
      <c r="D2062" s="886" t="s">
        <v>1717</v>
      </c>
      <c r="E2062" s="340">
        <v>800000000</v>
      </c>
      <c r="F2062" s="340">
        <v>800000000</v>
      </c>
      <c r="G2062" s="433">
        <f>F2062/E2062*100</f>
        <v>100</v>
      </c>
      <c r="H2062" s="432">
        <v>100</v>
      </c>
      <c r="I2062" s="852"/>
      <c r="J2062" s="802"/>
    </row>
    <row r="2063" spans="3:10" ht="15" hidden="1" customHeight="1">
      <c r="C2063" s="878"/>
      <c r="D2063" s="886"/>
      <c r="E2063" s="448"/>
      <c r="F2063" s="448"/>
      <c r="G2063" s="433"/>
      <c r="H2063" s="432"/>
      <c r="I2063" s="852"/>
      <c r="J2063" s="802"/>
    </row>
    <row r="2064" spans="3:10" ht="20.100000000000001" hidden="1" customHeight="1">
      <c r="C2064" s="878"/>
      <c r="D2064" s="893" t="s">
        <v>1718</v>
      </c>
      <c r="E2064" s="883">
        <f>E2065</f>
        <v>2017053505.5599999</v>
      </c>
      <c r="F2064" s="883">
        <f>F2065</f>
        <v>2000000000</v>
      </c>
      <c r="G2064" s="432">
        <f>F2064/E2064*100</f>
        <v>99.154533803243595</v>
      </c>
      <c r="H2064" s="432">
        <v>100</v>
      </c>
      <c r="I2064" s="852"/>
      <c r="J2064" s="802"/>
    </row>
    <row r="2065" spans="3:10" ht="20.100000000000001" hidden="1" customHeight="1">
      <c r="C2065" s="878"/>
      <c r="D2065" s="893" t="s">
        <v>1374</v>
      </c>
      <c r="E2065" s="880">
        <f>E2066</f>
        <v>2017053505.5599999</v>
      </c>
      <c r="F2065" s="880">
        <f>F2066</f>
        <v>2000000000</v>
      </c>
      <c r="G2065" s="433">
        <f>F2065/E2065*100</f>
        <v>99.154533803243595</v>
      </c>
      <c r="H2065" s="433">
        <v>100</v>
      </c>
      <c r="I2065" s="852"/>
      <c r="J2065" s="802"/>
    </row>
    <row r="2066" spans="3:10" ht="20.100000000000001" hidden="1" customHeight="1">
      <c r="C2066" s="878"/>
      <c r="D2066" s="886" t="s">
        <v>1719</v>
      </c>
      <c r="E2066" s="880">
        <v>2017053505.5599999</v>
      </c>
      <c r="F2066" s="880">
        <v>2000000000</v>
      </c>
      <c r="G2066" s="433">
        <f>F2066/E2066*100</f>
        <v>99.154533803243595</v>
      </c>
      <c r="H2066" s="432">
        <v>100</v>
      </c>
      <c r="I2066" s="852"/>
      <c r="J2066" s="802"/>
    </row>
    <row r="2067" spans="3:10" ht="15" hidden="1" customHeight="1">
      <c r="C2067" s="878"/>
      <c r="D2067" s="859"/>
      <c r="E2067" s="855"/>
      <c r="F2067" s="854"/>
      <c r="G2067" s="854"/>
      <c r="H2067" s="876"/>
      <c r="I2067" s="852"/>
      <c r="J2067" s="802"/>
    </row>
    <row r="2068" spans="3:10" s="656" customFormat="1" ht="20.100000000000001" customHeight="1">
      <c r="C2068" s="881" t="s">
        <v>1720</v>
      </c>
      <c r="D2068" s="856" t="s">
        <v>3341</v>
      </c>
      <c r="E2068" s="855">
        <f>+E2069+E2082+E2086+E2092+E2096+E2100+E2111+E2115+E2119+E2123+E2127+E2133+E2139</f>
        <v>43827566023.510002</v>
      </c>
      <c r="F2068" s="855">
        <f>+F2069+F2082+F2086+F2092+F2096+F2100+F2111+F2115+F2119+F2123+F2127+F2133+F2139</f>
        <v>33169181836</v>
      </c>
      <c r="G2068" s="855">
        <f>+F2068/E2068*100</f>
        <v>75.681094903165231</v>
      </c>
      <c r="H2068" s="887">
        <v>80</v>
      </c>
      <c r="I2068" s="863"/>
      <c r="J2068" s="44"/>
    </row>
    <row r="2069" spans="3:10" s="656" customFormat="1" ht="20.100000000000001" hidden="1" customHeight="1">
      <c r="C2069" s="881"/>
      <c r="D2069" s="893" t="s">
        <v>444</v>
      </c>
      <c r="E2069" s="990">
        <f>E2070+E2074+E2076+E2078</f>
        <v>6013015070</v>
      </c>
      <c r="F2069" s="990">
        <f>F2070+F2074+F2076+F2078</f>
        <v>3002507535</v>
      </c>
      <c r="G2069" s="414">
        <f t="shared" ref="G2069:G2080" si="96">F2069/E2069*100</f>
        <v>49.933477632212217</v>
      </c>
      <c r="H2069" s="414">
        <v>50</v>
      </c>
      <c r="I2069" s="863"/>
      <c r="J2069" s="44"/>
    </row>
    <row r="2070" spans="3:10" s="656" customFormat="1" ht="20.100000000000001" hidden="1" customHeight="1">
      <c r="C2070" s="881"/>
      <c r="D2070" s="893" t="s">
        <v>394</v>
      </c>
      <c r="E2070" s="414">
        <f>SUM(E2071:E2073)</f>
        <v>1663296560</v>
      </c>
      <c r="F2070" s="414">
        <f>SUM(F2071:F2073)</f>
        <v>830648280</v>
      </c>
      <c r="G2070" s="414">
        <f t="shared" si="96"/>
        <v>49.939878430338361</v>
      </c>
      <c r="H2070" s="414">
        <v>50</v>
      </c>
      <c r="I2070" s="863"/>
      <c r="J2070" s="44"/>
    </row>
    <row r="2071" spans="3:10" ht="20.100000000000001" hidden="1" customHeight="1">
      <c r="C2071" s="878"/>
      <c r="D2071" s="886" t="s">
        <v>3064</v>
      </c>
      <c r="E2071" s="415">
        <v>600000000</v>
      </c>
      <c r="F2071" s="415">
        <v>299000000</v>
      </c>
      <c r="G2071" s="415">
        <f t="shared" si="96"/>
        <v>49.833333333333336</v>
      </c>
      <c r="H2071" s="415">
        <v>50</v>
      </c>
      <c r="I2071" s="852"/>
      <c r="J2071" s="802"/>
    </row>
    <row r="2072" spans="3:10" s="656" customFormat="1" ht="20.100000000000001" hidden="1" customHeight="1">
      <c r="C2072" s="881"/>
      <c r="D2072" s="886" t="s">
        <v>3340</v>
      </c>
      <c r="E2072" s="415">
        <v>663296560</v>
      </c>
      <c r="F2072" s="415">
        <v>331648280</v>
      </c>
      <c r="G2072" s="415">
        <f t="shared" si="96"/>
        <v>50</v>
      </c>
      <c r="H2072" s="415">
        <v>50</v>
      </c>
      <c r="I2072" s="863"/>
      <c r="J2072" s="44"/>
    </row>
    <row r="2073" spans="3:10" ht="20.100000000000001" hidden="1" customHeight="1">
      <c r="C2073" s="878"/>
      <c r="D2073" s="886" t="s">
        <v>1723</v>
      </c>
      <c r="E2073" s="415">
        <v>400000000</v>
      </c>
      <c r="F2073" s="415">
        <v>200000000</v>
      </c>
      <c r="G2073" s="415">
        <f t="shared" si="96"/>
        <v>50</v>
      </c>
      <c r="H2073" s="415">
        <v>50</v>
      </c>
      <c r="I2073" s="852"/>
      <c r="J2073" s="802"/>
    </row>
    <row r="2074" spans="3:10" s="656" customFormat="1" ht="20.100000000000001" hidden="1" customHeight="1">
      <c r="C2074" s="881"/>
      <c r="D2074" s="893" t="s">
        <v>108</v>
      </c>
      <c r="E2074" s="414">
        <v>356421950</v>
      </c>
      <c r="F2074" s="372">
        <v>178210975</v>
      </c>
      <c r="G2074" s="414">
        <f t="shared" si="96"/>
        <v>50</v>
      </c>
      <c r="H2074" s="414">
        <v>50</v>
      </c>
      <c r="I2074" s="863"/>
      <c r="J2074" s="44"/>
    </row>
    <row r="2075" spans="3:10" ht="35.1" hidden="1" customHeight="1">
      <c r="C2075" s="878"/>
      <c r="D2075" s="886" t="s">
        <v>1724</v>
      </c>
      <c r="E2075" s="415">
        <v>356421950</v>
      </c>
      <c r="F2075" s="373">
        <v>178210975</v>
      </c>
      <c r="G2075" s="415">
        <f t="shared" si="96"/>
        <v>50</v>
      </c>
      <c r="H2075" s="415">
        <v>50</v>
      </c>
      <c r="I2075" s="852"/>
      <c r="J2075" s="802"/>
    </row>
    <row r="2076" spans="3:10" s="656" customFormat="1" ht="20.100000000000001" hidden="1" customHeight="1">
      <c r="C2076" s="881"/>
      <c r="D2076" s="893" t="s">
        <v>95</v>
      </c>
      <c r="E2076" s="414">
        <v>1330000000</v>
      </c>
      <c r="F2076" s="372">
        <v>665000000</v>
      </c>
      <c r="G2076" s="414">
        <f t="shared" si="96"/>
        <v>50</v>
      </c>
      <c r="H2076" s="414">
        <v>50</v>
      </c>
      <c r="I2076" s="863"/>
      <c r="J2076" s="44"/>
    </row>
    <row r="2077" spans="3:10" s="656" customFormat="1" ht="35.1" hidden="1" customHeight="1">
      <c r="C2077" s="881"/>
      <c r="D2077" s="886" t="s">
        <v>3339</v>
      </c>
      <c r="E2077" s="415">
        <v>1330000000</v>
      </c>
      <c r="F2077" s="373">
        <v>665000000</v>
      </c>
      <c r="G2077" s="415">
        <f t="shared" si="96"/>
        <v>50</v>
      </c>
      <c r="H2077" s="415">
        <v>50</v>
      </c>
      <c r="I2077" s="863"/>
      <c r="J2077" s="44"/>
    </row>
    <row r="2078" spans="3:10" s="656" customFormat="1" ht="20.100000000000001" hidden="1" customHeight="1">
      <c r="C2078" s="881"/>
      <c r="D2078" s="886" t="s">
        <v>1725</v>
      </c>
      <c r="E2078" s="415">
        <f>E2079+E2080</f>
        <v>2663296560</v>
      </c>
      <c r="F2078" s="373">
        <f>F2079+F2080</f>
        <v>1328648280</v>
      </c>
      <c r="G2078" s="415">
        <f t="shared" si="96"/>
        <v>49.887357643716548</v>
      </c>
      <c r="H2078" s="415">
        <v>50</v>
      </c>
      <c r="I2078" s="863"/>
      <c r="J2078" s="44"/>
    </row>
    <row r="2079" spans="3:10" ht="35.1" hidden="1" customHeight="1">
      <c r="C2079" s="878"/>
      <c r="D2079" s="886" t="s">
        <v>3338</v>
      </c>
      <c r="E2079" s="415">
        <v>663296560</v>
      </c>
      <c r="F2079" s="373">
        <v>331648280</v>
      </c>
      <c r="G2079" s="415">
        <f t="shared" si="96"/>
        <v>50</v>
      </c>
      <c r="H2079" s="415">
        <v>50</v>
      </c>
      <c r="I2079" s="852"/>
      <c r="J2079" s="802"/>
    </row>
    <row r="2080" spans="3:10" ht="35.1" hidden="1" customHeight="1">
      <c r="C2080" s="878"/>
      <c r="D2080" s="886" t="s">
        <v>1726</v>
      </c>
      <c r="E2080" s="415">
        <v>2000000000</v>
      </c>
      <c r="F2080" s="373">
        <v>997000000</v>
      </c>
      <c r="G2080" s="415">
        <f t="shared" si="96"/>
        <v>49.85</v>
      </c>
      <c r="H2080" s="415">
        <v>50</v>
      </c>
      <c r="I2080" s="852"/>
      <c r="J2080" s="802"/>
    </row>
    <row r="2081" spans="3:10" ht="15" hidden="1" customHeight="1">
      <c r="C2081" s="878"/>
      <c r="D2081" s="886"/>
      <c r="E2081" s="415"/>
      <c r="F2081" s="373"/>
      <c r="G2081" s="415"/>
      <c r="H2081" s="415"/>
      <c r="I2081" s="852"/>
      <c r="J2081" s="802"/>
    </row>
    <row r="2082" spans="3:10" s="656" customFormat="1" ht="20.100000000000001" hidden="1" customHeight="1">
      <c r="C2082" s="881"/>
      <c r="D2082" s="893" t="s">
        <v>1373</v>
      </c>
      <c r="E2082" s="414">
        <f>10000000000-2466232057.49</f>
        <v>7533767942.5100002</v>
      </c>
      <c r="F2082" s="372">
        <f>755000000+5700000000</f>
        <v>6455000000</v>
      </c>
      <c r="G2082" s="414">
        <f>F2082/E2082*100</f>
        <v>85.680897649860583</v>
      </c>
      <c r="H2082" s="414">
        <v>70</v>
      </c>
      <c r="I2082" s="863"/>
      <c r="J2082" s="44"/>
    </row>
    <row r="2083" spans="3:10" s="656" customFormat="1" ht="20.100000000000001" hidden="1" customHeight="1">
      <c r="C2083" s="881"/>
      <c r="D2083" s="893" t="s">
        <v>375</v>
      </c>
      <c r="E2083" s="414">
        <f>+E2084</f>
        <v>7533767942.5100002</v>
      </c>
      <c r="F2083" s="372">
        <f>755000000+5700000000</f>
        <v>6455000000</v>
      </c>
      <c r="G2083" s="414">
        <f>F2083/E2083*100</f>
        <v>85.680897649860583</v>
      </c>
      <c r="H2083" s="414">
        <v>70</v>
      </c>
      <c r="I2083" s="863"/>
      <c r="J2083" s="44"/>
    </row>
    <row r="2084" spans="3:10" s="656" customFormat="1" ht="20.100000000000001" hidden="1" customHeight="1">
      <c r="C2084" s="881"/>
      <c r="D2084" s="886" t="s">
        <v>1727</v>
      </c>
      <c r="E2084" s="415">
        <f>10000000000-2466232057.49</f>
        <v>7533767942.5100002</v>
      </c>
      <c r="F2084" s="373">
        <f>755000000+5700000000</f>
        <v>6455000000</v>
      </c>
      <c r="G2084" s="415">
        <f>F2084/E2084*100</f>
        <v>85.680897649860583</v>
      </c>
      <c r="H2084" s="415">
        <v>70</v>
      </c>
      <c r="I2084" s="863"/>
      <c r="J2084" s="44"/>
    </row>
    <row r="2085" spans="3:10" s="656" customFormat="1" ht="15" hidden="1" customHeight="1">
      <c r="C2085" s="881"/>
      <c r="D2085" s="886"/>
      <c r="E2085" s="415"/>
      <c r="F2085" s="373"/>
      <c r="G2085" s="415"/>
      <c r="H2085" s="415"/>
      <c r="I2085" s="863"/>
      <c r="J2085" s="44"/>
    </row>
    <row r="2086" spans="3:10" s="656" customFormat="1" ht="20.100000000000001" hidden="1" customHeight="1">
      <c r="C2086" s="881"/>
      <c r="D2086" s="893" t="s">
        <v>161</v>
      </c>
      <c r="E2086" s="922">
        <f>E2087+E2089</f>
        <v>5210000000</v>
      </c>
      <c r="F2086" s="372">
        <f>F2087+F2089</f>
        <v>2125000000</v>
      </c>
      <c r="G2086" s="414">
        <f>F2086/E2086*100</f>
        <v>40.786948176583493</v>
      </c>
      <c r="H2086" s="414">
        <v>50</v>
      </c>
      <c r="I2086" s="863"/>
      <c r="J2086" s="44"/>
    </row>
    <row r="2087" spans="3:10" s="656" customFormat="1" ht="20.100000000000001" hidden="1" customHeight="1">
      <c r="C2087" s="881"/>
      <c r="D2087" s="893" t="s">
        <v>953</v>
      </c>
      <c r="E2087" s="922">
        <f>SUM(E2088:E2088)</f>
        <v>1450000000</v>
      </c>
      <c r="F2087" s="372">
        <f>F2088</f>
        <v>725000000</v>
      </c>
      <c r="G2087" s="414">
        <f>F2087/E2087*100</f>
        <v>50</v>
      </c>
      <c r="H2087" s="414">
        <v>50</v>
      </c>
      <c r="I2087" s="863"/>
      <c r="J2087" s="44"/>
    </row>
    <row r="2088" spans="3:10" s="656" customFormat="1" ht="20.100000000000001" hidden="1" customHeight="1">
      <c r="C2088" s="881"/>
      <c r="D2088" s="886" t="s">
        <v>1728</v>
      </c>
      <c r="E2088" s="991">
        <v>1450000000</v>
      </c>
      <c r="F2088" s="373">
        <v>725000000</v>
      </c>
      <c r="G2088" s="415">
        <v>50</v>
      </c>
      <c r="H2088" s="415">
        <v>50</v>
      </c>
      <c r="I2088" s="863"/>
      <c r="J2088" s="44"/>
    </row>
    <row r="2089" spans="3:10" s="656" customFormat="1" ht="20.100000000000001" hidden="1" customHeight="1">
      <c r="C2089" s="881"/>
      <c r="D2089" s="893" t="s">
        <v>1171</v>
      </c>
      <c r="E2089" s="922">
        <v>3760000000</v>
      </c>
      <c r="F2089" s="372">
        <v>1400000000</v>
      </c>
      <c r="G2089" s="414">
        <f>F2089/E2089*100</f>
        <v>37.234042553191486</v>
      </c>
      <c r="H2089" s="414">
        <v>50</v>
      </c>
      <c r="I2089" s="863"/>
      <c r="J2089" s="44"/>
    </row>
    <row r="2090" spans="3:10" ht="20.100000000000001" hidden="1" customHeight="1">
      <c r="C2090" s="878"/>
      <c r="D2090" s="886" t="s">
        <v>1729</v>
      </c>
      <c r="E2090" s="991">
        <v>3760000000</v>
      </c>
      <c r="F2090" s="373">
        <v>1400000000</v>
      </c>
      <c r="G2090" s="415">
        <f>F2090/E2090*100</f>
        <v>37.234042553191486</v>
      </c>
      <c r="H2090" s="415">
        <v>50</v>
      </c>
      <c r="I2090" s="852"/>
      <c r="J2090" s="802"/>
    </row>
    <row r="2091" spans="3:10" s="656" customFormat="1" ht="15" hidden="1" customHeight="1">
      <c r="C2091" s="881"/>
      <c r="D2091" s="886"/>
      <c r="E2091" s="373"/>
      <c r="F2091" s="373"/>
      <c r="G2091" s="415"/>
      <c r="H2091" s="415"/>
      <c r="I2091" s="863"/>
      <c r="J2091" s="44"/>
    </row>
    <row r="2092" spans="3:10" s="656" customFormat="1" ht="20.100000000000001" hidden="1" customHeight="1">
      <c r="C2092" s="881"/>
      <c r="D2092" s="893" t="s">
        <v>1373</v>
      </c>
      <c r="E2092" s="922">
        <v>15000000000</v>
      </c>
      <c r="F2092" s="372">
        <v>15000000000</v>
      </c>
      <c r="G2092" s="414">
        <v>100</v>
      </c>
      <c r="H2092" s="414">
        <v>100</v>
      </c>
      <c r="I2092" s="863"/>
      <c r="J2092" s="44"/>
    </row>
    <row r="2093" spans="3:10" s="656" customFormat="1" ht="20.100000000000001" hidden="1" customHeight="1">
      <c r="C2093" s="881"/>
      <c r="D2093" s="893" t="s">
        <v>375</v>
      </c>
      <c r="E2093" s="372">
        <v>15000000000</v>
      </c>
      <c r="F2093" s="372">
        <v>15000000000</v>
      </c>
      <c r="G2093" s="414">
        <v>100</v>
      </c>
      <c r="H2093" s="414">
        <v>100</v>
      </c>
      <c r="I2093" s="863"/>
      <c r="J2093" s="44"/>
    </row>
    <row r="2094" spans="3:10" ht="20.100000000000001" hidden="1" customHeight="1">
      <c r="C2094" s="878"/>
      <c r="D2094" s="886" t="s">
        <v>1730</v>
      </c>
      <c r="E2094" s="373">
        <v>15000000000</v>
      </c>
      <c r="F2094" s="373">
        <v>15000000000</v>
      </c>
      <c r="G2094" s="415">
        <v>100</v>
      </c>
      <c r="H2094" s="415">
        <v>100</v>
      </c>
      <c r="I2094" s="852"/>
      <c r="J2094" s="802"/>
    </row>
    <row r="2095" spans="3:10" s="656" customFormat="1" ht="15" hidden="1" customHeight="1">
      <c r="C2095" s="881"/>
      <c r="D2095" s="886"/>
      <c r="E2095" s="373"/>
      <c r="F2095" s="373"/>
      <c r="G2095" s="415"/>
      <c r="H2095" s="415"/>
      <c r="I2095" s="863"/>
      <c r="J2095" s="44"/>
    </row>
    <row r="2096" spans="3:10" s="656" customFormat="1" ht="20.100000000000001" hidden="1" customHeight="1">
      <c r="C2096" s="881"/>
      <c r="D2096" s="893" t="s">
        <v>1731</v>
      </c>
      <c r="E2096" s="372">
        <v>1000000000</v>
      </c>
      <c r="F2096" s="372">
        <v>693325000</v>
      </c>
      <c r="G2096" s="372">
        <f>F2096/E2096*100</f>
        <v>69.332499999999996</v>
      </c>
      <c r="H2096" s="372">
        <v>50</v>
      </c>
      <c r="I2096" s="863"/>
      <c r="J2096" s="44"/>
    </row>
    <row r="2097" spans="3:10" ht="20.100000000000001" hidden="1" customHeight="1">
      <c r="C2097" s="878"/>
      <c r="D2097" s="893" t="s">
        <v>498</v>
      </c>
      <c r="E2097" s="372">
        <v>1000000000</v>
      </c>
      <c r="F2097" s="372">
        <v>693325000</v>
      </c>
      <c r="G2097" s="372">
        <f>F2097/E2097*100</f>
        <v>69.332499999999996</v>
      </c>
      <c r="H2097" s="372">
        <v>50</v>
      </c>
      <c r="I2097" s="852"/>
      <c r="J2097" s="802"/>
    </row>
    <row r="2098" spans="3:10" s="656" customFormat="1" ht="20.100000000000001" hidden="1" customHeight="1">
      <c r="C2098" s="881"/>
      <c r="D2098" s="886" t="s">
        <v>1732</v>
      </c>
      <c r="E2098" s="373">
        <v>1000000000</v>
      </c>
      <c r="F2098" s="373">
        <v>693325000</v>
      </c>
      <c r="G2098" s="373">
        <f>F2098/E2098*100</f>
        <v>69.332499999999996</v>
      </c>
      <c r="H2098" s="373">
        <v>50</v>
      </c>
      <c r="I2098" s="863"/>
      <c r="J2098" s="44"/>
    </row>
    <row r="2099" spans="3:10" s="656" customFormat="1" ht="15" hidden="1" customHeight="1">
      <c r="C2099" s="881"/>
      <c r="D2099" s="886"/>
      <c r="E2099" s="373"/>
      <c r="F2099" s="373"/>
      <c r="G2099" s="373"/>
      <c r="H2099" s="373"/>
      <c r="I2099" s="863"/>
      <c r="J2099" s="44"/>
    </row>
    <row r="2100" spans="3:10" s="656" customFormat="1" ht="35.1" hidden="1" customHeight="1">
      <c r="C2100" s="881"/>
      <c r="D2100" s="893" t="s">
        <v>1733</v>
      </c>
      <c r="E2100" s="414">
        <f>E2101+E2103+E2107</f>
        <v>2600000000</v>
      </c>
      <c r="F2100" s="414">
        <f>F2101+F2103+F2107</f>
        <v>1300000000</v>
      </c>
      <c r="G2100" s="372">
        <f>F2100/E2100*100</f>
        <v>50</v>
      </c>
      <c r="H2100" s="990">
        <v>100</v>
      </c>
      <c r="I2100" s="863"/>
      <c r="J2100" s="44"/>
    </row>
    <row r="2101" spans="3:10" s="656" customFormat="1" ht="20.100000000000001" hidden="1" customHeight="1">
      <c r="C2101" s="881"/>
      <c r="D2101" s="893" t="s">
        <v>257</v>
      </c>
      <c r="E2101" s="414">
        <v>40000000</v>
      </c>
      <c r="F2101" s="372">
        <v>20000000</v>
      </c>
      <c r="G2101" s="372">
        <v>50</v>
      </c>
      <c r="H2101" s="990">
        <v>50</v>
      </c>
      <c r="I2101" s="863"/>
      <c r="J2101" s="44"/>
    </row>
    <row r="2102" spans="3:10" s="656" customFormat="1" ht="20.100000000000001" hidden="1" customHeight="1">
      <c r="C2102" s="881"/>
      <c r="D2102" s="886" t="s">
        <v>1734</v>
      </c>
      <c r="E2102" s="415">
        <v>40000000</v>
      </c>
      <c r="F2102" s="373">
        <v>20000000</v>
      </c>
      <c r="G2102" s="373">
        <v>50</v>
      </c>
      <c r="H2102" s="989">
        <v>50</v>
      </c>
      <c r="I2102" s="863"/>
      <c r="J2102" s="44"/>
    </row>
    <row r="2103" spans="3:10" s="656" customFormat="1" ht="20.100000000000001" hidden="1" customHeight="1">
      <c r="C2103" s="881"/>
      <c r="D2103" s="893" t="s">
        <v>1735</v>
      </c>
      <c r="E2103" s="372">
        <f>SUM(E2104:E2106)</f>
        <v>1660000000</v>
      </c>
      <c r="F2103" s="372">
        <f>SUM(F2104:F2106)</f>
        <v>830000000</v>
      </c>
      <c r="G2103" s="372">
        <v>100</v>
      </c>
      <c r="H2103" s="990">
        <v>100</v>
      </c>
      <c r="I2103" s="863"/>
      <c r="J2103" s="44"/>
    </row>
    <row r="2104" spans="3:10" s="656" customFormat="1" ht="20.100000000000001" hidden="1" customHeight="1">
      <c r="C2104" s="881"/>
      <c r="D2104" s="886" t="s">
        <v>741</v>
      </c>
      <c r="E2104" s="373">
        <v>460000000</v>
      </c>
      <c r="F2104" s="373">
        <v>230000000</v>
      </c>
      <c r="G2104" s="373">
        <f>F2104/E2104*100</f>
        <v>50</v>
      </c>
      <c r="H2104" s="989">
        <v>50</v>
      </c>
      <c r="I2104" s="863"/>
      <c r="J2104" s="44"/>
    </row>
    <row r="2105" spans="3:10" ht="20.100000000000001" hidden="1" customHeight="1">
      <c r="C2105" s="878"/>
      <c r="D2105" s="886" t="s">
        <v>1736</v>
      </c>
      <c r="E2105" s="373">
        <v>200000000</v>
      </c>
      <c r="F2105" s="373">
        <v>100000000</v>
      </c>
      <c r="G2105" s="373">
        <v>50</v>
      </c>
      <c r="H2105" s="989">
        <v>100</v>
      </c>
      <c r="I2105" s="852"/>
      <c r="J2105" s="802"/>
    </row>
    <row r="2106" spans="3:10" s="656" customFormat="1" ht="20.100000000000001" hidden="1" customHeight="1">
      <c r="C2106" s="881"/>
      <c r="D2106" s="886" t="s">
        <v>1737</v>
      </c>
      <c r="E2106" s="373">
        <v>1000000000</v>
      </c>
      <c r="F2106" s="373">
        <v>500000000</v>
      </c>
      <c r="G2106" s="373">
        <v>50</v>
      </c>
      <c r="H2106" s="989">
        <v>100</v>
      </c>
      <c r="I2106" s="863"/>
      <c r="J2106" s="44"/>
    </row>
    <row r="2107" spans="3:10" ht="20.100000000000001" hidden="1" customHeight="1">
      <c r="C2107" s="878"/>
      <c r="D2107" s="893" t="s">
        <v>1738</v>
      </c>
      <c r="E2107" s="372">
        <v>900000000</v>
      </c>
      <c r="F2107" s="372">
        <v>450000000</v>
      </c>
      <c r="G2107" s="372">
        <f>F2107/E2107*100</f>
        <v>50</v>
      </c>
      <c r="H2107" s="990">
        <v>100</v>
      </c>
      <c r="I2107" s="852"/>
      <c r="J2107" s="802"/>
    </row>
    <row r="2108" spans="3:10" s="656" customFormat="1" ht="20.100000000000001" hidden="1" customHeight="1">
      <c r="C2108" s="881"/>
      <c r="D2108" s="886" t="s">
        <v>1739</v>
      </c>
      <c r="E2108" s="373">
        <v>600000000</v>
      </c>
      <c r="F2108" s="373">
        <v>300000000</v>
      </c>
      <c r="G2108" s="373">
        <v>50</v>
      </c>
      <c r="H2108" s="989">
        <v>100</v>
      </c>
      <c r="I2108" s="863"/>
      <c r="J2108" s="44"/>
    </row>
    <row r="2109" spans="3:10" s="656" customFormat="1" ht="20.100000000000001" hidden="1" customHeight="1">
      <c r="C2109" s="881"/>
      <c r="D2109" s="886" t="s">
        <v>1740</v>
      </c>
      <c r="E2109" s="373">
        <v>300000000</v>
      </c>
      <c r="F2109" s="373">
        <v>150000000</v>
      </c>
      <c r="G2109" s="373">
        <v>50</v>
      </c>
      <c r="H2109" s="989">
        <v>100</v>
      </c>
      <c r="I2109" s="863"/>
      <c r="J2109" s="44"/>
    </row>
    <row r="2110" spans="3:10" s="656" customFormat="1" ht="15" hidden="1" customHeight="1">
      <c r="C2110" s="881"/>
      <c r="D2110" s="886"/>
      <c r="E2110" s="373"/>
      <c r="F2110" s="373"/>
      <c r="G2110" s="373"/>
      <c r="H2110" s="989"/>
      <c r="I2110" s="863"/>
      <c r="J2110" s="44"/>
    </row>
    <row r="2111" spans="3:10" s="656" customFormat="1" ht="20.100000000000001" hidden="1" customHeight="1">
      <c r="C2111" s="881"/>
      <c r="D2111" s="893" t="s">
        <v>1644</v>
      </c>
      <c r="E2111" s="372">
        <v>510000000</v>
      </c>
      <c r="F2111" s="372">
        <v>510000000</v>
      </c>
      <c r="G2111" s="372">
        <v>100</v>
      </c>
      <c r="H2111" s="990">
        <v>100</v>
      </c>
      <c r="I2111" s="863"/>
      <c r="J2111" s="44"/>
    </row>
    <row r="2112" spans="3:10" s="656" customFormat="1" ht="20.100000000000001" hidden="1" customHeight="1">
      <c r="C2112" s="881"/>
      <c r="D2112" s="893" t="s">
        <v>1205</v>
      </c>
      <c r="E2112" s="372">
        <v>510000000</v>
      </c>
      <c r="F2112" s="372">
        <v>510000000</v>
      </c>
      <c r="G2112" s="372">
        <v>100</v>
      </c>
      <c r="H2112" s="990">
        <v>100</v>
      </c>
      <c r="I2112" s="863"/>
      <c r="J2112" s="44"/>
    </row>
    <row r="2113" spans="3:10" ht="20.100000000000001" hidden="1" customHeight="1">
      <c r="C2113" s="878"/>
      <c r="D2113" s="886" t="s">
        <v>1741</v>
      </c>
      <c r="E2113" s="373">
        <v>510000000</v>
      </c>
      <c r="F2113" s="373">
        <v>510000000</v>
      </c>
      <c r="G2113" s="373">
        <v>100</v>
      </c>
      <c r="H2113" s="989">
        <v>100</v>
      </c>
      <c r="I2113" s="852"/>
      <c r="J2113" s="802"/>
    </row>
    <row r="2114" spans="3:10" ht="15" hidden="1" customHeight="1">
      <c r="C2114" s="878"/>
      <c r="D2114" s="886"/>
      <c r="E2114" s="373"/>
      <c r="F2114" s="373"/>
      <c r="G2114" s="373"/>
      <c r="H2114" s="989"/>
      <c r="I2114" s="852"/>
      <c r="J2114" s="802"/>
    </row>
    <row r="2115" spans="3:10" ht="20.100000000000001" hidden="1" customHeight="1">
      <c r="C2115" s="878"/>
      <c r="D2115" s="893" t="s">
        <v>1305</v>
      </c>
      <c r="E2115" s="372">
        <v>300000000</v>
      </c>
      <c r="F2115" s="372">
        <v>200000000</v>
      </c>
      <c r="G2115" s="372">
        <f>F2115/E2115*100</f>
        <v>66.666666666666657</v>
      </c>
      <c r="H2115" s="990">
        <v>80</v>
      </c>
      <c r="I2115" s="852"/>
      <c r="J2115" s="802"/>
    </row>
    <row r="2116" spans="3:10" s="656" customFormat="1" ht="20.100000000000001" hidden="1" customHeight="1">
      <c r="C2116" s="881"/>
      <c r="D2116" s="886" t="s">
        <v>912</v>
      </c>
      <c r="E2116" s="373">
        <v>300000000</v>
      </c>
      <c r="F2116" s="373">
        <v>200000000</v>
      </c>
      <c r="G2116" s="373">
        <f>G2115</f>
        <v>66.666666666666657</v>
      </c>
      <c r="H2116" s="989">
        <v>80</v>
      </c>
      <c r="I2116" s="863"/>
      <c r="J2116" s="44"/>
    </row>
    <row r="2117" spans="3:10" ht="20.100000000000001" hidden="1" customHeight="1">
      <c r="C2117" s="878"/>
      <c r="D2117" s="886" t="s">
        <v>1509</v>
      </c>
      <c r="E2117" s="373">
        <v>300000000</v>
      </c>
      <c r="F2117" s="373">
        <v>200000000</v>
      </c>
      <c r="G2117" s="373">
        <f>G2116</f>
        <v>66.666666666666657</v>
      </c>
      <c r="H2117" s="989">
        <v>80</v>
      </c>
      <c r="I2117" s="852"/>
      <c r="J2117" s="802"/>
    </row>
    <row r="2118" spans="3:10" ht="15" hidden="1" customHeight="1">
      <c r="C2118" s="878"/>
      <c r="D2118" s="886"/>
      <c r="E2118" s="373"/>
      <c r="F2118" s="373"/>
      <c r="G2118" s="373"/>
      <c r="H2118" s="989"/>
      <c r="I2118" s="852"/>
      <c r="J2118" s="802"/>
    </row>
    <row r="2119" spans="3:10" ht="20.100000000000001" hidden="1" customHeight="1">
      <c r="C2119" s="878"/>
      <c r="D2119" s="893" t="s">
        <v>1742</v>
      </c>
      <c r="E2119" s="372">
        <v>512404710</v>
      </c>
      <c r="F2119" s="372">
        <f>274200000+204661000</f>
        <v>478861000</v>
      </c>
      <c r="G2119" s="372">
        <f>F2119/E2119*100</f>
        <v>93.453668683100119</v>
      </c>
      <c r="H2119" s="990">
        <v>100</v>
      </c>
      <c r="I2119" s="852"/>
      <c r="J2119" s="802"/>
    </row>
    <row r="2120" spans="3:10" s="656" customFormat="1" ht="20.100000000000001" hidden="1" customHeight="1">
      <c r="C2120" s="881"/>
      <c r="D2120" s="893" t="s">
        <v>321</v>
      </c>
      <c r="E2120" s="372">
        <v>512404710</v>
      </c>
      <c r="F2120" s="372">
        <v>478861000</v>
      </c>
      <c r="G2120" s="372">
        <f>G2119</f>
        <v>93.453668683100119</v>
      </c>
      <c r="H2120" s="990">
        <v>100</v>
      </c>
      <c r="I2120" s="863"/>
      <c r="J2120" s="44"/>
    </row>
    <row r="2121" spans="3:10" ht="20.100000000000001" hidden="1" customHeight="1">
      <c r="C2121" s="878"/>
      <c r="D2121" s="886" t="s">
        <v>322</v>
      </c>
      <c r="E2121" s="373">
        <v>512404710</v>
      </c>
      <c r="F2121" s="373">
        <v>478861000</v>
      </c>
      <c r="G2121" s="373">
        <f>G2120</f>
        <v>93.453668683100119</v>
      </c>
      <c r="H2121" s="989">
        <v>100</v>
      </c>
      <c r="I2121" s="852"/>
      <c r="J2121" s="802"/>
    </row>
    <row r="2122" spans="3:10" ht="15" hidden="1" customHeight="1">
      <c r="C2122" s="878"/>
      <c r="D2122" s="886"/>
      <c r="E2122" s="373"/>
      <c r="F2122" s="373"/>
      <c r="G2122" s="373"/>
      <c r="H2122" s="989"/>
      <c r="I2122" s="852"/>
      <c r="J2122" s="802"/>
    </row>
    <row r="2123" spans="3:10" ht="20.100000000000001" hidden="1" customHeight="1">
      <c r="C2123" s="878"/>
      <c r="D2123" s="893" t="s">
        <v>1186</v>
      </c>
      <c r="E2123" s="372">
        <v>357000000</v>
      </c>
      <c r="F2123" s="372">
        <v>178110000</v>
      </c>
      <c r="G2123" s="372">
        <f>F2123/E2123*100</f>
        <v>49.890756302521012</v>
      </c>
      <c r="H2123" s="990">
        <v>50</v>
      </c>
      <c r="I2123" s="852"/>
      <c r="J2123" s="802"/>
    </row>
    <row r="2124" spans="3:10" s="656" customFormat="1" ht="20.100000000000001" hidden="1" customHeight="1">
      <c r="C2124" s="881"/>
      <c r="D2124" s="893" t="s">
        <v>1743</v>
      </c>
      <c r="E2124" s="372">
        <v>357000000</v>
      </c>
      <c r="F2124" s="372">
        <v>178110000</v>
      </c>
      <c r="G2124" s="372">
        <f>F2124/E2124*100</f>
        <v>49.890756302521012</v>
      </c>
      <c r="H2124" s="990">
        <v>50</v>
      </c>
      <c r="I2124" s="863"/>
      <c r="J2124" s="44"/>
    </row>
    <row r="2125" spans="3:10" ht="20.100000000000001" hidden="1" customHeight="1">
      <c r="C2125" s="878"/>
      <c r="D2125" s="886" t="s">
        <v>1514</v>
      </c>
      <c r="E2125" s="373">
        <v>357000000</v>
      </c>
      <c r="F2125" s="373">
        <v>178110000</v>
      </c>
      <c r="G2125" s="373">
        <f>F2125/E2125*100</f>
        <v>49.890756302521012</v>
      </c>
      <c r="H2125" s="989">
        <v>50</v>
      </c>
      <c r="I2125" s="852"/>
      <c r="J2125" s="802"/>
    </row>
    <row r="2126" spans="3:10" ht="15" hidden="1" customHeight="1">
      <c r="C2126" s="878"/>
      <c r="D2126" s="886"/>
      <c r="E2126" s="373"/>
      <c r="F2126" s="373"/>
      <c r="G2126" s="373"/>
      <c r="H2126" s="989"/>
      <c r="I2126" s="852"/>
      <c r="J2126" s="802"/>
    </row>
    <row r="2127" spans="3:10" ht="20.100000000000001" hidden="1" customHeight="1">
      <c r="C2127" s="878"/>
      <c r="D2127" s="893" t="s">
        <v>524</v>
      </c>
      <c r="E2127" s="372">
        <f>E2128+E2130</f>
        <v>1200000000</v>
      </c>
      <c r="F2127" s="372">
        <f>F2128+F2130</f>
        <v>600000000</v>
      </c>
      <c r="G2127" s="372">
        <v>50</v>
      </c>
      <c r="H2127" s="990">
        <v>50</v>
      </c>
      <c r="I2127" s="852"/>
      <c r="J2127" s="802"/>
    </row>
    <row r="2128" spans="3:10" s="656" customFormat="1" ht="20.100000000000001" hidden="1" customHeight="1">
      <c r="C2128" s="881"/>
      <c r="D2128" s="893" t="s">
        <v>1519</v>
      </c>
      <c r="E2128" s="372">
        <v>800000000</v>
      </c>
      <c r="F2128" s="372">
        <v>400000000</v>
      </c>
      <c r="G2128" s="372">
        <v>50</v>
      </c>
      <c r="H2128" s="990">
        <v>50</v>
      </c>
      <c r="I2128" s="863"/>
      <c r="J2128" s="44"/>
    </row>
    <row r="2129" spans="3:10" ht="35.1" hidden="1" customHeight="1">
      <c r="C2129" s="878"/>
      <c r="D2129" s="886" t="s">
        <v>1744</v>
      </c>
      <c r="E2129" s="373">
        <v>800000000</v>
      </c>
      <c r="F2129" s="373">
        <v>400000000</v>
      </c>
      <c r="G2129" s="373">
        <v>50</v>
      </c>
      <c r="H2129" s="989">
        <v>50</v>
      </c>
      <c r="I2129" s="852"/>
      <c r="J2129" s="802"/>
    </row>
    <row r="2130" spans="3:10" ht="20.100000000000001" hidden="1" customHeight="1">
      <c r="C2130" s="878"/>
      <c r="D2130" s="893" t="s">
        <v>1745</v>
      </c>
      <c r="E2130" s="372">
        <v>400000000</v>
      </c>
      <c r="F2130" s="372">
        <v>200000000</v>
      </c>
      <c r="G2130" s="372">
        <v>50</v>
      </c>
      <c r="H2130" s="990">
        <v>50</v>
      </c>
      <c r="I2130" s="852"/>
      <c r="J2130" s="802"/>
    </row>
    <row r="2131" spans="3:10" ht="20.100000000000001" hidden="1" customHeight="1">
      <c r="C2131" s="878"/>
      <c r="D2131" s="886" t="s">
        <v>1746</v>
      </c>
      <c r="E2131" s="373">
        <v>400000000</v>
      </c>
      <c r="F2131" s="373">
        <v>200000000</v>
      </c>
      <c r="G2131" s="373">
        <v>50</v>
      </c>
      <c r="H2131" s="989">
        <v>50</v>
      </c>
      <c r="I2131" s="852"/>
      <c r="J2131" s="802"/>
    </row>
    <row r="2132" spans="3:10" ht="15" hidden="1" customHeight="1">
      <c r="C2132" s="878"/>
      <c r="D2132" s="886"/>
      <c r="E2132" s="373"/>
      <c r="F2132" s="373"/>
      <c r="G2132" s="373"/>
      <c r="H2132" s="989"/>
      <c r="I2132" s="852"/>
      <c r="J2132" s="802"/>
    </row>
    <row r="2133" spans="3:10" ht="20.100000000000001" hidden="1" customHeight="1">
      <c r="C2133" s="878"/>
      <c r="D2133" s="893" t="s">
        <v>3337</v>
      </c>
      <c r="E2133" s="372">
        <f>E2134+E2136</f>
        <v>1400000000</v>
      </c>
      <c r="F2133" s="372">
        <f>F2134+F2136</f>
        <v>699000000</v>
      </c>
      <c r="G2133" s="372">
        <f>F2133/E2133*100</f>
        <v>49.928571428571431</v>
      </c>
      <c r="H2133" s="990">
        <v>50</v>
      </c>
      <c r="I2133" s="852"/>
      <c r="J2133" s="802"/>
    </row>
    <row r="2134" spans="3:10" s="656" customFormat="1" ht="20.100000000000001" hidden="1" customHeight="1">
      <c r="C2134" s="881"/>
      <c r="D2134" s="893" t="s">
        <v>970</v>
      </c>
      <c r="E2134" s="372">
        <v>1125508000</v>
      </c>
      <c r="F2134" s="372">
        <f>364000000+197754000</f>
        <v>561754000</v>
      </c>
      <c r="G2134" s="372">
        <f>F2134/E2134*100</f>
        <v>49.911151231266238</v>
      </c>
      <c r="H2134" s="990">
        <v>50</v>
      </c>
      <c r="I2134" s="863"/>
      <c r="J2134" s="44"/>
    </row>
    <row r="2135" spans="3:10" ht="20.100000000000001" hidden="1" customHeight="1">
      <c r="C2135" s="878"/>
      <c r="D2135" s="886" t="s">
        <v>3336</v>
      </c>
      <c r="E2135" s="373">
        <v>1125508000</v>
      </c>
      <c r="F2135" s="373">
        <f>364000000+197754000</f>
        <v>561754000</v>
      </c>
      <c r="G2135" s="373">
        <f>F2135/E2135*100</f>
        <v>49.911151231266238</v>
      </c>
      <c r="H2135" s="989">
        <v>50</v>
      </c>
      <c r="I2135" s="852"/>
      <c r="J2135" s="802"/>
    </row>
    <row r="2136" spans="3:10" ht="35.1" hidden="1" customHeight="1">
      <c r="C2136" s="878"/>
      <c r="D2136" s="893" t="s">
        <v>3335</v>
      </c>
      <c r="E2136" s="372">
        <v>274492000</v>
      </c>
      <c r="F2136" s="372">
        <v>137246000</v>
      </c>
      <c r="G2136" s="372">
        <v>50</v>
      </c>
      <c r="H2136" s="990">
        <v>50</v>
      </c>
      <c r="I2136" s="852"/>
      <c r="J2136" s="802"/>
    </row>
    <row r="2137" spans="3:10" ht="20.100000000000001" hidden="1" customHeight="1">
      <c r="C2137" s="878"/>
      <c r="D2137" s="886" t="s">
        <v>3334</v>
      </c>
      <c r="E2137" s="373">
        <v>274492000</v>
      </c>
      <c r="F2137" s="373">
        <v>137246000</v>
      </c>
      <c r="G2137" s="373">
        <f>F2137/E2137*100</f>
        <v>50</v>
      </c>
      <c r="H2137" s="989">
        <v>50</v>
      </c>
      <c r="I2137" s="852"/>
      <c r="J2137" s="802"/>
    </row>
    <row r="2138" spans="3:10" ht="15" hidden="1" customHeight="1">
      <c r="C2138" s="878"/>
      <c r="D2138" s="886"/>
      <c r="E2138" s="373"/>
      <c r="F2138" s="373"/>
      <c r="G2138" s="373"/>
      <c r="H2138" s="373"/>
      <c r="I2138" s="852"/>
      <c r="J2138" s="802"/>
    </row>
    <row r="2139" spans="3:10" ht="20.100000000000001" hidden="1" customHeight="1">
      <c r="C2139" s="878"/>
      <c r="D2139" s="893" t="s">
        <v>1747</v>
      </c>
      <c r="E2139" s="372">
        <v>2191378301</v>
      </c>
      <c r="F2139" s="372">
        <v>1927378301</v>
      </c>
      <c r="G2139" s="372">
        <f>+F2139/E2139*100</f>
        <v>87.952787527396438</v>
      </c>
      <c r="H2139" s="990">
        <v>100</v>
      </c>
      <c r="I2139" s="852"/>
      <c r="J2139" s="802"/>
    </row>
    <row r="2140" spans="3:10" s="656" customFormat="1" ht="20.100000000000001" hidden="1" customHeight="1">
      <c r="C2140" s="881"/>
      <c r="D2140" s="893" t="s">
        <v>439</v>
      </c>
      <c r="E2140" s="372">
        <v>2191378301</v>
      </c>
      <c r="F2140" s="372">
        <v>1927378301</v>
      </c>
      <c r="G2140" s="372">
        <f>G2139</f>
        <v>87.952787527396438</v>
      </c>
      <c r="H2140" s="990">
        <v>100</v>
      </c>
      <c r="I2140" s="863"/>
      <c r="J2140" s="44"/>
    </row>
    <row r="2141" spans="3:10" ht="20.100000000000001" hidden="1" customHeight="1">
      <c r="C2141" s="878"/>
      <c r="D2141" s="886" t="s">
        <v>1748</v>
      </c>
      <c r="E2141" s="373">
        <v>2191378301</v>
      </c>
      <c r="F2141" s="373">
        <v>1927378301</v>
      </c>
      <c r="G2141" s="373">
        <f>G2140</f>
        <v>87.952787527396438</v>
      </c>
      <c r="H2141" s="989">
        <v>100</v>
      </c>
      <c r="I2141" s="852"/>
      <c r="J2141" s="802"/>
    </row>
    <row r="2142" spans="3:10" ht="15" hidden="1" customHeight="1">
      <c r="C2142" s="878"/>
      <c r="D2142" s="917"/>
      <c r="E2142" s="916"/>
      <c r="F2142" s="915"/>
      <c r="G2142" s="988"/>
      <c r="H2142" s="987"/>
      <c r="I2142" s="852"/>
      <c r="J2142" s="802"/>
    </row>
    <row r="2143" spans="3:10" s="895" customFormat="1" ht="20.100000000000001" customHeight="1">
      <c r="C2143" s="881" t="s">
        <v>1749</v>
      </c>
      <c r="D2143" s="856" t="s">
        <v>1750</v>
      </c>
      <c r="E2143" s="855">
        <f>+E2144+E2165+E2189+E2198+E2203+E2211+E2216+E2220+E2231+E2241+E2251+E2258+E2262+E2266+E2270+E2274</f>
        <v>43402635532.330002</v>
      </c>
      <c r="F2143" s="855">
        <f>+F2144+F2165+F2189+F2203+F2211+F2216+F2220+F2231+F2241+F2251+F2258+F2262+F2266+F2274</f>
        <v>30931235704</v>
      </c>
      <c r="G2143" s="855">
        <f t="shared" ref="G2143:G2163" si="97">+F2143/E2143*100</f>
        <v>71.265800623927007</v>
      </c>
      <c r="H2143" s="887">
        <f>(H2144+H2165+H2189+H2198+H2203+H2211+H2216+H2220+H2231+H2241+H2251+H2258+H2262+H2266+H2270+H2274)/16</f>
        <v>70.277371170589888</v>
      </c>
      <c r="I2143" s="863"/>
      <c r="J2143" s="44"/>
    </row>
    <row r="2144" spans="3:10" s="980" customFormat="1" ht="20.100000000000001" hidden="1" customHeight="1">
      <c r="C2144" s="881"/>
      <c r="D2144" s="917" t="s">
        <v>444</v>
      </c>
      <c r="E2144" s="418">
        <f>SUM(E2145,E2147,E2158,E2160)</f>
        <v>15194435000</v>
      </c>
      <c r="F2144" s="855">
        <v>12514443102</v>
      </c>
      <c r="G2144" s="855">
        <f t="shared" si="97"/>
        <v>82.362016764690495</v>
      </c>
      <c r="H2144" s="887">
        <f>(H2145+H2147+H2158+H2160)/4</f>
        <v>66.749446665946181</v>
      </c>
      <c r="I2144" s="863"/>
      <c r="J2144" s="44"/>
    </row>
    <row r="2145" spans="3:10" s="898" customFormat="1" ht="20.100000000000001" hidden="1" customHeight="1">
      <c r="C2145" s="878"/>
      <c r="D2145" s="924" t="s">
        <v>388</v>
      </c>
      <c r="E2145" s="418">
        <f>SUM(E2146:E2146)</f>
        <v>700000000</v>
      </c>
      <c r="F2145" s="854">
        <v>0</v>
      </c>
      <c r="G2145" s="855">
        <f t="shared" si="97"/>
        <v>0</v>
      </c>
      <c r="H2145" s="887">
        <f>+G2145</f>
        <v>0</v>
      </c>
      <c r="I2145" s="852"/>
      <c r="J2145" s="802"/>
    </row>
    <row r="2146" spans="3:10" s="980" customFormat="1" ht="20.100000000000001" hidden="1" customHeight="1">
      <c r="C2146" s="881"/>
      <c r="D2146" s="982" t="s">
        <v>1209</v>
      </c>
      <c r="E2146" s="334">
        <v>700000000</v>
      </c>
      <c r="F2146" s="855">
        <v>0</v>
      </c>
      <c r="G2146" s="855">
        <f t="shared" si="97"/>
        <v>0</v>
      </c>
      <c r="H2146" s="887">
        <f>+G2146</f>
        <v>0</v>
      </c>
      <c r="I2146" s="863"/>
      <c r="J2146" s="44"/>
    </row>
    <row r="2147" spans="3:10" s="898" customFormat="1" ht="20.100000000000001" hidden="1" customHeight="1">
      <c r="C2147" s="878"/>
      <c r="D2147" s="924" t="s">
        <v>394</v>
      </c>
      <c r="E2147" s="418">
        <f>SUM(E2148:E2157)</f>
        <v>13283675000</v>
      </c>
      <c r="F2147" s="854">
        <v>11347658582</v>
      </c>
      <c r="G2147" s="855">
        <f t="shared" si="97"/>
        <v>85.425596320295398</v>
      </c>
      <c r="H2147" s="887">
        <f>SUM((H2148:H2157))/10</f>
        <v>77</v>
      </c>
      <c r="I2147" s="852"/>
      <c r="J2147" s="802"/>
    </row>
    <row r="2148" spans="3:10" s="898" customFormat="1" ht="20.100000000000001" hidden="1" customHeight="1">
      <c r="C2148" s="878"/>
      <c r="D2148" s="982" t="s">
        <v>3333</v>
      </c>
      <c r="E2148" s="334">
        <v>6400250000</v>
      </c>
      <c r="F2148" s="854">
        <v>5653274582</v>
      </c>
      <c r="G2148" s="855">
        <f t="shared" si="97"/>
        <v>88.328964993554933</v>
      </c>
      <c r="H2148" s="887">
        <v>90</v>
      </c>
      <c r="I2148" s="852"/>
      <c r="J2148" s="802"/>
    </row>
    <row r="2149" spans="3:10" s="898" customFormat="1" ht="20.100000000000001" hidden="1" customHeight="1">
      <c r="C2149" s="878"/>
      <c r="D2149" s="925" t="s">
        <v>3332</v>
      </c>
      <c r="E2149" s="986">
        <v>535000000</v>
      </c>
      <c r="F2149" s="854">
        <v>19709000</v>
      </c>
      <c r="G2149" s="855">
        <f t="shared" si="97"/>
        <v>3.6839252336448602</v>
      </c>
      <c r="H2149" s="887">
        <v>5</v>
      </c>
      <c r="I2149" s="852"/>
      <c r="J2149" s="802"/>
    </row>
    <row r="2150" spans="3:10" s="898" customFormat="1" ht="35.1" hidden="1" customHeight="1">
      <c r="C2150" s="878"/>
      <c r="D2150" s="982" t="s">
        <v>1769</v>
      </c>
      <c r="E2150" s="334">
        <v>400000000</v>
      </c>
      <c r="F2150" s="854">
        <v>0</v>
      </c>
      <c r="G2150" s="855">
        <f t="shared" si="97"/>
        <v>0</v>
      </c>
      <c r="H2150" s="887">
        <f>+G2150</f>
        <v>0</v>
      </c>
      <c r="I2150" s="852"/>
      <c r="J2150" s="802"/>
    </row>
    <row r="2151" spans="3:10" s="898" customFormat="1" ht="20.100000000000001" hidden="1" customHeight="1">
      <c r="C2151" s="878"/>
      <c r="D2151" s="982" t="s">
        <v>1770</v>
      </c>
      <c r="E2151" s="334">
        <v>300000000</v>
      </c>
      <c r="F2151" s="854">
        <v>300000000</v>
      </c>
      <c r="G2151" s="855">
        <f t="shared" si="97"/>
        <v>100</v>
      </c>
      <c r="H2151" s="887">
        <f>+G2151</f>
        <v>100</v>
      </c>
      <c r="I2151" s="852"/>
      <c r="J2151" s="802"/>
    </row>
    <row r="2152" spans="3:10" s="980" customFormat="1" ht="35.1" hidden="1" customHeight="1">
      <c r="C2152" s="881"/>
      <c r="D2152" s="982" t="s">
        <v>1772</v>
      </c>
      <c r="E2152" s="334">
        <v>300000000</v>
      </c>
      <c r="F2152" s="855">
        <v>300000000</v>
      </c>
      <c r="G2152" s="855">
        <f t="shared" si="97"/>
        <v>100</v>
      </c>
      <c r="H2152" s="887">
        <f>+G2152</f>
        <v>100</v>
      </c>
      <c r="I2152" s="863"/>
      <c r="J2152" s="44"/>
    </row>
    <row r="2153" spans="3:10" s="898" customFormat="1" ht="20.100000000000001" hidden="1" customHeight="1">
      <c r="C2153" s="878"/>
      <c r="D2153" s="982" t="s">
        <v>3331</v>
      </c>
      <c r="E2153" s="334">
        <v>476400000</v>
      </c>
      <c r="F2153" s="854">
        <v>476400000</v>
      </c>
      <c r="G2153" s="855">
        <f t="shared" si="97"/>
        <v>100</v>
      </c>
      <c r="H2153" s="887">
        <f>+G2153</f>
        <v>100</v>
      </c>
      <c r="I2153" s="852"/>
      <c r="J2153" s="802"/>
    </row>
    <row r="2154" spans="3:10" s="898" customFormat="1" ht="20.100000000000001" hidden="1" customHeight="1">
      <c r="C2154" s="878"/>
      <c r="D2154" s="982" t="s">
        <v>3330</v>
      </c>
      <c r="E2154" s="334">
        <v>422050000</v>
      </c>
      <c r="F2154" s="854">
        <v>349175000</v>
      </c>
      <c r="G2154" s="855">
        <f t="shared" si="97"/>
        <v>82.733088496623623</v>
      </c>
      <c r="H2154" s="887">
        <v>85</v>
      </c>
      <c r="I2154" s="852"/>
      <c r="J2154" s="802"/>
    </row>
    <row r="2155" spans="3:10" s="898" customFormat="1" ht="20.100000000000001" hidden="1" customHeight="1">
      <c r="C2155" s="878"/>
      <c r="D2155" s="982" t="s">
        <v>3329</v>
      </c>
      <c r="E2155" s="334">
        <v>1500275000</v>
      </c>
      <c r="F2155" s="854">
        <v>1300000000</v>
      </c>
      <c r="G2155" s="855">
        <f t="shared" si="97"/>
        <v>86.650780690206801</v>
      </c>
      <c r="H2155" s="887">
        <v>90</v>
      </c>
      <c r="I2155" s="852"/>
      <c r="J2155" s="802"/>
    </row>
    <row r="2156" spans="3:10" s="898" customFormat="1" ht="20.100000000000001" hidden="1" customHeight="1">
      <c r="C2156" s="878"/>
      <c r="D2156" s="982" t="s">
        <v>3328</v>
      </c>
      <c r="E2156" s="334">
        <v>260000000</v>
      </c>
      <c r="F2156" s="854">
        <v>260000000</v>
      </c>
      <c r="G2156" s="855">
        <f t="shared" si="97"/>
        <v>100</v>
      </c>
      <c r="H2156" s="887">
        <f>+G2156</f>
        <v>100</v>
      </c>
      <c r="I2156" s="852"/>
      <c r="J2156" s="802"/>
    </row>
    <row r="2157" spans="3:10" s="898" customFormat="1" ht="20.100000000000001" hidden="1" customHeight="1">
      <c r="C2157" s="878"/>
      <c r="D2157" s="982" t="s">
        <v>3327</v>
      </c>
      <c r="E2157" s="334">
        <v>2689700000</v>
      </c>
      <c r="F2157" s="854">
        <v>2689100000</v>
      </c>
      <c r="G2157" s="855">
        <f t="shared" si="97"/>
        <v>99.977692679480981</v>
      </c>
      <c r="H2157" s="887">
        <v>100</v>
      </c>
      <c r="I2157" s="852"/>
      <c r="J2157" s="802"/>
    </row>
    <row r="2158" spans="3:10" s="898" customFormat="1" ht="20.100000000000001" hidden="1" customHeight="1">
      <c r="C2158" s="878"/>
      <c r="D2158" s="924" t="s">
        <v>404</v>
      </c>
      <c r="E2158" s="418">
        <f>SUM(E2159:E2159)</f>
        <v>285460000</v>
      </c>
      <c r="F2158" s="854">
        <v>241505000</v>
      </c>
      <c r="G2158" s="855">
        <f t="shared" si="97"/>
        <v>84.602045820780489</v>
      </c>
      <c r="H2158" s="887">
        <v>90</v>
      </c>
      <c r="I2158" s="852"/>
      <c r="J2158" s="802"/>
    </row>
    <row r="2159" spans="3:10" s="980" customFormat="1" ht="20.100000000000001" hidden="1" customHeight="1">
      <c r="C2159" s="881"/>
      <c r="D2159" s="982" t="s">
        <v>3326</v>
      </c>
      <c r="E2159" s="334">
        <v>285460000</v>
      </c>
      <c r="F2159" s="855">
        <v>241505000</v>
      </c>
      <c r="G2159" s="855">
        <f t="shared" si="97"/>
        <v>84.602045820780489</v>
      </c>
      <c r="H2159" s="887">
        <v>90</v>
      </c>
      <c r="I2159" s="863"/>
      <c r="J2159" s="44"/>
    </row>
    <row r="2160" spans="3:10" s="898" customFormat="1" ht="20.100000000000001" hidden="1" customHeight="1">
      <c r="C2160" s="878"/>
      <c r="D2160" s="924" t="s">
        <v>106</v>
      </c>
      <c r="E2160" s="418">
        <f>SUM(E2161:E2163)</f>
        <v>925300000</v>
      </c>
      <c r="F2160" s="854">
        <v>925279520</v>
      </c>
      <c r="G2160" s="855">
        <f t="shared" si="97"/>
        <v>99.997786663784723</v>
      </c>
      <c r="H2160" s="887">
        <f>+G2160</f>
        <v>99.997786663784723</v>
      </c>
      <c r="I2160" s="852"/>
      <c r="J2160" s="802"/>
    </row>
    <row r="2161" spans="3:10" s="898" customFormat="1" ht="20.100000000000001" hidden="1" customHeight="1">
      <c r="C2161" s="878"/>
      <c r="D2161" s="982" t="s">
        <v>3325</v>
      </c>
      <c r="E2161" s="334">
        <v>450000000</v>
      </c>
      <c r="F2161" s="854">
        <v>449979520</v>
      </c>
      <c r="G2161" s="855">
        <f t="shared" si="97"/>
        <v>99.995448888888887</v>
      </c>
      <c r="H2161" s="887">
        <f>+G2161</f>
        <v>99.995448888888887</v>
      </c>
      <c r="I2161" s="852"/>
      <c r="J2161" s="802"/>
    </row>
    <row r="2162" spans="3:10" s="980" customFormat="1" ht="35.1" hidden="1" customHeight="1">
      <c r="C2162" s="881"/>
      <c r="D2162" s="982" t="s">
        <v>3324</v>
      </c>
      <c r="E2162" s="334">
        <v>350000000</v>
      </c>
      <c r="F2162" s="855">
        <v>350000000</v>
      </c>
      <c r="G2162" s="855">
        <f t="shared" si="97"/>
        <v>100</v>
      </c>
      <c r="H2162" s="887">
        <f>+G2162</f>
        <v>100</v>
      </c>
      <c r="I2162" s="863"/>
      <c r="J2162" s="44"/>
    </row>
    <row r="2163" spans="3:10" s="898" customFormat="1" ht="35.1" hidden="1" customHeight="1">
      <c r="C2163" s="878"/>
      <c r="D2163" s="982" t="s">
        <v>3323</v>
      </c>
      <c r="E2163" s="334">
        <v>125300000</v>
      </c>
      <c r="F2163" s="854">
        <v>125300000</v>
      </c>
      <c r="G2163" s="855">
        <f t="shared" si="97"/>
        <v>100</v>
      </c>
      <c r="H2163" s="887">
        <f>+G2163</f>
        <v>100</v>
      </c>
      <c r="I2163" s="852"/>
      <c r="J2163" s="802"/>
    </row>
    <row r="2164" spans="3:10" s="898" customFormat="1" ht="15" hidden="1" customHeight="1">
      <c r="C2164" s="878"/>
      <c r="D2164" s="917"/>
      <c r="E2164" s="418"/>
      <c r="F2164" s="854"/>
      <c r="G2164" s="855"/>
      <c r="H2164" s="887"/>
      <c r="I2164" s="852"/>
      <c r="J2164" s="802"/>
    </row>
    <row r="2165" spans="3:10" s="898" customFormat="1" ht="20.100000000000001" hidden="1" customHeight="1">
      <c r="C2165" s="878"/>
      <c r="D2165" s="917" t="s">
        <v>161</v>
      </c>
      <c r="E2165" s="418">
        <f>SUM(E2166,E2168,E2171,E2176,E2180,E2183,E2185)</f>
        <v>7119540437</v>
      </c>
      <c r="F2165" s="854">
        <v>3317986000</v>
      </c>
      <c r="G2165" s="855">
        <f t="shared" ref="G2165:G2187" si="98">+F2165/E2165*100</f>
        <v>46.603935034297216</v>
      </c>
      <c r="H2165" s="887">
        <f>(H2166+H2168+H2171+H2176+H2180+H2183+H2185)/7</f>
        <v>50.952380952380956</v>
      </c>
      <c r="I2165" s="852"/>
      <c r="J2165" s="802"/>
    </row>
    <row r="2166" spans="3:10" s="980" customFormat="1" ht="20.100000000000001" hidden="1" customHeight="1">
      <c r="C2166" s="881"/>
      <c r="D2166" s="924" t="s">
        <v>162</v>
      </c>
      <c r="E2166" s="418">
        <f>E2167</f>
        <v>892175437</v>
      </c>
      <c r="F2166" s="855">
        <v>768651000</v>
      </c>
      <c r="G2166" s="855">
        <f t="shared" si="98"/>
        <v>86.154692017148633</v>
      </c>
      <c r="H2166" s="887">
        <v>90</v>
      </c>
      <c r="I2166" s="863"/>
      <c r="J2166" s="44"/>
    </row>
    <row r="2167" spans="3:10" s="980" customFormat="1" ht="20.100000000000001" hidden="1" customHeight="1">
      <c r="C2167" s="881"/>
      <c r="D2167" s="914" t="s">
        <v>3322</v>
      </c>
      <c r="E2167" s="334">
        <v>892175437</v>
      </c>
      <c r="F2167" s="855">
        <v>768651000</v>
      </c>
      <c r="G2167" s="855">
        <f t="shared" si="98"/>
        <v>86.154692017148633</v>
      </c>
      <c r="H2167" s="887">
        <v>90</v>
      </c>
      <c r="I2167" s="863"/>
      <c r="J2167" s="44"/>
    </row>
    <row r="2168" spans="3:10" s="980" customFormat="1" ht="20.100000000000001" hidden="1" customHeight="1">
      <c r="C2168" s="881"/>
      <c r="D2168" s="924" t="s">
        <v>173</v>
      </c>
      <c r="E2168" s="418">
        <f>SUM(E2169:E2170)</f>
        <v>3921460000</v>
      </c>
      <c r="F2168" s="855">
        <v>1919460000</v>
      </c>
      <c r="G2168" s="855">
        <f t="shared" si="98"/>
        <v>48.947585848127993</v>
      </c>
      <c r="H2168" s="887">
        <v>75</v>
      </c>
      <c r="I2168" s="863"/>
      <c r="J2168" s="44"/>
    </row>
    <row r="2169" spans="3:10" s="980" customFormat="1" ht="20.100000000000001" hidden="1" customHeight="1">
      <c r="C2169" s="881"/>
      <c r="D2169" s="982" t="s">
        <v>1223</v>
      </c>
      <c r="E2169" s="334">
        <v>3791160000</v>
      </c>
      <c r="F2169" s="855">
        <v>1789160000</v>
      </c>
      <c r="G2169" s="855">
        <f t="shared" si="98"/>
        <v>47.192943584549319</v>
      </c>
      <c r="H2169" s="887">
        <v>50</v>
      </c>
      <c r="I2169" s="863"/>
      <c r="J2169" s="44"/>
    </row>
    <row r="2170" spans="3:10" s="980" customFormat="1" ht="35.1" hidden="1" customHeight="1">
      <c r="C2170" s="881"/>
      <c r="D2170" s="982" t="s">
        <v>1780</v>
      </c>
      <c r="E2170" s="334">
        <v>130300000</v>
      </c>
      <c r="F2170" s="855">
        <v>130300000</v>
      </c>
      <c r="G2170" s="855">
        <f t="shared" si="98"/>
        <v>100</v>
      </c>
      <c r="H2170" s="887">
        <f>+G2170</f>
        <v>100</v>
      </c>
      <c r="I2170" s="863"/>
      <c r="J2170" s="44"/>
    </row>
    <row r="2171" spans="3:10" s="898" customFormat="1" ht="20.100000000000001" hidden="1" customHeight="1">
      <c r="C2171" s="878"/>
      <c r="D2171" s="924" t="s">
        <v>190</v>
      </c>
      <c r="E2171" s="418">
        <f>SUM(E2172:E2175)</f>
        <v>772005000</v>
      </c>
      <c r="F2171" s="854">
        <v>140575000</v>
      </c>
      <c r="G2171" s="855">
        <f t="shared" si="98"/>
        <v>18.209078956742509</v>
      </c>
      <c r="H2171" s="887">
        <f>100/4</f>
        <v>25</v>
      </c>
      <c r="I2171" s="852"/>
      <c r="J2171" s="802"/>
    </row>
    <row r="2172" spans="3:10" s="980" customFormat="1" ht="35.1" hidden="1" customHeight="1">
      <c r="C2172" s="881"/>
      <c r="D2172" s="914" t="s">
        <v>1782</v>
      </c>
      <c r="E2172" s="334">
        <v>234920000</v>
      </c>
      <c r="F2172" s="855">
        <v>0</v>
      </c>
      <c r="G2172" s="855">
        <f t="shared" si="98"/>
        <v>0</v>
      </c>
      <c r="H2172" s="887">
        <f>+G2172</f>
        <v>0</v>
      </c>
      <c r="I2172" s="863"/>
      <c r="J2172" s="44"/>
    </row>
    <row r="2173" spans="3:10" s="898" customFormat="1" ht="48" hidden="1" customHeight="1">
      <c r="C2173" s="878"/>
      <c r="D2173" s="982" t="s">
        <v>1783</v>
      </c>
      <c r="E2173" s="334">
        <v>100000000</v>
      </c>
      <c r="F2173" s="854">
        <v>0</v>
      </c>
      <c r="G2173" s="855">
        <f t="shared" si="98"/>
        <v>0</v>
      </c>
      <c r="H2173" s="887">
        <f>+G2173</f>
        <v>0</v>
      </c>
      <c r="I2173" s="852"/>
      <c r="J2173" s="802"/>
    </row>
    <row r="2174" spans="3:10" s="898" customFormat="1" ht="20.100000000000001" hidden="1" customHeight="1">
      <c r="C2174" s="878"/>
      <c r="D2174" s="982" t="s">
        <v>1784</v>
      </c>
      <c r="E2174" s="334">
        <v>140575000</v>
      </c>
      <c r="F2174" s="854">
        <v>140575000</v>
      </c>
      <c r="G2174" s="855">
        <f t="shared" si="98"/>
        <v>100</v>
      </c>
      <c r="H2174" s="887">
        <f>+G2174</f>
        <v>100</v>
      </c>
      <c r="I2174" s="852"/>
      <c r="J2174" s="802"/>
    </row>
    <row r="2175" spans="3:10" s="898" customFormat="1" ht="20.100000000000001" hidden="1" customHeight="1">
      <c r="C2175" s="878"/>
      <c r="D2175" s="982" t="s">
        <v>1781</v>
      </c>
      <c r="E2175" s="334">
        <v>296510000</v>
      </c>
      <c r="F2175" s="854">
        <v>0</v>
      </c>
      <c r="G2175" s="855">
        <f t="shared" si="98"/>
        <v>0</v>
      </c>
      <c r="H2175" s="887">
        <f>+G2175</f>
        <v>0</v>
      </c>
      <c r="I2175" s="852"/>
      <c r="J2175" s="802"/>
    </row>
    <row r="2176" spans="3:10" s="898" customFormat="1" ht="20.100000000000001" hidden="1" customHeight="1">
      <c r="C2176" s="878"/>
      <c r="D2176" s="924" t="s">
        <v>196</v>
      </c>
      <c r="E2176" s="418">
        <f>SUM(E2177:E2179)</f>
        <v>435000000</v>
      </c>
      <c r="F2176" s="854">
        <v>269100000</v>
      </c>
      <c r="G2176" s="855">
        <f t="shared" si="98"/>
        <v>61.862068965517238</v>
      </c>
      <c r="H2176" s="887">
        <f>200/3</f>
        <v>66.666666666666671</v>
      </c>
      <c r="I2176" s="852"/>
      <c r="J2176" s="802"/>
    </row>
    <row r="2177" spans="3:10" s="980" customFormat="1" ht="20.100000000000001" hidden="1" customHeight="1">
      <c r="C2177" s="881"/>
      <c r="D2177" s="982" t="s">
        <v>3321</v>
      </c>
      <c r="E2177" s="334">
        <v>165900000</v>
      </c>
      <c r="F2177" s="855">
        <v>0</v>
      </c>
      <c r="G2177" s="855">
        <f t="shared" si="98"/>
        <v>0</v>
      </c>
      <c r="H2177" s="887">
        <f>+G2177</f>
        <v>0</v>
      </c>
      <c r="I2177" s="863"/>
      <c r="J2177" s="44"/>
    </row>
    <row r="2178" spans="3:10" s="898" customFormat="1" ht="20.100000000000001" hidden="1" customHeight="1">
      <c r="C2178" s="878"/>
      <c r="D2178" s="982" t="s">
        <v>3320</v>
      </c>
      <c r="E2178" s="334">
        <v>150300000</v>
      </c>
      <c r="F2178" s="854">
        <v>150300000</v>
      </c>
      <c r="G2178" s="855">
        <f t="shared" si="98"/>
        <v>100</v>
      </c>
      <c r="H2178" s="887">
        <f>+G2178</f>
        <v>100</v>
      </c>
      <c r="I2178" s="852"/>
      <c r="J2178" s="802"/>
    </row>
    <row r="2179" spans="3:10" s="980" customFormat="1" ht="20.100000000000001" hidden="1" customHeight="1">
      <c r="C2179" s="881"/>
      <c r="D2179" s="982" t="s">
        <v>3319</v>
      </c>
      <c r="E2179" s="334">
        <v>118800000</v>
      </c>
      <c r="F2179" s="855">
        <v>118800000</v>
      </c>
      <c r="G2179" s="855">
        <f t="shared" si="98"/>
        <v>100</v>
      </c>
      <c r="H2179" s="887">
        <f>+G2179</f>
        <v>100</v>
      </c>
      <c r="I2179" s="863"/>
      <c r="J2179" s="44"/>
    </row>
    <row r="2180" spans="3:10" s="898" customFormat="1" ht="20.100000000000001" hidden="1" customHeight="1">
      <c r="C2180" s="878"/>
      <c r="D2180" s="924" t="s">
        <v>953</v>
      </c>
      <c r="E2180" s="418">
        <f>SUM(E2181:E2182)</f>
        <v>638600000</v>
      </c>
      <c r="F2180" s="854">
        <v>120200000</v>
      </c>
      <c r="G2180" s="855">
        <f t="shared" si="98"/>
        <v>18.822424052615094</v>
      </c>
      <c r="H2180" s="887">
        <v>50</v>
      </c>
      <c r="I2180" s="852"/>
      <c r="J2180" s="802"/>
    </row>
    <row r="2181" spans="3:10" s="898" customFormat="1" ht="20.100000000000001" hidden="1" customHeight="1">
      <c r="C2181" s="878"/>
      <c r="D2181" s="982" t="s">
        <v>3318</v>
      </c>
      <c r="E2181" s="334">
        <v>120200000</v>
      </c>
      <c r="F2181" s="854">
        <v>120200000</v>
      </c>
      <c r="G2181" s="855">
        <f t="shared" si="98"/>
        <v>100</v>
      </c>
      <c r="H2181" s="887">
        <f>+G2181</f>
        <v>100</v>
      </c>
      <c r="I2181" s="852"/>
      <c r="J2181" s="802"/>
    </row>
    <row r="2182" spans="3:10" s="980" customFormat="1" ht="20.100000000000001" hidden="1" customHeight="1">
      <c r="C2182" s="881"/>
      <c r="D2182" s="982" t="s">
        <v>3317</v>
      </c>
      <c r="E2182" s="334">
        <v>518400000</v>
      </c>
      <c r="F2182" s="855">
        <v>0</v>
      </c>
      <c r="G2182" s="855">
        <f t="shared" si="98"/>
        <v>0</v>
      </c>
      <c r="H2182" s="887">
        <f>+G2182</f>
        <v>0</v>
      </c>
      <c r="I2182" s="863"/>
      <c r="J2182" s="44"/>
    </row>
    <row r="2183" spans="3:10" s="898" customFormat="1" ht="20.100000000000001" hidden="1" customHeight="1">
      <c r="C2183" s="878"/>
      <c r="D2183" s="924" t="s">
        <v>483</v>
      </c>
      <c r="E2183" s="418">
        <f>E2184</f>
        <v>257000000</v>
      </c>
      <c r="F2183" s="854">
        <v>0</v>
      </c>
      <c r="G2183" s="855">
        <f t="shared" si="98"/>
        <v>0</v>
      </c>
      <c r="H2183" s="887">
        <f>+G2183</f>
        <v>0</v>
      </c>
      <c r="I2183" s="852"/>
      <c r="J2183" s="802"/>
    </row>
    <row r="2184" spans="3:10" s="898" customFormat="1" ht="35.1" hidden="1" customHeight="1">
      <c r="C2184" s="878"/>
      <c r="D2184" s="982" t="s">
        <v>1791</v>
      </c>
      <c r="E2184" s="334">
        <v>257000000</v>
      </c>
      <c r="F2184" s="854">
        <v>0</v>
      </c>
      <c r="G2184" s="855">
        <f t="shared" si="98"/>
        <v>0</v>
      </c>
      <c r="H2184" s="887">
        <f>+G2184</f>
        <v>0</v>
      </c>
      <c r="I2184" s="852"/>
      <c r="J2184" s="802"/>
    </row>
    <row r="2185" spans="3:10" s="898" customFormat="1" ht="35.1" hidden="1" customHeight="1">
      <c r="C2185" s="878"/>
      <c r="D2185" s="924" t="s">
        <v>3316</v>
      </c>
      <c r="E2185" s="418">
        <f>SUM(E2186:E2187)</f>
        <v>203300000</v>
      </c>
      <c r="F2185" s="854">
        <v>100000000</v>
      </c>
      <c r="G2185" s="855">
        <f t="shared" si="98"/>
        <v>49.188391539596651</v>
      </c>
      <c r="H2185" s="887">
        <v>50</v>
      </c>
      <c r="I2185" s="852"/>
      <c r="J2185" s="802"/>
    </row>
    <row r="2186" spans="3:10" s="898" customFormat="1" ht="20.100000000000001" hidden="1" customHeight="1">
      <c r="C2186" s="878"/>
      <c r="D2186" s="914" t="s">
        <v>3315</v>
      </c>
      <c r="E2186" s="334">
        <v>107000000</v>
      </c>
      <c r="F2186" s="854">
        <v>100000000</v>
      </c>
      <c r="G2186" s="855">
        <f t="shared" si="98"/>
        <v>93.45794392523365</v>
      </c>
      <c r="H2186" s="887">
        <v>100</v>
      </c>
      <c r="I2186" s="852"/>
      <c r="J2186" s="802"/>
    </row>
    <row r="2187" spans="3:10" s="898" customFormat="1" ht="20.100000000000001" hidden="1" customHeight="1">
      <c r="C2187" s="878"/>
      <c r="D2187" s="982" t="s">
        <v>3314</v>
      </c>
      <c r="E2187" s="334">
        <v>96300000</v>
      </c>
      <c r="F2187" s="854">
        <v>0</v>
      </c>
      <c r="G2187" s="855">
        <f t="shared" si="98"/>
        <v>0</v>
      </c>
      <c r="H2187" s="887">
        <f>+G2187</f>
        <v>0</v>
      </c>
      <c r="I2187" s="852"/>
      <c r="J2187" s="802"/>
    </row>
    <row r="2188" spans="3:10" s="898" customFormat="1" ht="15" hidden="1" customHeight="1">
      <c r="C2188" s="878"/>
      <c r="D2188" s="982"/>
      <c r="E2188" s="334"/>
      <c r="F2188" s="854"/>
      <c r="G2188" s="855"/>
      <c r="H2188" s="887"/>
      <c r="I2188" s="852"/>
      <c r="J2188" s="802"/>
    </row>
    <row r="2189" spans="3:10" s="898" customFormat="1" ht="20.100000000000001" hidden="1" customHeight="1">
      <c r="C2189" s="878"/>
      <c r="D2189" s="917" t="s">
        <v>425</v>
      </c>
      <c r="E2189" s="418">
        <f>SUM(E2190,E2192,E2195)</f>
        <v>2266678000</v>
      </c>
      <c r="F2189" s="854">
        <v>2175934000</v>
      </c>
      <c r="G2189" s="855">
        <f t="shared" ref="G2189:G2196" si="99">+F2189/E2189*100</f>
        <v>95.996608252252855</v>
      </c>
      <c r="H2189" s="887">
        <f>(H2190+H2192+H2195)/3</f>
        <v>95</v>
      </c>
      <c r="I2189" s="852"/>
      <c r="J2189" s="802"/>
    </row>
    <row r="2190" spans="3:10" s="980" customFormat="1" ht="20.100000000000001" hidden="1" customHeight="1">
      <c r="C2190" s="881"/>
      <c r="D2190" s="924" t="s">
        <v>162</v>
      </c>
      <c r="E2190" s="418">
        <f>E2191</f>
        <v>549914000</v>
      </c>
      <c r="F2190" s="855">
        <v>492700000</v>
      </c>
      <c r="G2190" s="855">
        <f t="shared" si="99"/>
        <v>89.595827711242123</v>
      </c>
      <c r="H2190" s="887">
        <v>90</v>
      </c>
      <c r="I2190" s="863"/>
      <c r="J2190" s="44"/>
    </row>
    <row r="2191" spans="3:10" s="898" customFormat="1" ht="20.100000000000001" hidden="1" customHeight="1">
      <c r="C2191" s="878"/>
      <c r="D2191" s="982" t="s">
        <v>1222</v>
      </c>
      <c r="E2191" s="334">
        <v>549914000</v>
      </c>
      <c r="F2191" s="854">
        <v>492700000</v>
      </c>
      <c r="G2191" s="855">
        <f t="shared" si="99"/>
        <v>89.595827711242123</v>
      </c>
      <c r="H2191" s="887">
        <v>90</v>
      </c>
      <c r="I2191" s="852"/>
      <c r="J2191" s="802"/>
    </row>
    <row r="2192" spans="3:10" s="898" customFormat="1" ht="20.100000000000001" hidden="1" customHeight="1">
      <c r="C2192" s="878"/>
      <c r="D2192" s="924" t="s">
        <v>179</v>
      </c>
      <c r="E2192" s="418">
        <f>SUM(E2193:E2194)</f>
        <v>1188764000</v>
      </c>
      <c r="F2192" s="854">
        <v>1188764000</v>
      </c>
      <c r="G2192" s="855">
        <f t="shared" si="99"/>
        <v>100</v>
      </c>
      <c r="H2192" s="887">
        <f>+G2192</f>
        <v>100</v>
      </c>
      <c r="I2192" s="852"/>
      <c r="J2192" s="802"/>
    </row>
    <row r="2193" spans="3:10" s="898" customFormat="1" ht="20.100000000000001" hidden="1" customHeight="1">
      <c r="C2193" s="878"/>
      <c r="D2193" s="982" t="s">
        <v>3313</v>
      </c>
      <c r="E2193" s="334">
        <v>500000000</v>
      </c>
      <c r="F2193" s="854">
        <v>500000000</v>
      </c>
      <c r="G2193" s="855">
        <f t="shared" si="99"/>
        <v>100</v>
      </c>
      <c r="H2193" s="887">
        <f>+G2193</f>
        <v>100</v>
      </c>
      <c r="I2193" s="852"/>
      <c r="J2193" s="802"/>
    </row>
    <row r="2194" spans="3:10" s="898" customFormat="1" ht="20.100000000000001" hidden="1" customHeight="1">
      <c r="C2194" s="878"/>
      <c r="D2194" s="982" t="s">
        <v>3312</v>
      </c>
      <c r="E2194" s="334">
        <v>688764000</v>
      </c>
      <c r="F2194" s="854">
        <v>688764000</v>
      </c>
      <c r="G2194" s="855">
        <f t="shared" si="99"/>
        <v>100</v>
      </c>
      <c r="H2194" s="887">
        <f>+G2194</f>
        <v>100</v>
      </c>
      <c r="I2194" s="852"/>
      <c r="J2194" s="802"/>
    </row>
    <row r="2195" spans="3:10" s="898" customFormat="1" ht="20.100000000000001" hidden="1" customHeight="1">
      <c r="C2195" s="878"/>
      <c r="D2195" s="924" t="s">
        <v>3039</v>
      </c>
      <c r="E2195" s="418">
        <f>E2196</f>
        <v>528000000</v>
      </c>
      <c r="F2195" s="854">
        <v>494470000</v>
      </c>
      <c r="G2195" s="855">
        <f t="shared" si="99"/>
        <v>93.649621212121218</v>
      </c>
      <c r="H2195" s="887">
        <v>95</v>
      </c>
      <c r="I2195" s="852"/>
      <c r="J2195" s="802"/>
    </row>
    <row r="2196" spans="3:10" s="895" customFormat="1" ht="20.100000000000001" hidden="1" customHeight="1">
      <c r="C2196" s="881"/>
      <c r="D2196" s="914" t="s">
        <v>3311</v>
      </c>
      <c r="E2196" s="334">
        <v>528000000</v>
      </c>
      <c r="F2196" s="855">
        <v>494470000</v>
      </c>
      <c r="G2196" s="855">
        <f t="shared" si="99"/>
        <v>93.649621212121218</v>
      </c>
      <c r="H2196" s="887">
        <v>95</v>
      </c>
      <c r="I2196" s="863"/>
      <c r="J2196" s="44"/>
    </row>
    <row r="2197" spans="3:10" s="980" customFormat="1" ht="15" hidden="1" customHeight="1">
      <c r="C2197" s="881"/>
      <c r="D2197" s="985"/>
      <c r="E2197" s="418"/>
      <c r="F2197" s="855"/>
      <c r="G2197" s="855"/>
      <c r="H2197" s="887"/>
      <c r="I2197" s="863"/>
      <c r="J2197" s="44"/>
    </row>
    <row r="2198" spans="3:10" s="898" customFormat="1" ht="20.100000000000001" hidden="1" customHeight="1">
      <c r="C2198" s="878"/>
      <c r="D2198" s="917" t="s">
        <v>489</v>
      </c>
      <c r="E2198" s="418">
        <f>E2199</f>
        <v>1587700000</v>
      </c>
      <c r="F2198" s="854">
        <v>0</v>
      </c>
      <c r="G2198" s="855">
        <f>+F2198/E2198*100</f>
        <v>0</v>
      </c>
      <c r="H2198" s="887">
        <f>+G2198</f>
        <v>0</v>
      </c>
      <c r="I2198" s="852"/>
      <c r="J2198" s="802"/>
    </row>
    <row r="2199" spans="3:10" s="980" customFormat="1" ht="20.100000000000001" hidden="1" customHeight="1">
      <c r="C2199" s="881"/>
      <c r="D2199" s="924" t="s">
        <v>1525</v>
      </c>
      <c r="E2199" s="418">
        <f>SUM(E2200:E2201)</f>
        <v>1587700000</v>
      </c>
      <c r="F2199" s="855">
        <v>0</v>
      </c>
      <c r="G2199" s="855">
        <f>+F2199/E2199*100</f>
        <v>0</v>
      </c>
      <c r="H2199" s="887">
        <f>+G2199</f>
        <v>0</v>
      </c>
      <c r="I2199" s="863"/>
      <c r="J2199" s="44"/>
    </row>
    <row r="2200" spans="3:10" s="898" customFormat="1" ht="20.100000000000001" hidden="1" customHeight="1">
      <c r="C2200" s="878"/>
      <c r="D2200" s="982" t="s">
        <v>3310</v>
      </c>
      <c r="E2200" s="334">
        <v>749900000</v>
      </c>
      <c r="F2200" s="854">
        <v>0</v>
      </c>
      <c r="G2200" s="855">
        <f>+F2200/E2200*100</f>
        <v>0</v>
      </c>
      <c r="H2200" s="887">
        <f>+G2200</f>
        <v>0</v>
      </c>
      <c r="I2200" s="852"/>
      <c r="J2200" s="802"/>
    </row>
    <row r="2201" spans="3:10" s="898" customFormat="1" ht="35.1" hidden="1" customHeight="1">
      <c r="C2201" s="878"/>
      <c r="D2201" s="982" t="s">
        <v>3309</v>
      </c>
      <c r="E2201" s="334">
        <v>837800000</v>
      </c>
      <c r="F2201" s="854">
        <v>0</v>
      </c>
      <c r="G2201" s="855">
        <f>+F2201/E2201*100</f>
        <v>0</v>
      </c>
      <c r="H2201" s="887">
        <f>+G2201</f>
        <v>0</v>
      </c>
      <c r="I2201" s="852"/>
      <c r="J2201" s="802"/>
    </row>
    <row r="2202" spans="3:10" s="898" customFormat="1" ht="15" hidden="1" customHeight="1">
      <c r="C2202" s="878"/>
      <c r="D2202" s="917"/>
      <c r="E2202" s="418"/>
      <c r="F2202" s="854"/>
      <c r="G2202" s="855"/>
      <c r="H2202" s="887"/>
      <c r="I2202" s="852"/>
      <c r="J2202" s="802"/>
    </row>
    <row r="2203" spans="3:10" s="898" customFormat="1" ht="20.100000000000001" hidden="1" customHeight="1">
      <c r="C2203" s="878"/>
      <c r="D2203" s="917" t="s">
        <v>525</v>
      </c>
      <c r="E2203" s="418">
        <f>E2204+E2207</f>
        <v>437000000</v>
      </c>
      <c r="F2203" s="854">
        <v>201491320</v>
      </c>
      <c r="G2203" s="855">
        <f t="shared" ref="G2203:G2209" si="100">+F2203/E2203*100</f>
        <v>46.107853546910754</v>
      </c>
      <c r="H2203" s="887">
        <f>(H2204+H2207)/2</f>
        <v>41.666666666666671</v>
      </c>
      <c r="I2203" s="852"/>
      <c r="J2203" s="802"/>
    </row>
    <row r="2204" spans="3:10" s="898" customFormat="1" ht="35.1" hidden="1" customHeight="1">
      <c r="C2204" s="878"/>
      <c r="D2204" s="924" t="s">
        <v>890</v>
      </c>
      <c r="E2204" s="418">
        <f>SUM(E2205:E2206)</f>
        <v>152000000</v>
      </c>
      <c r="F2204" s="854">
        <v>52000000</v>
      </c>
      <c r="G2204" s="855">
        <f t="shared" si="100"/>
        <v>34.210526315789473</v>
      </c>
      <c r="H2204" s="887">
        <f>100/3</f>
        <v>33.333333333333336</v>
      </c>
      <c r="I2204" s="852"/>
      <c r="J2204" s="802"/>
    </row>
    <row r="2205" spans="3:10" s="898" customFormat="1" ht="35.1" hidden="1" customHeight="1">
      <c r="C2205" s="878"/>
      <c r="D2205" s="914" t="s">
        <v>1801</v>
      </c>
      <c r="E2205" s="334">
        <v>100000000</v>
      </c>
      <c r="F2205" s="854">
        <v>0</v>
      </c>
      <c r="G2205" s="855">
        <f t="shared" si="100"/>
        <v>0</v>
      </c>
      <c r="H2205" s="887">
        <f>+G2205</f>
        <v>0</v>
      </c>
      <c r="I2205" s="852"/>
      <c r="J2205" s="802"/>
    </row>
    <row r="2206" spans="3:10" s="898" customFormat="1" ht="20.100000000000001" hidden="1" customHeight="1">
      <c r="C2206" s="878"/>
      <c r="D2206" s="982" t="s">
        <v>1802</v>
      </c>
      <c r="E2206" s="334">
        <v>52000000</v>
      </c>
      <c r="F2206" s="854">
        <v>52000000</v>
      </c>
      <c r="G2206" s="855">
        <f t="shared" si="100"/>
        <v>100</v>
      </c>
      <c r="H2206" s="887">
        <f>+G2206</f>
        <v>100</v>
      </c>
      <c r="I2206" s="852"/>
      <c r="J2206" s="802"/>
    </row>
    <row r="2207" spans="3:10" s="898" customFormat="1" ht="20.100000000000001" hidden="1" customHeight="1">
      <c r="C2207" s="878"/>
      <c r="D2207" s="983" t="s">
        <v>1745</v>
      </c>
      <c r="E2207" s="418">
        <f>SUM(E2208:E2209)</f>
        <v>285000000</v>
      </c>
      <c r="F2207" s="855">
        <v>149491320</v>
      </c>
      <c r="G2207" s="855">
        <f t="shared" si="100"/>
        <v>52.453094736842111</v>
      </c>
      <c r="H2207" s="887">
        <v>50</v>
      </c>
      <c r="I2207" s="852"/>
      <c r="J2207" s="802"/>
    </row>
    <row r="2208" spans="3:10" s="898" customFormat="1" ht="52.5" hidden="1" customHeight="1">
      <c r="C2208" s="878"/>
      <c r="D2208" s="982" t="s">
        <v>3308</v>
      </c>
      <c r="E2208" s="334">
        <v>135000000</v>
      </c>
      <c r="F2208" s="854">
        <v>0</v>
      </c>
      <c r="G2208" s="855">
        <f t="shared" si="100"/>
        <v>0</v>
      </c>
      <c r="H2208" s="887">
        <f>+G2208</f>
        <v>0</v>
      </c>
      <c r="I2208" s="852"/>
      <c r="J2208" s="802"/>
    </row>
    <row r="2209" spans="3:10" s="898" customFormat="1" ht="35.1" hidden="1" customHeight="1">
      <c r="C2209" s="878"/>
      <c r="D2209" s="982" t="s">
        <v>1867</v>
      </c>
      <c r="E2209" s="334">
        <v>150000000</v>
      </c>
      <c r="F2209" s="854">
        <v>149491320</v>
      </c>
      <c r="G2209" s="855">
        <f t="shared" si="100"/>
        <v>99.660879999999992</v>
      </c>
      <c r="H2209" s="887">
        <v>100</v>
      </c>
      <c r="I2209" s="852"/>
      <c r="J2209" s="802"/>
    </row>
    <row r="2210" spans="3:10" s="898" customFormat="1" ht="15" hidden="1" customHeight="1">
      <c r="C2210" s="878"/>
      <c r="D2210" s="917"/>
      <c r="E2210" s="418"/>
      <c r="F2210" s="854"/>
      <c r="G2210" s="855"/>
      <c r="H2210" s="887"/>
      <c r="I2210" s="852"/>
      <c r="J2210" s="802"/>
    </row>
    <row r="2211" spans="3:10" s="898" customFormat="1" ht="20.100000000000001" hidden="1" customHeight="1">
      <c r="C2211" s="878"/>
      <c r="D2211" s="917" t="s">
        <v>1808</v>
      </c>
      <c r="E2211" s="418">
        <f>E2212</f>
        <v>590565687</v>
      </c>
      <c r="F2211" s="854">
        <v>590565687</v>
      </c>
      <c r="G2211" s="855">
        <f>+F2211/E2211*100</f>
        <v>100</v>
      </c>
      <c r="H2211" s="887">
        <f>+G2211</f>
        <v>100</v>
      </c>
      <c r="I2211" s="852"/>
      <c r="J2211" s="802"/>
    </row>
    <row r="2212" spans="3:10" s="898" customFormat="1" ht="20.100000000000001" hidden="1" customHeight="1">
      <c r="C2212" s="878"/>
      <c r="D2212" s="924" t="s">
        <v>536</v>
      </c>
      <c r="E2212" s="418">
        <f>SUM(E2213:E2214)</f>
        <v>590565687</v>
      </c>
      <c r="F2212" s="854">
        <v>590565687</v>
      </c>
      <c r="G2212" s="855">
        <f>+F2212/E2212*100</f>
        <v>100</v>
      </c>
      <c r="H2212" s="887">
        <f>+G2212</f>
        <v>100</v>
      </c>
      <c r="I2212" s="852"/>
      <c r="J2212" s="802"/>
    </row>
    <row r="2213" spans="3:10" s="898" customFormat="1" ht="20.100000000000001" hidden="1" customHeight="1">
      <c r="C2213" s="878"/>
      <c r="D2213" s="982" t="s">
        <v>1809</v>
      </c>
      <c r="E2213" s="334">
        <v>221900000</v>
      </c>
      <c r="F2213" s="854">
        <v>221900000</v>
      </c>
      <c r="G2213" s="855">
        <f>+F2213/E2213*100</f>
        <v>100</v>
      </c>
      <c r="H2213" s="887">
        <f>+G2213</f>
        <v>100</v>
      </c>
      <c r="I2213" s="852"/>
      <c r="J2213" s="802"/>
    </row>
    <row r="2214" spans="3:10" s="898" customFormat="1" ht="20.100000000000001" hidden="1" customHeight="1">
      <c r="C2214" s="878"/>
      <c r="D2214" s="982" t="s">
        <v>3290</v>
      </c>
      <c r="E2214" s="334">
        <v>368665687</v>
      </c>
      <c r="F2214" s="854">
        <v>368665687</v>
      </c>
      <c r="G2214" s="855">
        <f>+F2214/E2214*100</f>
        <v>100</v>
      </c>
      <c r="H2214" s="887">
        <f>+G2214</f>
        <v>100</v>
      </c>
      <c r="I2214" s="852"/>
      <c r="J2214" s="802"/>
    </row>
    <row r="2215" spans="3:10" s="980" customFormat="1" ht="15" hidden="1" customHeight="1">
      <c r="C2215" s="881"/>
      <c r="D2215" s="917"/>
      <c r="E2215" s="418"/>
      <c r="F2215" s="855"/>
      <c r="G2215" s="855"/>
      <c r="H2215" s="887"/>
      <c r="I2215" s="863"/>
      <c r="J2215" s="44"/>
    </row>
    <row r="2216" spans="3:10" s="898" customFormat="1" ht="20.100000000000001" hidden="1" customHeight="1">
      <c r="C2216" s="878"/>
      <c r="D2216" s="917" t="s">
        <v>522</v>
      </c>
      <c r="E2216" s="418">
        <f>E2217</f>
        <v>244920000</v>
      </c>
      <c r="F2216" s="854">
        <v>244920000</v>
      </c>
      <c r="G2216" s="855">
        <f>+F2216/E2216*100</f>
        <v>100</v>
      </c>
      <c r="H2216" s="887">
        <f>+G2216</f>
        <v>100</v>
      </c>
      <c r="I2216" s="852"/>
      <c r="J2216" s="802"/>
    </row>
    <row r="2217" spans="3:10" s="980" customFormat="1" ht="20.100000000000001" hidden="1" customHeight="1">
      <c r="C2217" s="881"/>
      <c r="D2217" s="924" t="s">
        <v>973</v>
      </c>
      <c r="E2217" s="418">
        <f>SUM(E2218:E2218)</f>
        <v>244920000</v>
      </c>
      <c r="F2217" s="855">
        <v>244920000</v>
      </c>
      <c r="G2217" s="855">
        <f>+F2217/E2217*100</f>
        <v>100</v>
      </c>
      <c r="H2217" s="887">
        <f>+G2217</f>
        <v>100</v>
      </c>
      <c r="I2217" s="863"/>
      <c r="J2217" s="44"/>
    </row>
    <row r="2218" spans="3:10" s="898" customFormat="1" ht="20.100000000000001" hidden="1" customHeight="1">
      <c r="C2218" s="878"/>
      <c r="D2218" s="982" t="s">
        <v>3307</v>
      </c>
      <c r="E2218" s="334">
        <v>244920000</v>
      </c>
      <c r="F2218" s="854">
        <v>244920000</v>
      </c>
      <c r="G2218" s="855">
        <f>+F2218/E2218*100</f>
        <v>100</v>
      </c>
      <c r="H2218" s="887">
        <f>+G2218</f>
        <v>100</v>
      </c>
      <c r="I2218" s="852"/>
      <c r="J2218" s="802"/>
    </row>
    <row r="2219" spans="3:10" s="898" customFormat="1" ht="15" hidden="1" customHeight="1">
      <c r="C2219" s="878"/>
      <c r="D2219" s="917"/>
      <c r="E2219" s="418"/>
      <c r="F2219" s="854"/>
      <c r="G2219" s="855"/>
      <c r="H2219" s="887"/>
      <c r="I2219" s="852"/>
      <c r="J2219" s="802"/>
    </row>
    <row r="2220" spans="3:10" s="898" customFormat="1" ht="20.100000000000001" hidden="1" customHeight="1">
      <c r="C2220" s="878"/>
      <c r="D2220" s="917" t="s">
        <v>1808</v>
      </c>
      <c r="E2220" s="418">
        <f>SUM(E2221,E2224,E2226)</f>
        <v>3339845315</v>
      </c>
      <c r="F2220" s="854">
        <v>2798975000</v>
      </c>
      <c r="G2220" s="855">
        <f t="shared" ref="G2220:G2229" si="101">+F2220/E2220*100</f>
        <v>83.805527981465815</v>
      </c>
      <c r="H2220" s="887">
        <f>(H2221+H2224+H2226)/3</f>
        <v>77.777777777777786</v>
      </c>
      <c r="I2220" s="852"/>
      <c r="J2220" s="802"/>
    </row>
    <row r="2221" spans="3:10" s="898" customFormat="1" ht="20.100000000000001" hidden="1" customHeight="1">
      <c r="C2221" s="878"/>
      <c r="D2221" s="924" t="s">
        <v>548</v>
      </c>
      <c r="E2221" s="418">
        <f>SUM(E2222:E2223)</f>
        <v>400000000</v>
      </c>
      <c r="F2221" s="854">
        <v>400000000</v>
      </c>
      <c r="G2221" s="855">
        <f t="shared" si="101"/>
        <v>100</v>
      </c>
      <c r="H2221" s="887">
        <f>+G2221</f>
        <v>100</v>
      </c>
      <c r="I2221" s="852"/>
      <c r="J2221" s="802"/>
    </row>
    <row r="2222" spans="3:10" s="980" customFormat="1" ht="35.1" hidden="1" customHeight="1">
      <c r="C2222" s="881"/>
      <c r="D2222" s="914" t="s">
        <v>3306</v>
      </c>
      <c r="E2222" s="334">
        <v>200000000</v>
      </c>
      <c r="F2222" s="855">
        <v>200000000</v>
      </c>
      <c r="G2222" s="855">
        <f t="shared" si="101"/>
        <v>100</v>
      </c>
      <c r="H2222" s="887">
        <f>+G2222</f>
        <v>100</v>
      </c>
      <c r="I2222" s="863"/>
      <c r="J2222" s="44"/>
    </row>
    <row r="2223" spans="3:10" s="898" customFormat="1" ht="35.1" hidden="1" customHeight="1">
      <c r="C2223" s="878"/>
      <c r="D2223" s="982" t="s">
        <v>1813</v>
      </c>
      <c r="E2223" s="334">
        <v>200000000</v>
      </c>
      <c r="F2223" s="854">
        <v>200000000</v>
      </c>
      <c r="G2223" s="855">
        <f t="shared" si="101"/>
        <v>100</v>
      </c>
      <c r="H2223" s="887">
        <f>+G2223</f>
        <v>100</v>
      </c>
      <c r="I2223" s="852"/>
      <c r="J2223" s="802"/>
    </row>
    <row r="2224" spans="3:10" s="898" customFormat="1" ht="20.100000000000001" hidden="1" customHeight="1">
      <c r="C2224" s="878"/>
      <c r="D2224" s="983" t="s">
        <v>1433</v>
      </c>
      <c r="E2224" s="418">
        <f>SUM(E2225)</f>
        <v>2060539390</v>
      </c>
      <c r="F2224" s="854">
        <v>1998975000</v>
      </c>
      <c r="G2224" s="855">
        <f t="shared" si="101"/>
        <v>97.012219698454786</v>
      </c>
      <c r="H2224" s="887">
        <v>100</v>
      </c>
      <c r="I2224" s="852"/>
      <c r="J2224" s="802"/>
    </row>
    <row r="2225" spans="3:10" s="898" customFormat="1" ht="20.100000000000001" hidden="1" customHeight="1">
      <c r="C2225" s="878"/>
      <c r="D2225" s="914" t="s">
        <v>3305</v>
      </c>
      <c r="E2225" s="334">
        <v>2060539390</v>
      </c>
      <c r="F2225" s="854">
        <v>1998975000</v>
      </c>
      <c r="G2225" s="855">
        <f t="shared" si="101"/>
        <v>97.012219698454786</v>
      </c>
      <c r="H2225" s="887">
        <v>100</v>
      </c>
      <c r="I2225" s="852"/>
      <c r="J2225" s="802"/>
    </row>
    <row r="2226" spans="3:10" s="898" customFormat="1" ht="20.100000000000001" hidden="1" customHeight="1">
      <c r="C2226" s="878"/>
      <c r="D2226" s="924" t="s">
        <v>1814</v>
      </c>
      <c r="E2226" s="418">
        <f>SUM(E2227:E2229)</f>
        <v>879305925</v>
      </c>
      <c r="F2226" s="854">
        <v>400000000</v>
      </c>
      <c r="G2226" s="855">
        <f t="shared" si="101"/>
        <v>45.490424734713351</v>
      </c>
      <c r="H2226" s="887">
        <f>100/3</f>
        <v>33.333333333333336</v>
      </c>
      <c r="I2226" s="852"/>
      <c r="J2226" s="802"/>
    </row>
    <row r="2227" spans="3:10" s="980" customFormat="1" ht="20.100000000000001" hidden="1" customHeight="1">
      <c r="C2227" s="881"/>
      <c r="D2227" s="914" t="s">
        <v>1198</v>
      </c>
      <c r="E2227" s="334">
        <v>200000000</v>
      </c>
      <c r="F2227" s="855">
        <v>200000000</v>
      </c>
      <c r="G2227" s="855">
        <f t="shared" si="101"/>
        <v>100</v>
      </c>
      <c r="H2227" s="887">
        <f>+G2227</f>
        <v>100</v>
      </c>
      <c r="I2227" s="863"/>
      <c r="J2227" s="44"/>
    </row>
    <row r="2228" spans="3:10" s="898" customFormat="1" ht="20.100000000000001" hidden="1" customHeight="1">
      <c r="C2228" s="878"/>
      <c r="D2228" s="914" t="s">
        <v>2915</v>
      </c>
      <c r="E2228" s="334">
        <v>200000000</v>
      </c>
      <c r="F2228" s="854">
        <v>200000000</v>
      </c>
      <c r="G2228" s="855">
        <f t="shared" si="101"/>
        <v>100</v>
      </c>
      <c r="H2228" s="887">
        <f>+G2228</f>
        <v>100</v>
      </c>
      <c r="I2228" s="852"/>
      <c r="J2228" s="802"/>
    </row>
    <row r="2229" spans="3:10" s="898" customFormat="1" ht="20.100000000000001" hidden="1" customHeight="1">
      <c r="C2229" s="878"/>
      <c r="D2229" s="914" t="s">
        <v>1889</v>
      </c>
      <c r="E2229" s="334">
        <v>479305925</v>
      </c>
      <c r="F2229" s="854">
        <v>0</v>
      </c>
      <c r="G2229" s="855">
        <f t="shared" si="101"/>
        <v>0</v>
      </c>
      <c r="H2229" s="887">
        <f>+G2229</f>
        <v>0</v>
      </c>
      <c r="I2229" s="852"/>
      <c r="J2229" s="802"/>
    </row>
    <row r="2230" spans="3:10" s="980" customFormat="1" ht="15" hidden="1" customHeight="1">
      <c r="C2230" s="881"/>
      <c r="D2230" s="917"/>
      <c r="E2230" s="418"/>
      <c r="F2230" s="855"/>
      <c r="G2230" s="855"/>
      <c r="H2230" s="887"/>
      <c r="I2230" s="863"/>
      <c r="J2230" s="44"/>
    </row>
    <row r="2231" spans="3:10" s="980" customFormat="1" ht="20.100000000000001" hidden="1" customHeight="1">
      <c r="C2231" s="881"/>
      <c r="D2231" s="917" t="s">
        <v>503</v>
      </c>
      <c r="E2231" s="418">
        <f>SUM(E2232,E2234,E2236)</f>
        <v>665990000</v>
      </c>
      <c r="F2231" s="855">
        <v>465990000</v>
      </c>
      <c r="G2231" s="855">
        <f t="shared" ref="G2231:G2239" si="102">+F2231/E2231*100</f>
        <v>69.969519061847777</v>
      </c>
      <c r="H2231" s="887">
        <f>100/3</f>
        <v>33.333333333333336</v>
      </c>
      <c r="I2231" s="863"/>
      <c r="J2231" s="44"/>
    </row>
    <row r="2232" spans="3:10" s="898" customFormat="1" ht="20.100000000000001" hidden="1" customHeight="1">
      <c r="C2232" s="878"/>
      <c r="D2232" s="924" t="s">
        <v>1831</v>
      </c>
      <c r="E2232" s="418">
        <f>SUM(E2233:E2233)</f>
        <v>100000000</v>
      </c>
      <c r="F2232" s="854">
        <v>0</v>
      </c>
      <c r="G2232" s="855">
        <f t="shared" si="102"/>
        <v>0</v>
      </c>
      <c r="H2232" s="887">
        <f t="shared" ref="H2232:H2239" si="103">+G2232</f>
        <v>0</v>
      </c>
      <c r="I2232" s="852"/>
      <c r="J2232" s="802"/>
    </row>
    <row r="2233" spans="3:10" s="980" customFormat="1" ht="20.100000000000001" hidden="1" customHeight="1">
      <c r="C2233" s="881"/>
      <c r="D2233" s="914" t="s">
        <v>1514</v>
      </c>
      <c r="E2233" s="334">
        <v>100000000</v>
      </c>
      <c r="F2233" s="855">
        <v>0</v>
      </c>
      <c r="G2233" s="855">
        <f t="shared" si="102"/>
        <v>0</v>
      </c>
      <c r="H2233" s="887">
        <f t="shared" si="103"/>
        <v>0</v>
      </c>
      <c r="I2233" s="863"/>
      <c r="J2233" s="44"/>
    </row>
    <row r="2234" spans="3:10" s="898" customFormat="1" ht="20.100000000000001" hidden="1" customHeight="1">
      <c r="C2234" s="878"/>
      <c r="D2234" s="924" t="s">
        <v>506</v>
      </c>
      <c r="E2234" s="418">
        <f>SUM(E2235:E2235)</f>
        <v>100000000</v>
      </c>
      <c r="F2234" s="854">
        <v>0</v>
      </c>
      <c r="G2234" s="855">
        <f t="shared" si="102"/>
        <v>0</v>
      </c>
      <c r="H2234" s="887">
        <f t="shared" si="103"/>
        <v>0</v>
      </c>
      <c r="I2234" s="852"/>
      <c r="J2234" s="802"/>
    </row>
    <row r="2235" spans="3:10" s="980" customFormat="1" ht="20.100000000000001" hidden="1" customHeight="1">
      <c r="C2235" s="881"/>
      <c r="D2235" s="982" t="s">
        <v>3304</v>
      </c>
      <c r="E2235" s="334">
        <v>100000000</v>
      </c>
      <c r="F2235" s="855">
        <v>0</v>
      </c>
      <c r="G2235" s="855">
        <f t="shared" si="102"/>
        <v>0</v>
      </c>
      <c r="H2235" s="887">
        <f t="shared" si="103"/>
        <v>0</v>
      </c>
      <c r="I2235" s="863"/>
      <c r="J2235" s="44"/>
    </row>
    <row r="2236" spans="3:10" s="898" customFormat="1" ht="20.100000000000001" hidden="1" customHeight="1">
      <c r="C2236" s="878"/>
      <c r="D2236" s="983" t="s">
        <v>2075</v>
      </c>
      <c r="E2236" s="418">
        <f>SUM(E2237:E2239)</f>
        <v>465990000</v>
      </c>
      <c r="F2236" s="854">
        <v>465990000</v>
      </c>
      <c r="G2236" s="855">
        <f t="shared" si="102"/>
        <v>100</v>
      </c>
      <c r="H2236" s="887">
        <f t="shared" si="103"/>
        <v>100</v>
      </c>
      <c r="I2236" s="852"/>
      <c r="J2236" s="802"/>
    </row>
    <row r="2237" spans="3:10" s="898" customFormat="1" ht="20.100000000000001" hidden="1" customHeight="1">
      <c r="C2237" s="878"/>
      <c r="D2237" s="982" t="s">
        <v>3303</v>
      </c>
      <c r="E2237" s="334">
        <v>250020000</v>
      </c>
      <c r="F2237" s="854">
        <v>250020000</v>
      </c>
      <c r="G2237" s="855">
        <f t="shared" si="102"/>
        <v>100</v>
      </c>
      <c r="H2237" s="887">
        <f t="shared" si="103"/>
        <v>100</v>
      </c>
      <c r="I2237" s="852"/>
      <c r="J2237" s="802"/>
    </row>
    <row r="2238" spans="3:10" s="898" customFormat="1" ht="20.100000000000001" hidden="1" customHeight="1">
      <c r="C2238" s="878"/>
      <c r="D2238" s="982" t="s">
        <v>3302</v>
      </c>
      <c r="E2238" s="334">
        <v>60570000</v>
      </c>
      <c r="F2238" s="854">
        <v>60570000</v>
      </c>
      <c r="G2238" s="855">
        <f t="shared" si="102"/>
        <v>100</v>
      </c>
      <c r="H2238" s="887">
        <f t="shared" si="103"/>
        <v>100</v>
      </c>
      <c r="I2238" s="852"/>
      <c r="J2238" s="802"/>
    </row>
    <row r="2239" spans="3:10" s="898" customFormat="1" ht="20.100000000000001" hidden="1" customHeight="1">
      <c r="C2239" s="878"/>
      <c r="D2239" s="982" t="s">
        <v>3301</v>
      </c>
      <c r="E2239" s="334">
        <v>155400000</v>
      </c>
      <c r="F2239" s="854">
        <v>155400000</v>
      </c>
      <c r="G2239" s="855">
        <f t="shared" si="102"/>
        <v>100</v>
      </c>
      <c r="H2239" s="887">
        <f t="shared" si="103"/>
        <v>100</v>
      </c>
      <c r="I2239" s="852"/>
      <c r="J2239" s="802"/>
    </row>
    <row r="2240" spans="3:10" s="898" customFormat="1" ht="15" hidden="1" customHeight="1">
      <c r="C2240" s="878"/>
      <c r="D2240" s="917"/>
      <c r="E2240" s="418"/>
      <c r="F2240" s="854"/>
      <c r="G2240" s="855"/>
      <c r="H2240" s="887"/>
      <c r="I2240" s="852"/>
      <c r="J2240" s="802"/>
    </row>
    <row r="2241" spans="3:10" s="898" customFormat="1" ht="20.100000000000001" hidden="1" customHeight="1">
      <c r="C2241" s="878"/>
      <c r="D2241" s="917" t="s">
        <v>69</v>
      </c>
      <c r="E2241" s="418">
        <f>SUM(E2242,E2247)</f>
        <v>3447960000</v>
      </c>
      <c r="F2241" s="854">
        <v>1342093000</v>
      </c>
      <c r="G2241" s="855">
        <f t="shared" ref="G2241:G2249" si="104">+F2241/E2241*100</f>
        <v>38.924262462441561</v>
      </c>
      <c r="H2241" s="887">
        <f>H2242/2</f>
        <v>25.625</v>
      </c>
      <c r="I2241" s="852"/>
      <c r="J2241" s="802"/>
    </row>
    <row r="2242" spans="3:10" s="898" customFormat="1" ht="20.100000000000001" hidden="1" customHeight="1">
      <c r="C2242" s="878"/>
      <c r="D2242" s="983" t="s">
        <v>1843</v>
      </c>
      <c r="E2242" s="418">
        <f>SUM(E2243:E2246)</f>
        <v>2498160000</v>
      </c>
      <c r="F2242" s="854">
        <v>1342093000</v>
      </c>
      <c r="G2242" s="855">
        <f t="shared" si="104"/>
        <v>53.723260319595227</v>
      </c>
      <c r="H2242" s="887">
        <f>SUM((H2243:H2246))/4</f>
        <v>51.25</v>
      </c>
      <c r="I2242" s="852"/>
      <c r="J2242" s="802"/>
    </row>
    <row r="2243" spans="3:10" s="898" customFormat="1" ht="20.100000000000001" hidden="1" customHeight="1">
      <c r="C2243" s="878"/>
      <c r="D2243" s="982" t="s">
        <v>3300</v>
      </c>
      <c r="E2243" s="334">
        <v>940400000</v>
      </c>
      <c r="F2243" s="854">
        <v>34553000</v>
      </c>
      <c r="G2243" s="855">
        <f t="shared" si="104"/>
        <v>3.6742875372182051</v>
      </c>
      <c r="H2243" s="887">
        <v>5</v>
      </c>
      <c r="I2243" s="852"/>
      <c r="J2243" s="802"/>
    </row>
    <row r="2244" spans="3:10" s="898" customFormat="1" ht="20.100000000000001" hidden="1" customHeight="1">
      <c r="C2244" s="878"/>
      <c r="D2244" s="982" t="s">
        <v>3299</v>
      </c>
      <c r="E2244" s="334">
        <v>200000000</v>
      </c>
      <c r="F2244" s="854">
        <v>0</v>
      </c>
      <c r="G2244" s="855">
        <f t="shared" si="104"/>
        <v>0</v>
      </c>
      <c r="H2244" s="887">
        <f>+G2244</f>
        <v>0</v>
      </c>
      <c r="I2244" s="852"/>
      <c r="J2244" s="802"/>
    </row>
    <row r="2245" spans="3:10" s="898" customFormat="1" ht="20.100000000000001" hidden="1" customHeight="1">
      <c r="C2245" s="878"/>
      <c r="D2245" s="982" t="s">
        <v>3298</v>
      </c>
      <c r="E2245" s="334">
        <v>607760000</v>
      </c>
      <c r="F2245" s="854">
        <v>564816000</v>
      </c>
      <c r="G2245" s="855">
        <f t="shared" si="104"/>
        <v>92.934052915624591</v>
      </c>
      <c r="H2245" s="887">
        <v>100</v>
      </c>
      <c r="I2245" s="852"/>
      <c r="J2245" s="802"/>
    </row>
    <row r="2246" spans="3:10" s="898" customFormat="1" ht="20.100000000000001" hidden="1" customHeight="1">
      <c r="C2246" s="878"/>
      <c r="D2246" s="982" t="s">
        <v>3297</v>
      </c>
      <c r="E2246" s="334">
        <v>750000000</v>
      </c>
      <c r="F2246" s="854">
        <v>742724000</v>
      </c>
      <c r="G2246" s="855">
        <f t="shared" si="104"/>
        <v>99.029866666666663</v>
      </c>
      <c r="H2246" s="887">
        <v>100</v>
      </c>
      <c r="I2246" s="852"/>
      <c r="J2246" s="802"/>
    </row>
    <row r="2247" spans="3:10" s="898" customFormat="1" ht="20.100000000000001" hidden="1" customHeight="1">
      <c r="C2247" s="878"/>
      <c r="D2247" s="983" t="s">
        <v>3296</v>
      </c>
      <c r="E2247" s="418">
        <f>SUM(E2248:E2249)</f>
        <v>949800000</v>
      </c>
      <c r="F2247" s="854">
        <v>0</v>
      </c>
      <c r="G2247" s="855">
        <f t="shared" si="104"/>
        <v>0</v>
      </c>
      <c r="H2247" s="887">
        <f>+G2247</f>
        <v>0</v>
      </c>
      <c r="I2247" s="852"/>
      <c r="J2247" s="802"/>
    </row>
    <row r="2248" spans="3:10" s="898" customFormat="1" ht="20.100000000000001" hidden="1" customHeight="1">
      <c r="C2248" s="878"/>
      <c r="D2248" s="982" t="s">
        <v>3295</v>
      </c>
      <c r="E2248" s="334">
        <v>469900000</v>
      </c>
      <c r="F2248" s="854">
        <v>0</v>
      </c>
      <c r="G2248" s="855">
        <f t="shared" si="104"/>
        <v>0</v>
      </c>
      <c r="H2248" s="887">
        <f>+G2248</f>
        <v>0</v>
      </c>
      <c r="I2248" s="852"/>
      <c r="J2248" s="802"/>
    </row>
    <row r="2249" spans="3:10" s="980" customFormat="1" ht="20.100000000000001" hidden="1" customHeight="1">
      <c r="C2249" s="881"/>
      <c r="D2249" s="982" t="s">
        <v>3294</v>
      </c>
      <c r="E2249" s="334">
        <v>479900000</v>
      </c>
      <c r="F2249" s="855">
        <v>0</v>
      </c>
      <c r="G2249" s="855">
        <f t="shared" si="104"/>
        <v>0</v>
      </c>
      <c r="H2249" s="887">
        <f>+G2249</f>
        <v>0</v>
      </c>
      <c r="I2249" s="863"/>
      <c r="J2249" s="44"/>
    </row>
    <row r="2250" spans="3:10" s="980" customFormat="1" ht="15" hidden="1" customHeight="1">
      <c r="C2250" s="881"/>
      <c r="D2250" s="917"/>
      <c r="E2250" s="418"/>
      <c r="F2250" s="855"/>
      <c r="G2250" s="855"/>
      <c r="H2250" s="887"/>
      <c r="I2250" s="863"/>
      <c r="J2250" s="44"/>
    </row>
    <row r="2251" spans="3:10" s="898" customFormat="1" ht="20.100000000000001" hidden="1" customHeight="1">
      <c r="C2251" s="878"/>
      <c r="D2251" s="917" t="s">
        <v>911</v>
      </c>
      <c r="E2251" s="418">
        <f>SUM(E2252,E2255)</f>
        <v>442380000</v>
      </c>
      <c r="F2251" s="854">
        <v>442380000</v>
      </c>
      <c r="G2251" s="855">
        <f t="shared" ref="G2251:G2256" si="105">+F2251/E2251*100</f>
        <v>100</v>
      </c>
      <c r="H2251" s="887">
        <f t="shared" ref="H2251:H2256" si="106">+G2251</f>
        <v>100</v>
      </c>
      <c r="I2251" s="852"/>
      <c r="J2251" s="802"/>
    </row>
    <row r="2252" spans="3:10" s="980" customFormat="1" ht="20.100000000000001" hidden="1" customHeight="1">
      <c r="C2252" s="881"/>
      <c r="D2252" s="924" t="s">
        <v>912</v>
      </c>
      <c r="E2252" s="418">
        <f>SUM(E2253:E2254)</f>
        <v>357380000</v>
      </c>
      <c r="F2252" s="855">
        <v>357380000</v>
      </c>
      <c r="G2252" s="855">
        <f t="shared" si="105"/>
        <v>100</v>
      </c>
      <c r="H2252" s="887">
        <f t="shared" si="106"/>
        <v>100</v>
      </c>
      <c r="I2252" s="863"/>
      <c r="J2252" s="44"/>
    </row>
    <row r="2253" spans="3:10" s="898" customFormat="1" ht="20.100000000000001" hidden="1" customHeight="1">
      <c r="C2253" s="878"/>
      <c r="D2253" s="982" t="s">
        <v>1569</v>
      </c>
      <c r="E2253" s="334">
        <v>178380000</v>
      </c>
      <c r="F2253" s="854">
        <v>178380000</v>
      </c>
      <c r="G2253" s="855">
        <f t="shared" si="105"/>
        <v>100</v>
      </c>
      <c r="H2253" s="887">
        <f t="shared" si="106"/>
        <v>100</v>
      </c>
      <c r="I2253" s="852"/>
      <c r="J2253" s="802"/>
    </row>
    <row r="2254" spans="3:10" s="980" customFormat="1" ht="20.100000000000001" hidden="1" customHeight="1">
      <c r="C2254" s="881"/>
      <c r="D2254" s="982" t="s">
        <v>3293</v>
      </c>
      <c r="E2254" s="334">
        <v>179000000</v>
      </c>
      <c r="F2254" s="855">
        <v>179000000</v>
      </c>
      <c r="G2254" s="855">
        <f t="shared" si="105"/>
        <v>100</v>
      </c>
      <c r="H2254" s="887">
        <f t="shared" si="106"/>
        <v>100</v>
      </c>
      <c r="I2254" s="863"/>
      <c r="J2254" s="44"/>
    </row>
    <row r="2255" spans="3:10" s="980" customFormat="1" ht="20.100000000000001" hidden="1" customHeight="1">
      <c r="C2255" s="881"/>
      <c r="D2255" s="983" t="s">
        <v>310</v>
      </c>
      <c r="E2255" s="418">
        <f>E2256</f>
        <v>85000000</v>
      </c>
      <c r="F2255" s="855">
        <v>85000000</v>
      </c>
      <c r="G2255" s="855">
        <f t="shared" si="105"/>
        <v>100</v>
      </c>
      <c r="H2255" s="887">
        <f t="shared" si="106"/>
        <v>100</v>
      </c>
      <c r="I2255" s="863"/>
      <c r="J2255" s="44"/>
    </row>
    <row r="2256" spans="3:10" s="980" customFormat="1" ht="35.1" hidden="1" customHeight="1">
      <c r="C2256" s="881"/>
      <c r="D2256" s="982" t="s">
        <v>3292</v>
      </c>
      <c r="E2256" s="334">
        <v>85000000</v>
      </c>
      <c r="F2256" s="855">
        <v>85000000</v>
      </c>
      <c r="G2256" s="855">
        <f t="shared" si="105"/>
        <v>100</v>
      </c>
      <c r="H2256" s="887">
        <f t="shared" si="106"/>
        <v>100</v>
      </c>
      <c r="I2256" s="863"/>
      <c r="J2256" s="44"/>
    </row>
    <row r="2257" spans="3:10" s="898" customFormat="1" ht="15" hidden="1" customHeight="1">
      <c r="C2257" s="878"/>
      <c r="D2257" s="917"/>
      <c r="E2257" s="418"/>
      <c r="F2257" s="854"/>
      <c r="G2257" s="855"/>
      <c r="H2257" s="887"/>
      <c r="I2257" s="852"/>
      <c r="J2257" s="802"/>
    </row>
    <row r="2258" spans="3:10" s="898" customFormat="1" ht="20.100000000000001" hidden="1" customHeight="1">
      <c r="C2258" s="878"/>
      <c r="D2258" s="917" t="s">
        <v>987</v>
      </c>
      <c r="E2258" s="418">
        <f>E2259</f>
        <v>5359114000</v>
      </c>
      <c r="F2258" s="854">
        <v>5192957595</v>
      </c>
      <c r="G2258" s="855">
        <f>+F2258/E2258*100</f>
        <v>96.899554571893788</v>
      </c>
      <c r="H2258" s="887">
        <v>100</v>
      </c>
      <c r="I2258" s="852"/>
      <c r="J2258" s="802"/>
    </row>
    <row r="2259" spans="3:10" s="898" customFormat="1" ht="20.100000000000001" hidden="1" customHeight="1">
      <c r="C2259" s="878"/>
      <c r="D2259" s="924" t="s">
        <v>1856</v>
      </c>
      <c r="E2259" s="418">
        <f>E2260</f>
        <v>5359114000</v>
      </c>
      <c r="F2259" s="854">
        <v>5192957595</v>
      </c>
      <c r="G2259" s="855">
        <f>+F2259/E2259*100</f>
        <v>96.899554571893788</v>
      </c>
      <c r="H2259" s="887">
        <v>100</v>
      </c>
      <c r="I2259" s="852"/>
      <c r="J2259" s="802"/>
    </row>
    <row r="2260" spans="3:10" s="898" customFormat="1" ht="20.100000000000001" hidden="1" customHeight="1">
      <c r="C2260" s="878"/>
      <c r="D2260" s="982" t="s">
        <v>3291</v>
      </c>
      <c r="E2260" s="334">
        <v>5359114000</v>
      </c>
      <c r="F2260" s="854">
        <v>5192957595</v>
      </c>
      <c r="G2260" s="855">
        <f>+F2260/E2260*100</f>
        <v>96.899554571893788</v>
      </c>
      <c r="H2260" s="887">
        <v>100</v>
      </c>
      <c r="I2260" s="852"/>
      <c r="J2260" s="802"/>
    </row>
    <row r="2261" spans="3:10" s="898" customFormat="1" ht="15" hidden="1" customHeight="1">
      <c r="C2261" s="878"/>
      <c r="D2261" s="917"/>
      <c r="E2261" s="418"/>
      <c r="F2261" s="854"/>
      <c r="G2261" s="855"/>
      <c r="H2261" s="887"/>
      <c r="I2261" s="852"/>
      <c r="J2261" s="802"/>
    </row>
    <row r="2262" spans="3:10" s="980" customFormat="1" ht="20.100000000000001" hidden="1" customHeight="1">
      <c r="C2262" s="881"/>
      <c r="D2262" s="917" t="s">
        <v>987</v>
      </c>
      <c r="E2262" s="418">
        <f>E2263</f>
        <v>150000000</v>
      </c>
      <c r="F2262" s="855">
        <v>150000000</v>
      </c>
      <c r="G2262" s="855">
        <f>+F2262/E2262*100</f>
        <v>100</v>
      </c>
      <c r="H2262" s="887">
        <f>+G2262</f>
        <v>100</v>
      </c>
      <c r="I2262" s="863"/>
      <c r="J2262" s="44"/>
    </row>
    <row r="2263" spans="3:10" s="898" customFormat="1" ht="20.100000000000001" hidden="1" customHeight="1">
      <c r="C2263" s="878"/>
      <c r="D2263" s="924" t="s">
        <v>1856</v>
      </c>
      <c r="E2263" s="418">
        <f>E2264</f>
        <v>150000000</v>
      </c>
      <c r="F2263" s="854">
        <v>150000000</v>
      </c>
      <c r="G2263" s="855">
        <f>+F2263/E2263*100</f>
        <v>100</v>
      </c>
      <c r="H2263" s="887">
        <f>+G2263</f>
        <v>100</v>
      </c>
      <c r="I2263" s="852"/>
      <c r="J2263" s="802"/>
    </row>
    <row r="2264" spans="3:10" s="898" customFormat="1" ht="20.100000000000001" hidden="1" customHeight="1">
      <c r="C2264" s="878"/>
      <c r="D2264" s="982" t="s">
        <v>3290</v>
      </c>
      <c r="E2264" s="334">
        <v>150000000</v>
      </c>
      <c r="F2264" s="854">
        <v>150000000</v>
      </c>
      <c r="G2264" s="855">
        <f>+F2264/E2264*100</f>
        <v>100</v>
      </c>
      <c r="H2264" s="887">
        <f>+G2264</f>
        <v>100</v>
      </c>
      <c r="I2264" s="852"/>
      <c r="J2264" s="802"/>
    </row>
    <row r="2265" spans="3:10" s="898" customFormat="1" ht="15" hidden="1" customHeight="1">
      <c r="C2265" s="878"/>
      <c r="D2265" s="984"/>
      <c r="E2265" s="418"/>
      <c r="F2265" s="854"/>
      <c r="G2265" s="855"/>
      <c r="H2265" s="887"/>
      <c r="I2265" s="852"/>
      <c r="J2265" s="802"/>
    </row>
    <row r="2266" spans="3:10" s="898" customFormat="1" ht="20.100000000000001" hidden="1" customHeight="1">
      <c r="C2266" s="878"/>
      <c r="D2266" s="984" t="s">
        <v>3289</v>
      </c>
      <c r="E2266" s="418">
        <f>SUM(E2268)</f>
        <v>312970000</v>
      </c>
      <c r="F2266" s="854">
        <v>231000000</v>
      </c>
      <c r="G2266" s="855">
        <f>+F2266/E2266*100</f>
        <v>73.808991277119219</v>
      </c>
      <c r="H2266" s="887">
        <v>75</v>
      </c>
      <c r="I2266" s="852"/>
      <c r="J2266" s="802"/>
    </row>
    <row r="2267" spans="3:10" s="898" customFormat="1" ht="20.100000000000001" hidden="1" customHeight="1">
      <c r="C2267" s="878"/>
      <c r="D2267" s="983" t="s">
        <v>475</v>
      </c>
      <c r="E2267" s="418">
        <f>SUM(E2268)</f>
        <v>312970000</v>
      </c>
      <c r="F2267" s="854">
        <v>231000000</v>
      </c>
      <c r="G2267" s="855">
        <f>+F2267/E2267*100</f>
        <v>73.808991277119219</v>
      </c>
      <c r="H2267" s="887">
        <v>75</v>
      </c>
      <c r="I2267" s="852"/>
      <c r="J2267" s="802"/>
    </row>
    <row r="2268" spans="3:10" s="898" customFormat="1" ht="20.100000000000001" hidden="1" customHeight="1">
      <c r="C2268" s="878"/>
      <c r="D2268" s="982" t="s">
        <v>3288</v>
      </c>
      <c r="E2268" s="334">
        <v>312970000</v>
      </c>
      <c r="F2268" s="854">
        <v>231000000</v>
      </c>
      <c r="G2268" s="855">
        <f>+F2268/E2268*100</f>
        <v>73.808991277119219</v>
      </c>
      <c r="H2268" s="887">
        <v>75</v>
      </c>
      <c r="I2268" s="852"/>
      <c r="J2268" s="802"/>
    </row>
    <row r="2269" spans="3:10" s="898" customFormat="1" ht="15" hidden="1" customHeight="1">
      <c r="C2269" s="878"/>
      <c r="D2269" s="917"/>
      <c r="E2269" s="418"/>
      <c r="F2269" s="854"/>
      <c r="G2269" s="855"/>
      <c r="H2269" s="887"/>
      <c r="I2269" s="852"/>
      <c r="J2269" s="802"/>
    </row>
    <row r="2270" spans="3:10" s="898" customFormat="1" ht="20.100000000000001" hidden="1" customHeight="1">
      <c r="C2270" s="878"/>
      <c r="D2270" s="917" t="s">
        <v>898</v>
      </c>
      <c r="E2270" s="418">
        <v>500000000</v>
      </c>
      <c r="F2270" s="854">
        <v>355800000</v>
      </c>
      <c r="G2270" s="855">
        <f>+F2270/E2270*100</f>
        <v>71.16</v>
      </c>
      <c r="H2270" s="887">
        <v>75</v>
      </c>
      <c r="I2270" s="852"/>
      <c r="J2270" s="802"/>
    </row>
    <row r="2271" spans="3:10" s="898" customFormat="1" ht="35.1" hidden="1" customHeight="1">
      <c r="C2271" s="878"/>
      <c r="D2271" s="924" t="s">
        <v>1864</v>
      </c>
      <c r="E2271" s="418">
        <f>E2272</f>
        <v>500000000</v>
      </c>
      <c r="F2271" s="854">
        <v>355800000</v>
      </c>
      <c r="G2271" s="855">
        <f>+F2271/E2271*100</f>
        <v>71.16</v>
      </c>
      <c r="H2271" s="887">
        <v>75</v>
      </c>
      <c r="I2271" s="852"/>
      <c r="J2271" s="802"/>
    </row>
    <row r="2272" spans="3:10" s="980" customFormat="1" ht="47.25" hidden="1" customHeight="1">
      <c r="C2272" s="881"/>
      <c r="D2272" s="914" t="s">
        <v>900</v>
      </c>
      <c r="E2272" s="334">
        <v>500000000</v>
      </c>
      <c r="F2272" s="855">
        <v>355800000</v>
      </c>
      <c r="G2272" s="855">
        <f>+F2272/E2272*100</f>
        <v>71.16</v>
      </c>
      <c r="H2272" s="887">
        <v>75</v>
      </c>
      <c r="I2272" s="863"/>
      <c r="J2272" s="44"/>
    </row>
    <row r="2273" spans="3:10" s="898" customFormat="1" ht="15" hidden="1" customHeight="1">
      <c r="C2273" s="878"/>
      <c r="D2273" s="917"/>
      <c r="E2273" s="318"/>
      <c r="F2273" s="854"/>
      <c r="G2273" s="855"/>
      <c r="H2273" s="887"/>
      <c r="I2273" s="852"/>
      <c r="J2273" s="802"/>
    </row>
    <row r="2274" spans="3:10" s="980" customFormat="1" ht="20.100000000000001" hidden="1" customHeight="1">
      <c r="C2274" s="881"/>
      <c r="D2274" s="917" t="s">
        <v>366</v>
      </c>
      <c r="E2274" s="418">
        <f>SUM(E2275,E2280,E2282)</f>
        <v>1743537093.3299999</v>
      </c>
      <c r="F2274" s="855">
        <v>1262500000</v>
      </c>
      <c r="G2274" s="855">
        <f t="shared" ref="G2274:G2283" si="107">+F2274/E2274*100</f>
        <v>72.410274770164946</v>
      </c>
      <c r="H2274" s="887">
        <f>(H2275+H2280+H2282)/3</f>
        <v>83.333333333333329</v>
      </c>
      <c r="I2274" s="863"/>
      <c r="J2274" s="44"/>
    </row>
    <row r="2275" spans="3:10" s="980" customFormat="1" ht="20.100000000000001" hidden="1" customHeight="1">
      <c r="C2275" s="881"/>
      <c r="D2275" s="924" t="s">
        <v>509</v>
      </c>
      <c r="E2275" s="418">
        <f>SUM(E2276:E2279)</f>
        <v>1226037093.3299999</v>
      </c>
      <c r="F2275" s="855">
        <v>745000000</v>
      </c>
      <c r="G2275" s="855">
        <f t="shared" si="107"/>
        <v>60.764882567829126</v>
      </c>
      <c r="H2275" s="887">
        <f>SUM((H2276:H2279))/4</f>
        <v>50</v>
      </c>
      <c r="I2275" s="863"/>
      <c r="J2275" s="44"/>
    </row>
    <row r="2276" spans="3:10" s="898" customFormat="1" ht="35.1" hidden="1" customHeight="1">
      <c r="C2276" s="878"/>
      <c r="D2276" s="914" t="s">
        <v>3287</v>
      </c>
      <c r="E2276" s="334">
        <v>130000000</v>
      </c>
      <c r="F2276" s="854">
        <v>0</v>
      </c>
      <c r="G2276" s="855">
        <f t="shared" si="107"/>
        <v>0</v>
      </c>
      <c r="H2276" s="887">
        <f t="shared" ref="H2276:H2283" si="108">+G2276</f>
        <v>0</v>
      </c>
      <c r="I2276" s="852"/>
      <c r="J2276" s="802"/>
    </row>
    <row r="2277" spans="3:10" s="898" customFormat="1" ht="35.1" hidden="1" customHeight="1">
      <c r="C2277" s="878"/>
      <c r="D2277" s="914" t="s">
        <v>1865</v>
      </c>
      <c r="E2277" s="334">
        <v>445000000</v>
      </c>
      <c r="F2277" s="854">
        <v>445000000</v>
      </c>
      <c r="G2277" s="855">
        <f t="shared" si="107"/>
        <v>100</v>
      </c>
      <c r="H2277" s="887">
        <f t="shared" si="108"/>
        <v>100</v>
      </c>
      <c r="I2277" s="852"/>
      <c r="J2277" s="802"/>
    </row>
    <row r="2278" spans="3:10" s="898" customFormat="1" ht="35.1" hidden="1" customHeight="1">
      <c r="C2278" s="878"/>
      <c r="D2278" s="914" t="s">
        <v>1582</v>
      </c>
      <c r="E2278" s="322">
        <v>351037093.32999998</v>
      </c>
      <c r="F2278" s="854">
        <v>0</v>
      </c>
      <c r="G2278" s="855">
        <f t="shared" si="107"/>
        <v>0</v>
      </c>
      <c r="H2278" s="887">
        <f t="shared" si="108"/>
        <v>0</v>
      </c>
      <c r="I2278" s="852"/>
      <c r="J2278" s="802"/>
    </row>
    <row r="2279" spans="3:10" s="898" customFormat="1" ht="57.75" hidden="1" customHeight="1">
      <c r="C2279" s="878"/>
      <c r="D2279" s="982" t="s">
        <v>3286</v>
      </c>
      <c r="E2279" s="981">
        <v>300000000</v>
      </c>
      <c r="F2279" s="854">
        <v>300000000</v>
      </c>
      <c r="G2279" s="855">
        <f t="shared" si="107"/>
        <v>100</v>
      </c>
      <c r="H2279" s="887">
        <f t="shared" si="108"/>
        <v>100</v>
      </c>
      <c r="I2279" s="852"/>
      <c r="J2279" s="802"/>
    </row>
    <row r="2280" spans="3:10" s="898" customFormat="1" ht="20.100000000000001" hidden="1" customHeight="1">
      <c r="C2280" s="878"/>
      <c r="D2280" s="917" t="s">
        <v>3285</v>
      </c>
      <c r="E2280" s="418">
        <f>SUM(E2281)</f>
        <v>330190000</v>
      </c>
      <c r="F2280" s="854">
        <v>330190000</v>
      </c>
      <c r="G2280" s="855">
        <f t="shared" si="107"/>
        <v>100</v>
      </c>
      <c r="H2280" s="887">
        <f t="shared" si="108"/>
        <v>100</v>
      </c>
      <c r="I2280" s="852"/>
      <c r="J2280" s="802"/>
    </row>
    <row r="2281" spans="3:10" s="898" customFormat="1" ht="35.1" hidden="1" customHeight="1">
      <c r="C2281" s="878"/>
      <c r="D2281" s="914" t="s">
        <v>1867</v>
      </c>
      <c r="E2281" s="334">
        <v>330190000</v>
      </c>
      <c r="F2281" s="854">
        <v>330190000</v>
      </c>
      <c r="G2281" s="855">
        <f t="shared" si="107"/>
        <v>100</v>
      </c>
      <c r="H2281" s="887">
        <f t="shared" si="108"/>
        <v>100</v>
      </c>
      <c r="I2281" s="852"/>
      <c r="J2281" s="802"/>
    </row>
    <row r="2282" spans="3:10" s="980" customFormat="1" ht="20.100000000000001" hidden="1" customHeight="1">
      <c r="C2282" s="881"/>
      <c r="D2282" s="917" t="s">
        <v>1202</v>
      </c>
      <c r="E2282" s="418">
        <f>SUM(E2283)</f>
        <v>187310000</v>
      </c>
      <c r="F2282" s="855">
        <v>187310000</v>
      </c>
      <c r="G2282" s="855">
        <f t="shared" si="107"/>
        <v>100</v>
      </c>
      <c r="H2282" s="887">
        <f t="shared" si="108"/>
        <v>100</v>
      </c>
      <c r="I2282" s="863"/>
      <c r="J2282" s="44"/>
    </row>
    <row r="2283" spans="3:10" s="898" customFormat="1" ht="20.100000000000001" hidden="1" customHeight="1">
      <c r="C2283" s="878"/>
      <c r="D2283" s="914" t="s">
        <v>3284</v>
      </c>
      <c r="E2283" s="334">
        <v>187310000</v>
      </c>
      <c r="F2283" s="854">
        <v>187310000</v>
      </c>
      <c r="G2283" s="855">
        <f t="shared" si="107"/>
        <v>100</v>
      </c>
      <c r="H2283" s="887">
        <f t="shared" si="108"/>
        <v>100</v>
      </c>
      <c r="I2283" s="852"/>
      <c r="J2283" s="802"/>
    </row>
    <row r="2284" spans="3:10" s="898" customFormat="1" ht="15" hidden="1" customHeight="1">
      <c r="C2284" s="878"/>
      <c r="D2284" s="979"/>
      <c r="E2284" s="125"/>
      <c r="F2284" s="854"/>
      <c r="G2284" s="854"/>
      <c r="H2284" s="876"/>
      <c r="I2284" s="852"/>
      <c r="J2284" s="802"/>
    </row>
    <row r="2285" spans="3:10" s="605" customFormat="1" ht="20.100000000000001" customHeight="1">
      <c r="C2285" s="1676" t="s">
        <v>1869</v>
      </c>
      <c r="D2285" s="1677" t="s">
        <v>3283</v>
      </c>
      <c r="E2285" s="1678">
        <f>+E2286+E2306+E2315+E2319+E2323+E2327+E2333+E2341+E2349+E2353+E2363+E2367+E2375+E2379+E2391</f>
        <v>59066221758.910004</v>
      </c>
      <c r="F2285" s="1678">
        <f>+F2286+F2306+F2315+F2319+F2323+F2327+F2333+F2337+F2341+F2349+F2353+F2363+F2367+F2375+F2379+F2391</f>
        <v>57609107859.550003</v>
      </c>
      <c r="G2285" s="1679">
        <f>+F2285/E2285*100</f>
        <v>97.533084297642247</v>
      </c>
      <c r="H2285" s="1680">
        <f>+G2285</f>
        <v>97.533084297642247</v>
      </c>
      <c r="I2285" s="1681"/>
    </row>
    <row r="2286" spans="3:10" s="2" customFormat="1" ht="20.100000000000001" hidden="1" customHeight="1">
      <c r="C2286" s="902"/>
      <c r="D2286" s="889" t="s">
        <v>64</v>
      </c>
      <c r="E2286" s="978">
        <f>+E2287+E2289+E2293+E2295+E2300+E2303</f>
        <v>17751847840</v>
      </c>
      <c r="F2286" s="974">
        <f>F2287+F2289+F2293+F2295+F2300+F2303</f>
        <v>17636411550</v>
      </c>
      <c r="G2286" s="974">
        <f t="shared" ref="G2286:G2304" si="109">F2286/E2286*100</f>
        <v>99.34972240050476</v>
      </c>
      <c r="H2286" s="974">
        <v>100</v>
      </c>
      <c r="I2286" s="900"/>
    </row>
    <row r="2287" spans="3:10" s="2" customFormat="1" ht="20.100000000000001" hidden="1" customHeight="1">
      <c r="C2287" s="902"/>
      <c r="D2287" s="889" t="s">
        <v>388</v>
      </c>
      <c r="E2287" s="974">
        <f>E2288</f>
        <v>754529377</v>
      </c>
      <c r="F2287" s="974">
        <f>F2288</f>
        <v>754529212</v>
      </c>
      <c r="G2287" s="974">
        <f t="shared" si="109"/>
        <v>99.999978132064172</v>
      </c>
      <c r="H2287" s="974">
        <f t="shared" ref="H2287:H2294" si="110">F2287/E2287*100</f>
        <v>99.999978132064172</v>
      </c>
      <c r="I2287" s="900"/>
    </row>
    <row r="2288" spans="3:10" s="2" customFormat="1" ht="20.100000000000001" hidden="1" customHeight="1">
      <c r="C2288" s="902"/>
      <c r="D2288" s="808" t="s">
        <v>3282</v>
      </c>
      <c r="E2288" s="976">
        <v>754529377</v>
      </c>
      <c r="F2288" s="975">
        <v>754529212</v>
      </c>
      <c r="G2288" s="975">
        <f t="shared" si="109"/>
        <v>99.999978132064172</v>
      </c>
      <c r="H2288" s="975">
        <f t="shared" si="110"/>
        <v>99.999978132064172</v>
      </c>
      <c r="I2288" s="900"/>
    </row>
    <row r="2289" spans="3:9" s="2" customFormat="1" ht="20.100000000000001" hidden="1" customHeight="1">
      <c r="C2289" s="902"/>
      <c r="D2289" s="890" t="s">
        <v>3281</v>
      </c>
      <c r="E2289" s="974">
        <f>SUM(E2290:E2292)</f>
        <v>9077609488</v>
      </c>
      <c r="F2289" s="974">
        <f>SUM(F2290:F2292)</f>
        <v>8977609488</v>
      </c>
      <c r="G2289" s="974">
        <f t="shared" si="109"/>
        <v>98.898388390333452</v>
      </c>
      <c r="H2289" s="974">
        <f t="shared" si="110"/>
        <v>98.898388390333452</v>
      </c>
      <c r="I2289" s="900"/>
    </row>
    <row r="2290" spans="3:9" s="2" customFormat="1" ht="35.1" hidden="1" customHeight="1">
      <c r="C2290" s="902"/>
      <c r="D2290" s="808" t="s">
        <v>3280</v>
      </c>
      <c r="E2290" s="976">
        <v>2875950000</v>
      </c>
      <c r="F2290" s="976">
        <v>2775950000</v>
      </c>
      <c r="G2290" s="975">
        <f t="shared" si="109"/>
        <v>96.522888089153142</v>
      </c>
      <c r="H2290" s="975">
        <f t="shared" si="110"/>
        <v>96.522888089153142</v>
      </c>
      <c r="I2290" s="900"/>
    </row>
    <row r="2291" spans="3:9" s="2" customFormat="1" ht="35.1" hidden="1" customHeight="1">
      <c r="C2291" s="902"/>
      <c r="D2291" s="808" t="s">
        <v>3279</v>
      </c>
      <c r="E2291" s="976">
        <v>5281704488</v>
      </c>
      <c r="F2291" s="975">
        <v>5281704488</v>
      </c>
      <c r="G2291" s="975">
        <f t="shared" si="109"/>
        <v>100</v>
      </c>
      <c r="H2291" s="975">
        <f t="shared" si="110"/>
        <v>100</v>
      </c>
      <c r="I2291" s="900"/>
    </row>
    <row r="2292" spans="3:9" s="2" customFormat="1" ht="20.100000000000001" hidden="1" customHeight="1">
      <c r="C2292" s="902"/>
      <c r="D2292" s="808" t="s">
        <v>3278</v>
      </c>
      <c r="E2292" s="976">
        <v>919955000</v>
      </c>
      <c r="F2292" s="976">
        <v>919955000</v>
      </c>
      <c r="G2292" s="975">
        <f t="shared" si="109"/>
        <v>100</v>
      </c>
      <c r="H2292" s="975">
        <f t="shared" si="110"/>
        <v>100</v>
      </c>
      <c r="I2292" s="900"/>
    </row>
    <row r="2293" spans="3:9" s="2" customFormat="1" ht="20.100000000000001" hidden="1" customHeight="1">
      <c r="C2293" s="902"/>
      <c r="D2293" s="890" t="s">
        <v>404</v>
      </c>
      <c r="E2293" s="974">
        <f>E2294</f>
        <v>593700000</v>
      </c>
      <c r="F2293" s="974">
        <f>F2294</f>
        <v>593700000</v>
      </c>
      <c r="G2293" s="974">
        <f t="shared" si="109"/>
        <v>100</v>
      </c>
      <c r="H2293" s="974">
        <f t="shared" si="110"/>
        <v>100</v>
      </c>
      <c r="I2293" s="900"/>
    </row>
    <row r="2294" spans="3:9" s="2" customFormat="1" ht="35.1" hidden="1" customHeight="1">
      <c r="C2294" s="902"/>
      <c r="D2294" s="808" t="s">
        <v>3277</v>
      </c>
      <c r="E2294" s="976">
        <v>593700000</v>
      </c>
      <c r="F2294" s="975">
        <v>593700000</v>
      </c>
      <c r="G2294" s="975">
        <f t="shared" si="109"/>
        <v>100</v>
      </c>
      <c r="H2294" s="975">
        <f t="shared" si="110"/>
        <v>100</v>
      </c>
      <c r="I2294" s="900"/>
    </row>
    <row r="2295" spans="3:9" s="2" customFormat="1" ht="20.100000000000001" hidden="1" customHeight="1">
      <c r="C2295" s="902"/>
      <c r="D2295" s="890" t="s">
        <v>3276</v>
      </c>
      <c r="E2295" s="974">
        <f>SUM(E2296:E2299)</f>
        <v>2798833700</v>
      </c>
      <c r="F2295" s="974">
        <f>SUM(F2296:F2299)</f>
        <v>2785456850</v>
      </c>
      <c r="G2295" s="974">
        <f t="shared" si="109"/>
        <v>99.5220562765126</v>
      </c>
      <c r="H2295" s="974">
        <v>100</v>
      </c>
      <c r="I2295" s="900"/>
    </row>
    <row r="2296" spans="3:9" s="2" customFormat="1" ht="52.5" hidden="1" customHeight="1">
      <c r="C2296" s="902"/>
      <c r="D2296" s="808" t="s">
        <v>3275</v>
      </c>
      <c r="E2296" s="976">
        <v>818116850</v>
      </c>
      <c r="F2296" s="976">
        <v>818116850</v>
      </c>
      <c r="G2296" s="975">
        <f t="shared" si="109"/>
        <v>100</v>
      </c>
      <c r="H2296" s="975">
        <f>F2296/E2296*100</f>
        <v>100</v>
      </c>
      <c r="I2296" s="900"/>
    </row>
    <row r="2297" spans="3:9" s="2" customFormat="1" ht="35.1" hidden="1" customHeight="1">
      <c r="C2297" s="902"/>
      <c r="D2297" s="808" t="s">
        <v>3274</v>
      </c>
      <c r="E2297" s="976">
        <v>500000000</v>
      </c>
      <c r="F2297" s="976">
        <v>500000000</v>
      </c>
      <c r="G2297" s="975">
        <f t="shared" si="109"/>
        <v>100</v>
      </c>
      <c r="H2297" s="975">
        <f>F2297/E2297*100</f>
        <v>100</v>
      </c>
      <c r="I2297" s="900"/>
    </row>
    <row r="2298" spans="3:9" s="2" customFormat="1" ht="47.25" hidden="1" customHeight="1">
      <c r="C2298" s="902"/>
      <c r="D2298" s="925" t="s">
        <v>3273</v>
      </c>
      <c r="E2298" s="976">
        <v>500000000</v>
      </c>
      <c r="F2298" s="976">
        <v>500000000</v>
      </c>
      <c r="G2298" s="975">
        <f t="shared" si="109"/>
        <v>100</v>
      </c>
      <c r="H2298" s="975">
        <f>F2298/E2298*100</f>
        <v>100</v>
      </c>
      <c r="I2298" s="900"/>
    </row>
    <row r="2299" spans="3:9" s="2" customFormat="1" ht="20.100000000000001" hidden="1" customHeight="1">
      <c r="C2299" s="902"/>
      <c r="D2299" s="808" t="s">
        <v>3272</v>
      </c>
      <c r="E2299" s="976">
        <v>980716850</v>
      </c>
      <c r="F2299" s="975">
        <v>967340000</v>
      </c>
      <c r="G2299" s="975">
        <f t="shared" si="109"/>
        <v>98.636013034751059</v>
      </c>
      <c r="H2299" s="975">
        <v>100</v>
      </c>
      <c r="I2299" s="900"/>
    </row>
    <row r="2300" spans="3:9" s="2" customFormat="1" ht="20.100000000000001" hidden="1" customHeight="1">
      <c r="C2300" s="902"/>
      <c r="D2300" s="890" t="s">
        <v>2075</v>
      </c>
      <c r="E2300" s="974">
        <f>SUM(E2301:E2302)</f>
        <v>3018116850</v>
      </c>
      <c r="F2300" s="974">
        <f>SUM(F2301:F2302)</f>
        <v>3018116000</v>
      </c>
      <c r="G2300" s="975">
        <f t="shared" si="109"/>
        <v>99.999971836743157</v>
      </c>
      <c r="H2300" s="974">
        <f>F2300/E2300*100</f>
        <v>99.999971836743157</v>
      </c>
      <c r="I2300" s="900"/>
    </row>
    <row r="2301" spans="3:9" s="2" customFormat="1" ht="47.25" hidden="1" customHeight="1">
      <c r="C2301" s="902"/>
      <c r="D2301" s="925" t="s">
        <v>3271</v>
      </c>
      <c r="E2301" s="976">
        <v>1518116850</v>
      </c>
      <c r="F2301" s="975">
        <v>1518116000</v>
      </c>
      <c r="G2301" s="975">
        <f t="shared" si="109"/>
        <v>99.99994400958002</v>
      </c>
      <c r="H2301" s="975">
        <f>F2301/E2301*100</f>
        <v>99.99994400958002</v>
      </c>
      <c r="I2301" s="900"/>
    </row>
    <row r="2302" spans="3:9" s="2" customFormat="1" ht="35.1" hidden="1" customHeight="1">
      <c r="C2302" s="902"/>
      <c r="D2302" s="808" t="s">
        <v>3270</v>
      </c>
      <c r="E2302" s="976">
        <v>1500000000</v>
      </c>
      <c r="F2302" s="975">
        <v>1500000000</v>
      </c>
      <c r="G2302" s="975">
        <f t="shared" si="109"/>
        <v>100</v>
      </c>
      <c r="H2302" s="975">
        <f>F2302/E2302*100</f>
        <v>100</v>
      </c>
      <c r="I2302" s="900"/>
    </row>
    <row r="2303" spans="3:9" s="2" customFormat="1" ht="20.100000000000001" hidden="1" customHeight="1">
      <c r="C2303" s="902"/>
      <c r="D2303" s="890" t="s">
        <v>3269</v>
      </c>
      <c r="E2303" s="974">
        <f>+E2304</f>
        <v>1509058425</v>
      </c>
      <c r="F2303" s="974">
        <f>F2304</f>
        <v>1507000000</v>
      </c>
      <c r="G2303" s="975">
        <f t="shared" si="109"/>
        <v>99.863595407182459</v>
      </c>
      <c r="H2303" s="974">
        <v>100</v>
      </c>
      <c r="I2303" s="900"/>
    </row>
    <row r="2304" spans="3:9" s="2" customFormat="1" ht="20.100000000000001" hidden="1" customHeight="1">
      <c r="C2304" s="902"/>
      <c r="D2304" s="808" t="s">
        <v>3268</v>
      </c>
      <c r="E2304" s="976">
        <v>1509058425</v>
      </c>
      <c r="F2304" s="975">
        <v>1507000000</v>
      </c>
      <c r="G2304" s="975">
        <f t="shared" si="109"/>
        <v>99.863595407182459</v>
      </c>
      <c r="H2304" s="974">
        <v>100</v>
      </c>
      <c r="I2304" s="900"/>
    </row>
    <row r="2305" spans="3:9" s="2" customFormat="1" ht="15" hidden="1" customHeight="1">
      <c r="C2305" s="902"/>
      <c r="D2305" s="890"/>
      <c r="E2305" s="115"/>
      <c r="F2305" s="115"/>
      <c r="G2305" s="115"/>
      <c r="H2305" s="974">
        <v>0</v>
      </c>
      <c r="I2305" s="900"/>
    </row>
    <row r="2306" spans="3:9" s="2" customFormat="1" ht="20.100000000000001" hidden="1" customHeight="1">
      <c r="C2306" s="902"/>
      <c r="D2306" s="890" t="s">
        <v>65</v>
      </c>
      <c r="E2306" s="120">
        <f>E2307+E2310+E2312</f>
        <v>8910933264.5499992</v>
      </c>
      <c r="F2306" s="120">
        <f>+E2306</f>
        <v>8910933264.5499992</v>
      </c>
      <c r="G2306" s="974">
        <f t="shared" ref="G2306:G2313" si="111">F2306/E2306*100</f>
        <v>100</v>
      </c>
      <c r="H2306" s="974">
        <f t="shared" ref="H2306:H2313" si="112">F2306/E2306*100</f>
        <v>100</v>
      </c>
      <c r="I2306" s="900"/>
    </row>
    <row r="2307" spans="3:9" s="2" customFormat="1" ht="20.100000000000001" hidden="1" customHeight="1">
      <c r="C2307" s="902"/>
      <c r="D2307" s="890" t="s">
        <v>173</v>
      </c>
      <c r="E2307" s="120">
        <f>SUM(E2308:E2309)</f>
        <v>6741904398</v>
      </c>
      <c r="F2307" s="120">
        <f>+E2307</f>
        <v>6741904398</v>
      </c>
      <c r="G2307" s="974">
        <f t="shared" si="111"/>
        <v>100</v>
      </c>
      <c r="H2307" s="974">
        <f t="shared" si="112"/>
        <v>100</v>
      </c>
      <c r="I2307" s="900"/>
    </row>
    <row r="2308" spans="3:9" s="2" customFormat="1" ht="35.1" hidden="1" customHeight="1">
      <c r="C2308" s="902"/>
      <c r="D2308" s="808" t="s">
        <v>3267</v>
      </c>
      <c r="E2308" s="976">
        <v>5768404398</v>
      </c>
      <c r="F2308" s="976">
        <f>+E2308</f>
        <v>5768404398</v>
      </c>
      <c r="G2308" s="975">
        <f t="shared" si="111"/>
        <v>100</v>
      </c>
      <c r="H2308" s="975">
        <f t="shared" si="112"/>
        <v>100</v>
      </c>
      <c r="I2308" s="900"/>
    </row>
    <row r="2309" spans="3:9" s="2" customFormat="1" ht="20.100000000000001" hidden="1" customHeight="1">
      <c r="C2309" s="902"/>
      <c r="D2309" s="808" t="s">
        <v>3266</v>
      </c>
      <c r="E2309" s="976">
        <v>973500000</v>
      </c>
      <c r="F2309" s="115">
        <v>973500000</v>
      </c>
      <c r="G2309" s="975">
        <f t="shared" si="111"/>
        <v>100</v>
      </c>
      <c r="H2309" s="975">
        <f t="shared" si="112"/>
        <v>100</v>
      </c>
      <c r="I2309" s="900"/>
    </row>
    <row r="2310" spans="3:9" s="2" customFormat="1" ht="20.100000000000001" hidden="1" customHeight="1">
      <c r="C2310" s="902"/>
      <c r="D2310" s="890" t="s">
        <v>190</v>
      </c>
      <c r="E2310" s="120">
        <f>E2311</f>
        <v>20500000</v>
      </c>
      <c r="F2310" s="120">
        <f>F2311</f>
        <v>20500000</v>
      </c>
      <c r="G2310" s="974">
        <f t="shared" si="111"/>
        <v>100</v>
      </c>
      <c r="H2310" s="974">
        <f t="shared" si="112"/>
        <v>100</v>
      </c>
      <c r="I2310" s="900"/>
    </row>
    <row r="2311" spans="3:9" s="2" customFormat="1" ht="20.100000000000001" hidden="1" customHeight="1">
      <c r="C2311" s="902"/>
      <c r="D2311" s="808" t="s">
        <v>3265</v>
      </c>
      <c r="E2311" s="115">
        <v>20500000</v>
      </c>
      <c r="F2311" s="115">
        <v>20500000</v>
      </c>
      <c r="G2311" s="975">
        <f t="shared" si="111"/>
        <v>100</v>
      </c>
      <c r="H2311" s="975">
        <f t="shared" si="112"/>
        <v>100</v>
      </c>
      <c r="I2311" s="900"/>
    </row>
    <row r="2312" spans="3:9" s="2" customFormat="1" ht="20.100000000000001" hidden="1" customHeight="1">
      <c r="C2312" s="902"/>
      <c r="D2312" s="890" t="s">
        <v>221</v>
      </c>
      <c r="E2312" s="120">
        <f>E2313</f>
        <v>2148528866.5500002</v>
      </c>
      <c r="F2312" s="120">
        <f>F2313</f>
        <v>2107383265.7</v>
      </c>
      <c r="G2312" s="974">
        <f t="shared" si="111"/>
        <v>98.084940747569775</v>
      </c>
      <c r="H2312" s="974">
        <f t="shared" si="112"/>
        <v>98.084940747569775</v>
      </c>
      <c r="I2312" s="900"/>
    </row>
    <row r="2313" spans="3:9" s="2" customFormat="1" ht="20.100000000000001" hidden="1" customHeight="1">
      <c r="C2313" s="902"/>
      <c r="D2313" s="808" t="s">
        <v>3264</v>
      </c>
      <c r="E2313" s="976">
        <v>2148528866.5500002</v>
      </c>
      <c r="F2313" s="976">
        <v>2107383265.7</v>
      </c>
      <c r="G2313" s="975">
        <f t="shared" si="111"/>
        <v>98.084940747569775</v>
      </c>
      <c r="H2313" s="975">
        <f t="shared" si="112"/>
        <v>98.084940747569775</v>
      </c>
      <c r="I2313" s="900"/>
    </row>
    <row r="2314" spans="3:9" s="2" customFormat="1" ht="15" hidden="1" customHeight="1">
      <c r="C2314" s="902"/>
      <c r="D2314" s="888"/>
      <c r="E2314" s="115"/>
      <c r="F2314" s="115"/>
      <c r="G2314" s="115"/>
      <c r="H2314" s="974"/>
      <c r="I2314" s="900"/>
    </row>
    <row r="2315" spans="3:9" s="2" customFormat="1" ht="20.100000000000001" hidden="1" customHeight="1">
      <c r="C2315" s="902"/>
      <c r="D2315" s="890" t="s">
        <v>610</v>
      </c>
      <c r="E2315" s="120">
        <f>+E2316</f>
        <v>3933748117.1999998</v>
      </c>
      <c r="F2315" s="120">
        <f>+F2316</f>
        <v>2838478818</v>
      </c>
      <c r="G2315" s="975">
        <f>F2315/E2315*100</f>
        <v>72.157106490600597</v>
      </c>
      <c r="H2315" s="974">
        <v>75</v>
      </c>
      <c r="I2315" s="900"/>
    </row>
    <row r="2316" spans="3:9" s="2" customFormat="1" ht="20.100000000000001" hidden="1" customHeight="1">
      <c r="C2316" s="902"/>
      <c r="D2316" s="890" t="s">
        <v>1560</v>
      </c>
      <c r="E2316" s="120">
        <f>E2317</f>
        <v>3933748117.1999998</v>
      </c>
      <c r="F2316" s="120">
        <f>F2317</f>
        <v>2838478818</v>
      </c>
      <c r="G2316" s="975">
        <f>F2316/E2316*100</f>
        <v>72.157106490600597</v>
      </c>
      <c r="H2316" s="974">
        <v>75</v>
      </c>
      <c r="I2316" s="900"/>
    </row>
    <row r="2317" spans="3:9" s="2" customFormat="1" ht="20.100000000000001" hidden="1" customHeight="1">
      <c r="C2317" s="902"/>
      <c r="D2317" s="808" t="s">
        <v>3263</v>
      </c>
      <c r="E2317" s="976">
        <v>3933748117.1999998</v>
      </c>
      <c r="F2317" s="115">
        <v>2838478818</v>
      </c>
      <c r="G2317" s="975">
        <f>F2317/E2317*100</f>
        <v>72.157106490600597</v>
      </c>
      <c r="H2317" s="974">
        <v>75</v>
      </c>
      <c r="I2317" s="900"/>
    </row>
    <row r="2318" spans="3:9" s="2" customFormat="1" ht="15" hidden="1" customHeight="1">
      <c r="C2318" s="902"/>
      <c r="D2318" s="808"/>
      <c r="E2318" s="120"/>
      <c r="F2318" s="120"/>
      <c r="G2318" s="120"/>
      <c r="H2318" s="974">
        <v>0</v>
      </c>
      <c r="I2318" s="900"/>
    </row>
    <row r="2319" spans="3:9" s="2" customFormat="1" ht="20.100000000000001" hidden="1" customHeight="1">
      <c r="C2319" s="902"/>
      <c r="D2319" s="890" t="s">
        <v>1899</v>
      </c>
      <c r="E2319" s="120">
        <f>E2320</f>
        <v>3933748118</v>
      </c>
      <c r="F2319" s="120">
        <f>F2320</f>
        <v>3872500000</v>
      </c>
      <c r="G2319" s="975">
        <f>F2319/E2319*100</f>
        <v>98.443008648170903</v>
      </c>
      <c r="H2319" s="974">
        <v>100</v>
      </c>
      <c r="I2319" s="900"/>
    </row>
    <row r="2320" spans="3:9" s="2" customFormat="1" ht="20.100000000000001" hidden="1" customHeight="1">
      <c r="C2320" s="902"/>
      <c r="D2320" s="890" t="s">
        <v>498</v>
      </c>
      <c r="E2320" s="120">
        <f>E2321</f>
        <v>3933748118</v>
      </c>
      <c r="F2320" s="120">
        <f>F2321</f>
        <v>3872500000</v>
      </c>
      <c r="G2320" s="975">
        <f>F2320/E2320*100</f>
        <v>98.443008648170903</v>
      </c>
      <c r="H2320" s="974">
        <v>100</v>
      </c>
      <c r="I2320" s="900"/>
    </row>
    <row r="2321" spans="3:9" s="2" customFormat="1" ht="20.100000000000001" hidden="1" customHeight="1">
      <c r="C2321" s="902"/>
      <c r="D2321" s="808" t="s">
        <v>3262</v>
      </c>
      <c r="E2321" s="976">
        <v>3933748118</v>
      </c>
      <c r="F2321" s="115">
        <v>3872500000</v>
      </c>
      <c r="G2321" s="975">
        <f>F2321/E2321*100</f>
        <v>98.443008648170903</v>
      </c>
      <c r="H2321" s="974">
        <v>100</v>
      </c>
      <c r="I2321" s="900"/>
    </row>
    <row r="2322" spans="3:9" s="2" customFormat="1" ht="15" hidden="1" customHeight="1">
      <c r="C2322" s="902"/>
      <c r="D2322" s="808"/>
      <c r="E2322" s="120"/>
      <c r="F2322" s="120"/>
      <c r="G2322" s="120"/>
      <c r="H2322" s="974">
        <v>0</v>
      </c>
      <c r="I2322" s="900"/>
    </row>
    <row r="2323" spans="3:9" s="2" customFormat="1" ht="20.100000000000001" hidden="1" customHeight="1">
      <c r="C2323" s="902"/>
      <c r="D2323" s="890" t="s">
        <v>3261</v>
      </c>
      <c r="E2323" s="120">
        <f>E2324</f>
        <v>1030062217.58</v>
      </c>
      <c r="F2323" s="120">
        <f>F2324</f>
        <v>1030000000</v>
      </c>
      <c r="G2323" s="975">
        <f>F2323/E2323*100</f>
        <v>99.993959823111837</v>
      </c>
      <c r="H2323" s="974">
        <v>100</v>
      </c>
      <c r="I2323" s="900"/>
    </row>
    <row r="2324" spans="3:9" s="2" customFormat="1" ht="20.100000000000001" hidden="1" customHeight="1">
      <c r="C2324" s="902"/>
      <c r="D2324" s="890" t="s">
        <v>367</v>
      </c>
      <c r="E2324" s="120">
        <f>E2325</f>
        <v>1030062217.58</v>
      </c>
      <c r="F2324" s="120">
        <f>1030000000</f>
        <v>1030000000</v>
      </c>
      <c r="G2324" s="975">
        <f>F2324/E2324*100</f>
        <v>99.993959823111837</v>
      </c>
      <c r="H2324" s="974">
        <v>100</v>
      </c>
      <c r="I2324" s="900"/>
    </row>
    <row r="2325" spans="3:9" s="2" customFormat="1" ht="35.1" hidden="1" customHeight="1">
      <c r="C2325" s="902"/>
      <c r="D2325" s="808" t="s">
        <v>3260</v>
      </c>
      <c r="E2325" s="115">
        <v>1030062217.58</v>
      </c>
      <c r="F2325" s="115">
        <f>F2324</f>
        <v>1030000000</v>
      </c>
      <c r="G2325" s="975">
        <f>F2325/E2325*100</f>
        <v>99.993959823111837</v>
      </c>
      <c r="H2325" s="974">
        <v>100</v>
      </c>
      <c r="I2325" s="900"/>
    </row>
    <row r="2326" spans="3:9" s="2" customFormat="1" ht="15" hidden="1" customHeight="1">
      <c r="C2326" s="902"/>
      <c r="D2326" s="808"/>
      <c r="E2326" s="120"/>
      <c r="F2326" s="120"/>
      <c r="G2326" s="120"/>
      <c r="H2326" s="974">
        <v>0</v>
      </c>
      <c r="I2326" s="900"/>
    </row>
    <row r="2327" spans="3:9" s="2" customFormat="1" ht="20.100000000000001" hidden="1" customHeight="1">
      <c r="C2327" s="902"/>
      <c r="D2327" s="889" t="s">
        <v>1347</v>
      </c>
      <c r="E2327" s="120">
        <f>E2328+E2330</f>
        <v>3933748117</v>
      </c>
      <c r="F2327" s="120">
        <f>F2328+F2330</f>
        <v>3929821000</v>
      </c>
      <c r="G2327" s="975">
        <f>F2327/E2327*100</f>
        <v>99.900168569944043</v>
      </c>
      <c r="H2327" s="974">
        <v>100</v>
      </c>
      <c r="I2327" s="900"/>
    </row>
    <row r="2328" spans="3:9" s="2" customFormat="1" ht="20.100000000000001" hidden="1" customHeight="1">
      <c r="C2328" s="902"/>
      <c r="D2328" s="889" t="s">
        <v>3259</v>
      </c>
      <c r="E2328" s="120">
        <f>E2329</f>
        <v>3363748117</v>
      </c>
      <c r="F2328" s="120">
        <f>F2329</f>
        <v>3361310000</v>
      </c>
      <c r="G2328" s="975">
        <f>F2328/E2328*100</f>
        <v>99.927517848685582</v>
      </c>
      <c r="H2328" s="974">
        <v>100</v>
      </c>
      <c r="I2328" s="900"/>
    </row>
    <row r="2329" spans="3:9" s="2" customFormat="1" ht="20.100000000000001" hidden="1" customHeight="1">
      <c r="C2329" s="902"/>
      <c r="D2329" s="808" t="s">
        <v>3258</v>
      </c>
      <c r="E2329" s="976">
        <v>3363748117</v>
      </c>
      <c r="F2329" s="115">
        <v>3361310000</v>
      </c>
      <c r="G2329" s="975">
        <f>F2329/E2329*100</f>
        <v>99.927517848685582</v>
      </c>
      <c r="H2329" s="974">
        <v>100</v>
      </c>
      <c r="I2329" s="900"/>
    </row>
    <row r="2330" spans="3:9" s="2" customFormat="1" ht="20.100000000000001" hidden="1" customHeight="1">
      <c r="C2330" s="902"/>
      <c r="D2330" s="890" t="s">
        <v>2734</v>
      </c>
      <c r="E2330" s="120">
        <f>E2331</f>
        <v>570000000</v>
      </c>
      <c r="F2330" s="120">
        <f>F2331</f>
        <v>568511000</v>
      </c>
      <c r="G2330" s="975">
        <f>F2330/E2330*100</f>
        <v>99.738771929824566</v>
      </c>
      <c r="H2330" s="974">
        <v>100</v>
      </c>
      <c r="I2330" s="900"/>
    </row>
    <row r="2331" spans="3:9" s="2" customFormat="1" ht="20.100000000000001" hidden="1" customHeight="1">
      <c r="C2331" s="902"/>
      <c r="D2331" s="808" t="s">
        <v>3257</v>
      </c>
      <c r="E2331" s="976">
        <v>570000000</v>
      </c>
      <c r="F2331" s="115">
        <v>568511000</v>
      </c>
      <c r="G2331" s="975">
        <f>F2331/E2331*100</f>
        <v>99.738771929824566</v>
      </c>
      <c r="H2331" s="974">
        <v>100</v>
      </c>
      <c r="I2331" s="900"/>
    </row>
    <row r="2332" spans="3:9" s="2" customFormat="1" ht="15" hidden="1" customHeight="1">
      <c r="C2332" s="902"/>
      <c r="D2332" s="808"/>
      <c r="E2332" s="120"/>
      <c r="F2332" s="120"/>
      <c r="G2332" s="120"/>
      <c r="H2332" s="974">
        <v>0</v>
      </c>
      <c r="I2332" s="900"/>
    </row>
    <row r="2333" spans="3:9" s="2" customFormat="1" ht="20.100000000000001" hidden="1" customHeight="1">
      <c r="C2333" s="902"/>
      <c r="D2333" s="889" t="s">
        <v>1909</v>
      </c>
      <c r="E2333" s="120">
        <f>+E2334</f>
        <v>718413286</v>
      </c>
      <c r="F2333" s="120">
        <f>F2334</f>
        <v>529275000</v>
      </c>
      <c r="G2333" s="975">
        <f>F2333/E2333*100</f>
        <v>73.672774475944209</v>
      </c>
      <c r="H2333" s="974">
        <v>75</v>
      </c>
      <c r="I2333" s="900"/>
    </row>
    <row r="2334" spans="3:9" s="2" customFormat="1" ht="20.100000000000001" hidden="1" customHeight="1">
      <c r="C2334" s="902"/>
      <c r="D2334" s="889" t="s">
        <v>970</v>
      </c>
      <c r="E2334" s="120">
        <f>+E2335</f>
        <v>718413286</v>
      </c>
      <c r="F2334" s="120">
        <f>SUM(F2335:F2335)</f>
        <v>529275000</v>
      </c>
      <c r="G2334" s="975">
        <f>F2334/E2334*100</f>
        <v>73.672774475944209</v>
      </c>
      <c r="H2334" s="974">
        <v>75</v>
      </c>
      <c r="I2334" s="900"/>
    </row>
    <row r="2335" spans="3:9" s="2" customFormat="1" ht="35.1" hidden="1" customHeight="1">
      <c r="C2335" s="902"/>
      <c r="D2335" s="808" t="s">
        <v>3256</v>
      </c>
      <c r="E2335" s="137">
        <v>718413286</v>
      </c>
      <c r="F2335" s="976">
        <v>529275000</v>
      </c>
      <c r="G2335" s="975">
        <f>F2335/E2335*100</f>
        <v>73.672774475944209</v>
      </c>
      <c r="H2335" s="974">
        <v>75</v>
      </c>
      <c r="I2335" s="900"/>
    </row>
    <row r="2336" spans="3:9" s="2" customFormat="1" ht="15" hidden="1" customHeight="1">
      <c r="C2336" s="902"/>
      <c r="D2336" s="808"/>
      <c r="E2336" s="120"/>
      <c r="F2336" s="120"/>
      <c r="G2336" s="120"/>
      <c r="H2336" s="974"/>
      <c r="I2336" s="900"/>
    </row>
    <row r="2337" spans="3:9" s="2" customFormat="1" ht="20.100000000000001" hidden="1" customHeight="1">
      <c r="C2337" s="902"/>
      <c r="D2337" s="889" t="s">
        <v>1128</v>
      </c>
      <c r="E2337" s="120">
        <v>816830000</v>
      </c>
      <c r="F2337" s="120">
        <f>816830000</f>
        <v>816830000</v>
      </c>
      <c r="G2337" s="975">
        <f>F2337/E2337*100</f>
        <v>100</v>
      </c>
      <c r="H2337" s="974">
        <f>F2337/E2337*100</f>
        <v>100</v>
      </c>
      <c r="I2337" s="900"/>
    </row>
    <row r="2338" spans="3:9" s="2" customFormat="1" ht="20.100000000000001" hidden="1" customHeight="1">
      <c r="C2338" s="902"/>
      <c r="D2338" s="889" t="s">
        <v>3255</v>
      </c>
      <c r="E2338" s="120">
        <v>816830000</v>
      </c>
      <c r="F2338" s="120">
        <f>816830000</f>
        <v>816830000</v>
      </c>
      <c r="G2338" s="975">
        <f>F2338/E2338*100</f>
        <v>100</v>
      </c>
      <c r="H2338" s="974">
        <f>F2338/E2338*100</f>
        <v>100</v>
      </c>
      <c r="I2338" s="900"/>
    </row>
    <row r="2339" spans="3:9" s="2" customFormat="1" ht="20.100000000000001" hidden="1" customHeight="1">
      <c r="C2339" s="902"/>
      <c r="D2339" s="808" t="s">
        <v>3254</v>
      </c>
      <c r="E2339" s="115">
        <v>816830000</v>
      </c>
      <c r="F2339" s="115">
        <f>F2338</f>
        <v>816830000</v>
      </c>
      <c r="G2339" s="975">
        <f>F2339/E2339*100</f>
        <v>100</v>
      </c>
      <c r="H2339" s="974">
        <f>F2339/E2339*100</f>
        <v>100</v>
      </c>
      <c r="I2339" s="900"/>
    </row>
    <row r="2340" spans="3:9" s="2" customFormat="1" ht="15" hidden="1" customHeight="1">
      <c r="C2340" s="902"/>
      <c r="D2340" s="808"/>
      <c r="E2340" s="120"/>
      <c r="F2340" s="120"/>
      <c r="G2340" s="120"/>
      <c r="H2340" s="974">
        <v>0</v>
      </c>
      <c r="I2340" s="900"/>
    </row>
    <row r="2341" spans="3:9" s="2" customFormat="1" ht="28.5" hidden="1" customHeight="1">
      <c r="C2341" s="902"/>
      <c r="D2341" s="889" t="s">
        <v>1733</v>
      </c>
      <c r="E2341" s="120">
        <f>+E2342+E2344+E2346</f>
        <v>1770186653</v>
      </c>
      <c r="F2341" s="120">
        <f>F2342+F2344+F2346</f>
        <v>1770186653</v>
      </c>
      <c r="G2341" s="975">
        <f t="shared" ref="G2341:G2347" si="113">F2341/E2341*100</f>
        <v>100</v>
      </c>
      <c r="H2341" s="974">
        <f t="shared" ref="H2341:H2347" si="114">F2341/E2341*100</f>
        <v>100</v>
      </c>
      <c r="I2341" s="900"/>
    </row>
    <row r="2342" spans="3:9" s="2" customFormat="1" ht="20.100000000000001" hidden="1" customHeight="1">
      <c r="C2342" s="902"/>
      <c r="D2342" s="890" t="s">
        <v>3253</v>
      </c>
      <c r="E2342" s="120">
        <f>E2343</f>
        <v>746900000</v>
      </c>
      <c r="F2342" s="120">
        <f>F2343</f>
        <v>746900000</v>
      </c>
      <c r="G2342" s="975">
        <f t="shared" si="113"/>
        <v>100</v>
      </c>
      <c r="H2342" s="974">
        <f t="shared" si="114"/>
        <v>100</v>
      </c>
      <c r="I2342" s="900"/>
    </row>
    <row r="2343" spans="3:9" s="2" customFormat="1" ht="20.100000000000001" hidden="1" customHeight="1">
      <c r="C2343" s="902"/>
      <c r="D2343" s="808" t="s">
        <v>3252</v>
      </c>
      <c r="E2343" s="976">
        <v>746900000</v>
      </c>
      <c r="F2343" s="976">
        <v>746900000</v>
      </c>
      <c r="G2343" s="975">
        <f t="shared" si="113"/>
        <v>100</v>
      </c>
      <c r="H2343" s="974">
        <f t="shared" si="114"/>
        <v>100</v>
      </c>
      <c r="I2343" s="900"/>
    </row>
    <row r="2344" spans="3:9" s="2" customFormat="1" ht="20.100000000000001" hidden="1" customHeight="1">
      <c r="C2344" s="902"/>
      <c r="D2344" s="890" t="s">
        <v>3251</v>
      </c>
      <c r="E2344" s="120">
        <f>SUM(E2345:E2345)</f>
        <v>494850000</v>
      </c>
      <c r="F2344" s="120">
        <f>SUM(F2345:F2345)</f>
        <v>494850000</v>
      </c>
      <c r="G2344" s="975">
        <f t="shared" si="113"/>
        <v>100</v>
      </c>
      <c r="H2344" s="974">
        <f t="shared" si="114"/>
        <v>100</v>
      </c>
      <c r="I2344" s="900"/>
    </row>
    <row r="2345" spans="3:9" s="2" customFormat="1" ht="35.1" hidden="1" customHeight="1">
      <c r="C2345" s="902"/>
      <c r="D2345" s="808" t="s">
        <v>3250</v>
      </c>
      <c r="E2345" s="976">
        <v>494850000</v>
      </c>
      <c r="F2345" s="976">
        <v>494850000</v>
      </c>
      <c r="G2345" s="975">
        <f t="shared" si="113"/>
        <v>100</v>
      </c>
      <c r="H2345" s="974">
        <f t="shared" si="114"/>
        <v>100</v>
      </c>
      <c r="I2345" s="900"/>
    </row>
    <row r="2346" spans="3:9" s="2" customFormat="1" ht="20.100000000000001" hidden="1" customHeight="1">
      <c r="C2346" s="902"/>
      <c r="D2346" s="889" t="s">
        <v>973</v>
      </c>
      <c r="E2346" s="120">
        <f>E2347</f>
        <v>528436653</v>
      </c>
      <c r="F2346" s="120">
        <f>F2347</f>
        <v>528436653</v>
      </c>
      <c r="G2346" s="975">
        <f t="shared" si="113"/>
        <v>100</v>
      </c>
      <c r="H2346" s="974">
        <f t="shared" si="114"/>
        <v>100</v>
      </c>
      <c r="I2346" s="900"/>
    </row>
    <row r="2347" spans="3:9" s="2" customFormat="1" ht="35.1" hidden="1" customHeight="1">
      <c r="C2347" s="902"/>
      <c r="D2347" s="808" t="s">
        <v>3249</v>
      </c>
      <c r="E2347" s="976">
        <v>528436653</v>
      </c>
      <c r="F2347" s="976">
        <v>528436653</v>
      </c>
      <c r="G2347" s="975">
        <f t="shared" si="113"/>
        <v>100</v>
      </c>
      <c r="H2347" s="974">
        <f t="shared" si="114"/>
        <v>100</v>
      </c>
      <c r="I2347" s="900"/>
    </row>
    <row r="2348" spans="3:9" s="2" customFormat="1" ht="15" hidden="1" customHeight="1">
      <c r="C2348" s="902"/>
      <c r="D2348" s="808"/>
      <c r="E2348" s="120"/>
      <c r="F2348" s="120"/>
      <c r="G2348" s="120"/>
      <c r="H2348" s="974">
        <v>0</v>
      </c>
      <c r="I2348" s="900"/>
    </row>
    <row r="2349" spans="3:9" s="2" customFormat="1" ht="20.100000000000001" hidden="1" customHeight="1">
      <c r="C2349" s="902"/>
      <c r="D2349" s="889" t="s">
        <v>3248</v>
      </c>
      <c r="E2349" s="120">
        <f>E2350</f>
        <v>1570186648</v>
      </c>
      <c r="F2349" s="120">
        <f>F2350</f>
        <v>1518930000</v>
      </c>
      <c r="G2349" s="975">
        <f>F2349/E2349*100</f>
        <v>96.735633431523098</v>
      </c>
      <c r="H2349" s="974">
        <v>100</v>
      </c>
      <c r="I2349" s="900"/>
    </row>
    <row r="2350" spans="3:9" s="2" customFormat="1" ht="20.100000000000001" hidden="1" customHeight="1">
      <c r="C2350" s="902"/>
      <c r="D2350" s="889" t="s">
        <v>1953</v>
      </c>
      <c r="E2350" s="120">
        <f>E2351</f>
        <v>1570186648</v>
      </c>
      <c r="F2350" s="120">
        <f>F2351</f>
        <v>1518930000</v>
      </c>
      <c r="G2350" s="975">
        <f>F2350/E2350*100</f>
        <v>96.735633431523098</v>
      </c>
      <c r="H2350" s="974">
        <v>100</v>
      </c>
      <c r="I2350" s="900"/>
    </row>
    <row r="2351" spans="3:9" s="2" customFormat="1" ht="49.5" hidden="1" customHeight="1">
      <c r="C2351" s="902"/>
      <c r="D2351" s="925" t="s">
        <v>3247</v>
      </c>
      <c r="E2351" s="976">
        <v>1570186648</v>
      </c>
      <c r="F2351" s="115">
        <v>1518930000</v>
      </c>
      <c r="G2351" s="975">
        <f>F2351/E2351*100</f>
        <v>96.735633431523098</v>
      </c>
      <c r="H2351" s="974">
        <v>100</v>
      </c>
      <c r="I2351" s="900"/>
    </row>
    <row r="2352" spans="3:9" s="2" customFormat="1" ht="15" hidden="1" customHeight="1">
      <c r="C2352" s="902"/>
      <c r="D2352" s="925"/>
      <c r="E2352" s="120"/>
      <c r="F2352" s="120"/>
      <c r="G2352" s="120"/>
      <c r="H2352" s="974">
        <v>0</v>
      </c>
      <c r="I2352" s="900"/>
    </row>
    <row r="2353" spans="3:9" s="2" customFormat="1" ht="20.100000000000001" hidden="1" customHeight="1">
      <c r="C2353" s="902"/>
      <c r="D2353" s="889" t="s">
        <v>3246</v>
      </c>
      <c r="E2353" s="120">
        <f>E2354+E2356+E2359</f>
        <v>2850311088</v>
      </c>
      <c r="F2353" s="120">
        <f>F2354+F2356+F2359</f>
        <v>2843565000</v>
      </c>
      <c r="G2353" s="975">
        <f t="shared" ref="G2353:G2361" si="115">F2353/E2353*100</f>
        <v>99.763320992280399</v>
      </c>
      <c r="H2353" s="974">
        <v>100</v>
      </c>
      <c r="I2353" s="900"/>
    </row>
    <row r="2354" spans="3:9" s="2" customFormat="1" ht="35.1" hidden="1" customHeight="1">
      <c r="C2354" s="902"/>
      <c r="D2354" s="889" t="s">
        <v>546</v>
      </c>
      <c r="E2354" s="120">
        <f>E2355</f>
        <v>867276088</v>
      </c>
      <c r="F2354" s="120">
        <f>F2355</f>
        <v>864000000</v>
      </c>
      <c r="G2354" s="975">
        <f t="shared" si="115"/>
        <v>99.622255467972735</v>
      </c>
      <c r="H2354" s="974">
        <v>100</v>
      </c>
      <c r="I2354" s="900"/>
    </row>
    <row r="2355" spans="3:9" s="2" customFormat="1" ht="20.100000000000001" hidden="1" customHeight="1">
      <c r="C2355" s="902"/>
      <c r="D2355" s="808" t="s">
        <v>3245</v>
      </c>
      <c r="E2355" s="976">
        <v>867276088</v>
      </c>
      <c r="F2355" s="115">
        <v>864000000</v>
      </c>
      <c r="G2355" s="975">
        <f t="shared" si="115"/>
        <v>99.622255467972735</v>
      </c>
      <c r="H2355" s="974">
        <v>100</v>
      </c>
      <c r="I2355" s="900"/>
    </row>
    <row r="2356" spans="3:9" s="2" customFormat="1" ht="20.100000000000001" hidden="1" customHeight="1">
      <c r="C2356" s="902"/>
      <c r="D2356" s="890" t="s">
        <v>548</v>
      </c>
      <c r="E2356" s="120">
        <f>SUM(E2357:E2358)</f>
        <v>1105395000</v>
      </c>
      <c r="F2356" s="120">
        <f>SUM(F2357:F2358)</f>
        <v>1101925000</v>
      </c>
      <c r="G2356" s="975">
        <f t="shared" si="115"/>
        <v>99.686085064614915</v>
      </c>
      <c r="H2356" s="974">
        <v>100</v>
      </c>
      <c r="I2356" s="900"/>
    </row>
    <row r="2357" spans="3:9" s="2" customFormat="1" ht="35.1" hidden="1" customHeight="1">
      <c r="C2357" s="902"/>
      <c r="D2357" s="808" t="s">
        <v>3244</v>
      </c>
      <c r="E2357" s="976">
        <v>562325000</v>
      </c>
      <c r="F2357" s="115">
        <v>562325000</v>
      </c>
      <c r="G2357" s="975">
        <f t="shared" si="115"/>
        <v>100</v>
      </c>
      <c r="H2357" s="974">
        <v>100</v>
      </c>
      <c r="I2357" s="900"/>
    </row>
    <row r="2358" spans="3:9" s="2" customFormat="1" ht="20.100000000000001" hidden="1" customHeight="1">
      <c r="C2358" s="902"/>
      <c r="D2358" s="808" t="s">
        <v>3243</v>
      </c>
      <c r="E2358" s="976">
        <v>543070000</v>
      </c>
      <c r="F2358" s="115">
        <v>539600000</v>
      </c>
      <c r="G2358" s="975">
        <f t="shared" si="115"/>
        <v>99.361040013257963</v>
      </c>
      <c r="H2358" s="974">
        <v>100</v>
      </c>
      <c r="I2358" s="900"/>
    </row>
    <row r="2359" spans="3:9" s="2" customFormat="1" ht="20.100000000000001" hidden="1" customHeight="1">
      <c r="C2359" s="902"/>
      <c r="D2359" s="890" t="s">
        <v>1433</v>
      </c>
      <c r="E2359" s="120">
        <f>SUM(E2360:E2361)</f>
        <v>877640000</v>
      </c>
      <c r="F2359" s="120">
        <f>SUM(F2360:F2361)</f>
        <v>877640000</v>
      </c>
      <c r="G2359" s="975">
        <f t="shared" si="115"/>
        <v>100</v>
      </c>
      <c r="H2359" s="974">
        <f>F2359/E2359*100</f>
        <v>100</v>
      </c>
      <c r="I2359" s="900"/>
    </row>
    <row r="2360" spans="3:9" s="2" customFormat="1" ht="35.1" hidden="1" customHeight="1">
      <c r="C2360" s="902"/>
      <c r="D2360" s="808" t="s">
        <v>1818</v>
      </c>
      <c r="E2360" s="976">
        <v>395140000</v>
      </c>
      <c r="F2360" s="115">
        <v>395140000</v>
      </c>
      <c r="G2360" s="975">
        <f t="shared" si="115"/>
        <v>100</v>
      </c>
      <c r="H2360" s="974">
        <f>F2360/E2360*100</f>
        <v>100</v>
      </c>
      <c r="I2360" s="900"/>
    </row>
    <row r="2361" spans="3:9" s="2" customFormat="1" ht="35.1" hidden="1" customHeight="1">
      <c r="C2361" s="902"/>
      <c r="D2361" s="808" t="s">
        <v>3242</v>
      </c>
      <c r="E2361" s="976">
        <v>482500000</v>
      </c>
      <c r="F2361" s="976">
        <v>482500000</v>
      </c>
      <c r="G2361" s="975">
        <f t="shared" si="115"/>
        <v>100</v>
      </c>
      <c r="H2361" s="974">
        <f>F2361/E2361*100</f>
        <v>100</v>
      </c>
      <c r="I2361" s="900"/>
    </row>
    <row r="2362" spans="3:9" s="2" customFormat="1" ht="15" hidden="1" customHeight="1">
      <c r="C2362" s="902"/>
      <c r="D2362" s="808"/>
      <c r="E2362" s="976"/>
      <c r="F2362" s="976"/>
      <c r="G2362" s="975"/>
      <c r="H2362" s="974"/>
      <c r="I2362" s="900"/>
    </row>
    <row r="2363" spans="3:9" s="2" customFormat="1" ht="20.100000000000001" hidden="1" customHeight="1">
      <c r="C2363" s="902"/>
      <c r="D2363" s="889" t="s">
        <v>648</v>
      </c>
      <c r="E2363" s="120">
        <f>E2364</f>
        <v>1030062217.58</v>
      </c>
      <c r="F2363" s="120">
        <f>F2364</f>
        <v>1006038950</v>
      </c>
      <c r="G2363" s="974">
        <f>F2363/E2363*100</f>
        <v>97.667784802704475</v>
      </c>
      <c r="H2363" s="974">
        <v>100</v>
      </c>
      <c r="I2363" s="900"/>
    </row>
    <row r="2364" spans="3:9" s="2" customFormat="1" ht="35.1" hidden="1" customHeight="1">
      <c r="C2364" s="902"/>
      <c r="D2364" s="889" t="s">
        <v>3241</v>
      </c>
      <c r="E2364" s="120">
        <f>E2365</f>
        <v>1030062217.58</v>
      </c>
      <c r="F2364" s="120">
        <f>F2365</f>
        <v>1006038950</v>
      </c>
      <c r="G2364" s="974">
        <f>F2364/E2364*100</f>
        <v>97.667784802704475</v>
      </c>
      <c r="H2364" s="974">
        <v>100</v>
      </c>
      <c r="I2364" s="900"/>
    </row>
    <row r="2365" spans="3:9" s="2" customFormat="1" ht="20.100000000000001" hidden="1" customHeight="1">
      <c r="C2365" s="902"/>
      <c r="D2365" s="925" t="s">
        <v>3240</v>
      </c>
      <c r="E2365" s="166">
        <v>1030062217.58</v>
      </c>
      <c r="F2365" s="166">
        <v>1006038950</v>
      </c>
      <c r="G2365" s="975">
        <f>F2365/E2365*100</f>
        <v>97.667784802704475</v>
      </c>
      <c r="H2365" s="974">
        <v>100</v>
      </c>
      <c r="I2365" s="900"/>
    </row>
    <row r="2366" spans="3:9" s="2" customFormat="1" ht="15" hidden="1" customHeight="1">
      <c r="C2366" s="902"/>
      <c r="D2366" s="808"/>
      <c r="E2366" s="120"/>
      <c r="F2366" s="120"/>
      <c r="G2366" s="120"/>
      <c r="H2366" s="974">
        <v>0</v>
      </c>
      <c r="I2366" s="900"/>
    </row>
    <row r="2367" spans="3:9" s="2" customFormat="1" ht="20.100000000000001" hidden="1" customHeight="1">
      <c r="C2367" s="902"/>
      <c r="D2367" s="889" t="s">
        <v>822</v>
      </c>
      <c r="E2367" s="120">
        <f>E2368+E2370+E2372</f>
        <v>2850311088</v>
      </c>
      <c r="F2367" s="120">
        <f>F2368+F2370+F2372</f>
        <v>2692535600</v>
      </c>
      <c r="G2367" s="975">
        <f t="shared" ref="G2367:G2373" si="116">F2367/E2367*100</f>
        <v>94.464622171795725</v>
      </c>
      <c r="H2367" s="974">
        <f>290/3</f>
        <v>96.666666666666671</v>
      </c>
      <c r="I2367" s="900"/>
    </row>
    <row r="2368" spans="3:9" s="2" customFormat="1" ht="20.100000000000001" hidden="1" customHeight="1">
      <c r="C2368" s="902"/>
      <c r="D2368" s="889" t="s">
        <v>3239</v>
      </c>
      <c r="E2368" s="120">
        <f>E2369</f>
        <v>555070550</v>
      </c>
      <c r="F2368" s="120">
        <f>F2369</f>
        <v>555070550</v>
      </c>
      <c r="G2368" s="975">
        <f t="shared" si="116"/>
        <v>100</v>
      </c>
      <c r="H2368" s="974">
        <f>F2368/E2368*100</f>
        <v>100</v>
      </c>
      <c r="I2368" s="900"/>
    </row>
    <row r="2369" spans="3:9" s="2" customFormat="1" ht="20.100000000000001" hidden="1" customHeight="1">
      <c r="C2369" s="902"/>
      <c r="D2369" s="808" t="s">
        <v>1569</v>
      </c>
      <c r="E2369" s="976">
        <v>555070550</v>
      </c>
      <c r="F2369" s="976">
        <v>555070550</v>
      </c>
      <c r="G2369" s="975">
        <f t="shared" si="116"/>
        <v>100</v>
      </c>
      <c r="H2369" s="974">
        <f>F2369/E2369*100</f>
        <v>100</v>
      </c>
      <c r="I2369" s="900"/>
    </row>
    <row r="2370" spans="3:9" s="2" customFormat="1" ht="20.100000000000001" hidden="1" customHeight="1">
      <c r="C2370" s="902"/>
      <c r="D2370" s="889" t="s">
        <v>914</v>
      </c>
      <c r="E2370" s="120">
        <f>E2371</f>
        <v>743350000</v>
      </c>
      <c r="F2370" s="120">
        <f>F2371</f>
        <v>737619750</v>
      </c>
      <c r="G2370" s="975">
        <f t="shared" si="116"/>
        <v>99.229131633819861</v>
      </c>
      <c r="H2370" s="974">
        <v>100</v>
      </c>
      <c r="I2370" s="900"/>
    </row>
    <row r="2371" spans="3:9" s="2" customFormat="1" ht="35.1" hidden="1" customHeight="1">
      <c r="C2371" s="902"/>
      <c r="D2371" s="808" t="s">
        <v>3238</v>
      </c>
      <c r="E2371" s="976">
        <v>743350000</v>
      </c>
      <c r="F2371" s="115">
        <v>737619750</v>
      </c>
      <c r="G2371" s="975">
        <f t="shared" si="116"/>
        <v>99.229131633819861</v>
      </c>
      <c r="H2371" s="974">
        <v>100</v>
      </c>
      <c r="I2371" s="900"/>
    </row>
    <row r="2372" spans="3:9" s="2" customFormat="1" ht="20.100000000000001" hidden="1" customHeight="1">
      <c r="C2372" s="902"/>
      <c r="D2372" s="890" t="s">
        <v>312</v>
      </c>
      <c r="E2372" s="120">
        <f>E2373</f>
        <v>1551890538</v>
      </c>
      <c r="F2372" s="120">
        <f>F2373</f>
        <v>1399845300</v>
      </c>
      <c r="G2372" s="975">
        <f t="shared" si="116"/>
        <v>90.20257973890682</v>
      </c>
      <c r="H2372" s="974">
        <v>90</v>
      </c>
      <c r="I2372" s="900"/>
    </row>
    <row r="2373" spans="3:9" s="2" customFormat="1" ht="20.100000000000001" hidden="1" customHeight="1">
      <c r="C2373" s="902"/>
      <c r="D2373" s="808" t="s">
        <v>3237</v>
      </c>
      <c r="E2373" s="976">
        <v>1551890538</v>
      </c>
      <c r="F2373" s="115">
        <v>1399845300</v>
      </c>
      <c r="G2373" s="975">
        <f t="shared" si="116"/>
        <v>90.20257973890682</v>
      </c>
      <c r="H2373" s="974">
        <v>90</v>
      </c>
      <c r="I2373" s="900"/>
    </row>
    <row r="2374" spans="3:9" s="2" customFormat="1" ht="15" hidden="1" customHeight="1">
      <c r="C2374" s="902"/>
      <c r="D2374" s="808"/>
      <c r="E2374" s="120"/>
      <c r="F2374" s="120"/>
      <c r="G2374" s="120"/>
      <c r="H2374" s="974">
        <v>0</v>
      </c>
      <c r="I2374" s="900"/>
    </row>
    <row r="2375" spans="3:9" s="2" customFormat="1" ht="20.100000000000001" hidden="1" customHeight="1">
      <c r="C2375" s="902"/>
      <c r="D2375" s="889" t="s">
        <v>1359</v>
      </c>
      <c r="E2375" s="120">
        <f>E2376</f>
        <v>2850311008</v>
      </c>
      <c r="F2375" s="120">
        <f>F2376</f>
        <v>2850311000</v>
      </c>
      <c r="G2375" s="975">
        <f>F2375/E2375*100</f>
        <v>99.999999719328869</v>
      </c>
      <c r="H2375" s="974">
        <f>F2375/E2375*100</f>
        <v>99.999999719328869</v>
      </c>
      <c r="I2375" s="900"/>
    </row>
    <row r="2376" spans="3:9" s="2" customFormat="1" ht="20.100000000000001" hidden="1" customHeight="1">
      <c r="C2376" s="902"/>
      <c r="D2376" s="889" t="s">
        <v>902</v>
      </c>
      <c r="E2376" s="120">
        <f>E2377</f>
        <v>2850311008</v>
      </c>
      <c r="F2376" s="120">
        <f>F2377</f>
        <v>2850311000</v>
      </c>
      <c r="G2376" s="975">
        <f>F2376/E2376*100</f>
        <v>99.999999719328869</v>
      </c>
      <c r="H2376" s="974">
        <f>F2376/E2376*100</f>
        <v>99.999999719328869</v>
      </c>
      <c r="I2376" s="900"/>
    </row>
    <row r="2377" spans="3:9" s="2" customFormat="1" ht="35.1" hidden="1" customHeight="1">
      <c r="C2377" s="902"/>
      <c r="D2377" s="808" t="s">
        <v>3236</v>
      </c>
      <c r="E2377" s="976">
        <v>2850311008</v>
      </c>
      <c r="F2377" s="115">
        <v>2850311000</v>
      </c>
      <c r="G2377" s="975">
        <f>F2377/E2377*100</f>
        <v>99.999999719328869</v>
      </c>
      <c r="H2377" s="974">
        <f>F2377/E2377*100</f>
        <v>99.999999719328869</v>
      </c>
      <c r="I2377" s="900"/>
    </row>
    <row r="2378" spans="3:9" s="2" customFormat="1" ht="15" hidden="1" customHeight="1">
      <c r="C2378" s="902"/>
      <c r="D2378" s="808"/>
      <c r="E2378" s="120"/>
      <c r="F2378" s="120"/>
      <c r="G2378" s="120"/>
      <c r="H2378" s="974"/>
      <c r="I2378" s="900"/>
    </row>
    <row r="2379" spans="3:9" s="2" customFormat="1" ht="20.100000000000001" hidden="1" customHeight="1">
      <c r="C2379" s="902"/>
      <c r="D2379" s="889" t="s">
        <v>1186</v>
      </c>
      <c r="E2379" s="120">
        <f>E2380+E2383+E2385+E2388</f>
        <v>2850311008</v>
      </c>
      <c r="F2379" s="120">
        <f>F2380+F2383+F2385+F2388</f>
        <v>2656930000</v>
      </c>
      <c r="G2379" s="975">
        <f t="shared" ref="G2379:G2389" si="117">F2379/E2379*100</f>
        <v>93.215441842759077</v>
      </c>
      <c r="H2379" s="974">
        <f>(H2380+H2383+H2385+H2388)/4</f>
        <v>99.375</v>
      </c>
      <c r="I2379" s="900"/>
    </row>
    <row r="2380" spans="3:9" s="2" customFormat="1" ht="20.100000000000001" hidden="1" customHeight="1">
      <c r="C2380" s="902"/>
      <c r="D2380" s="889" t="s">
        <v>1831</v>
      </c>
      <c r="E2380" s="120">
        <f>SUM(E2381:E2382)</f>
        <v>923411008</v>
      </c>
      <c r="F2380" s="120">
        <f>F2381</f>
        <v>731305000</v>
      </c>
      <c r="G2380" s="975">
        <f t="shared" si="117"/>
        <v>79.196045278247311</v>
      </c>
      <c r="H2380" s="974">
        <f>195/2</f>
        <v>97.5</v>
      </c>
      <c r="I2380" s="900"/>
    </row>
    <row r="2381" spans="3:9" s="2" customFormat="1" ht="20.100000000000001" hidden="1" customHeight="1">
      <c r="C2381" s="902"/>
      <c r="D2381" s="808" t="s">
        <v>1834</v>
      </c>
      <c r="E2381" s="976">
        <v>773411008</v>
      </c>
      <c r="F2381" s="115">
        <v>731305000</v>
      </c>
      <c r="G2381" s="975">
        <f t="shared" si="117"/>
        <v>94.555804408721329</v>
      </c>
      <c r="H2381" s="974">
        <v>95</v>
      </c>
      <c r="I2381" s="900"/>
    </row>
    <row r="2382" spans="3:9" s="2" customFormat="1" ht="20.100000000000001" hidden="1" customHeight="1">
      <c r="C2382" s="902"/>
      <c r="D2382" s="808" t="s">
        <v>1832</v>
      </c>
      <c r="E2382" s="976">
        <v>150000000</v>
      </c>
      <c r="F2382" s="115">
        <v>149600000</v>
      </c>
      <c r="G2382" s="975">
        <f t="shared" si="117"/>
        <v>99.733333333333334</v>
      </c>
      <c r="H2382" s="974">
        <v>100</v>
      </c>
      <c r="I2382" s="900"/>
    </row>
    <row r="2383" spans="3:9" s="2" customFormat="1" ht="20.100000000000001" hidden="1" customHeight="1">
      <c r="C2383" s="902"/>
      <c r="D2383" s="890" t="s">
        <v>3235</v>
      </c>
      <c r="E2383" s="120">
        <f>SUM(E2384:E2384)</f>
        <v>209000000</v>
      </c>
      <c r="F2383" s="120">
        <f>SUM(F2384:F2384)</f>
        <v>208450000</v>
      </c>
      <c r="G2383" s="975">
        <f t="shared" si="117"/>
        <v>99.73684210526315</v>
      </c>
      <c r="H2383" s="974">
        <v>100</v>
      </c>
      <c r="I2383" s="900"/>
    </row>
    <row r="2384" spans="3:9" s="2" customFormat="1" ht="20.100000000000001" hidden="1" customHeight="1">
      <c r="C2384" s="902"/>
      <c r="D2384" s="808" t="s">
        <v>1568</v>
      </c>
      <c r="E2384" s="976">
        <v>209000000</v>
      </c>
      <c r="F2384" s="115">
        <v>208450000</v>
      </c>
      <c r="G2384" s="975">
        <f t="shared" si="117"/>
        <v>99.73684210526315</v>
      </c>
      <c r="H2384" s="974">
        <v>100</v>
      </c>
      <c r="I2384" s="900"/>
    </row>
    <row r="2385" spans="3:9" s="2" customFormat="1" ht="20.100000000000001" hidden="1" customHeight="1">
      <c r="C2385" s="902"/>
      <c r="D2385" s="890" t="s">
        <v>506</v>
      </c>
      <c r="E2385" s="120">
        <f>SUM(E2386:E2387)</f>
        <v>753500000</v>
      </c>
      <c r="F2385" s="120">
        <f>SUM(F2386:F2387)</f>
        <v>752775000</v>
      </c>
      <c r="G2385" s="975">
        <f t="shared" si="117"/>
        <v>99.903782349037826</v>
      </c>
      <c r="H2385" s="974">
        <v>100</v>
      </c>
      <c r="I2385" s="900"/>
    </row>
    <row r="2386" spans="3:9" s="2" customFormat="1" ht="20.100000000000001" hidden="1" customHeight="1">
      <c r="C2386" s="902"/>
      <c r="D2386" s="808" t="s">
        <v>3234</v>
      </c>
      <c r="E2386" s="976">
        <v>116500000</v>
      </c>
      <c r="F2386" s="115">
        <v>115775000</v>
      </c>
      <c r="G2386" s="975">
        <f t="shared" si="117"/>
        <v>99.377682403433482</v>
      </c>
      <c r="H2386" s="974">
        <v>100</v>
      </c>
      <c r="I2386" s="900"/>
    </row>
    <row r="2387" spans="3:9" s="2" customFormat="1" ht="20.100000000000001" hidden="1" customHeight="1">
      <c r="C2387" s="902"/>
      <c r="D2387" s="808" t="s">
        <v>981</v>
      </c>
      <c r="E2387" s="976">
        <v>637000000</v>
      </c>
      <c r="F2387" s="976">
        <f>E2387</f>
        <v>637000000</v>
      </c>
      <c r="G2387" s="975">
        <f t="shared" si="117"/>
        <v>100</v>
      </c>
      <c r="H2387" s="974">
        <f>F2387/E2387*100</f>
        <v>100</v>
      </c>
      <c r="I2387" s="900"/>
    </row>
    <row r="2388" spans="3:9" s="2" customFormat="1" ht="20.100000000000001" hidden="1" customHeight="1">
      <c r="C2388" s="902"/>
      <c r="D2388" s="890" t="s">
        <v>1839</v>
      </c>
      <c r="E2388" s="120">
        <f>SUM(E2389:E2389)</f>
        <v>964400000</v>
      </c>
      <c r="F2388" s="120">
        <f>SUM(F2389:F2389)</f>
        <v>964400000</v>
      </c>
      <c r="G2388" s="975">
        <f t="shared" si="117"/>
        <v>100</v>
      </c>
      <c r="H2388" s="974">
        <f>F2388/E2388*100</f>
        <v>100</v>
      </c>
      <c r="I2388" s="900"/>
    </row>
    <row r="2389" spans="3:9" s="2" customFormat="1" ht="20.100000000000001" hidden="1" customHeight="1">
      <c r="C2389" s="902"/>
      <c r="D2389" s="808" t="s">
        <v>3233</v>
      </c>
      <c r="E2389" s="976">
        <v>964400000</v>
      </c>
      <c r="F2389" s="976">
        <v>964400000</v>
      </c>
      <c r="G2389" s="975">
        <f t="shared" si="117"/>
        <v>100</v>
      </c>
      <c r="H2389" s="974">
        <f>F2389/E2389*100</f>
        <v>100</v>
      </c>
      <c r="I2389" s="900"/>
    </row>
    <row r="2390" spans="3:9" s="2" customFormat="1" ht="15" hidden="1" customHeight="1">
      <c r="C2390" s="902"/>
      <c r="D2390" s="808"/>
      <c r="E2390" s="120"/>
      <c r="F2390" s="120"/>
      <c r="G2390" s="120"/>
      <c r="H2390" s="974"/>
      <c r="I2390" s="900"/>
    </row>
    <row r="2391" spans="3:9" s="2" customFormat="1" ht="20.100000000000001" hidden="1" customHeight="1">
      <c r="C2391" s="902"/>
      <c r="D2391" s="889" t="s">
        <v>1159</v>
      </c>
      <c r="E2391" s="120">
        <f>E2392+E2394</f>
        <v>3082041088</v>
      </c>
      <c r="F2391" s="120">
        <f>+F2392+F2394</f>
        <v>2706361024</v>
      </c>
      <c r="G2391" s="975">
        <f>F2391/E2391*100</f>
        <v>87.810673080812606</v>
      </c>
      <c r="H2391" s="974">
        <f>F2391/E2391*100</f>
        <v>87.810673080812606</v>
      </c>
      <c r="I2391" s="977"/>
    </row>
    <row r="2392" spans="3:9" s="2" customFormat="1" ht="20.100000000000001" hidden="1" customHeight="1">
      <c r="C2392" s="902"/>
      <c r="D2392" s="889" t="s">
        <v>1577</v>
      </c>
      <c r="E2392" s="120">
        <f>SUM(E2393:E2393)</f>
        <v>480000000</v>
      </c>
      <c r="F2392" s="120">
        <f>SUM(F2393:F2393)</f>
        <v>480000000</v>
      </c>
      <c r="G2392" s="975">
        <f>F2392/E2392*100</f>
        <v>100</v>
      </c>
      <c r="H2392" s="974">
        <f>F2392/E2392*100</f>
        <v>100</v>
      </c>
      <c r="I2392" s="900"/>
    </row>
    <row r="2393" spans="3:9" s="2" customFormat="1" ht="35.1" hidden="1" customHeight="1">
      <c r="C2393" s="902"/>
      <c r="D2393" s="808" t="s">
        <v>3232</v>
      </c>
      <c r="E2393" s="976">
        <v>480000000</v>
      </c>
      <c r="F2393" s="115">
        <v>480000000</v>
      </c>
      <c r="G2393" s="975">
        <f>F2393/E2393*100</f>
        <v>100</v>
      </c>
      <c r="H2393" s="974">
        <f>F2393/E2393*100</f>
        <v>100</v>
      </c>
      <c r="I2393" s="900"/>
    </row>
    <row r="2394" spans="3:9" s="2" customFormat="1" ht="20.100000000000001" hidden="1" customHeight="1">
      <c r="C2394" s="902"/>
      <c r="D2394" s="890" t="s">
        <v>1423</v>
      </c>
      <c r="E2394" s="120">
        <f>SUM(E2395:E2400)</f>
        <v>2602041088</v>
      </c>
      <c r="F2394" s="120">
        <f>SUM(F2395:F2400)</f>
        <v>2226361024</v>
      </c>
      <c r="G2394" s="975">
        <f>+F2394/E2394*100</f>
        <v>85.562101008606362</v>
      </c>
      <c r="H2394" s="974">
        <f>+G2394</f>
        <v>85.562101008606362</v>
      </c>
      <c r="I2394" s="900"/>
    </row>
    <row r="2395" spans="3:9" s="2" customFormat="1" ht="35.1" hidden="1" customHeight="1">
      <c r="C2395" s="902"/>
      <c r="D2395" s="808" t="s">
        <v>3231</v>
      </c>
      <c r="E2395" s="976">
        <v>489500000</v>
      </c>
      <c r="F2395" s="120">
        <v>482441250</v>
      </c>
      <c r="G2395" s="975">
        <f>F2395/E2395*100</f>
        <v>98.557967313585294</v>
      </c>
      <c r="H2395" s="974">
        <f>F2395/E2395*100</f>
        <v>98.557967313585294</v>
      </c>
      <c r="I2395" s="900"/>
    </row>
    <row r="2396" spans="3:9" s="2" customFormat="1" ht="35.1" hidden="1" customHeight="1">
      <c r="C2396" s="902"/>
      <c r="D2396" s="808" t="s">
        <v>3230</v>
      </c>
      <c r="E2396" s="976">
        <v>250204690</v>
      </c>
      <c r="F2396" s="115">
        <f>+E2396</f>
        <v>250204690</v>
      </c>
      <c r="G2396" s="975">
        <f>F2396/E2396*100</f>
        <v>100</v>
      </c>
      <c r="H2396" s="974">
        <f>F2396/E2396*100</f>
        <v>100</v>
      </c>
      <c r="I2396" s="900"/>
    </row>
    <row r="2397" spans="3:9" s="2" customFormat="1" ht="35.1" hidden="1" customHeight="1">
      <c r="C2397" s="902"/>
      <c r="D2397" s="808" t="s">
        <v>3229</v>
      </c>
      <c r="E2397" s="976">
        <v>630606398</v>
      </c>
      <c r="F2397" s="976">
        <v>546665568</v>
      </c>
      <c r="G2397" s="975">
        <f>+F2397/E2397*100</f>
        <v>86.688871177612128</v>
      </c>
      <c r="H2397" s="974">
        <f>+G2397</f>
        <v>86.688871177612128</v>
      </c>
      <c r="I2397" s="900"/>
    </row>
    <row r="2398" spans="3:9" s="2" customFormat="1" ht="35.1" hidden="1" customHeight="1">
      <c r="C2398" s="902"/>
      <c r="D2398" s="808" t="s">
        <v>3228</v>
      </c>
      <c r="E2398" s="976">
        <v>400000000</v>
      </c>
      <c r="F2398" s="976">
        <v>215319516</v>
      </c>
      <c r="G2398" s="975">
        <f>F2398/E2398*100</f>
        <v>53.829879000000005</v>
      </c>
      <c r="H2398" s="974">
        <f>F2398/E2398*100</f>
        <v>53.829879000000005</v>
      </c>
      <c r="I2398" s="900"/>
    </row>
    <row r="2399" spans="3:9" s="2" customFormat="1" ht="35.1" hidden="1" customHeight="1">
      <c r="C2399" s="902"/>
      <c r="D2399" s="808" t="s">
        <v>3227</v>
      </c>
      <c r="E2399" s="976">
        <v>500000000</v>
      </c>
      <c r="F2399" s="115">
        <v>400000000</v>
      </c>
      <c r="G2399" s="975">
        <f>F2399/E2399*100</f>
        <v>80</v>
      </c>
      <c r="H2399" s="974">
        <f>F2399/E2399*100</f>
        <v>80</v>
      </c>
      <c r="I2399" s="900"/>
    </row>
    <row r="2400" spans="3:9" s="2" customFormat="1" ht="35.1" hidden="1" customHeight="1">
      <c r="C2400" s="902"/>
      <c r="D2400" s="808" t="s">
        <v>3227</v>
      </c>
      <c r="E2400" s="976">
        <v>331730000</v>
      </c>
      <c r="F2400" s="976">
        <v>331730000</v>
      </c>
      <c r="G2400" s="975">
        <f>F2400/E2400*100</f>
        <v>100</v>
      </c>
      <c r="H2400" s="974">
        <f>F2400/E2400*100</f>
        <v>100</v>
      </c>
      <c r="I2400" s="900"/>
    </row>
    <row r="2401" spans="3:9" s="898" customFormat="1" ht="15" hidden="1" customHeight="1">
      <c r="C2401" s="973"/>
      <c r="D2401" s="972"/>
      <c r="E2401" s="325"/>
      <c r="F2401" s="971"/>
      <c r="G2401" s="971"/>
      <c r="H2401" s="970"/>
      <c r="I2401" s="969"/>
    </row>
    <row r="2402" spans="3:9" s="895" customFormat="1" ht="20.100000000000001" customHeight="1">
      <c r="C2402" s="904" t="s">
        <v>1918</v>
      </c>
      <c r="D2402" s="890" t="s">
        <v>1919</v>
      </c>
      <c r="E2402" s="120">
        <f>+E2403+E2424+E2448+E2452+E2458+E2463+E2467+E2473+E2479+E2485+E2492+E2497</f>
        <v>62185842294.059998</v>
      </c>
      <c r="F2402" s="120">
        <f>+F2403+F2424+F2448+F2452+F2458+F2463+F2467+F2473+F2479+F2485+F2492+F2497</f>
        <v>60473984430.518005</v>
      </c>
      <c r="G2402" s="120">
        <f t="shared" ref="G2402:G2422" si="118">+F2402/E2402*100</f>
        <v>97.247190356533125</v>
      </c>
      <c r="H2402" s="905">
        <f>(H2403+H2424+H2448+H2452+H2458+H2463+H2467+H2473+H2479+H2485+H2492+H2497)/12</f>
        <v>97.109375</v>
      </c>
      <c r="I2402" s="903"/>
    </row>
    <row r="2403" spans="3:9" s="2" customFormat="1" ht="20.100000000000001" hidden="1" customHeight="1">
      <c r="C2403" s="902"/>
      <c r="D2403" s="889" t="s">
        <v>1920</v>
      </c>
      <c r="E2403" s="135">
        <f>E2404+E2408+E2415+E2420</f>
        <v>18655752688.220001</v>
      </c>
      <c r="F2403" s="135">
        <f>F2404+F2408+F2415+F2420</f>
        <v>18382552688.220001</v>
      </c>
      <c r="G2403" s="120">
        <f t="shared" si="118"/>
        <v>98.535572353655226</v>
      </c>
      <c r="H2403" s="905">
        <f>(H2404+H2408+H2415+H2420)/4</f>
        <v>97.5</v>
      </c>
      <c r="I2403" s="900"/>
    </row>
    <row r="2404" spans="3:9" s="2" customFormat="1" ht="20.100000000000001" hidden="1" customHeight="1">
      <c r="C2404" s="902"/>
      <c r="D2404" s="889" t="s">
        <v>388</v>
      </c>
      <c r="E2404" s="135">
        <f>SUM(E2405:E2407)</f>
        <v>1609349688.2199998</v>
      </c>
      <c r="F2404" s="135">
        <f>SUM(F2405:F2407)</f>
        <v>1609349688.2199998</v>
      </c>
      <c r="G2404" s="120">
        <f t="shared" si="118"/>
        <v>100</v>
      </c>
      <c r="H2404" s="905">
        <f>+G2404</f>
        <v>100</v>
      </c>
      <c r="I2404" s="900"/>
    </row>
    <row r="2405" spans="3:9" s="2" customFormat="1" ht="20.100000000000001" hidden="1" customHeight="1">
      <c r="C2405" s="902"/>
      <c r="D2405" s="925" t="s">
        <v>3226</v>
      </c>
      <c r="E2405" s="136">
        <v>900549688.21999991</v>
      </c>
      <c r="F2405" s="136">
        <v>900549688.21999991</v>
      </c>
      <c r="G2405" s="115">
        <f t="shared" si="118"/>
        <v>100</v>
      </c>
      <c r="H2405" s="901">
        <f>+G2405</f>
        <v>100</v>
      </c>
      <c r="I2405" s="900"/>
    </row>
    <row r="2406" spans="3:9" s="2" customFormat="1" ht="20.100000000000001" hidden="1" customHeight="1">
      <c r="C2406" s="902"/>
      <c r="D2406" s="925" t="s">
        <v>1921</v>
      </c>
      <c r="E2406" s="136">
        <v>200000000</v>
      </c>
      <c r="F2406" s="136">
        <v>200000000</v>
      </c>
      <c r="G2406" s="115">
        <f t="shared" si="118"/>
        <v>100</v>
      </c>
      <c r="H2406" s="901">
        <f>+G2406</f>
        <v>100</v>
      </c>
      <c r="I2406" s="900"/>
    </row>
    <row r="2407" spans="3:9" s="2" customFormat="1" ht="20.100000000000001" hidden="1" customHeight="1">
      <c r="C2407" s="902"/>
      <c r="D2407" s="925" t="s">
        <v>3225</v>
      </c>
      <c r="E2407" s="136">
        <v>508800000</v>
      </c>
      <c r="F2407" s="136">
        <v>508800000</v>
      </c>
      <c r="G2407" s="120">
        <f t="shared" si="118"/>
        <v>100</v>
      </c>
      <c r="H2407" s="905">
        <f>+G2407</f>
        <v>100</v>
      </c>
      <c r="I2407" s="900"/>
    </row>
    <row r="2408" spans="3:9" s="2" customFormat="1" ht="20.100000000000001" hidden="1" customHeight="1">
      <c r="C2408" s="902"/>
      <c r="D2408" s="889" t="s">
        <v>394</v>
      </c>
      <c r="E2408" s="135">
        <f>SUM(E2409:E2414)</f>
        <v>12286403000</v>
      </c>
      <c r="F2408" s="135">
        <f>SUM(F2409:F2414)</f>
        <v>12199803000</v>
      </c>
      <c r="G2408" s="120">
        <f t="shared" si="118"/>
        <v>99.29515579132476</v>
      </c>
      <c r="H2408" s="905">
        <v>100</v>
      </c>
      <c r="I2408" s="900"/>
    </row>
    <row r="2409" spans="3:9" s="2" customFormat="1" ht="20.100000000000001" hidden="1" customHeight="1">
      <c r="C2409" s="902"/>
      <c r="D2409" s="925" t="s">
        <v>3224</v>
      </c>
      <c r="E2409" s="239">
        <v>2400000000</v>
      </c>
      <c r="F2409" s="136">
        <v>2318000000</v>
      </c>
      <c r="G2409" s="115">
        <f t="shared" si="118"/>
        <v>96.583333333333329</v>
      </c>
      <c r="H2409" s="901">
        <v>100</v>
      </c>
      <c r="I2409" s="900"/>
    </row>
    <row r="2410" spans="3:9" s="2" customFormat="1" ht="20.100000000000001" hidden="1" customHeight="1">
      <c r="C2410" s="902"/>
      <c r="D2410" s="925" t="s">
        <v>1926</v>
      </c>
      <c r="E2410" s="239">
        <v>5914800000</v>
      </c>
      <c r="F2410" s="136">
        <v>5914800000</v>
      </c>
      <c r="G2410" s="115">
        <f t="shared" si="118"/>
        <v>100</v>
      </c>
      <c r="H2410" s="901">
        <f>+G2410</f>
        <v>100</v>
      </c>
      <c r="I2410" s="900"/>
    </row>
    <row r="2411" spans="3:9" s="2" customFormat="1" ht="20.100000000000001" hidden="1" customHeight="1">
      <c r="C2411" s="902"/>
      <c r="D2411" s="925" t="s">
        <v>3223</v>
      </c>
      <c r="E2411" s="239">
        <v>954000000</v>
      </c>
      <c r="F2411" s="136">
        <v>954000000</v>
      </c>
      <c r="G2411" s="115">
        <f t="shared" si="118"/>
        <v>100</v>
      </c>
      <c r="H2411" s="901">
        <f>+G2411</f>
        <v>100</v>
      </c>
      <c r="I2411" s="900"/>
    </row>
    <row r="2412" spans="3:9" s="2" customFormat="1" ht="20.100000000000001" hidden="1" customHeight="1">
      <c r="C2412" s="902"/>
      <c r="D2412" s="925" t="s">
        <v>3222</v>
      </c>
      <c r="E2412" s="239">
        <v>1800000000</v>
      </c>
      <c r="F2412" s="136">
        <v>1795400000</v>
      </c>
      <c r="G2412" s="120">
        <f t="shared" si="118"/>
        <v>99.74444444444444</v>
      </c>
      <c r="H2412" s="905">
        <v>100</v>
      </c>
      <c r="I2412" s="900"/>
    </row>
    <row r="2413" spans="3:9" s="2" customFormat="1" ht="20.100000000000001" hidden="1" customHeight="1">
      <c r="C2413" s="902"/>
      <c r="D2413" s="925" t="s">
        <v>3221</v>
      </c>
      <c r="E2413" s="239">
        <v>800000000</v>
      </c>
      <c r="F2413" s="136">
        <v>800000000</v>
      </c>
      <c r="G2413" s="115">
        <f t="shared" si="118"/>
        <v>100</v>
      </c>
      <c r="H2413" s="901">
        <f t="shared" ref="H2413:H2419" si="119">+G2413</f>
        <v>100</v>
      </c>
      <c r="I2413" s="900"/>
    </row>
    <row r="2414" spans="3:9" s="2" customFormat="1" ht="35.1" hidden="1" customHeight="1">
      <c r="C2414" s="902"/>
      <c r="D2414" s="925" t="s">
        <v>3220</v>
      </c>
      <c r="E2414" s="239">
        <v>417603000</v>
      </c>
      <c r="F2414" s="136">
        <v>417603000</v>
      </c>
      <c r="G2414" s="115">
        <f t="shared" si="118"/>
        <v>100</v>
      </c>
      <c r="H2414" s="901">
        <f t="shared" si="119"/>
        <v>100</v>
      </c>
      <c r="I2414" s="900"/>
    </row>
    <row r="2415" spans="3:9" s="2" customFormat="1" ht="20.100000000000001" hidden="1" customHeight="1">
      <c r="C2415" s="902"/>
      <c r="D2415" s="889" t="s">
        <v>404</v>
      </c>
      <c r="E2415" s="170">
        <f>SUM(E2416:E2419)</f>
        <v>1896000000</v>
      </c>
      <c r="F2415" s="170">
        <f>SUM(F2416:F2419)</f>
        <v>1896000000</v>
      </c>
      <c r="G2415" s="120">
        <f t="shared" si="118"/>
        <v>100</v>
      </c>
      <c r="H2415" s="905">
        <f t="shared" si="119"/>
        <v>100</v>
      </c>
      <c r="I2415" s="900"/>
    </row>
    <row r="2416" spans="3:9" s="2" customFormat="1" ht="20.100000000000001" hidden="1" customHeight="1">
      <c r="C2416" s="902"/>
      <c r="D2416" s="925" t="s">
        <v>3219</v>
      </c>
      <c r="E2416" s="239">
        <v>127200000</v>
      </c>
      <c r="F2416" s="136">
        <v>127200000</v>
      </c>
      <c r="G2416" s="115">
        <f t="shared" si="118"/>
        <v>100</v>
      </c>
      <c r="H2416" s="901">
        <f t="shared" si="119"/>
        <v>100</v>
      </c>
      <c r="I2416" s="900"/>
    </row>
    <row r="2417" spans="3:9" s="2" customFormat="1" ht="20.100000000000001" hidden="1" customHeight="1">
      <c r="C2417" s="902"/>
      <c r="D2417" s="925" t="s">
        <v>3218</v>
      </c>
      <c r="E2417" s="239">
        <v>508800000</v>
      </c>
      <c r="F2417" s="136">
        <v>508800000</v>
      </c>
      <c r="G2417" s="115">
        <f t="shared" si="118"/>
        <v>100</v>
      </c>
      <c r="H2417" s="901">
        <f t="shared" si="119"/>
        <v>100</v>
      </c>
      <c r="I2417" s="900"/>
    </row>
    <row r="2418" spans="3:9" s="2" customFormat="1" ht="20.100000000000001" hidden="1" customHeight="1">
      <c r="C2418" s="902"/>
      <c r="D2418" s="925" t="s">
        <v>3217</v>
      </c>
      <c r="E2418" s="239">
        <v>1080000000</v>
      </c>
      <c r="F2418" s="136">
        <v>1080000000</v>
      </c>
      <c r="G2418" s="115">
        <f t="shared" si="118"/>
        <v>100</v>
      </c>
      <c r="H2418" s="901">
        <f t="shared" si="119"/>
        <v>100</v>
      </c>
      <c r="I2418" s="900"/>
    </row>
    <row r="2419" spans="3:9" s="2" customFormat="1" ht="50.25" hidden="1" customHeight="1">
      <c r="C2419" s="902"/>
      <c r="D2419" s="925" t="s">
        <v>3216</v>
      </c>
      <c r="E2419" s="239">
        <v>180000000</v>
      </c>
      <c r="F2419" s="136">
        <v>180000000</v>
      </c>
      <c r="G2419" s="115">
        <f t="shared" si="118"/>
        <v>100</v>
      </c>
      <c r="H2419" s="901">
        <f t="shared" si="119"/>
        <v>100</v>
      </c>
      <c r="I2419" s="900"/>
    </row>
    <row r="2420" spans="3:9" s="2" customFormat="1" ht="20.100000000000001" hidden="1" customHeight="1">
      <c r="C2420" s="902"/>
      <c r="D2420" s="889" t="s">
        <v>106</v>
      </c>
      <c r="E2420" s="170">
        <f>SUM(E2421:E2422)</f>
        <v>2864000000</v>
      </c>
      <c r="F2420" s="170">
        <f>SUM(F2421:F2422)</f>
        <v>2677400000</v>
      </c>
      <c r="G2420" s="120">
        <f t="shared" si="118"/>
        <v>93.484636871508371</v>
      </c>
      <c r="H2420" s="905">
        <v>90</v>
      </c>
      <c r="I2420" s="900"/>
    </row>
    <row r="2421" spans="3:9" s="2" customFormat="1" ht="48.75" hidden="1" customHeight="1">
      <c r="C2421" s="902"/>
      <c r="D2421" s="925" t="s">
        <v>3215</v>
      </c>
      <c r="E2421" s="239">
        <v>920000000</v>
      </c>
      <c r="F2421" s="136">
        <v>733400000</v>
      </c>
      <c r="G2421" s="115">
        <f t="shared" si="118"/>
        <v>79.717391304347828</v>
      </c>
      <c r="H2421" s="901">
        <v>80</v>
      </c>
      <c r="I2421" s="900"/>
    </row>
    <row r="2422" spans="3:9" s="2" customFormat="1" ht="48.75" hidden="1" customHeight="1">
      <c r="C2422" s="902"/>
      <c r="D2422" s="925" t="s">
        <v>3214</v>
      </c>
      <c r="E2422" s="239">
        <v>1944000000</v>
      </c>
      <c r="F2422" s="136">
        <v>1944000000</v>
      </c>
      <c r="G2422" s="115">
        <f t="shared" si="118"/>
        <v>100</v>
      </c>
      <c r="H2422" s="901">
        <f>+G2422</f>
        <v>100</v>
      </c>
      <c r="I2422" s="900"/>
    </row>
    <row r="2423" spans="3:9" s="2" customFormat="1" ht="15" hidden="1" customHeight="1">
      <c r="C2423" s="902"/>
      <c r="D2423" s="808"/>
      <c r="E2423" s="136"/>
      <c r="F2423" s="136"/>
      <c r="G2423" s="120"/>
      <c r="H2423" s="905"/>
      <c r="I2423" s="900"/>
    </row>
    <row r="2424" spans="3:9" s="2" customFormat="1" ht="20.100000000000001" hidden="1" customHeight="1">
      <c r="C2424" s="902"/>
      <c r="D2424" s="890" t="s">
        <v>161</v>
      </c>
      <c r="E2424" s="135">
        <f>E2425+E2427+E2429+E2431+E2435+E2438+E2440+E2442+E2445</f>
        <v>9327876344.1100006</v>
      </c>
      <c r="F2424" s="135">
        <f>F2425+F2427+F2429+F2431+F2435+F2438+F2440+F2442+F2445</f>
        <v>8324935000</v>
      </c>
      <c r="G2424" s="120">
        <f t="shared" ref="G2424:G2446" si="120">+F2424/E2424*100</f>
        <v>89.247913382307019</v>
      </c>
      <c r="H2424" s="905">
        <f>(H2425+H2427+H2429+H2431+H2435+H2438+H2440+H2445)/8</f>
        <v>75.3125</v>
      </c>
      <c r="I2424" s="900"/>
    </row>
    <row r="2425" spans="3:9" s="2" customFormat="1" ht="20.100000000000001" hidden="1" customHeight="1">
      <c r="C2425" s="902"/>
      <c r="D2425" s="890" t="s">
        <v>162</v>
      </c>
      <c r="E2425" s="135">
        <f>SUM(E2426)</f>
        <v>258731316.11000001</v>
      </c>
      <c r="F2425" s="135">
        <f>SUM(F2426)</f>
        <v>76000000</v>
      </c>
      <c r="G2425" s="120">
        <f t="shared" si="120"/>
        <v>29.374101729412793</v>
      </c>
      <c r="H2425" s="905">
        <v>30</v>
      </c>
      <c r="I2425" s="900"/>
    </row>
    <row r="2426" spans="3:9" s="2" customFormat="1" ht="20.100000000000001" hidden="1" customHeight="1">
      <c r="C2426" s="902"/>
      <c r="D2426" s="925" t="s">
        <v>678</v>
      </c>
      <c r="E2426" s="136">
        <v>258731316.11000001</v>
      </c>
      <c r="F2426" s="136">
        <v>76000000</v>
      </c>
      <c r="G2426" s="120">
        <f t="shared" si="120"/>
        <v>29.374101729412793</v>
      </c>
      <c r="H2426" s="905">
        <v>30</v>
      </c>
      <c r="I2426" s="900"/>
    </row>
    <row r="2427" spans="3:9" s="2" customFormat="1" ht="20.100000000000001" hidden="1" customHeight="1">
      <c r="C2427" s="902"/>
      <c r="D2427" s="889" t="s">
        <v>173</v>
      </c>
      <c r="E2427" s="170">
        <f>E2428</f>
        <v>155500000</v>
      </c>
      <c r="F2427" s="170">
        <f>F2428</f>
        <v>0</v>
      </c>
      <c r="G2427" s="120">
        <f t="shared" si="120"/>
        <v>0</v>
      </c>
      <c r="H2427" s="905">
        <f>+G2427</f>
        <v>0</v>
      </c>
      <c r="I2427" s="900"/>
    </row>
    <row r="2428" spans="3:9" s="2" customFormat="1" ht="54" hidden="1" customHeight="1">
      <c r="C2428" s="902"/>
      <c r="D2428" s="925" t="s">
        <v>3213</v>
      </c>
      <c r="E2428" s="239">
        <v>155500000</v>
      </c>
      <c r="F2428" s="136">
        <v>0</v>
      </c>
      <c r="G2428" s="120">
        <f t="shared" si="120"/>
        <v>0</v>
      </c>
      <c r="H2428" s="905">
        <f>+G2428</f>
        <v>0</v>
      </c>
      <c r="I2428" s="900"/>
    </row>
    <row r="2429" spans="3:9" s="2" customFormat="1" ht="20.100000000000001" hidden="1" customHeight="1">
      <c r="C2429" s="902"/>
      <c r="D2429" s="889" t="s">
        <v>190</v>
      </c>
      <c r="E2429" s="170">
        <f>E2430</f>
        <v>181688000</v>
      </c>
      <c r="F2429" s="170">
        <f>F2430</f>
        <v>181688000</v>
      </c>
      <c r="G2429" s="120">
        <f t="shared" si="120"/>
        <v>100</v>
      </c>
      <c r="H2429" s="905">
        <f>+G2429</f>
        <v>100</v>
      </c>
      <c r="I2429" s="900"/>
    </row>
    <row r="2430" spans="3:9" s="2" customFormat="1" ht="20.100000000000001" hidden="1" customHeight="1">
      <c r="C2430" s="902"/>
      <c r="D2430" s="925" t="s">
        <v>3212</v>
      </c>
      <c r="E2430" s="239">
        <v>181688000</v>
      </c>
      <c r="F2430" s="136">
        <v>181688000</v>
      </c>
      <c r="G2430" s="120">
        <f t="shared" si="120"/>
        <v>100</v>
      </c>
      <c r="H2430" s="905">
        <f>+G2430</f>
        <v>100</v>
      </c>
      <c r="I2430" s="900"/>
    </row>
    <row r="2431" spans="3:9" s="2" customFormat="1" ht="48.75" hidden="1" customHeight="1">
      <c r="C2431" s="902"/>
      <c r="D2431" s="889" t="s">
        <v>1414</v>
      </c>
      <c r="E2431" s="170">
        <f>E2432+E2433+E2434</f>
        <v>1882233028</v>
      </c>
      <c r="F2431" s="170">
        <f>F2432+F2433+F2434</f>
        <v>1877179000</v>
      </c>
      <c r="G2431" s="120">
        <f t="shared" si="120"/>
        <v>99.731487657223283</v>
      </c>
      <c r="H2431" s="905">
        <v>100</v>
      </c>
      <c r="I2431" s="900"/>
    </row>
    <row r="2432" spans="3:9" s="2" customFormat="1" ht="20.100000000000001" hidden="1" customHeight="1">
      <c r="C2432" s="902"/>
      <c r="D2432" s="925" t="s">
        <v>3211</v>
      </c>
      <c r="E2432" s="239">
        <v>1003174888</v>
      </c>
      <c r="F2432" s="136">
        <v>1000530000</v>
      </c>
      <c r="G2432" s="120">
        <f t="shared" si="120"/>
        <v>99.736348264730495</v>
      </c>
      <c r="H2432" s="905">
        <v>100</v>
      </c>
      <c r="I2432" s="900"/>
    </row>
    <row r="2433" spans="3:9" s="2" customFormat="1" ht="20.100000000000001" hidden="1" customHeight="1">
      <c r="C2433" s="902"/>
      <c r="D2433" s="925" t="s">
        <v>3210</v>
      </c>
      <c r="E2433" s="239">
        <v>493858140</v>
      </c>
      <c r="F2433" s="136">
        <v>491849000</v>
      </c>
      <c r="G2433" s="120">
        <f t="shared" si="120"/>
        <v>99.593174671576747</v>
      </c>
      <c r="H2433" s="905">
        <v>100</v>
      </c>
      <c r="I2433" s="900"/>
    </row>
    <row r="2434" spans="3:9" s="2" customFormat="1" ht="20.100000000000001" hidden="1" customHeight="1">
      <c r="C2434" s="902"/>
      <c r="D2434" s="925" t="s">
        <v>3209</v>
      </c>
      <c r="E2434" s="239">
        <v>385200000</v>
      </c>
      <c r="F2434" s="136">
        <v>384800000</v>
      </c>
      <c r="G2434" s="120">
        <f t="shared" si="120"/>
        <v>99.896157840083077</v>
      </c>
      <c r="H2434" s="905">
        <v>100</v>
      </c>
      <c r="I2434" s="900"/>
    </row>
    <row r="2435" spans="3:9" s="2" customFormat="1" ht="20.100000000000001" hidden="1" customHeight="1">
      <c r="C2435" s="902"/>
      <c r="D2435" s="889" t="s">
        <v>953</v>
      </c>
      <c r="E2435" s="170">
        <f>E2436+E2437</f>
        <v>4917968000</v>
      </c>
      <c r="F2435" s="170">
        <f>F2436+F2437</f>
        <v>4874400000</v>
      </c>
      <c r="G2435" s="120">
        <f t="shared" si="120"/>
        <v>99.114105663151946</v>
      </c>
      <c r="H2435" s="905">
        <f>195/2</f>
        <v>97.5</v>
      </c>
      <c r="I2435" s="900"/>
    </row>
    <row r="2436" spans="3:9" s="2" customFormat="1" ht="20.100000000000001" hidden="1" customHeight="1">
      <c r="C2436" s="902"/>
      <c r="D2436" s="925" t="s">
        <v>3208</v>
      </c>
      <c r="E2436" s="239">
        <v>4428000000</v>
      </c>
      <c r="F2436" s="136">
        <v>4428000000</v>
      </c>
      <c r="G2436" s="120">
        <f t="shared" si="120"/>
        <v>100</v>
      </c>
      <c r="H2436" s="905">
        <f>+G2436</f>
        <v>100</v>
      </c>
      <c r="I2436" s="900"/>
    </row>
    <row r="2437" spans="3:9" s="2" customFormat="1" ht="20.100000000000001" hidden="1" customHeight="1">
      <c r="C2437" s="902"/>
      <c r="D2437" s="925" t="s">
        <v>3207</v>
      </c>
      <c r="E2437" s="239">
        <v>489968000</v>
      </c>
      <c r="F2437" s="136">
        <v>446400000</v>
      </c>
      <c r="G2437" s="120">
        <f t="shared" si="120"/>
        <v>91.107990725924964</v>
      </c>
      <c r="H2437" s="905">
        <v>95</v>
      </c>
      <c r="I2437" s="900"/>
    </row>
    <row r="2438" spans="3:9" s="2" customFormat="1" ht="20.100000000000001" hidden="1" customHeight="1">
      <c r="C2438" s="902"/>
      <c r="D2438" s="889" t="s">
        <v>3206</v>
      </c>
      <c r="E2438" s="170">
        <f>E2439</f>
        <v>72820000</v>
      </c>
      <c r="F2438" s="170">
        <f>F2439</f>
        <v>71900000</v>
      </c>
      <c r="G2438" s="120">
        <f t="shared" si="120"/>
        <v>98.736610821202959</v>
      </c>
      <c r="H2438" s="905">
        <v>100</v>
      </c>
      <c r="I2438" s="900"/>
    </row>
    <row r="2439" spans="3:9" s="2" customFormat="1" ht="20.100000000000001" hidden="1" customHeight="1">
      <c r="C2439" s="902"/>
      <c r="D2439" s="925" t="s">
        <v>3205</v>
      </c>
      <c r="E2439" s="239">
        <v>72820000</v>
      </c>
      <c r="F2439" s="949">
        <v>71900000</v>
      </c>
      <c r="G2439" s="120">
        <f t="shared" si="120"/>
        <v>98.736610821202959</v>
      </c>
      <c r="H2439" s="905">
        <v>100</v>
      </c>
      <c r="I2439" s="900"/>
    </row>
    <row r="2440" spans="3:9" s="2" customFormat="1" ht="20.100000000000001" hidden="1" customHeight="1">
      <c r="C2440" s="902"/>
      <c r="D2440" s="889" t="s">
        <v>221</v>
      </c>
      <c r="E2440" s="170">
        <f>E2441</f>
        <v>800000000</v>
      </c>
      <c r="F2440" s="170">
        <f>F2441</f>
        <v>600000000</v>
      </c>
      <c r="G2440" s="120">
        <f t="shared" si="120"/>
        <v>75</v>
      </c>
      <c r="H2440" s="905">
        <f>+G2440</f>
        <v>75</v>
      </c>
      <c r="I2440" s="900"/>
    </row>
    <row r="2441" spans="3:9" s="2" customFormat="1" ht="35.1" hidden="1" customHeight="1">
      <c r="C2441" s="902"/>
      <c r="D2441" s="925" t="s">
        <v>1938</v>
      </c>
      <c r="E2441" s="239">
        <v>800000000</v>
      </c>
      <c r="F2441" s="136">
        <v>600000000</v>
      </c>
      <c r="G2441" s="120">
        <f t="shared" si="120"/>
        <v>75</v>
      </c>
      <c r="H2441" s="905">
        <f>+G2441</f>
        <v>75</v>
      </c>
      <c r="I2441" s="900"/>
    </row>
    <row r="2442" spans="3:9" s="2" customFormat="1" ht="20.100000000000001" hidden="1" customHeight="1">
      <c r="C2442" s="902"/>
      <c r="D2442" s="889" t="s">
        <v>1501</v>
      </c>
      <c r="E2442" s="170">
        <f>E2443+E2444</f>
        <v>970168000</v>
      </c>
      <c r="F2442" s="170">
        <f>F2443+F2444</f>
        <v>555000000</v>
      </c>
      <c r="G2442" s="120">
        <f t="shared" si="120"/>
        <v>57.206586900413129</v>
      </c>
      <c r="H2442" s="905">
        <v>50</v>
      </c>
      <c r="I2442" s="900"/>
    </row>
    <row r="2443" spans="3:9" s="2" customFormat="1" ht="20.100000000000001" hidden="1" customHeight="1">
      <c r="C2443" s="902"/>
      <c r="D2443" s="925" t="s">
        <v>1942</v>
      </c>
      <c r="E2443" s="239">
        <v>555000000</v>
      </c>
      <c r="F2443" s="136">
        <v>555000000</v>
      </c>
      <c r="G2443" s="120">
        <f t="shared" si="120"/>
        <v>100</v>
      </c>
      <c r="H2443" s="905">
        <f>+G2443</f>
        <v>100</v>
      </c>
      <c r="I2443" s="900"/>
    </row>
    <row r="2444" spans="3:9" s="2" customFormat="1" ht="35.1" hidden="1" customHeight="1">
      <c r="C2444" s="902"/>
      <c r="D2444" s="925" t="s">
        <v>1943</v>
      </c>
      <c r="E2444" s="239">
        <v>415168000</v>
      </c>
      <c r="F2444" s="136">
        <v>0</v>
      </c>
      <c r="G2444" s="120">
        <f t="shared" si="120"/>
        <v>0</v>
      </c>
      <c r="H2444" s="905">
        <f>+G2444</f>
        <v>0</v>
      </c>
      <c r="I2444" s="900"/>
    </row>
    <row r="2445" spans="3:9" s="2" customFormat="1" ht="20.100000000000001" hidden="1" customHeight="1">
      <c r="C2445" s="902"/>
      <c r="D2445" s="889" t="s">
        <v>877</v>
      </c>
      <c r="E2445" s="170">
        <f>E2446</f>
        <v>88768000</v>
      </c>
      <c r="F2445" s="170">
        <f>F2446</f>
        <v>88768000</v>
      </c>
      <c r="G2445" s="120">
        <f t="shared" si="120"/>
        <v>100</v>
      </c>
      <c r="H2445" s="905">
        <f>+G2445</f>
        <v>100</v>
      </c>
      <c r="I2445" s="900"/>
    </row>
    <row r="2446" spans="3:9" s="2" customFormat="1" ht="20.100000000000001" hidden="1" customHeight="1">
      <c r="C2446" s="902"/>
      <c r="D2446" s="925" t="s">
        <v>3204</v>
      </c>
      <c r="E2446" s="239">
        <v>88768000</v>
      </c>
      <c r="F2446" s="136">
        <v>88768000</v>
      </c>
      <c r="G2446" s="120">
        <f t="shared" si="120"/>
        <v>100</v>
      </c>
      <c r="H2446" s="905">
        <f>+G2446</f>
        <v>100</v>
      </c>
      <c r="I2446" s="900"/>
    </row>
    <row r="2447" spans="3:9" s="2" customFormat="1" ht="15" hidden="1" customHeight="1">
      <c r="C2447" s="902"/>
      <c r="D2447" s="890"/>
      <c r="E2447" s="136"/>
      <c r="F2447" s="136"/>
      <c r="G2447" s="120"/>
      <c r="H2447" s="905"/>
      <c r="I2447" s="900"/>
    </row>
    <row r="2448" spans="3:9" s="2" customFormat="1" ht="20.100000000000001" hidden="1" customHeight="1">
      <c r="C2448" s="902"/>
      <c r="D2448" s="889" t="s">
        <v>1944</v>
      </c>
      <c r="E2448" s="135">
        <f>E2449</f>
        <v>11037168458.812</v>
      </c>
      <c r="F2448" s="135">
        <f>F2449</f>
        <v>10776610000</v>
      </c>
      <c r="G2448" s="120">
        <f>+F2448/E2448*100</f>
        <v>97.639263550390297</v>
      </c>
      <c r="H2448" s="905">
        <v>100</v>
      </c>
      <c r="I2448" s="900"/>
    </row>
    <row r="2449" spans="3:9" s="2" customFormat="1" ht="20.100000000000001" hidden="1" customHeight="1">
      <c r="C2449" s="902"/>
      <c r="D2449" s="890" t="s">
        <v>498</v>
      </c>
      <c r="E2449" s="135">
        <f>SUM(E2450)</f>
        <v>11037168458.812</v>
      </c>
      <c r="F2449" s="135">
        <f>SUM(F2450)</f>
        <v>10776610000</v>
      </c>
      <c r="G2449" s="120">
        <f>+F2449/E2449*100</f>
        <v>97.639263550390297</v>
      </c>
      <c r="H2449" s="905">
        <v>100</v>
      </c>
      <c r="I2449" s="900"/>
    </row>
    <row r="2450" spans="3:9" s="2" customFormat="1" ht="20.100000000000001" hidden="1" customHeight="1">
      <c r="C2450" s="902"/>
      <c r="D2450" s="808" t="s">
        <v>3203</v>
      </c>
      <c r="E2450" s="136">
        <v>11037168458.812</v>
      </c>
      <c r="F2450" s="136">
        <v>10776610000</v>
      </c>
      <c r="G2450" s="120">
        <f>+F2450/E2450*100</f>
        <v>97.639263550390297</v>
      </c>
      <c r="H2450" s="905">
        <v>100</v>
      </c>
      <c r="I2450" s="900"/>
    </row>
    <row r="2451" spans="3:9" s="2" customFormat="1" ht="15" hidden="1" customHeight="1">
      <c r="C2451" s="902"/>
      <c r="D2451" s="808"/>
      <c r="E2451" s="136"/>
      <c r="F2451" s="136"/>
      <c r="G2451" s="120"/>
      <c r="H2451" s="905"/>
      <c r="I2451" s="900"/>
    </row>
    <row r="2452" spans="3:9" s="2" customFormat="1" ht="20.100000000000001" hidden="1" customHeight="1">
      <c r="C2452" s="902"/>
      <c r="D2452" s="968" t="s">
        <v>1949</v>
      </c>
      <c r="E2452" s="135">
        <f>E2453+E2455</f>
        <v>2677189128.02</v>
      </c>
      <c r="F2452" s="135">
        <f>F2453+F2455</f>
        <v>2675132085</v>
      </c>
      <c r="G2452" s="120">
        <f>+F2452/E2452*100</f>
        <v>99.923164075392705</v>
      </c>
      <c r="H2452" s="905">
        <v>100</v>
      </c>
      <c r="I2452" s="900"/>
    </row>
    <row r="2453" spans="3:9" s="2" customFormat="1" ht="20.100000000000001" hidden="1" customHeight="1">
      <c r="C2453" s="902"/>
      <c r="D2453" s="968" t="s">
        <v>1188</v>
      </c>
      <c r="E2453" s="135">
        <f>E2454</f>
        <v>2026692085.6600001</v>
      </c>
      <c r="F2453" s="135">
        <f>F2454</f>
        <v>2026692085</v>
      </c>
      <c r="G2453" s="120">
        <f>+F2453/E2453*100</f>
        <v>99.999999967434618</v>
      </c>
      <c r="H2453" s="905">
        <f>+G2453</f>
        <v>99.999999967434618</v>
      </c>
      <c r="I2453" s="900"/>
    </row>
    <row r="2454" spans="3:9" s="2" customFormat="1" ht="20.100000000000001" hidden="1" customHeight="1">
      <c r="C2454" s="902"/>
      <c r="D2454" s="925" t="s">
        <v>3202</v>
      </c>
      <c r="E2454" s="136">
        <v>2026692085.6600001</v>
      </c>
      <c r="F2454" s="136">
        <v>2026692085</v>
      </c>
      <c r="G2454" s="120">
        <f>+F2454/E2454*100</f>
        <v>99.999999967434618</v>
      </c>
      <c r="H2454" s="905">
        <f>+G2454</f>
        <v>99.999999967434618</v>
      </c>
      <c r="I2454" s="900"/>
    </row>
    <row r="2455" spans="3:9" s="2" customFormat="1" ht="20.100000000000001" hidden="1" customHeight="1">
      <c r="C2455" s="902"/>
      <c r="D2455" s="968" t="s">
        <v>498</v>
      </c>
      <c r="E2455" s="135">
        <f>E2456</f>
        <v>650497042.36000001</v>
      </c>
      <c r="F2455" s="135">
        <f>SUM(F2456)</f>
        <v>648440000</v>
      </c>
      <c r="G2455" s="120">
        <f>+F2455/E2455*100</f>
        <v>99.68377375667427</v>
      </c>
      <c r="H2455" s="905">
        <v>100</v>
      </c>
      <c r="I2455" s="900"/>
    </row>
    <row r="2456" spans="3:9" s="2" customFormat="1" ht="20.100000000000001" hidden="1" customHeight="1">
      <c r="C2456" s="902"/>
      <c r="D2456" s="925" t="s">
        <v>1952</v>
      </c>
      <c r="E2456" s="239">
        <v>650497042.36000001</v>
      </c>
      <c r="F2456" s="136">
        <v>648440000</v>
      </c>
      <c r="G2456" s="120">
        <f>+F2456/E2456*100</f>
        <v>99.68377375667427</v>
      </c>
      <c r="H2456" s="905">
        <v>100</v>
      </c>
      <c r="I2456" s="900"/>
    </row>
    <row r="2457" spans="3:9" s="2" customFormat="1" ht="15" hidden="1" customHeight="1">
      <c r="C2457" s="902"/>
      <c r="D2457" s="965"/>
      <c r="E2457" s="136"/>
      <c r="F2457" s="136"/>
      <c r="G2457" s="120"/>
      <c r="H2457" s="905"/>
      <c r="I2457" s="900"/>
    </row>
    <row r="2458" spans="3:9" s="2" customFormat="1" ht="20.100000000000001" hidden="1" customHeight="1">
      <c r="C2458" s="902"/>
      <c r="D2458" s="889" t="s">
        <v>518</v>
      </c>
      <c r="E2458" s="135">
        <f>E2459</f>
        <v>1400000000</v>
      </c>
      <c r="F2458" s="135">
        <f>F2459</f>
        <v>1280860000</v>
      </c>
      <c r="G2458" s="120">
        <f>+F2458/E2458*100</f>
        <v>91.490000000000009</v>
      </c>
      <c r="H2458" s="905">
        <f>H2459</f>
        <v>95</v>
      </c>
      <c r="I2458" s="900"/>
    </row>
    <row r="2459" spans="3:9" s="2" customFormat="1" ht="20.100000000000001" hidden="1" customHeight="1">
      <c r="C2459" s="902"/>
      <c r="D2459" s="889" t="s">
        <v>1956</v>
      </c>
      <c r="E2459" s="135">
        <f>SUM(E2460:E2461)</f>
        <v>1400000000</v>
      </c>
      <c r="F2459" s="135">
        <f>SUM(F2460:F2461)</f>
        <v>1280860000</v>
      </c>
      <c r="G2459" s="120">
        <f>+F2459/E2459*100</f>
        <v>91.490000000000009</v>
      </c>
      <c r="H2459" s="905">
        <f>190/2</f>
        <v>95</v>
      </c>
      <c r="I2459" s="900"/>
    </row>
    <row r="2460" spans="3:9" s="2" customFormat="1" ht="20.100000000000001" hidden="1" customHeight="1">
      <c r="C2460" s="902"/>
      <c r="D2460" s="925" t="s">
        <v>3201</v>
      </c>
      <c r="E2460" s="239">
        <v>400000000</v>
      </c>
      <c r="F2460" s="949">
        <v>399450000</v>
      </c>
      <c r="G2460" s="120">
        <f>+F2460/E2460*100</f>
        <v>99.862499999999997</v>
      </c>
      <c r="H2460" s="905">
        <v>100</v>
      </c>
      <c r="I2460" s="900"/>
    </row>
    <row r="2461" spans="3:9" s="2" customFormat="1" ht="20.100000000000001" hidden="1" customHeight="1">
      <c r="C2461" s="902"/>
      <c r="D2461" s="925" t="s">
        <v>3200</v>
      </c>
      <c r="E2461" s="239">
        <v>1000000000</v>
      </c>
      <c r="F2461" s="136">
        <v>881410000</v>
      </c>
      <c r="G2461" s="120">
        <f>+F2461/E2461*100</f>
        <v>88.141000000000005</v>
      </c>
      <c r="H2461" s="905">
        <v>90</v>
      </c>
      <c r="I2461" s="900"/>
    </row>
    <row r="2462" spans="3:9" s="2" customFormat="1" ht="15" hidden="1" customHeight="1">
      <c r="C2462" s="902"/>
      <c r="D2462" s="925"/>
      <c r="E2462" s="136"/>
      <c r="F2462" s="136"/>
      <c r="G2462" s="120"/>
      <c r="H2462" s="905"/>
      <c r="I2462" s="900"/>
    </row>
    <row r="2463" spans="3:9" s="2" customFormat="1" ht="20.100000000000001" hidden="1" customHeight="1">
      <c r="C2463" s="902"/>
      <c r="D2463" s="889" t="s">
        <v>758</v>
      </c>
      <c r="E2463" s="135">
        <f>E2464</f>
        <v>593219804</v>
      </c>
      <c r="F2463" s="135">
        <f>F2464</f>
        <v>593219804</v>
      </c>
      <c r="G2463" s="120">
        <f>+F2463/E2463*100</f>
        <v>100</v>
      </c>
      <c r="H2463" s="905">
        <f>+G2463</f>
        <v>100</v>
      </c>
      <c r="I2463" s="900"/>
    </row>
    <row r="2464" spans="3:9" s="2" customFormat="1" ht="20.100000000000001" hidden="1" customHeight="1">
      <c r="C2464" s="902"/>
      <c r="D2464" s="889" t="s">
        <v>1205</v>
      </c>
      <c r="E2464" s="135">
        <f>E2465</f>
        <v>593219804</v>
      </c>
      <c r="F2464" s="135">
        <f>F2465</f>
        <v>593219804</v>
      </c>
      <c r="G2464" s="120">
        <f>+F2464/E2464*100</f>
        <v>100</v>
      </c>
      <c r="H2464" s="905">
        <f>+G2464</f>
        <v>100</v>
      </c>
      <c r="I2464" s="900"/>
    </row>
    <row r="2465" spans="3:9" s="2" customFormat="1" ht="20.100000000000001" hidden="1" customHeight="1">
      <c r="C2465" s="902"/>
      <c r="D2465" s="808" t="s">
        <v>1958</v>
      </c>
      <c r="E2465" s="136">
        <v>593219804</v>
      </c>
      <c r="F2465" s="136">
        <v>593219804</v>
      </c>
      <c r="G2465" s="120">
        <f>+F2465/E2465*100</f>
        <v>100</v>
      </c>
      <c r="H2465" s="905">
        <f>+G2465</f>
        <v>100</v>
      </c>
      <c r="I2465" s="900"/>
    </row>
    <row r="2466" spans="3:9" s="2" customFormat="1" ht="15" hidden="1" customHeight="1">
      <c r="C2466" s="902"/>
      <c r="D2466" s="925"/>
      <c r="E2466" s="136"/>
      <c r="F2466" s="136"/>
      <c r="G2466" s="120"/>
      <c r="H2466" s="905"/>
      <c r="I2466" s="900"/>
    </row>
    <row r="2467" spans="3:9" s="2" customFormat="1" ht="20.100000000000001" hidden="1" customHeight="1">
      <c r="C2467" s="902"/>
      <c r="D2467" s="889" t="s">
        <v>1959</v>
      </c>
      <c r="E2467" s="135">
        <f>E2468+E2470</f>
        <v>1189155265.8899999</v>
      </c>
      <c r="F2467" s="135">
        <f>F2468+F2470</f>
        <v>1164751265</v>
      </c>
      <c r="G2467" s="120">
        <f>+F2467/E2467*100</f>
        <v>97.947786837429078</v>
      </c>
      <c r="H2467" s="905">
        <f>195/2</f>
        <v>97.5</v>
      </c>
      <c r="I2467" s="900"/>
    </row>
    <row r="2468" spans="3:9" s="2" customFormat="1" ht="20.100000000000001" hidden="1" customHeight="1">
      <c r="C2468" s="902"/>
      <c r="D2468" s="889" t="s">
        <v>257</v>
      </c>
      <c r="E2468" s="135">
        <f>E2469</f>
        <v>326904000</v>
      </c>
      <c r="F2468" s="135">
        <f>F2469</f>
        <v>302500000</v>
      </c>
      <c r="G2468" s="120">
        <f>+F2468/E2468*100</f>
        <v>92.534811443114791</v>
      </c>
      <c r="H2468" s="905">
        <v>95</v>
      </c>
      <c r="I2468" s="900"/>
    </row>
    <row r="2469" spans="3:9" s="2" customFormat="1" ht="20.100000000000001" hidden="1" customHeight="1">
      <c r="C2469" s="902"/>
      <c r="D2469" s="925" t="s">
        <v>3199</v>
      </c>
      <c r="E2469" s="136">
        <v>326904000</v>
      </c>
      <c r="F2469" s="136">
        <v>302500000</v>
      </c>
      <c r="G2469" s="120">
        <f>+F2469/E2469*100</f>
        <v>92.534811443114791</v>
      </c>
      <c r="H2469" s="905">
        <v>95</v>
      </c>
      <c r="I2469" s="900"/>
    </row>
    <row r="2470" spans="3:9" s="2" customFormat="1" ht="20.100000000000001" hidden="1" customHeight="1">
      <c r="C2470" s="902"/>
      <c r="D2470" s="889" t="s">
        <v>259</v>
      </c>
      <c r="E2470" s="135">
        <f>E2471</f>
        <v>862251265.88999999</v>
      </c>
      <c r="F2470" s="135">
        <f>F2471</f>
        <v>862251265</v>
      </c>
      <c r="G2470" s="120">
        <f>+F2470/E2470*100</f>
        <v>99.99999989678183</v>
      </c>
      <c r="H2470" s="905">
        <f>+G2470</f>
        <v>99.99999989678183</v>
      </c>
      <c r="I2470" s="900"/>
    </row>
    <row r="2471" spans="3:9" s="2" customFormat="1" ht="20.100000000000001" hidden="1" customHeight="1">
      <c r="C2471" s="902"/>
      <c r="D2471" s="925" t="s">
        <v>1960</v>
      </c>
      <c r="E2471" s="136">
        <v>862251265.88999999</v>
      </c>
      <c r="F2471" s="136">
        <v>862251265</v>
      </c>
      <c r="G2471" s="120">
        <f>+F2471/E2471*100</f>
        <v>99.99999989678183</v>
      </c>
      <c r="H2471" s="905">
        <f>+G2471</f>
        <v>99.99999989678183</v>
      </c>
      <c r="I2471" s="900"/>
    </row>
    <row r="2472" spans="3:9" s="2" customFormat="1" ht="15" hidden="1" customHeight="1">
      <c r="C2472" s="902"/>
      <c r="D2472" s="965"/>
      <c r="E2472" s="136"/>
      <c r="F2472" s="136"/>
      <c r="G2472" s="120"/>
      <c r="H2472" s="905"/>
      <c r="I2472" s="900"/>
    </row>
    <row r="2473" spans="3:9" s="2" customFormat="1" ht="20.100000000000001" hidden="1" customHeight="1">
      <c r="C2473" s="902"/>
      <c r="D2473" s="889" t="s">
        <v>1961</v>
      </c>
      <c r="E2473" s="135">
        <f>E2474+E2476</f>
        <v>6598782015</v>
      </c>
      <c r="F2473" s="135">
        <f>F2474+F2476</f>
        <v>6581215000</v>
      </c>
      <c r="G2473" s="120">
        <f>+F2473/E2473*100</f>
        <v>99.733783977708796</v>
      </c>
      <c r="H2473" s="905">
        <v>100</v>
      </c>
      <c r="I2473" s="900"/>
    </row>
    <row r="2474" spans="3:9" s="2" customFormat="1" ht="20.100000000000001" hidden="1" customHeight="1">
      <c r="C2474" s="902"/>
      <c r="D2474" s="889" t="s">
        <v>1964</v>
      </c>
      <c r="E2474" s="135">
        <f>E2475</f>
        <v>3018282015</v>
      </c>
      <c r="F2474" s="135">
        <f>F2475</f>
        <v>3014525000</v>
      </c>
      <c r="G2474" s="120">
        <f>+F2474/E2474*100</f>
        <v>99.875524719647515</v>
      </c>
      <c r="H2474" s="905">
        <v>100</v>
      </c>
      <c r="I2474" s="900"/>
    </row>
    <row r="2475" spans="3:9" s="2" customFormat="1" ht="20.100000000000001" hidden="1" customHeight="1">
      <c r="C2475" s="902"/>
      <c r="D2475" s="925" t="s">
        <v>1965</v>
      </c>
      <c r="E2475" s="136">
        <v>3018282015</v>
      </c>
      <c r="F2475" s="136">
        <v>3014525000</v>
      </c>
      <c r="G2475" s="120">
        <f>+F2475/E2475*100</f>
        <v>99.875524719647515</v>
      </c>
      <c r="H2475" s="905">
        <v>100</v>
      </c>
      <c r="I2475" s="900"/>
    </row>
    <row r="2476" spans="3:9" s="2" customFormat="1" ht="20.100000000000001" hidden="1" customHeight="1">
      <c r="C2476" s="902"/>
      <c r="D2476" s="889" t="s">
        <v>1966</v>
      </c>
      <c r="E2476" s="135">
        <f>E2477</f>
        <v>3580500000</v>
      </c>
      <c r="F2476" s="135">
        <f>F2477</f>
        <v>3566690000</v>
      </c>
      <c r="G2476" s="120">
        <f>+F2476/E2476*100</f>
        <v>99.614299678815811</v>
      </c>
      <c r="H2476" s="905">
        <v>100</v>
      </c>
      <c r="I2476" s="900"/>
    </row>
    <row r="2477" spans="3:9" s="2" customFormat="1" ht="20.100000000000001" hidden="1" customHeight="1">
      <c r="C2477" s="902"/>
      <c r="D2477" s="925" t="s">
        <v>1967</v>
      </c>
      <c r="E2477" s="136">
        <v>3580500000</v>
      </c>
      <c r="F2477" s="136">
        <v>3566690000</v>
      </c>
      <c r="G2477" s="120">
        <f>+F2477/E2477*100</f>
        <v>99.614299678815811</v>
      </c>
      <c r="H2477" s="905">
        <v>100</v>
      </c>
      <c r="I2477" s="900"/>
    </row>
    <row r="2478" spans="3:9" s="2" customFormat="1" ht="15" hidden="1" customHeight="1">
      <c r="C2478" s="902"/>
      <c r="D2478" s="925"/>
      <c r="E2478" s="136"/>
      <c r="F2478" s="136"/>
      <c r="G2478" s="120"/>
      <c r="H2478" s="905"/>
      <c r="I2478" s="900"/>
    </row>
    <row r="2479" spans="3:9" s="2" customFormat="1" ht="20.100000000000001" hidden="1" customHeight="1">
      <c r="C2479" s="902"/>
      <c r="D2479" s="889" t="s">
        <v>503</v>
      </c>
      <c r="E2479" s="135">
        <f>E2480</f>
        <v>2917027095.8499999</v>
      </c>
      <c r="F2479" s="135">
        <f>F2480</f>
        <v>2910627095</v>
      </c>
      <c r="G2479" s="120">
        <f>+F2479/E2479*100</f>
        <v>99.780598512125408</v>
      </c>
      <c r="H2479" s="905">
        <v>100</v>
      </c>
      <c r="I2479" s="900"/>
    </row>
    <row r="2480" spans="3:9" s="2" customFormat="1" ht="20.100000000000001" hidden="1" customHeight="1">
      <c r="C2480" s="902"/>
      <c r="D2480" s="889" t="s">
        <v>1968</v>
      </c>
      <c r="E2480" s="135">
        <f>SUM(E2481:E2483)</f>
        <v>2917027095.8499999</v>
      </c>
      <c r="F2480" s="135">
        <f>SUM(F2481:F2483)</f>
        <v>2910627095</v>
      </c>
      <c r="G2480" s="120">
        <f>+F2480/E2480*100</f>
        <v>99.780598512125408</v>
      </c>
      <c r="H2480" s="905">
        <v>100</v>
      </c>
      <c r="I2480" s="900"/>
    </row>
    <row r="2481" spans="3:9" s="2" customFormat="1" ht="20.100000000000001" hidden="1" customHeight="1">
      <c r="C2481" s="902"/>
      <c r="D2481" s="925" t="s">
        <v>504</v>
      </c>
      <c r="E2481" s="239">
        <v>150027095.84999999</v>
      </c>
      <c r="F2481" s="136">
        <v>150027095</v>
      </c>
      <c r="G2481" s="120">
        <f>+F2481/E2481*100</f>
        <v>99.999999433435676</v>
      </c>
      <c r="H2481" s="905">
        <v>100</v>
      </c>
      <c r="I2481" s="900"/>
    </row>
    <row r="2482" spans="3:9" s="2" customFormat="1" ht="20.100000000000001" hidden="1" customHeight="1">
      <c r="C2482" s="902"/>
      <c r="D2482" s="925" t="s">
        <v>3198</v>
      </c>
      <c r="E2482" s="239">
        <v>400000000</v>
      </c>
      <c r="F2482" s="136">
        <v>399000000</v>
      </c>
      <c r="G2482" s="120">
        <f>+F2482/E2482*100</f>
        <v>99.75</v>
      </c>
      <c r="H2482" s="905">
        <v>100</v>
      </c>
      <c r="I2482" s="900"/>
    </row>
    <row r="2483" spans="3:9" s="2" customFormat="1" ht="20.100000000000001" hidden="1" customHeight="1">
      <c r="C2483" s="902"/>
      <c r="D2483" s="925" t="s">
        <v>3197</v>
      </c>
      <c r="E2483" s="239">
        <v>2367000000</v>
      </c>
      <c r="F2483" s="136">
        <v>2361600000</v>
      </c>
      <c r="G2483" s="120">
        <f>+F2483/E2483*100</f>
        <v>99.771863117870723</v>
      </c>
      <c r="H2483" s="905">
        <v>100</v>
      </c>
      <c r="I2483" s="900"/>
    </row>
    <row r="2484" spans="3:9" s="2" customFormat="1" ht="15" hidden="1" customHeight="1">
      <c r="C2484" s="902"/>
      <c r="D2484" s="965"/>
      <c r="E2484" s="136"/>
      <c r="F2484" s="136"/>
      <c r="G2484" s="120"/>
      <c r="H2484" s="905"/>
      <c r="I2484" s="900"/>
    </row>
    <row r="2485" spans="3:9" s="2" customFormat="1" ht="20.100000000000001" hidden="1" customHeight="1">
      <c r="C2485" s="902"/>
      <c r="D2485" s="889" t="s">
        <v>1970</v>
      </c>
      <c r="E2485" s="135">
        <f>E2486+E2489</f>
        <v>4003959376.8600001</v>
      </c>
      <c r="F2485" s="135">
        <f>F2486+F2489</f>
        <v>3998369376</v>
      </c>
      <c r="G2485" s="120">
        <f t="shared" ref="G2485:G2490" si="121">+F2485/E2485*100</f>
        <v>99.860388172459835</v>
      </c>
      <c r="H2485" s="905">
        <v>100</v>
      </c>
      <c r="I2485" s="900"/>
    </row>
    <row r="2486" spans="3:9" s="2" customFormat="1" ht="20.100000000000001" hidden="1" customHeight="1">
      <c r="C2486" s="902"/>
      <c r="D2486" s="889" t="s">
        <v>1577</v>
      </c>
      <c r="E2486" s="170">
        <f>SUM(E2487:E2488)</f>
        <v>1420590000</v>
      </c>
      <c r="F2486" s="170">
        <f>SUM(F2487:F2488)</f>
        <v>1415000000</v>
      </c>
      <c r="G2486" s="120">
        <f t="shared" si="121"/>
        <v>99.606501524014675</v>
      </c>
      <c r="H2486" s="905">
        <v>100</v>
      </c>
      <c r="I2486" s="900"/>
    </row>
    <row r="2487" spans="3:9" s="2" customFormat="1" ht="20.100000000000001" hidden="1" customHeight="1">
      <c r="C2487" s="902"/>
      <c r="D2487" s="925" t="s">
        <v>1971</v>
      </c>
      <c r="E2487" s="239">
        <v>525000000</v>
      </c>
      <c r="F2487" s="136">
        <v>524000000</v>
      </c>
      <c r="G2487" s="120">
        <f t="shared" si="121"/>
        <v>99.80952380952381</v>
      </c>
      <c r="H2487" s="905">
        <v>100</v>
      </c>
      <c r="I2487" s="900"/>
    </row>
    <row r="2488" spans="3:9" s="2" customFormat="1" ht="35.1" hidden="1" customHeight="1">
      <c r="C2488" s="902"/>
      <c r="D2488" s="925" t="s">
        <v>1972</v>
      </c>
      <c r="E2488" s="239">
        <v>895590000</v>
      </c>
      <c r="F2488" s="136">
        <v>891000000</v>
      </c>
      <c r="G2488" s="120">
        <f t="shared" si="121"/>
        <v>99.487488694603556</v>
      </c>
      <c r="H2488" s="905">
        <v>100</v>
      </c>
      <c r="I2488" s="900"/>
    </row>
    <row r="2489" spans="3:9" s="2" customFormat="1" ht="35.1" hidden="1" customHeight="1">
      <c r="C2489" s="902"/>
      <c r="D2489" s="889" t="s">
        <v>546</v>
      </c>
      <c r="E2489" s="170">
        <f>SUM(E2490:E2490)</f>
        <v>2583369376.8600001</v>
      </c>
      <c r="F2489" s="170">
        <f>SUM(F2490:F2490)</f>
        <v>2583369376</v>
      </c>
      <c r="G2489" s="120">
        <f t="shared" si="121"/>
        <v>99.999999966710135</v>
      </c>
      <c r="H2489" s="905">
        <f>+G2489</f>
        <v>99.999999966710135</v>
      </c>
      <c r="I2489" s="900"/>
    </row>
    <row r="2490" spans="3:9" s="2" customFormat="1" ht="20.100000000000001" hidden="1" customHeight="1">
      <c r="C2490" s="902"/>
      <c r="D2490" s="925" t="s">
        <v>3196</v>
      </c>
      <c r="E2490" s="239">
        <v>2583369376.8600001</v>
      </c>
      <c r="F2490" s="136">
        <v>2583369376</v>
      </c>
      <c r="G2490" s="120">
        <f t="shared" si="121"/>
        <v>99.999999966710135</v>
      </c>
      <c r="H2490" s="905">
        <f>+G2490</f>
        <v>99.999999966710135</v>
      </c>
      <c r="I2490" s="900"/>
    </row>
    <row r="2491" spans="3:9" s="2" customFormat="1" ht="20.100000000000001" hidden="1" customHeight="1">
      <c r="C2491" s="902"/>
      <c r="D2491" s="965"/>
      <c r="E2491" s="136"/>
      <c r="F2491" s="136"/>
      <c r="G2491" s="120"/>
      <c r="H2491" s="905"/>
      <c r="I2491" s="900"/>
    </row>
    <row r="2492" spans="3:9" s="2" customFormat="1" ht="20.100000000000001" hidden="1" customHeight="1">
      <c r="C2492" s="902"/>
      <c r="D2492" s="889" t="s">
        <v>1974</v>
      </c>
      <c r="E2492" s="135">
        <f>E2493</f>
        <v>1243716845.8811998</v>
      </c>
      <c r="F2492" s="135">
        <f>F2493</f>
        <v>1243716845.8811998</v>
      </c>
      <c r="G2492" s="120">
        <f>+F2492/E2492*100</f>
        <v>100</v>
      </c>
      <c r="H2492" s="905">
        <f>+G2492</f>
        <v>100</v>
      </c>
      <c r="I2492" s="900"/>
    </row>
    <row r="2493" spans="3:9" s="2" customFormat="1" ht="20.100000000000001" hidden="1" customHeight="1">
      <c r="C2493" s="902"/>
      <c r="D2493" s="889" t="s">
        <v>509</v>
      </c>
      <c r="E2493" s="135">
        <f>SUM(E2494:E2495)</f>
        <v>1243716845.8811998</v>
      </c>
      <c r="F2493" s="135">
        <f>SUM(F2494:F2495)</f>
        <v>1243716845.8811998</v>
      </c>
      <c r="G2493" s="120">
        <f>+F2493/E2493*100</f>
        <v>100</v>
      </c>
      <c r="H2493" s="905">
        <f>+G2493</f>
        <v>100</v>
      </c>
      <c r="I2493" s="900"/>
    </row>
    <row r="2494" spans="3:9" s="2" customFormat="1" ht="20.100000000000001" hidden="1" customHeight="1">
      <c r="C2494" s="902"/>
      <c r="D2494" s="925" t="s">
        <v>1975</v>
      </c>
      <c r="E2494" s="136">
        <v>810359990</v>
      </c>
      <c r="F2494" s="136">
        <v>810359990</v>
      </c>
      <c r="G2494" s="120">
        <f>+F2494/E2494*100</f>
        <v>100</v>
      </c>
      <c r="H2494" s="905">
        <f>+G2494</f>
        <v>100</v>
      </c>
      <c r="I2494" s="900"/>
    </row>
    <row r="2495" spans="3:9" s="2" customFormat="1" ht="20.100000000000001" hidden="1" customHeight="1">
      <c r="C2495" s="902"/>
      <c r="D2495" s="925" t="s">
        <v>1976</v>
      </c>
      <c r="E2495" s="136">
        <v>433356855.88119984</v>
      </c>
      <c r="F2495" s="136">
        <v>433356855.88119984</v>
      </c>
      <c r="G2495" s="120">
        <f>+F2495/E2495*100</f>
        <v>100</v>
      </c>
      <c r="H2495" s="905">
        <f>+G2495</f>
        <v>100</v>
      </c>
      <c r="I2495" s="900"/>
    </row>
    <row r="2496" spans="3:9" s="2" customFormat="1" ht="20.100000000000001" hidden="1" customHeight="1">
      <c r="C2496" s="902"/>
      <c r="D2496" s="965"/>
      <c r="E2496" s="806"/>
      <c r="F2496" s="900"/>
      <c r="G2496" s="120"/>
      <c r="H2496" s="905"/>
      <c r="I2496" s="900"/>
    </row>
    <row r="2497" spans="3:10" s="895" customFormat="1" ht="20.100000000000001" hidden="1" customHeight="1">
      <c r="C2497" s="904"/>
      <c r="D2497" s="968" t="s">
        <v>563</v>
      </c>
      <c r="E2497" s="967">
        <f>+E2498</f>
        <v>2541995271.4168029</v>
      </c>
      <c r="F2497" s="956">
        <f>+F2498</f>
        <v>2541995271.4168029</v>
      </c>
      <c r="G2497" s="120">
        <f>+F2497/E2497*100</f>
        <v>100</v>
      </c>
      <c r="H2497" s="905">
        <f>+G2497</f>
        <v>100</v>
      </c>
      <c r="I2497" s="903"/>
    </row>
    <row r="2498" spans="3:10" s="895" customFormat="1" ht="20.100000000000001" hidden="1" customHeight="1">
      <c r="C2498" s="904"/>
      <c r="D2498" s="968" t="s">
        <v>564</v>
      </c>
      <c r="E2498" s="967">
        <f>E2499</f>
        <v>2541995271.4168029</v>
      </c>
      <c r="F2498" s="967">
        <f>F2499</f>
        <v>2541995271.4168029</v>
      </c>
      <c r="G2498" s="120">
        <f>+F2498/E2498*100</f>
        <v>100</v>
      </c>
      <c r="H2498" s="905">
        <f>+G2498</f>
        <v>100</v>
      </c>
      <c r="I2498" s="903"/>
    </row>
    <row r="2499" spans="3:10" s="2" customFormat="1" ht="20.100000000000001" hidden="1" customHeight="1">
      <c r="C2499" s="902"/>
      <c r="D2499" s="965" t="s">
        <v>378</v>
      </c>
      <c r="E2499" s="966">
        <f>SUM(E2500:E2501)</f>
        <v>2541995271.4168029</v>
      </c>
      <c r="F2499" s="966">
        <f>SUM(F2500:F2501)</f>
        <v>2541995271.4168029</v>
      </c>
      <c r="G2499" s="120">
        <f>+F2499/E2499*100</f>
        <v>100</v>
      </c>
      <c r="H2499" s="905">
        <f>+G2499</f>
        <v>100</v>
      </c>
      <c r="I2499" s="900"/>
    </row>
    <row r="2500" spans="3:10" s="2" customFormat="1" ht="20.100000000000001" hidden="1" customHeight="1">
      <c r="C2500" s="902"/>
      <c r="D2500" s="965" t="s">
        <v>2265</v>
      </c>
      <c r="E2500" s="248">
        <v>1946617531.4168029</v>
      </c>
      <c r="F2500" s="136">
        <v>1946617531.4168029</v>
      </c>
      <c r="G2500" s="120">
        <f>+F2500/E2500*100</f>
        <v>100</v>
      </c>
      <c r="H2500" s="905">
        <f>+G2500</f>
        <v>100</v>
      </c>
      <c r="I2500" s="900"/>
    </row>
    <row r="2501" spans="3:10" s="2" customFormat="1" ht="20.100000000000001" hidden="1" customHeight="1">
      <c r="C2501" s="902"/>
      <c r="D2501" s="965" t="s">
        <v>3195</v>
      </c>
      <c r="E2501" s="248">
        <v>595377740</v>
      </c>
      <c r="F2501" s="136">
        <v>595377740</v>
      </c>
      <c r="G2501" s="120">
        <f>+F2501/E2501*100</f>
        <v>100</v>
      </c>
      <c r="H2501" s="905">
        <f>+G2501</f>
        <v>100</v>
      </c>
      <c r="I2501" s="900"/>
    </row>
    <row r="2502" spans="3:10" ht="15" hidden="1" customHeight="1">
      <c r="C2502" s="878"/>
      <c r="D2502" s="886"/>
      <c r="E2502" s="125"/>
      <c r="F2502" s="854"/>
      <c r="G2502" s="854"/>
      <c r="H2502" s="876"/>
      <c r="I2502" s="852"/>
      <c r="J2502" s="802"/>
    </row>
    <row r="2503" spans="3:10" s="522" customFormat="1" ht="20.100000000000001" customHeight="1">
      <c r="C2503" s="1666" t="s">
        <v>1977</v>
      </c>
      <c r="D2503" s="1673" t="s">
        <v>1978</v>
      </c>
      <c r="E2503" s="1670">
        <f>+E2504+E2517+E2532+E2539+E2543+E2547+E2551+E2557</f>
        <v>65793806208</v>
      </c>
      <c r="F2503" s="1670">
        <f>+F2504+F2517+F2532+F2539+F2543+F2547+F2551+F2557</f>
        <v>56948698940</v>
      </c>
      <c r="G2503" s="1670">
        <f>+F2503/E2503*100</f>
        <v>86.556322277453972</v>
      </c>
      <c r="H2503" s="1671">
        <f>(H2504+H2517+H2532+H2539+H2543+H2547+H2557)/7</f>
        <v>99.285714285714292</v>
      </c>
      <c r="I2503" s="1672"/>
      <c r="J2503" s="1359"/>
    </row>
    <row r="2504" spans="3:10" ht="20.100000000000001" hidden="1" customHeight="1">
      <c r="C2504" s="878"/>
      <c r="D2504" s="856" t="s">
        <v>444</v>
      </c>
      <c r="E2504" s="434">
        <f>E2505+E2507+E2511+E2513</f>
        <v>15341533200</v>
      </c>
      <c r="F2504" s="434">
        <f>F2505+F2507+F2511+F2513</f>
        <v>14668626000</v>
      </c>
      <c r="G2504" s="884">
        <f t="shared" ref="G2504:G2515" si="122">F2504/E2504%</f>
        <v>95.613820397038282</v>
      </c>
      <c r="H2504" s="884">
        <v>100</v>
      </c>
      <c r="I2504" s="852"/>
      <c r="J2504" s="802"/>
    </row>
    <row r="2505" spans="3:10" s="656" customFormat="1" ht="20.100000000000001" hidden="1" customHeight="1">
      <c r="C2505" s="881"/>
      <c r="D2505" s="859" t="s">
        <v>394</v>
      </c>
      <c r="E2505" s="435">
        <f>E2506</f>
        <v>459000000</v>
      </c>
      <c r="F2505" s="435">
        <f>F2506</f>
        <v>459000000</v>
      </c>
      <c r="G2505" s="964">
        <f t="shared" si="122"/>
        <v>100</v>
      </c>
      <c r="H2505" s="964">
        <v>100</v>
      </c>
      <c r="I2505" s="863"/>
      <c r="J2505" s="44"/>
    </row>
    <row r="2506" spans="3:10" ht="20.100000000000001" hidden="1" customHeight="1">
      <c r="C2506" s="878"/>
      <c r="D2506" s="859" t="s">
        <v>3194</v>
      </c>
      <c r="E2506" s="435">
        <v>459000000</v>
      </c>
      <c r="F2506" s="435">
        <v>459000000</v>
      </c>
      <c r="G2506" s="964">
        <f t="shared" si="122"/>
        <v>100</v>
      </c>
      <c r="H2506" s="964">
        <v>100</v>
      </c>
      <c r="I2506" s="852"/>
      <c r="J2506" s="802"/>
    </row>
    <row r="2507" spans="3:10" s="656" customFormat="1" ht="20.100000000000001" hidden="1" customHeight="1">
      <c r="C2507" s="881"/>
      <c r="D2507" s="859" t="s">
        <v>394</v>
      </c>
      <c r="E2507" s="435">
        <f>SUM(E2508:E2510)</f>
        <v>4087641000</v>
      </c>
      <c r="F2507" s="435">
        <f>SUM(F2508:F2510)</f>
        <v>4044141000</v>
      </c>
      <c r="G2507" s="964">
        <f t="shared" si="122"/>
        <v>98.935816525962039</v>
      </c>
      <c r="H2507" s="964">
        <v>100</v>
      </c>
      <c r="I2507" s="863"/>
      <c r="J2507" s="44"/>
    </row>
    <row r="2508" spans="3:10" ht="20.100000000000001" hidden="1" customHeight="1">
      <c r="C2508" s="878"/>
      <c r="D2508" s="859" t="s">
        <v>1678</v>
      </c>
      <c r="E2508" s="435">
        <v>1435300000</v>
      </c>
      <c r="F2508" s="435">
        <v>1435300000</v>
      </c>
      <c r="G2508" s="964">
        <f t="shared" si="122"/>
        <v>100</v>
      </c>
      <c r="H2508" s="964">
        <v>100</v>
      </c>
      <c r="I2508" s="852"/>
      <c r="J2508" s="802"/>
    </row>
    <row r="2509" spans="3:10" ht="20.100000000000001" hidden="1" customHeight="1">
      <c r="C2509" s="878"/>
      <c r="D2509" s="859" t="s">
        <v>1679</v>
      </c>
      <c r="E2509" s="435">
        <v>1006000000</v>
      </c>
      <c r="F2509" s="435">
        <v>962500000</v>
      </c>
      <c r="G2509" s="964">
        <f t="shared" si="122"/>
        <v>95.675944333996028</v>
      </c>
      <c r="H2509" s="964">
        <v>100</v>
      </c>
      <c r="I2509" s="852"/>
      <c r="J2509" s="802"/>
    </row>
    <row r="2510" spans="3:10" ht="20.100000000000001" hidden="1" customHeight="1">
      <c r="C2510" s="878"/>
      <c r="D2510" s="859" t="s">
        <v>3193</v>
      </c>
      <c r="E2510" s="435">
        <v>1646341000</v>
      </c>
      <c r="F2510" s="435">
        <v>1646341000</v>
      </c>
      <c r="G2510" s="964">
        <f t="shared" si="122"/>
        <v>100</v>
      </c>
      <c r="H2510" s="964">
        <v>100</v>
      </c>
      <c r="I2510" s="852"/>
      <c r="J2510" s="802"/>
    </row>
    <row r="2511" spans="3:10" s="656" customFormat="1" ht="20.100000000000001" hidden="1" customHeight="1">
      <c r="C2511" s="881"/>
      <c r="D2511" s="859" t="s">
        <v>404</v>
      </c>
      <c r="E2511" s="435">
        <f>E2512</f>
        <v>377892200</v>
      </c>
      <c r="F2511" s="435">
        <f>F2512</f>
        <v>365985000</v>
      </c>
      <c r="G2511" s="964">
        <f t="shared" si="122"/>
        <v>96.84904848525585</v>
      </c>
      <c r="H2511" s="964">
        <v>100</v>
      </c>
      <c r="I2511" s="863"/>
      <c r="J2511" s="44"/>
    </row>
    <row r="2512" spans="3:10" ht="20.100000000000001" hidden="1" customHeight="1">
      <c r="C2512" s="878"/>
      <c r="D2512" s="859" t="s">
        <v>3192</v>
      </c>
      <c r="E2512" s="435">
        <v>377892200</v>
      </c>
      <c r="F2512" s="435">
        <v>365985000</v>
      </c>
      <c r="G2512" s="964">
        <f t="shared" si="122"/>
        <v>96.84904848525585</v>
      </c>
      <c r="H2512" s="964">
        <v>100</v>
      </c>
      <c r="I2512" s="852"/>
      <c r="J2512" s="802"/>
    </row>
    <row r="2513" spans="3:10" s="656" customFormat="1" ht="20.100000000000001" hidden="1" customHeight="1">
      <c r="C2513" s="881"/>
      <c r="D2513" s="859" t="s">
        <v>108</v>
      </c>
      <c r="E2513" s="435">
        <f>SUM(E2514:E2515)</f>
        <v>10417000000</v>
      </c>
      <c r="F2513" s="435">
        <f>SUM(F2514:F2515)</f>
        <v>9799500000</v>
      </c>
      <c r="G2513" s="964">
        <f t="shared" si="122"/>
        <v>94.072189689929928</v>
      </c>
      <c r="H2513" s="964">
        <v>100</v>
      </c>
      <c r="I2513" s="863"/>
      <c r="J2513" s="44"/>
    </row>
    <row r="2514" spans="3:10" ht="20.100000000000001" hidden="1" customHeight="1">
      <c r="C2514" s="878"/>
      <c r="D2514" s="859" t="s">
        <v>3191</v>
      </c>
      <c r="E2514" s="435">
        <v>7080000000</v>
      </c>
      <c r="F2514" s="435">
        <v>7068500000</v>
      </c>
      <c r="G2514" s="964">
        <f t="shared" si="122"/>
        <v>99.837570621468927</v>
      </c>
      <c r="H2514" s="964">
        <v>100</v>
      </c>
      <c r="I2514" s="852"/>
      <c r="J2514" s="802"/>
    </row>
    <row r="2515" spans="3:10" ht="20.100000000000001" hidden="1" customHeight="1">
      <c r="C2515" s="878"/>
      <c r="D2515" s="859" t="s">
        <v>3190</v>
      </c>
      <c r="E2515" s="435">
        <v>3337000000</v>
      </c>
      <c r="F2515" s="435">
        <v>2731000000</v>
      </c>
      <c r="G2515" s="964">
        <f t="shared" si="122"/>
        <v>81.839976026370991</v>
      </c>
      <c r="H2515" s="964">
        <v>100</v>
      </c>
      <c r="I2515" s="852"/>
      <c r="J2515" s="802"/>
    </row>
    <row r="2516" spans="3:10" ht="15" hidden="1" customHeight="1">
      <c r="C2516" s="878"/>
      <c r="D2516" s="859"/>
      <c r="E2516" s="435"/>
      <c r="F2516" s="435"/>
      <c r="G2516" s="964"/>
      <c r="H2516" s="964"/>
      <c r="I2516" s="852"/>
      <c r="J2516" s="802"/>
    </row>
    <row r="2517" spans="3:10" s="656" customFormat="1" ht="20.100000000000001" hidden="1" customHeight="1">
      <c r="C2517" s="881"/>
      <c r="D2517" s="856" t="s">
        <v>161</v>
      </c>
      <c r="E2517" s="434">
        <f>E2518+E2520+E2522+E2525+E2527+E2529</f>
        <v>8377798240</v>
      </c>
      <c r="F2517" s="434">
        <f>F2518+F2520+F2522+F2525+F2527+F2529</f>
        <v>8185254000</v>
      </c>
      <c r="G2517" s="964">
        <f t="shared" ref="G2517:G2530" si="123">F2517/E2517%</f>
        <v>97.701732191631294</v>
      </c>
      <c r="H2517" s="884">
        <f>(H2518+H2520+H2522+H2525+H2527+H2529)/6</f>
        <v>95</v>
      </c>
      <c r="I2517" s="863"/>
      <c r="J2517" s="44"/>
    </row>
    <row r="2518" spans="3:10" s="656" customFormat="1" ht="20.100000000000001" hidden="1" customHeight="1">
      <c r="C2518" s="881"/>
      <c r="D2518" s="856" t="s">
        <v>162</v>
      </c>
      <c r="E2518" s="434">
        <f>E2519</f>
        <v>1700000000</v>
      </c>
      <c r="F2518" s="434">
        <f>F2519</f>
        <v>1689900000</v>
      </c>
      <c r="G2518" s="884">
        <f t="shared" si="123"/>
        <v>99.405882352941177</v>
      </c>
      <c r="H2518" s="884">
        <v>100</v>
      </c>
      <c r="I2518" s="863"/>
      <c r="J2518" s="44"/>
    </row>
    <row r="2519" spans="3:10" ht="20.100000000000001" hidden="1" customHeight="1">
      <c r="C2519" s="878"/>
      <c r="D2519" s="859" t="s">
        <v>3189</v>
      </c>
      <c r="E2519" s="435">
        <v>1700000000</v>
      </c>
      <c r="F2519" s="435">
        <v>1689900000</v>
      </c>
      <c r="G2519" s="964">
        <f t="shared" si="123"/>
        <v>99.405882352941177</v>
      </c>
      <c r="H2519" s="964">
        <v>100</v>
      </c>
      <c r="I2519" s="852"/>
      <c r="J2519" s="802"/>
    </row>
    <row r="2520" spans="3:10" s="656" customFormat="1" ht="20.100000000000001" hidden="1" customHeight="1">
      <c r="C2520" s="881"/>
      <c r="D2520" s="856" t="s">
        <v>173</v>
      </c>
      <c r="E2520" s="434">
        <f>E2521</f>
        <v>3600000000</v>
      </c>
      <c r="F2520" s="434">
        <f>F2521</f>
        <v>3600000000</v>
      </c>
      <c r="G2520" s="884">
        <f t="shared" si="123"/>
        <v>100</v>
      </c>
      <c r="H2520" s="884">
        <v>100</v>
      </c>
      <c r="I2520" s="863"/>
      <c r="J2520" s="44"/>
    </row>
    <row r="2521" spans="3:10" ht="20.100000000000001" hidden="1" customHeight="1">
      <c r="C2521" s="878"/>
      <c r="D2521" s="859" t="s">
        <v>3188</v>
      </c>
      <c r="E2521" s="435">
        <v>3600000000</v>
      </c>
      <c r="F2521" s="435">
        <v>3600000000</v>
      </c>
      <c r="G2521" s="964">
        <f t="shared" si="123"/>
        <v>100</v>
      </c>
      <c r="H2521" s="964">
        <v>100</v>
      </c>
      <c r="I2521" s="852"/>
      <c r="J2521" s="802"/>
    </row>
    <row r="2522" spans="3:10" s="656" customFormat="1" ht="20.100000000000001" hidden="1" customHeight="1">
      <c r="C2522" s="881"/>
      <c r="D2522" s="856" t="s">
        <v>2001</v>
      </c>
      <c r="E2522" s="434">
        <f>SUM(E2523:E2524)</f>
        <v>2344000000</v>
      </c>
      <c r="F2522" s="434">
        <f>SUM(F2523:F2524)</f>
        <v>2343980000</v>
      </c>
      <c r="G2522" s="884">
        <f t="shared" si="123"/>
        <v>99.999146757679185</v>
      </c>
      <c r="H2522" s="884">
        <v>100</v>
      </c>
      <c r="I2522" s="863"/>
      <c r="J2522" s="44"/>
    </row>
    <row r="2523" spans="3:10" ht="20.100000000000001" hidden="1" customHeight="1">
      <c r="C2523" s="878"/>
      <c r="D2523" s="859" t="s">
        <v>2002</v>
      </c>
      <c r="E2523" s="435">
        <v>1000000000</v>
      </c>
      <c r="F2523" s="435">
        <v>999980000</v>
      </c>
      <c r="G2523" s="964">
        <f t="shared" si="123"/>
        <v>99.998000000000005</v>
      </c>
      <c r="H2523" s="964">
        <v>100</v>
      </c>
      <c r="I2523" s="852"/>
      <c r="J2523" s="802"/>
    </row>
    <row r="2524" spans="3:10" ht="20.100000000000001" hidden="1" customHeight="1">
      <c r="C2524" s="878"/>
      <c r="D2524" s="859" t="s">
        <v>2003</v>
      </c>
      <c r="E2524" s="435">
        <v>1344000000</v>
      </c>
      <c r="F2524" s="435">
        <v>1344000000</v>
      </c>
      <c r="G2524" s="964">
        <f t="shared" si="123"/>
        <v>100</v>
      </c>
      <c r="H2524" s="964">
        <v>100</v>
      </c>
      <c r="I2524" s="852"/>
      <c r="J2524" s="802"/>
    </row>
    <row r="2525" spans="3:10" s="656" customFormat="1" ht="20.100000000000001" hidden="1" customHeight="1">
      <c r="C2525" s="881"/>
      <c r="D2525" s="856" t="s">
        <v>190</v>
      </c>
      <c r="E2525" s="434">
        <f>E2526</f>
        <v>86775240</v>
      </c>
      <c r="F2525" s="434">
        <f>F2526</f>
        <v>86774000</v>
      </c>
      <c r="G2525" s="884">
        <f t="shared" si="123"/>
        <v>99.998571020950209</v>
      </c>
      <c r="H2525" s="884">
        <v>100</v>
      </c>
      <c r="I2525" s="863"/>
      <c r="J2525" s="44"/>
    </row>
    <row r="2526" spans="3:10" ht="20.100000000000001" hidden="1" customHeight="1">
      <c r="C2526" s="878"/>
      <c r="D2526" s="859" t="s">
        <v>1997</v>
      </c>
      <c r="E2526" s="435">
        <v>86775240</v>
      </c>
      <c r="F2526" s="435">
        <v>86774000</v>
      </c>
      <c r="G2526" s="964">
        <f t="shared" si="123"/>
        <v>99.998571020950209</v>
      </c>
      <c r="H2526" s="964">
        <v>100</v>
      </c>
      <c r="I2526" s="852"/>
      <c r="J2526" s="802"/>
    </row>
    <row r="2527" spans="3:10" s="656" customFormat="1" ht="20.100000000000001" hidden="1" customHeight="1">
      <c r="C2527" s="881"/>
      <c r="D2527" s="856" t="s">
        <v>1999</v>
      </c>
      <c r="E2527" s="434">
        <f>E2528</f>
        <v>392423000</v>
      </c>
      <c r="F2527" s="434">
        <f>F2528</f>
        <v>210000000</v>
      </c>
      <c r="G2527" s="884">
        <f t="shared" si="123"/>
        <v>53.513682939073398</v>
      </c>
      <c r="H2527" s="884">
        <v>70</v>
      </c>
      <c r="I2527" s="863"/>
      <c r="J2527" s="44"/>
    </row>
    <row r="2528" spans="3:10" ht="20.100000000000001" hidden="1" customHeight="1">
      <c r="C2528" s="878"/>
      <c r="D2528" s="859" t="s">
        <v>2000</v>
      </c>
      <c r="E2528" s="435">
        <v>392423000</v>
      </c>
      <c r="F2528" s="435">
        <v>210000000</v>
      </c>
      <c r="G2528" s="964">
        <f t="shared" si="123"/>
        <v>53.513682939073398</v>
      </c>
      <c r="H2528" s="964">
        <v>70</v>
      </c>
      <c r="I2528" s="852"/>
      <c r="J2528" s="802"/>
    </row>
    <row r="2529" spans="3:10" s="656" customFormat="1" ht="20.100000000000001" hidden="1" customHeight="1">
      <c r="C2529" s="881"/>
      <c r="D2529" s="856" t="s">
        <v>483</v>
      </c>
      <c r="E2529" s="434">
        <f>E2530</f>
        <v>254600000</v>
      </c>
      <c r="F2529" s="434">
        <f>F2530</f>
        <v>254600000</v>
      </c>
      <c r="G2529" s="884">
        <f t="shared" si="123"/>
        <v>100</v>
      </c>
      <c r="H2529" s="884">
        <v>100</v>
      </c>
      <c r="I2529" s="863"/>
      <c r="J2529" s="44"/>
    </row>
    <row r="2530" spans="3:10" ht="20.100000000000001" hidden="1" customHeight="1">
      <c r="C2530" s="878"/>
      <c r="D2530" s="859" t="s">
        <v>3187</v>
      </c>
      <c r="E2530" s="435">
        <v>254600000</v>
      </c>
      <c r="F2530" s="435">
        <v>254600000</v>
      </c>
      <c r="G2530" s="964">
        <f t="shared" si="123"/>
        <v>100</v>
      </c>
      <c r="H2530" s="964">
        <v>100</v>
      </c>
      <c r="I2530" s="852"/>
      <c r="J2530" s="802"/>
    </row>
    <row r="2531" spans="3:10" ht="15" hidden="1" customHeight="1">
      <c r="C2531" s="878"/>
      <c r="D2531" s="859"/>
      <c r="E2531" s="435"/>
      <c r="F2531" s="435"/>
      <c r="G2531" s="964"/>
      <c r="H2531" s="964"/>
      <c r="I2531" s="852"/>
      <c r="J2531" s="802"/>
    </row>
    <row r="2532" spans="3:10" s="656" customFormat="1" ht="20.100000000000001" hidden="1" customHeight="1">
      <c r="C2532" s="881"/>
      <c r="D2532" s="856" t="s">
        <v>366</v>
      </c>
      <c r="E2532" s="434">
        <f>E2533+E2536</f>
        <v>1393692828</v>
      </c>
      <c r="F2532" s="434">
        <f>F2533+F2536</f>
        <v>1385832000</v>
      </c>
      <c r="G2532" s="964">
        <f t="shared" ref="G2532:G2537" si="124">F2532/E2532%</f>
        <v>99.435971266977063</v>
      </c>
      <c r="H2532" s="884">
        <v>100</v>
      </c>
      <c r="I2532" s="863"/>
      <c r="J2532" s="44"/>
    </row>
    <row r="2533" spans="3:10" s="656" customFormat="1" ht="20.100000000000001" hidden="1" customHeight="1">
      <c r="C2533" s="881"/>
      <c r="D2533" s="859" t="s">
        <v>509</v>
      </c>
      <c r="E2533" s="435">
        <f>SUM(E2534:E2535)</f>
        <v>1309182828</v>
      </c>
      <c r="F2533" s="435">
        <f>SUM(F2534:F2535)</f>
        <v>1301322000</v>
      </c>
      <c r="G2533" s="964">
        <f t="shared" si="124"/>
        <v>99.39956224357077</v>
      </c>
      <c r="H2533" s="964">
        <v>100</v>
      </c>
      <c r="I2533" s="863"/>
      <c r="J2533" s="44"/>
    </row>
    <row r="2534" spans="3:10" ht="20.100000000000001" hidden="1" customHeight="1">
      <c r="C2534" s="878"/>
      <c r="D2534" s="859" t="s">
        <v>2010</v>
      </c>
      <c r="E2534" s="435">
        <v>1248018828</v>
      </c>
      <c r="F2534" s="435">
        <v>1240158000</v>
      </c>
      <c r="G2534" s="964">
        <f t="shared" si="124"/>
        <v>99.370135464014012</v>
      </c>
      <c r="H2534" s="964">
        <v>100</v>
      </c>
      <c r="I2534" s="852"/>
      <c r="J2534" s="802"/>
    </row>
    <row r="2535" spans="3:10" ht="20.100000000000001" hidden="1" customHeight="1">
      <c r="C2535" s="878"/>
      <c r="D2535" s="859" t="s">
        <v>3186</v>
      </c>
      <c r="E2535" s="435">
        <v>61164000</v>
      </c>
      <c r="F2535" s="435">
        <v>61164000</v>
      </c>
      <c r="G2535" s="964">
        <f t="shared" si="124"/>
        <v>100</v>
      </c>
      <c r="H2535" s="964">
        <v>100</v>
      </c>
      <c r="I2535" s="852"/>
      <c r="J2535" s="802"/>
    </row>
    <row r="2536" spans="3:10" s="656" customFormat="1" ht="20.100000000000001" hidden="1" customHeight="1">
      <c r="C2536" s="881"/>
      <c r="D2536" s="859" t="s">
        <v>3185</v>
      </c>
      <c r="E2536" s="435">
        <f>E2537</f>
        <v>84510000</v>
      </c>
      <c r="F2536" s="435">
        <f>F2537</f>
        <v>84510000</v>
      </c>
      <c r="G2536" s="964">
        <f t="shared" si="124"/>
        <v>100</v>
      </c>
      <c r="H2536" s="964">
        <v>100</v>
      </c>
      <c r="I2536" s="863"/>
      <c r="J2536" s="44"/>
    </row>
    <row r="2537" spans="3:10" ht="20.100000000000001" hidden="1" customHeight="1">
      <c r="C2537" s="878"/>
      <c r="D2537" s="859" t="s">
        <v>3184</v>
      </c>
      <c r="E2537" s="435">
        <v>84510000</v>
      </c>
      <c r="F2537" s="435">
        <v>84510000</v>
      </c>
      <c r="G2537" s="964">
        <f t="shared" si="124"/>
        <v>100</v>
      </c>
      <c r="H2537" s="964">
        <v>100</v>
      </c>
      <c r="I2537" s="852"/>
      <c r="J2537" s="802"/>
    </row>
    <row r="2538" spans="3:10" ht="15" hidden="1" customHeight="1">
      <c r="C2538" s="878"/>
      <c r="D2538" s="859"/>
      <c r="E2538" s="435"/>
      <c r="F2538" s="435"/>
      <c r="G2538" s="964"/>
      <c r="H2538" s="964"/>
      <c r="I2538" s="852"/>
      <c r="J2538" s="802"/>
    </row>
    <row r="2539" spans="3:10" s="656" customFormat="1" ht="20.100000000000001" hidden="1" customHeight="1">
      <c r="C2539" s="881"/>
      <c r="D2539" s="856" t="s">
        <v>1531</v>
      </c>
      <c r="E2539" s="434">
        <f>E2540</f>
        <v>80000000</v>
      </c>
      <c r="F2539" s="434">
        <f>F2540</f>
        <v>80000000</v>
      </c>
      <c r="G2539" s="884">
        <f>F2539/E2539%</f>
        <v>100</v>
      </c>
      <c r="H2539" s="884">
        <v>100</v>
      </c>
      <c r="I2539" s="863"/>
      <c r="J2539" s="44"/>
    </row>
    <row r="2540" spans="3:10" s="656" customFormat="1" ht="20.100000000000001" hidden="1" customHeight="1">
      <c r="C2540" s="881"/>
      <c r="D2540" s="859" t="s">
        <v>2006</v>
      </c>
      <c r="E2540" s="435">
        <f>E2541</f>
        <v>80000000</v>
      </c>
      <c r="F2540" s="435">
        <f>F2541</f>
        <v>80000000</v>
      </c>
      <c r="G2540" s="964">
        <f>F2540/E2540%</f>
        <v>100</v>
      </c>
      <c r="H2540" s="964">
        <v>100</v>
      </c>
      <c r="I2540" s="863"/>
      <c r="J2540" s="44"/>
    </row>
    <row r="2541" spans="3:10" ht="35.1" hidden="1" customHeight="1">
      <c r="C2541" s="878"/>
      <c r="D2541" s="859" t="s">
        <v>3183</v>
      </c>
      <c r="E2541" s="435">
        <v>80000000</v>
      </c>
      <c r="F2541" s="435">
        <v>80000000</v>
      </c>
      <c r="G2541" s="964">
        <f>F2541/E2541%</f>
        <v>100</v>
      </c>
      <c r="H2541" s="964">
        <v>100</v>
      </c>
      <c r="I2541" s="852"/>
      <c r="J2541" s="802"/>
    </row>
    <row r="2542" spans="3:10" ht="15" hidden="1" customHeight="1">
      <c r="C2542" s="878"/>
      <c r="D2542" s="859"/>
      <c r="E2542" s="435"/>
      <c r="F2542" s="435"/>
      <c r="G2542" s="964"/>
      <c r="H2542" s="964"/>
      <c r="I2542" s="852"/>
      <c r="J2542" s="802"/>
    </row>
    <row r="2543" spans="3:10" s="656" customFormat="1" ht="20.100000000000001" hidden="1" customHeight="1">
      <c r="C2543" s="881"/>
      <c r="D2543" s="856" t="s">
        <v>525</v>
      </c>
      <c r="E2543" s="434">
        <f>E2544</f>
        <v>450000000</v>
      </c>
      <c r="F2543" s="434">
        <f>F2544</f>
        <v>448200000</v>
      </c>
      <c r="G2543" s="884">
        <f>F2543/E2543%</f>
        <v>99.6</v>
      </c>
      <c r="H2543" s="884">
        <v>100</v>
      </c>
      <c r="I2543" s="863"/>
      <c r="J2543" s="44"/>
    </row>
    <row r="2544" spans="3:10" s="656" customFormat="1" ht="35.1" hidden="1" customHeight="1">
      <c r="C2544" s="881"/>
      <c r="D2544" s="859" t="s">
        <v>2004</v>
      </c>
      <c r="E2544" s="435">
        <f>E2545</f>
        <v>450000000</v>
      </c>
      <c r="F2544" s="435">
        <f>F2545</f>
        <v>448200000</v>
      </c>
      <c r="G2544" s="964">
        <f>F2544/E2544%</f>
        <v>99.6</v>
      </c>
      <c r="H2544" s="964">
        <v>100</v>
      </c>
      <c r="I2544" s="863"/>
      <c r="J2544" s="44"/>
    </row>
    <row r="2545" spans="3:10" ht="20.100000000000001" hidden="1" customHeight="1">
      <c r="C2545" s="878"/>
      <c r="D2545" s="859" t="s">
        <v>3182</v>
      </c>
      <c r="E2545" s="435">
        <v>450000000</v>
      </c>
      <c r="F2545" s="435">
        <v>448200000</v>
      </c>
      <c r="G2545" s="964">
        <f>F2545/E2545%</f>
        <v>99.6</v>
      </c>
      <c r="H2545" s="964">
        <v>100</v>
      </c>
      <c r="I2545" s="852"/>
      <c r="J2545" s="802"/>
    </row>
    <row r="2546" spans="3:10" ht="15" hidden="1" customHeight="1">
      <c r="C2546" s="878"/>
      <c r="D2546" s="859"/>
      <c r="E2546" s="435"/>
      <c r="F2546" s="435"/>
      <c r="G2546" s="964"/>
      <c r="H2546" s="964"/>
      <c r="I2546" s="852"/>
      <c r="J2546" s="802"/>
    </row>
    <row r="2547" spans="3:10" s="656" customFormat="1" ht="20.100000000000001" hidden="1" customHeight="1">
      <c r="C2547" s="881"/>
      <c r="D2547" s="856" t="s">
        <v>69</v>
      </c>
      <c r="E2547" s="434">
        <f>E2548</f>
        <v>400000000</v>
      </c>
      <c r="F2547" s="434">
        <f>F2548</f>
        <v>400000000</v>
      </c>
      <c r="G2547" s="884">
        <f>F2547/E2547%</f>
        <v>100</v>
      </c>
      <c r="H2547" s="884">
        <v>100</v>
      </c>
      <c r="I2547" s="863"/>
      <c r="J2547" s="44"/>
    </row>
    <row r="2548" spans="3:10" s="656" customFormat="1" ht="20.100000000000001" hidden="1" customHeight="1">
      <c r="C2548" s="881"/>
      <c r="D2548" s="859" t="s">
        <v>280</v>
      </c>
      <c r="E2548" s="435">
        <f>E2549</f>
        <v>400000000</v>
      </c>
      <c r="F2548" s="435">
        <f>F2549</f>
        <v>400000000</v>
      </c>
      <c r="G2548" s="964">
        <f>F2548/E2548%</f>
        <v>100</v>
      </c>
      <c r="H2548" s="964">
        <v>100</v>
      </c>
      <c r="I2548" s="863"/>
      <c r="J2548" s="44"/>
    </row>
    <row r="2549" spans="3:10" ht="20.100000000000001" hidden="1" customHeight="1">
      <c r="C2549" s="878"/>
      <c r="D2549" s="859" t="s">
        <v>3181</v>
      </c>
      <c r="E2549" s="435">
        <v>400000000</v>
      </c>
      <c r="F2549" s="435">
        <v>400000000</v>
      </c>
      <c r="G2549" s="964">
        <f>F2549/E2549%</f>
        <v>100</v>
      </c>
      <c r="H2549" s="964">
        <v>100</v>
      </c>
      <c r="I2549" s="852"/>
      <c r="J2549" s="802"/>
    </row>
    <row r="2550" spans="3:10" ht="15" hidden="1" customHeight="1">
      <c r="C2550" s="878"/>
      <c r="D2550" s="859"/>
      <c r="E2550" s="435"/>
      <c r="F2550" s="435"/>
      <c r="G2550" s="884"/>
      <c r="H2550" s="884"/>
      <c r="I2550" s="852"/>
      <c r="J2550" s="802"/>
    </row>
    <row r="2551" spans="3:10" s="656" customFormat="1" ht="20.100000000000001" hidden="1" customHeight="1">
      <c r="C2551" s="881"/>
      <c r="D2551" s="856" t="s">
        <v>3180</v>
      </c>
      <c r="E2551" s="434">
        <f>E2552+E2554</f>
        <v>39400781940</v>
      </c>
      <c r="F2551" s="434">
        <f>F2552+F2554</f>
        <v>31430786940</v>
      </c>
      <c r="G2551" s="884">
        <f>F2551/E2551%</f>
        <v>79.771987743449344</v>
      </c>
      <c r="H2551" s="884">
        <v>90</v>
      </c>
      <c r="I2551" s="863"/>
      <c r="J2551" s="44"/>
    </row>
    <row r="2552" spans="3:10" s="656" customFormat="1" ht="20.100000000000001" hidden="1" customHeight="1">
      <c r="C2552" s="881"/>
      <c r="D2552" s="859" t="s">
        <v>564</v>
      </c>
      <c r="E2552" s="435">
        <f>E2553</f>
        <v>39100781940</v>
      </c>
      <c r="F2552" s="435">
        <f>F2553</f>
        <v>31130786940</v>
      </c>
      <c r="G2552" s="964">
        <f>F2552/E2552%</f>
        <v>79.616788707116072</v>
      </c>
      <c r="H2552" s="964">
        <v>80</v>
      </c>
      <c r="I2552" s="863"/>
      <c r="J2552" s="44"/>
    </row>
    <row r="2553" spans="3:10" ht="20.100000000000001" hidden="1" customHeight="1">
      <c r="C2553" s="878"/>
      <c r="D2553" s="859" t="s">
        <v>564</v>
      </c>
      <c r="E2553" s="435">
        <v>39100781940</v>
      </c>
      <c r="F2553" s="435">
        <v>31130786940</v>
      </c>
      <c r="G2553" s="964">
        <f>F2553/E2553%</f>
        <v>79.616788707116072</v>
      </c>
      <c r="H2553" s="964">
        <v>80</v>
      </c>
      <c r="I2553" s="852"/>
      <c r="J2553" s="802"/>
    </row>
    <row r="2554" spans="3:10" s="656" customFormat="1" ht="35.1" hidden="1" customHeight="1">
      <c r="C2554" s="881"/>
      <c r="D2554" s="859" t="s">
        <v>2012</v>
      </c>
      <c r="E2554" s="435">
        <f>E2555</f>
        <v>300000000</v>
      </c>
      <c r="F2554" s="435">
        <f>F2555</f>
        <v>300000000</v>
      </c>
      <c r="G2554" s="964">
        <f>F2554/E2554%</f>
        <v>100</v>
      </c>
      <c r="H2554" s="964">
        <v>100</v>
      </c>
      <c r="I2554" s="863"/>
      <c r="J2554" s="44"/>
    </row>
    <row r="2555" spans="3:10" ht="20.100000000000001" hidden="1" customHeight="1">
      <c r="C2555" s="878"/>
      <c r="D2555" s="859" t="s">
        <v>2013</v>
      </c>
      <c r="E2555" s="435">
        <v>300000000</v>
      </c>
      <c r="F2555" s="435">
        <v>300000000</v>
      </c>
      <c r="G2555" s="964">
        <f>F2555/E2555%</f>
        <v>100</v>
      </c>
      <c r="H2555" s="964">
        <v>100</v>
      </c>
      <c r="I2555" s="852"/>
      <c r="J2555" s="802"/>
    </row>
    <row r="2556" spans="3:10" ht="15" hidden="1" customHeight="1">
      <c r="C2556" s="878"/>
      <c r="D2556" s="859"/>
      <c r="E2556" s="435"/>
      <c r="F2556" s="435"/>
      <c r="G2556" s="964"/>
      <c r="H2556" s="964"/>
      <c r="I2556" s="852"/>
      <c r="J2556" s="802"/>
    </row>
    <row r="2557" spans="3:10" s="656" customFormat="1" ht="20.100000000000001" hidden="1" customHeight="1">
      <c r="C2557" s="881"/>
      <c r="D2557" s="856" t="s">
        <v>363</v>
      </c>
      <c r="E2557" s="434">
        <f>E2558</f>
        <v>350000000</v>
      </c>
      <c r="F2557" s="434">
        <f>F2558</f>
        <v>350000000</v>
      </c>
      <c r="G2557" s="884">
        <f>F2557/E2557%</f>
        <v>100</v>
      </c>
      <c r="H2557" s="884">
        <v>100</v>
      </c>
      <c r="I2557" s="863"/>
      <c r="J2557" s="44"/>
    </row>
    <row r="2558" spans="3:10" s="656" customFormat="1" ht="35.1" hidden="1" customHeight="1">
      <c r="C2558" s="881"/>
      <c r="D2558" s="859" t="s">
        <v>990</v>
      </c>
      <c r="E2558" s="435">
        <f>E2559</f>
        <v>350000000</v>
      </c>
      <c r="F2558" s="435">
        <f>F2559</f>
        <v>350000000</v>
      </c>
      <c r="G2558" s="964">
        <f>F2558/E2558%</f>
        <v>100</v>
      </c>
      <c r="H2558" s="964">
        <v>100</v>
      </c>
      <c r="I2558" s="863"/>
      <c r="J2558" s="44"/>
    </row>
    <row r="2559" spans="3:10" ht="20.100000000000001" hidden="1" customHeight="1">
      <c r="C2559" s="878"/>
      <c r="D2559" s="859" t="s">
        <v>2009</v>
      </c>
      <c r="E2559" s="435">
        <v>350000000</v>
      </c>
      <c r="F2559" s="435">
        <v>350000000</v>
      </c>
      <c r="G2559" s="964">
        <f>F2559/E2559%</f>
        <v>100</v>
      </c>
      <c r="H2559" s="964">
        <v>100</v>
      </c>
      <c r="I2559" s="852"/>
      <c r="J2559" s="802"/>
    </row>
    <row r="2560" spans="3:10" ht="15" hidden="1" customHeight="1">
      <c r="C2560" s="878"/>
      <c r="D2560" s="859"/>
      <c r="E2560" s="855"/>
      <c r="F2560" s="854"/>
      <c r="G2560" s="854"/>
      <c r="H2560" s="876"/>
      <c r="I2560" s="852"/>
      <c r="J2560" s="802"/>
    </row>
    <row r="2561" spans="3:9" s="605" customFormat="1" ht="20.100000000000001" customHeight="1">
      <c r="C2561" s="1676" t="s">
        <v>2014</v>
      </c>
      <c r="D2561" s="1677" t="s">
        <v>2015</v>
      </c>
      <c r="E2561" s="1679">
        <f>+E2562+E2579+E2583+E2596+E2600+E2604+E2610+E2614+E2620+E2624+E2637+E2643</f>
        <v>61543588793.150002</v>
      </c>
      <c r="F2561" s="1679">
        <f>+F2562+F2579+F2583+F2596+F2600+F2604+F2610+F2614+F2620+F2624+F2637+F2643</f>
        <v>56915374422</v>
      </c>
      <c r="G2561" s="1679">
        <f>+F2561/E2561*100</f>
        <v>92.47977821588276</v>
      </c>
      <c r="H2561" s="1679">
        <f>(H2562+H2579+H2583+H2596+H2600+H2604+H2610+H2614+H2620+H2624+H2637+H2643)/12</f>
        <v>90.872088178419929</v>
      </c>
      <c r="I2561" s="1681"/>
    </row>
    <row r="2562" spans="3:9" s="895" customFormat="1" ht="20.100000000000001" hidden="1" customHeight="1">
      <c r="C2562" s="904"/>
      <c r="D2562" s="889" t="s">
        <v>444</v>
      </c>
      <c r="E2562" s="963">
        <f>+E2563+E2567+E2565+E2571+E2575</f>
        <v>14945406637.15</v>
      </c>
      <c r="F2562" s="963">
        <f>(F2563+F2565+F2567+F2571+F2575+F2580)</f>
        <v>17256722463</v>
      </c>
      <c r="G2562" s="956">
        <f t="shared" ref="G2562:G2577" si="125">(F2562/E2562)*100</f>
        <v>115.46505814103934</v>
      </c>
      <c r="H2562" s="956">
        <f>G2562</f>
        <v>115.46505814103934</v>
      </c>
      <c r="I2562" s="903"/>
    </row>
    <row r="2563" spans="3:9" s="895" customFormat="1" ht="20.100000000000001" hidden="1" customHeight="1">
      <c r="C2563" s="904"/>
      <c r="D2563" s="890" t="s">
        <v>388</v>
      </c>
      <c r="E2563" s="961">
        <f>SUM(E2564:E2564)</f>
        <v>1224000000</v>
      </c>
      <c r="F2563" s="961">
        <f>SUM(F2564:F2564)</f>
        <v>1224000000</v>
      </c>
      <c r="G2563" s="135">
        <f t="shared" si="125"/>
        <v>100</v>
      </c>
      <c r="H2563" s="135">
        <v>100</v>
      </c>
      <c r="I2563" s="903"/>
    </row>
    <row r="2564" spans="3:9" s="2" customFormat="1" ht="20.100000000000001" hidden="1" customHeight="1">
      <c r="C2564" s="902"/>
      <c r="D2564" s="925" t="s">
        <v>3179</v>
      </c>
      <c r="E2564" s="950">
        <v>1224000000</v>
      </c>
      <c r="F2564" s="950">
        <v>1224000000</v>
      </c>
      <c r="G2564" s="136">
        <f t="shared" si="125"/>
        <v>100</v>
      </c>
      <c r="H2564" s="136">
        <v>100</v>
      </c>
      <c r="I2564" s="900"/>
    </row>
    <row r="2565" spans="3:9" s="895" customFormat="1" ht="20.100000000000001" hidden="1" customHeight="1">
      <c r="C2565" s="904"/>
      <c r="D2565" s="890" t="s">
        <v>2017</v>
      </c>
      <c r="E2565" s="954">
        <f>SUM(E2566:E2566)</f>
        <v>952400000</v>
      </c>
      <c r="F2565" s="962">
        <f>F2566</f>
        <v>952400000</v>
      </c>
      <c r="G2565" s="135">
        <f t="shared" si="125"/>
        <v>100</v>
      </c>
      <c r="H2565" s="135">
        <v>100</v>
      </c>
      <c r="I2565" s="903"/>
    </row>
    <row r="2566" spans="3:9" s="895" customFormat="1" ht="35.1" hidden="1" customHeight="1">
      <c r="C2566" s="904"/>
      <c r="D2566" s="925" t="s">
        <v>3178</v>
      </c>
      <c r="E2566" s="950">
        <v>952400000</v>
      </c>
      <c r="F2566" s="949">
        <v>952400000</v>
      </c>
      <c r="G2566" s="136">
        <f t="shared" si="125"/>
        <v>100</v>
      </c>
      <c r="H2566" s="136">
        <v>100</v>
      </c>
      <c r="I2566" s="903"/>
    </row>
    <row r="2567" spans="3:9" s="895" customFormat="1" ht="20.100000000000001" hidden="1" customHeight="1">
      <c r="C2567" s="904"/>
      <c r="D2567" s="890" t="s">
        <v>2022</v>
      </c>
      <c r="E2567" s="951">
        <f>SUM(E2568:E2570)</f>
        <v>8179126637.1499996</v>
      </c>
      <c r="F2567" s="951">
        <f>SUM(F2568:F2570)</f>
        <v>8172772463</v>
      </c>
      <c r="G2567" s="135">
        <f t="shared" si="125"/>
        <v>99.922312314848654</v>
      </c>
      <c r="H2567" s="956">
        <v>100</v>
      </c>
      <c r="I2567" s="903"/>
    </row>
    <row r="2568" spans="3:9" s="2" customFormat="1" ht="20.100000000000001" hidden="1" customHeight="1">
      <c r="C2568" s="902"/>
      <c r="D2568" s="808" t="s">
        <v>3177</v>
      </c>
      <c r="E2568" s="950">
        <v>369792000</v>
      </c>
      <c r="F2568" s="949">
        <v>363437826</v>
      </c>
      <c r="G2568" s="136">
        <f t="shared" si="125"/>
        <v>98.281689706645906</v>
      </c>
      <c r="H2568" s="136">
        <v>100</v>
      </c>
      <c r="I2568" s="900"/>
    </row>
    <row r="2569" spans="3:9" s="895" customFormat="1" ht="35.1" hidden="1" customHeight="1">
      <c r="C2569" s="904"/>
      <c r="D2569" s="808" t="s">
        <v>3176</v>
      </c>
      <c r="E2569" s="950">
        <v>1437334637.1500001</v>
      </c>
      <c r="F2569" s="949">
        <v>1437334637</v>
      </c>
      <c r="G2569" s="136">
        <f t="shared" si="125"/>
        <v>99.999999989564017</v>
      </c>
      <c r="H2569" s="136">
        <v>100</v>
      </c>
      <c r="I2569" s="903"/>
    </row>
    <row r="2570" spans="3:9" s="2" customFormat="1" ht="35.1" hidden="1" customHeight="1">
      <c r="C2570" s="902"/>
      <c r="D2570" s="808" t="s">
        <v>3175</v>
      </c>
      <c r="E2570" s="950">
        <v>6372000000</v>
      </c>
      <c r="F2570" s="950">
        <v>6372000000</v>
      </c>
      <c r="G2570" s="136">
        <f t="shared" si="125"/>
        <v>100</v>
      </c>
      <c r="H2570" s="136">
        <v>100</v>
      </c>
      <c r="I2570" s="900"/>
    </row>
    <row r="2571" spans="3:9" s="895" customFormat="1" ht="20.100000000000001" hidden="1" customHeight="1">
      <c r="C2571" s="904"/>
      <c r="D2571" s="890" t="s">
        <v>3174</v>
      </c>
      <c r="E2571" s="961">
        <f>(E2572+E2573+E2574)</f>
        <v>3044880000</v>
      </c>
      <c r="F2571" s="961">
        <f>F2572+F2573+F2574</f>
        <v>3044880000</v>
      </c>
      <c r="G2571" s="135">
        <f t="shared" si="125"/>
        <v>100</v>
      </c>
      <c r="H2571" s="956">
        <f>G2571</f>
        <v>100</v>
      </c>
      <c r="I2571" s="903"/>
    </row>
    <row r="2572" spans="3:9" s="895" customFormat="1" ht="35.1" hidden="1" customHeight="1">
      <c r="C2572" s="904"/>
      <c r="D2572" s="925" t="s">
        <v>3173</v>
      </c>
      <c r="E2572" s="960">
        <v>655980000</v>
      </c>
      <c r="F2572" s="949">
        <v>655980000</v>
      </c>
      <c r="G2572" s="136">
        <f t="shared" si="125"/>
        <v>100</v>
      </c>
      <c r="H2572" s="136">
        <v>100</v>
      </c>
      <c r="I2572" s="903"/>
    </row>
    <row r="2573" spans="3:9" s="2" customFormat="1" ht="20.100000000000001" hidden="1" customHeight="1">
      <c r="C2573" s="902"/>
      <c r="D2573" s="925" t="s">
        <v>3172</v>
      </c>
      <c r="E2573" s="960">
        <v>660900000</v>
      </c>
      <c r="F2573" s="949">
        <v>660900000</v>
      </c>
      <c r="G2573" s="136">
        <f t="shared" si="125"/>
        <v>100</v>
      </c>
      <c r="H2573" s="136">
        <v>100</v>
      </c>
      <c r="I2573" s="900"/>
    </row>
    <row r="2574" spans="3:9" s="2" customFormat="1" ht="35.1" hidden="1" customHeight="1">
      <c r="C2574" s="902"/>
      <c r="D2574" s="925" t="s">
        <v>3171</v>
      </c>
      <c r="E2574" s="960">
        <v>1728000000</v>
      </c>
      <c r="F2574" s="960">
        <v>1728000000</v>
      </c>
      <c r="G2574" s="136">
        <f t="shared" si="125"/>
        <v>100</v>
      </c>
      <c r="H2574" s="136">
        <v>100</v>
      </c>
      <c r="I2574" s="900"/>
    </row>
    <row r="2575" spans="3:9" s="895" customFormat="1" ht="20.100000000000001" hidden="1" customHeight="1">
      <c r="C2575" s="904"/>
      <c r="D2575" s="952" t="s">
        <v>2027</v>
      </c>
      <c r="E2575" s="954">
        <f>SUM(E2576:E2577)</f>
        <v>1545000000</v>
      </c>
      <c r="F2575" s="954">
        <f>SUM(F2576:F2577)</f>
        <v>1545000000</v>
      </c>
      <c r="G2575" s="135">
        <f t="shared" si="125"/>
        <v>100</v>
      </c>
      <c r="H2575" s="135">
        <f>G2575</f>
        <v>100</v>
      </c>
      <c r="I2575" s="903"/>
    </row>
    <row r="2576" spans="3:9" s="2" customFormat="1" ht="20.100000000000001" hidden="1" customHeight="1">
      <c r="C2576" s="902"/>
      <c r="D2576" s="925" t="s">
        <v>3170</v>
      </c>
      <c r="E2576" s="950">
        <v>141000000</v>
      </c>
      <c r="F2576" s="949">
        <v>141000000</v>
      </c>
      <c r="G2576" s="136">
        <f t="shared" si="125"/>
        <v>100</v>
      </c>
      <c r="H2576" s="136">
        <v>100</v>
      </c>
      <c r="I2576" s="900"/>
    </row>
    <row r="2577" spans="3:9" s="2" customFormat="1" ht="35.1" hidden="1" customHeight="1">
      <c r="C2577" s="902"/>
      <c r="D2577" s="925" t="s">
        <v>3169</v>
      </c>
      <c r="E2577" s="950">
        <v>1404000000</v>
      </c>
      <c r="F2577" s="950">
        <v>1404000000</v>
      </c>
      <c r="G2577" s="136">
        <f t="shared" si="125"/>
        <v>100</v>
      </c>
      <c r="H2577" s="136">
        <v>100</v>
      </c>
      <c r="I2577" s="900"/>
    </row>
    <row r="2578" spans="3:9" s="895" customFormat="1" ht="15" hidden="1" customHeight="1">
      <c r="C2578" s="904"/>
      <c r="D2578" s="925"/>
      <c r="E2578" s="950"/>
      <c r="F2578" s="949"/>
      <c r="G2578" s="136"/>
      <c r="H2578" s="136"/>
      <c r="I2578" s="903"/>
    </row>
    <row r="2579" spans="3:9" s="895" customFormat="1" ht="20.100000000000001" hidden="1" customHeight="1">
      <c r="C2579" s="904"/>
      <c r="D2579" s="890" t="s">
        <v>563</v>
      </c>
      <c r="E2579" s="955">
        <f>+E2580</f>
        <v>3517670000</v>
      </c>
      <c r="F2579" s="953">
        <f>+F2580</f>
        <v>2317670000</v>
      </c>
      <c r="G2579" s="135">
        <f>+F2579/E2579*100</f>
        <v>65.886510104699994</v>
      </c>
      <c r="H2579" s="135">
        <v>70</v>
      </c>
      <c r="I2579" s="903"/>
    </row>
    <row r="2580" spans="3:9" s="895" customFormat="1" ht="20.100000000000001" hidden="1" customHeight="1">
      <c r="C2580" s="904"/>
      <c r="D2580" s="890" t="s">
        <v>2029</v>
      </c>
      <c r="E2580" s="954">
        <f>SUM(E2581:E2581)</f>
        <v>3517670000</v>
      </c>
      <c r="F2580" s="954">
        <f>SUM(F2581:F2581)</f>
        <v>2317670000</v>
      </c>
      <c r="G2580" s="135">
        <f>(F2580/E2580)*100</f>
        <v>65.886510104699994</v>
      </c>
      <c r="H2580" s="135">
        <v>70</v>
      </c>
      <c r="I2580" s="903"/>
    </row>
    <row r="2581" spans="3:9" s="895" customFormat="1" ht="20.100000000000001" hidden="1" customHeight="1">
      <c r="C2581" s="904"/>
      <c r="D2581" s="925" t="s">
        <v>2029</v>
      </c>
      <c r="E2581" s="950">
        <v>3517670000</v>
      </c>
      <c r="F2581" s="949">
        <v>2317670000</v>
      </c>
      <c r="G2581" s="136">
        <f>(F2581/E2581)*100</f>
        <v>65.886510104699994</v>
      </c>
      <c r="H2581" s="136">
        <v>70</v>
      </c>
      <c r="I2581" s="903"/>
    </row>
    <row r="2582" spans="3:9" s="895" customFormat="1" ht="15" hidden="1" customHeight="1">
      <c r="C2582" s="904"/>
      <c r="D2582" s="925"/>
      <c r="E2582" s="949"/>
      <c r="F2582" s="949"/>
      <c r="G2582" s="136"/>
      <c r="H2582" s="136"/>
      <c r="I2582" s="903"/>
    </row>
    <row r="2583" spans="3:9" s="895" customFormat="1" ht="20.100000000000001" hidden="1" customHeight="1">
      <c r="C2583" s="904"/>
      <c r="D2583" s="890" t="s">
        <v>161</v>
      </c>
      <c r="E2583" s="955">
        <f>E2584+E2586+E2588+E2590+E2593</f>
        <v>9731310095</v>
      </c>
      <c r="F2583" s="955">
        <f>F2584+F2586+F2588+F2590+F2593</f>
        <v>9483310095</v>
      </c>
      <c r="G2583" s="724">
        <f t="shared" ref="G2583:G2590" si="126">(F2583/E2583)*100</f>
        <v>97.45152505080047</v>
      </c>
      <c r="H2583" s="724">
        <v>100</v>
      </c>
      <c r="I2583" s="903"/>
    </row>
    <row r="2584" spans="3:9" s="895" customFormat="1" ht="20.100000000000001" hidden="1" customHeight="1">
      <c r="C2584" s="904"/>
      <c r="D2584" s="890" t="s">
        <v>162</v>
      </c>
      <c r="E2584" s="951">
        <f>E2585</f>
        <v>97776000</v>
      </c>
      <c r="F2584" s="951">
        <f>F2585</f>
        <v>97776000</v>
      </c>
      <c r="G2584" s="135">
        <f t="shared" si="126"/>
        <v>100</v>
      </c>
      <c r="H2584" s="956">
        <f>H2585</f>
        <v>100</v>
      </c>
      <c r="I2584" s="903"/>
    </row>
    <row r="2585" spans="3:9" s="2" customFormat="1" ht="20.100000000000001" hidden="1" customHeight="1">
      <c r="C2585" s="902"/>
      <c r="D2585" s="925" t="s">
        <v>2030</v>
      </c>
      <c r="E2585" s="950">
        <v>97776000</v>
      </c>
      <c r="F2585" s="950">
        <v>97776000</v>
      </c>
      <c r="G2585" s="136">
        <f t="shared" si="126"/>
        <v>100</v>
      </c>
      <c r="H2585" s="136">
        <v>100</v>
      </c>
      <c r="I2585" s="900"/>
    </row>
    <row r="2586" spans="3:9" s="895" customFormat="1" ht="20.100000000000001" hidden="1" customHeight="1">
      <c r="C2586" s="904"/>
      <c r="D2586" s="890" t="s">
        <v>173</v>
      </c>
      <c r="E2586" s="951">
        <f>SUM(E2587:E2587)</f>
        <v>8848800000</v>
      </c>
      <c r="F2586" s="951">
        <f>SUM(F2587:F2587)</f>
        <v>8600800000</v>
      </c>
      <c r="G2586" s="135">
        <f t="shared" si="126"/>
        <v>97.197360094024049</v>
      </c>
      <c r="H2586" s="956">
        <v>100</v>
      </c>
      <c r="I2586" s="903"/>
    </row>
    <row r="2587" spans="3:9" s="2" customFormat="1" ht="20.100000000000001" hidden="1" customHeight="1">
      <c r="C2587" s="902"/>
      <c r="D2587" s="925" t="s">
        <v>1685</v>
      </c>
      <c r="E2587" s="950">
        <v>8848800000</v>
      </c>
      <c r="F2587" s="949">
        <v>8600800000</v>
      </c>
      <c r="G2587" s="136">
        <f t="shared" si="126"/>
        <v>97.197360094024049</v>
      </c>
      <c r="H2587" s="136">
        <v>100</v>
      </c>
      <c r="I2587" s="900"/>
    </row>
    <row r="2588" spans="3:9" s="895" customFormat="1" ht="20.100000000000001" hidden="1" customHeight="1">
      <c r="C2588" s="904"/>
      <c r="D2588" s="890" t="s">
        <v>196</v>
      </c>
      <c r="E2588" s="951">
        <f>E2589</f>
        <v>326900000</v>
      </c>
      <c r="F2588" s="951">
        <f>F2589</f>
        <v>326900000</v>
      </c>
      <c r="G2588" s="135">
        <f t="shared" si="126"/>
        <v>100</v>
      </c>
      <c r="H2588" s="956">
        <f>H2589</f>
        <v>100</v>
      </c>
      <c r="I2588" s="903"/>
    </row>
    <row r="2589" spans="3:9" s="895" customFormat="1" ht="20.100000000000001" hidden="1" customHeight="1">
      <c r="C2589" s="904"/>
      <c r="D2589" s="925" t="s">
        <v>3168</v>
      </c>
      <c r="E2589" s="950">
        <v>326900000</v>
      </c>
      <c r="F2589" s="950">
        <v>326900000</v>
      </c>
      <c r="G2589" s="136">
        <f t="shared" si="126"/>
        <v>100</v>
      </c>
      <c r="H2589" s="136">
        <v>100</v>
      </c>
      <c r="I2589" s="903"/>
    </row>
    <row r="2590" spans="3:9" s="895" customFormat="1" ht="35.1" hidden="1" customHeight="1">
      <c r="C2590" s="904"/>
      <c r="D2590" s="889" t="s">
        <v>3167</v>
      </c>
      <c r="E2590" s="951">
        <f>E2591+E2592</f>
        <v>222350000</v>
      </c>
      <c r="F2590" s="951">
        <f>F2591+F2592</f>
        <v>222350000</v>
      </c>
      <c r="G2590" s="135">
        <f t="shared" si="126"/>
        <v>100</v>
      </c>
      <c r="H2590" s="956">
        <v>100</v>
      </c>
      <c r="I2590" s="903"/>
    </row>
    <row r="2591" spans="3:9" s="895" customFormat="1" ht="20.100000000000001" hidden="1" customHeight="1">
      <c r="C2591" s="904"/>
      <c r="D2591" s="925" t="s">
        <v>3166</v>
      </c>
      <c r="E2591" s="950">
        <v>42350000</v>
      </c>
      <c r="F2591" s="950">
        <v>42350000</v>
      </c>
      <c r="G2591" s="136">
        <v>100</v>
      </c>
      <c r="H2591" s="957">
        <v>100</v>
      </c>
      <c r="I2591" s="903"/>
    </row>
    <row r="2592" spans="3:9" s="895" customFormat="1" ht="20.100000000000001" hidden="1" customHeight="1">
      <c r="C2592" s="904"/>
      <c r="D2592" s="925" t="s">
        <v>687</v>
      </c>
      <c r="E2592" s="950">
        <v>180000000</v>
      </c>
      <c r="F2592" s="950">
        <v>180000000</v>
      </c>
      <c r="G2592" s="136">
        <v>100</v>
      </c>
      <c r="H2592" s="136">
        <v>100</v>
      </c>
      <c r="I2592" s="903"/>
    </row>
    <row r="2593" spans="3:9" s="895" customFormat="1" ht="20.100000000000001" hidden="1" customHeight="1">
      <c r="C2593" s="904"/>
      <c r="D2593" s="890" t="s">
        <v>1878</v>
      </c>
      <c r="E2593" s="951">
        <f>E2594</f>
        <v>235484095</v>
      </c>
      <c r="F2593" s="951">
        <f>F2594</f>
        <v>235484095</v>
      </c>
      <c r="G2593" s="135">
        <f>(F2593/E2593)*100</f>
        <v>100</v>
      </c>
      <c r="H2593" s="956">
        <f>H2594</f>
        <v>100</v>
      </c>
      <c r="I2593" s="903"/>
    </row>
    <row r="2594" spans="3:9" s="895" customFormat="1" ht="20.100000000000001" hidden="1" customHeight="1">
      <c r="C2594" s="904"/>
      <c r="D2594" s="925" t="s">
        <v>1728</v>
      </c>
      <c r="E2594" s="950">
        <v>235484095</v>
      </c>
      <c r="F2594" s="950">
        <v>235484095</v>
      </c>
      <c r="G2594" s="136">
        <f>(F2594/E2594)*100</f>
        <v>100</v>
      </c>
      <c r="H2594" s="957">
        <v>100</v>
      </c>
      <c r="I2594" s="903"/>
    </row>
    <row r="2595" spans="3:9" s="895" customFormat="1" ht="15" hidden="1" customHeight="1">
      <c r="C2595" s="904"/>
      <c r="D2595" s="925"/>
      <c r="E2595" s="950"/>
      <c r="F2595" s="949"/>
      <c r="G2595" s="136"/>
      <c r="H2595" s="136"/>
      <c r="I2595" s="903"/>
    </row>
    <row r="2596" spans="3:9" s="895" customFormat="1" ht="20.100000000000001" hidden="1" customHeight="1">
      <c r="C2596" s="904"/>
      <c r="D2596" s="890" t="s">
        <v>2038</v>
      </c>
      <c r="E2596" s="955">
        <f>E2597</f>
        <v>6700000000</v>
      </c>
      <c r="F2596" s="955">
        <f>F2597</f>
        <v>6572250000</v>
      </c>
      <c r="G2596" s="956">
        <f>+F2596/E2596*100</f>
        <v>98.093283582089555</v>
      </c>
      <c r="H2596" s="956">
        <v>100</v>
      </c>
      <c r="I2596" s="903"/>
    </row>
    <row r="2597" spans="3:9" s="895" customFormat="1" ht="20.100000000000001" hidden="1" customHeight="1">
      <c r="C2597" s="904"/>
      <c r="D2597" s="890" t="s">
        <v>2039</v>
      </c>
      <c r="E2597" s="951">
        <f>E2598</f>
        <v>6700000000</v>
      </c>
      <c r="F2597" s="951">
        <f>F2598</f>
        <v>6572250000</v>
      </c>
      <c r="G2597" s="135">
        <f>(F2597/E2597)*100</f>
        <v>98.093283582089555</v>
      </c>
      <c r="H2597" s="956">
        <f>H2598</f>
        <v>100</v>
      </c>
      <c r="I2597" s="903"/>
    </row>
    <row r="2598" spans="3:9" s="895" customFormat="1" ht="20.100000000000001" hidden="1" customHeight="1">
      <c r="C2598" s="904"/>
      <c r="D2598" s="925" t="s">
        <v>3165</v>
      </c>
      <c r="E2598" s="950">
        <v>6700000000</v>
      </c>
      <c r="F2598" s="949">
        <v>6572250000</v>
      </c>
      <c r="G2598" s="136">
        <f>(F2598/E2598)*100</f>
        <v>98.093283582089555</v>
      </c>
      <c r="H2598" s="136">
        <v>100</v>
      </c>
      <c r="I2598" s="903"/>
    </row>
    <row r="2599" spans="3:9" s="895" customFormat="1" ht="15" hidden="1" customHeight="1">
      <c r="C2599" s="904"/>
      <c r="D2599" s="925"/>
      <c r="E2599" s="950"/>
      <c r="F2599" s="949"/>
      <c r="G2599" s="136"/>
      <c r="H2599" s="136"/>
      <c r="I2599" s="903"/>
    </row>
    <row r="2600" spans="3:9" s="895" customFormat="1" ht="20.100000000000001" hidden="1" customHeight="1">
      <c r="C2600" s="904"/>
      <c r="D2600" s="889" t="s">
        <v>965</v>
      </c>
      <c r="E2600" s="955">
        <f>E2601</f>
        <v>5608717759</v>
      </c>
      <c r="F2600" s="953">
        <f>F2601</f>
        <v>5374909742</v>
      </c>
      <c r="G2600" s="135">
        <f>+F2600/E2600*100</f>
        <v>95.83134636031879</v>
      </c>
      <c r="H2600" s="135">
        <v>100</v>
      </c>
      <c r="I2600" s="903"/>
    </row>
    <row r="2601" spans="3:9" s="895" customFormat="1" ht="20.100000000000001" hidden="1" customHeight="1">
      <c r="C2601" s="904"/>
      <c r="D2601" s="890" t="s">
        <v>498</v>
      </c>
      <c r="E2601" s="951">
        <f>E2602</f>
        <v>5608717759</v>
      </c>
      <c r="F2601" s="951">
        <f>F2602</f>
        <v>5374909742</v>
      </c>
      <c r="G2601" s="135">
        <f>(F2601/E2601)*100</f>
        <v>95.83134636031879</v>
      </c>
      <c r="H2601" s="956">
        <f>H2602</f>
        <v>100</v>
      </c>
      <c r="I2601" s="903"/>
    </row>
    <row r="2602" spans="3:9" s="895" customFormat="1" ht="20.100000000000001" hidden="1" customHeight="1">
      <c r="C2602" s="904"/>
      <c r="D2602" s="925" t="s">
        <v>966</v>
      </c>
      <c r="E2602" s="950">
        <v>5608717759</v>
      </c>
      <c r="F2602" s="949">
        <v>5374909742</v>
      </c>
      <c r="G2602" s="136">
        <f>(F2602/E2602)*100</f>
        <v>95.83134636031879</v>
      </c>
      <c r="H2602" s="136">
        <v>100</v>
      </c>
      <c r="I2602" s="903"/>
    </row>
    <row r="2603" spans="3:9" s="895" customFormat="1" ht="15" hidden="1" customHeight="1">
      <c r="C2603" s="904"/>
      <c r="D2603" s="925"/>
      <c r="E2603" s="950"/>
      <c r="F2603" s="949"/>
      <c r="G2603" s="136"/>
      <c r="H2603" s="136"/>
      <c r="I2603" s="903"/>
    </row>
    <row r="2604" spans="3:9" s="895" customFormat="1" ht="20.100000000000001" hidden="1" customHeight="1">
      <c r="C2604" s="904"/>
      <c r="D2604" s="890" t="s">
        <v>366</v>
      </c>
      <c r="E2604" s="955">
        <f>E2605+E2607</f>
        <v>1230871776</v>
      </c>
      <c r="F2604" s="955">
        <f>F2605+F2607</f>
        <v>1230871776</v>
      </c>
      <c r="G2604" s="956">
        <f>+F2604/E2604*100</f>
        <v>100</v>
      </c>
      <c r="H2604" s="956">
        <f>+G2604</f>
        <v>100</v>
      </c>
      <c r="I2604" s="903"/>
    </row>
    <row r="2605" spans="3:9" s="895" customFormat="1" ht="20.100000000000001" hidden="1" customHeight="1">
      <c r="C2605" s="904"/>
      <c r="D2605" s="890" t="s">
        <v>3164</v>
      </c>
      <c r="E2605" s="951">
        <f>E2606</f>
        <v>651135000</v>
      </c>
      <c r="F2605" s="951">
        <f>F2606</f>
        <v>651135000</v>
      </c>
      <c r="G2605" s="135">
        <f>(F2605/E2605)*100</f>
        <v>100</v>
      </c>
      <c r="H2605" s="956">
        <f>H2606</f>
        <v>100</v>
      </c>
      <c r="I2605" s="903"/>
    </row>
    <row r="2606" spans="3:9" s="895" customFormat="1" ht="35.1" hidden="1" customHeight="1">
      <c r="C2606" s="904"/>
      <c r="D2606" s="925" t="s">
        <v>3163</v>
      </c>
      <c r="E2606" s="950">
        <v>651135000</v>
      </c>
      <c r="F2606" s="950">
        <v>651135000</v>
      </c>
      <c r="G2606" s="136">
        <f>(F2606/E2606)*100</f>
        <v>100</v>
      </c>
      <c r="H2606" s="136">
        <v>100</v>
      </c>
      <c r="I2606" s="903"/>
    </row>
    <row r="2607" spans="3:9" s="895" customFormat="1" ht="20.100000000000001" hidden="1" customHeight="1">
      <c r="C2607" s="904"/>
      <c r="D2607" s="890" t="s">
        <v>3162</v>
      </c>
      <c r="E2607" s="951">
        <f>E2608</f>
        <v>579736776</v>
      </c>
      <c r="F2607" s="951">
        <f>F2608</f>
        <v>579736776</v>
      </c>
      <c r="G2607" s="135">
        <f>(F2607/E2607)*100</f>
        <v>100</v>
      </c>
      <c r="H2607" s="956">
        <f>H2608</f>
        <v>100</v>
      </c>
      <c r="I2607" s="903"/>
    </row>
    <row r="2608" spans="3:9" s="895" customFormat="1" ht="51" hidden="1" customHeight="1">
      <c r="C2608" s="904"/>
      <c r="D2608" s="925" t="s">
        <v>3161</v>
      </c>
      <c r="E2608" s="950">
        <v>579736776</v>
      </c>
      <c r="F2608" s="950">
        <v>579736776</v>
      </c>
      <c r="G2608" s="136">
        <f>(F2608/E2608)*100</f>
        <v>100</v>
      </c>
      <c r="H2608" s="136">
        <v>100</v>
      </c>
      <c r="I2608" s="903"/>
    </row>
    <row r="2609" spans="3:9" s="895" customFormat="1" ht="15" hidden="1" customHeight="1">
      <c r="C2609" s="904"/>
      <c r="D2609" s="925"/>
      <c r="E2609" s="950"/>
      <c r="F2609" s="949"/>
      <c r="G2609" s="136"/>
      <c r="H2609" s="136"/>
      <c r="I2609" s="903"/>
    </row>
    <row r="2610" spans="3:9" s="895" customFormat="1" ht="20.100000000000001" hidden="1" customHeight="1">
      <c r="C2610" s="904"/>
      <c r="D2610" s="890" t="s">
        <v>758</v>
      </c>
      <c r="E2610" s="955">
        <f>E2611</f>
        <v>731100000</v>
      </c>
      <c r="F2610" s="955">
        <f>F2611</f>
        <v>731100000</v>
      </c>
      <c r="G2610" s="956">
        <f>(F2610/E2610)*100</f>
        <v>100</v>
      </c>
      <c r="H2610" s="956">
        <f>H2611</f>
        <v>100</v>
      </c>
      <c r="I2610" s="903"/>
    </row>
    <row r="2611" spans="3:9" s="895" customFormat="1" ht="20.100000000000001" hidden="1" customHeight="1">
      <c r="C2611" s="904"/>
      <c r="D2611" s="890" t="s">
        <v>3160</v>
      </c>
      <c r="E2611" s="951">
        <f>E2612</f>
        <v>731100000</v>
      </c>
      <c r="F2611" s="951">
        <f>F2612</f>
        <v>731100000</v>
      </c>
      <c r="G2611" s="135">
        <f>(F2611/E2611)*100</f>
        <v>100</v>
      </c>
      <c r="H2611" s="956">
        <f>H2612</f>
        <v>100</v>
      </c>
      <c r="I2611" s="903"/>
    </row>
    <row r="2612" spans="3:9" s="895" customFormat="1" ht="20.100000000000001" hidden="1" customHeight="1">
      <c r="C2612" s="904"/>
      <c r="D2612" s="925" t="s">
        <v>2044</v>
      </c>
      <c r="E2612" s="950">
        <v>731100000</v>
      </c>
      <c r="F2612" s="950">
        <v>731100000</v>
      </c>
      <c r="G2612" s="136">
        <f>(F2612/E2612)*100</f>
        <v>100</v>
      </c>
      <c r="H2612" s="136">
        <v>100</v>
      </c>
      <c r="I2612" s="903"/>
    </row>
    <row r="2613" spans="3:9" s="895" customFormat="1" ht="15" hidden="1" customHeight="1">
      <c r="C2613" s="904"/>
      <c r="D2613" s="925"/>
      <c r="E2613" s="950"/>
      <c r="F2613" s="949"/>
      <c r="G2613" s="136"/>
      <c r="H2613" s="136"/>
      <c r="I2613" s="903"/>
    </row>
    <row r="2614" spans="3:9" s="895" customFormat="1" ht="20.100000000000001" hidden="1" customHeight="1">
      <c r="C2614" s="904"/>
      <c r="D2614" s="890" t="s">
        <v>2045</v>
      </c>
      <c r="E2614" s="955">
        <f>+E2615+E2617</f>
        <v>600000000</v>
      </c>
      <c r="F2614" s="955">
        <f>+F2615+F2617</f>
        <v>600000000</v>
      </c>
      <c r="G2614" s="956">
        <f>(F2614/E2614)*100</f>
        <v>100</v>
      </c>
      <c r="H2614" s="956">
        <f>+G2614</f>
        <v>100</v>
      </c>
      <c r="I2614" s="903"/>
    </row>
    <row r="2615" spans="3:9" s="895" customFormat="1" ht="20.100000000000001" hidden="1" customHeight="1">
      <c r="C2615" s="904"/>
      <c r="D2615" s="959" t="s">
        <v>3159</v>
      </c>
      <c r="E2615" s="951">
        <f>+E2616</f>
        <v>387109000</v>
      </c>
      <c r="F2615" s="951">
        <f>+F2616</f>
        <v>387109000</v>
      </c>
      <c r="G2615" s="135">
        <f>(F2615/E2615)*100</f>
        <v>100</v>
      </c>
      <c r="H2615" s="956">
        <v>100</v>
      </c>
      <c r="I2615" s="903"/>
    </row>
    <row r="2616" spans="3:9" s="895" customFormat="1" ht="20.100000000000001" hidden="1" customHeight="1">
      <c r="C2616" s="904"/>
      <c r="D2616" s="925" t="s">
        <v>3158</v>
      </c>
      <c r="E2616" s="950">
        <v>387109000</v>
      </c>
      <c r="F2616" s="950">
        <v>387109000</v>
      </c>
      <c r="G2616" s="136">
        <f>(F2616/E2616)*100</f>
        <v>100</v>
      </c>
      <c r="H2616" s="957">
        <v>100</v>
      </c>
      <c r="I2616" s="903"/>
    </row>
    <row r="2617" spans="3:9" s="895" customFormat="1" ht="20.100000000000001" hidden="1" customHeight="1">
      <c r="C2617" s="904"/>
      <c r="D2617" s="952" t="s">
        <v>973</v>
      </c>
      <c r="E2617" s="951">
        <f>E2618</f>
        <v>212891000</v>
      </c>
      <c r="F2617" s="951">
        <f>F2618</f>
        <v>212891000</v>
      </c>
      <c r="G2617" s="135">
        <f>(F2617/E2617)*100</f>
        <v>100</v>
      </c>
      <c r="H2617" s="956">
        <v>100</v>
      </c>
      <c r="I2617" s="903"/>
    </row>
    <row r="2618" spans="3:9" s="895" customFormat="1" ht="20.100000000000001" hidden="1" customHeight="1">
      <c r="C2618" s="904"/>
      <c r="D2618" s="925" t="s">
        <v>3157</v>
      </c>
      <c r="E2618" s="950">
        <v>212891000</v>
      </c>
      <c r="F2618" s="950">
        <v>212891000</v>
      </c>
      <c r="G2618" s="136">
        <f>(F2618/E2618)*100</f>
        <v>100</v>
      </c>
      <c r="H2618" s="136">
        <v>100</v>
      </c>
      <c r="I2618" s="903"/>
    </row>
    <row r="2619" spans="3:9" s="895" customFormat="1" ht="15" hidden="1" customHeight="1">
      <c r="C2619" s="904"/>
      <c r="D2619" s="925"/>
      <c r="E2619" s="950"/>
      <c r="F2619" s="949"/>
      <c r="G2619" s="136"/>
      <c r="H2619" s="136"/>
      <c r="I2619" s="903"/>
    </row>
    <row r="2620" spans="3:9" s="895" customFormat="1" ht="20.100000000000001" hidden="1" customHeight="1">
      <c r="C2620" s="904"/>
      <c r="D2620" s="890" t="s">
        <v>563</v>
      </c>
      <c r="E2620" s="955">
        <f>E2621</f>
        <v>3092615328</v>
      </c>
      <c r="F2620" s="955">
        <f>F2621</f>
        <v>750000000</v>
      </c>
      <c r="G2620" s="724">
        <f>(F2620/E2620)*100</f>
        <v>24.251318720748447</v>
      </c>
      <c r="H2620" s="724">
        <f>H2621</f>
        <v>25</v>
      </c>
      <c r="I2620" s="903"/>
    </row>
    <row r="2621" spans="3:9" s="895" customFormat="1" ht="20.100000000000001" hidden="1" customHeight="1">
      <c r="C2621" s="904"/>
      <c r="D2621" s="890" t="s">
        <v>378</v>
      </c>
      <c r="E2621" s="951">
        <f>E2622</f>
        <v>3092615328</v>
      </c>
      <c r="F2621" s="951">
        <f>F2622</f>
        <v>750000000</v>
      </c>
      <c r="G2621" s="135">
        <f>(F2621/E2621)*100</f>
        <v>24.251318720748447</v>
      </c>
      <c r="H2621" s="956">
        <f>H2622</f>
        <v>25</v>
      </c>
      <c r="I2621" s="903"/>
    </row>
    <row r="2622" spans="3:9" s="895" customFormat="1" ht="20.100000000000001" hidden="1" customHeight="1">
      <c r="C2622" s="904"/>
      <c r="D2622" s="925" t="s">
        <v>2048</v>
      </c>
      <c r="E2622" s="950">
        <v>3092615328</v>
      </c>
      <c r="F2622" s="949">
        <v>750000000</v>
      </c>
      <c r="G2622" s="136">
        <f>(F2622/E2622)*100</f>
        <v>24.251318720748447</v>
      </c>
      <c r="H2622" s="136">
        <v>25</v>
      </c>
      <c r="I2622" s="903"/>
    </row>
    <row r="2623" spans="3:9" s="895" customFormat="1" ht="15" hidden="1" customHeight="1">
      <c r="C2623" s="904"/>
      <c r="D2623" s="925"/>
      <c r="E2623" s="950"/>
      <c r="F2623" s="949"/>
      <c r="G2623" s="136"/>
      <c r="H2623" s="136"/>
      <c r="I2623" s="903"/>
    </row>
    <row r="2624" spans="3:9" s="895" customFormat="1" ht="20.100000000000001" hidden="1" customHeight="1">
      <c r="C2624" s="904"/>
      <c r="D2624" s="890" t="s">
        <v>2050</v>
      </c>
      <c r="E2624" s="955">
        <f>E2625+E2628+E2630+E2634</f>
        <v>6154385879</v>
      </c>
      <c r="F2624" s="955">
        <f>F2625+F2628+F2630+F2634</f>
        <v>6139385879</v>
      </c>
      <c r="G2624" s="724">
        <f t="shared" ref="G2624:G2635" si="127">(F2624/E2624)*100</f>
        <v>99.7562713763012</v>
      </c>
      <c r="H2624" s="724">
        <v>100</v>
      </c>
      <c r="I2624" s="903"/>
    </row>
    <row r="2625" spans="3:9" s="895" customFormat="1" ht="20.100000000000001" hidden="1" customHeight="1">
      <c r="C2625" s="904"/>
      <c r="D2625" s="959" t="s">
        <v>2051</v>
      </c>
      <c r="E2625" s="951">
        <f>E2626+E2627</f>
        <v>1305900000</v>
      </c>
      <c r="F2625" s="951">
        <f>F2626+F2627</f>
        <v>1305900000</v>
      </c>
      <c r="G2625" s="135">
        <f t="shared" si="127"/>
        <v>100</v>
      </c>
      <c r="H2625" s="956">
        <f>H2627</f>
        <v>100</v>
      </c>
      <c r="I2625" s="903"/>
    </row>
    <row r="2626" spans="3:9" s="2" customFormat="1" ht="20.100000000000001" hidden="1" customHeight="1">
      <c r="C2626" s="902"/>
      <c r="D2626" s="925" t="s">
        <v>3156</v>
      </c>
      <c r="E2626" s="950">
        <v>637400000</v>
      </c>
      <c r="F2626" s="950">
        <v>637400000</v>
      </c>
      <c r="G2626" s="136">
        <f t="shared" si="127"/>
        <v>100</v>
      </c>
      <c r="H2626" s="957">
        <v>100</v>
      </c>
      <c r="I2626" s="900"/>
    </row>
    <row r="2627" spans="3:9" s="895" customFormat="1" ht="20.100000000000001" hidden="1" customHeight="1">
      <c r="C2627" s="904"/>
      <c r="D2627" s="925" t="s">
        <v>630</v>
      </c>
      <c r="E2627" s="950">
        <v>668500000</v>
      </c>
      <c r="F2627" s="950">
        <v>668500000</v>
      </c>
      <c r="G2627" s="136">
        <f t="shared" si="127"/>
        <v>100</v>
      </c>
      <c r="H2627" s="136">
        <v>100</v>
      </c>
      <c r="I2627" s="903"/>
    </row>
    <row r="2628" spans="3:9" s="895" customFormat="1" ht="20.100000000000001" hidden="1" customHeight="1">
      <c r="C2628" s="904"/>
      <c r="D2628" s="952" t="s">
        <v>1192</v>
      </c>
      <c r="E2628" s="951">
        <f>E2629</f>
        <v>1793500000</v>
      </c>
      <c r="F2628" s="951">
        <f>F2629</f>
        <v>1791000000</v>
      </c>
      <c r="G2628" s="135">
        <f t="shared" si="127"/>
        <v>99.860607750209084</v>
      </c>
      <c r="H2628" s="956">
        <f>H2629</f>
        <v>100</v>
      </c>
      <c r="I2628" s="903"/>
    </row>
    <row r="2629" spans="3:9" s="2" customFormat="1" ht="20.100000000000001" hidden="1" customHeight="1">
      <c r="C2629" s="902"/>
      <c r="D2629" s="925" t="s">
        <v>313</v>
      </c>
      <c r="E2629" s="950">
        <v>1793500000</v>
      </c>
      <c r="F2629" s="949">
        <v>1791000000</v>
      </c>
      <c r="G2629" s="136">
        <f t="shared" si="127"/>
        <v>99.860607750209084</v>
      </c>
      <c r="H2629" s="136">
        <v>100</v>
      </c>
      <c r="I2629" s="900"/>
    </row>
    <row r="2630" spans="3:9" s="895" customFormat="1" ht="20.100000000000001" hidden="1" customHeight="1">
      <c r="C2630" s="904"/>
      <c r="D2630" s="959" t="s">
        <v>2056</v>
      </c>
      <c r="E2630" s="951">
        <f>E2631+E2632+E2633</f>
        <v>1804985879</v>
      </c>
      <c r="F2630" s="951">
        <f>F2631+F2632+F2633</f>
        <v>1804985879</v>
      </c>
      <c r="G2630" s="135">
        <f t="shared" si="127"/>
        <v>100</v>
      </c>
      <c r="H2630" s="956">
        <v>100</v>
      </c>
      <c r="I2630" s="903"/>
    </row>
    <row r="2631" spans="3:9" s="2" customFormat="1" ht="20.100000000000001" hidden="1" customHeight="1">
      <c r="C2631" s="902"/>
      <c r="D2631" s="925" t="s">
        <v>1191</v>
      </c>
      <c r="E2631" s="950">
        <v>873335879</v>
      </c>
      <c r="F2631" s="949">
        <v>873335879</v>
      </c>
      <c r="G2631" s="136">
        <f t="shared" si="127"/>
        <v>100</v>
      </c>
      <c r="H2631" s="136">
        <v>100</v>
      </c>
      <c r="I2631" s="900"/>
    </row>
    <row r="2632" spans="3:9" s="2" customFormat="1" ht="20.100000000000001" hidden="1" customHeight="1">
      <c r="C2632" s="902"/>
      <c r="D2632" s="925" t="s">
        <v>2244</v>
      </c>
      <c r="E2632" s="950">
        <v>554850000</v>
      </c>
      <c r="F2632" s="949">
        <v>554850000</v>
      </c>
      <c r="G2632" s="136">
        <f t="shared" si="127"/>
        <v>100</v>
      </c>
      <c r="H2632" s="136">
        <v>100</v>
      </c>
      <c r="I2632" s="900"/>
    </row>
    <row r="2633" spans="3:9" s="2" customFormat="1" ht="20.100000000000001" hidden="1" customHeight="1">
      <c r="C2633" s="902"/>
      <c r="D2633" s="925" t="s">
        <v>3155</v>
      </c>
      <c r="E2633" s="950">
        <v>376800000</v>
      </c>
      <c r="F2633" s="949">
        <v>376800000</v>
      </c>
      <c r="G2633" s="136">
        <f t="shared" si="127"/>
        <v>100</v>
      </c>
      <c r="H2633" s="136">
        <v>100</v>
      </c>
      <c r="I2633" s="900"/>
    </row>
    <row r="2634" spans="3:9" s="895" customFormat="1" ht="20.100000000000001" hidden="1" customHeight="1">
      <c r="C2634" s="904"/>
      <c r="D2634" s="952" t="s">
        <v>471</v>
      </c>
      <c r="E2634" s="951">
        <f>E2635</f>
        <v>1250000000</v>
      </c>
      <c r="F2634" s="951">
        <f>F2635</f>
        <v>1237500000</v>
      </c>
      <c r="G2634" s="135">
        <f t="shared" si="127"/>
        <v>99</v>
      </c>
      <c r="H2634" s="956">
        <v>100</v>
      </c>
      <c r="I2634" s="903"/>
    </row>
    <row r="2635" spans="3:9" s="2" customFormat="1" ht="20.100000000000001" hidden="1" customHeight="1">
      <c r="C2635" s="902"/>
      <c r="D2635" s="925" t="s">
        <v>1967</v>
      </c>
      <c r="E2635" s="950">
        <v>1250000000</v>
      </c>
      <c r="F2635" s="958">
        <v>1237500000</v>
      </c>
      <c r="G2635" s="136">
        <f t="shared" si="127"/>
        <v>99</v>
      </c>
      <c r="H2635" s="957">
        <v>100</v>
      </c>
      <c r="I2635" s="900"/>
    </row>
    <row r="2636" spans="3:9" s="2" customFormat="1" ht="15" hidden="1" customHeight="1">
      <c r="C2636" s="902"/>
      <c r="D2636" s="925"/>
      <c r="E2636" s="950"/>
      <c r="F2636" s="949"/>
      <c r="G2636" s="136"/>
      <c r="H2636" s="136"/>
      <c r="I2636" s="900"/>
    </row>
    <row r="2637" spans="3:9" s="895" customFormat="1" ht="20.100000000000001" hidden="1" customHeight="1">
      <c r="C2637" s="904"/>
      <c r="D2637" s="890" t="s">
        <v>503</v>
      </c>
      <c r="E2637" s="955">
        <f>E2638+E2640</f>
        <v>3077179440</v>
      </c>
      <c r="F2637" s="955">
        <f>F2638+F2640</f>
        <v>2949567774</v>
      </c>
      <c r="G2637" s="724">
        <f>(F2637/E2637)*100</f>
        <v>95.852966377547361</v>
      </c>
      <c r="H2637" s="724">
        <v>100</v>
      </c>
      <c r="I2637" s="903"/>
    </row>
    <row r="2638" spans="3:9" s="895" customFormat="1" ht="20.100000000000001" hidden="1" customHeight="1">
      <c r="C2638" s="904"/>
      <c r="D2638" s="890" t="s">
        <v>1428</v>
      </c>
      <c r="E2638" s="951">
        <f>E2639</f>
        <v>1265950000</v>
      </c>
      <c r="F2638" s="951">
        <f>F2639</f>
        <v>1255952500</v>
      </c>
      <c r="G2638" s="135">
        <f>(F2638/E2638)*100</f>
        <v>99.210276867174855</v>
      </c>
      <c r="H2638" s="956">
        <v>100</v>
      </c>
      <c r="I2638" s="903"/>
    </row>
    <row r="2639" spans="3:9" s="2" customFormat="1" ht="20.100000000000001" hidden="1" customHeight="1">
      <c r="C2639" s="902"/>
      <c r="D2639" s="925" t="s">
        <v>1429</v>
      </c>
      <c r="E2639" s="950">
        <v>1265950000</v>
      </c>
      <c r="F2639" s="949">
        <v>1255952500</v>
      </c>
      <c r="G2639" s="136">
        <f>(F2639/E2639)*100</f>
        <v>99.210276867174855</v>
      </c>
      <c r="H2639" s="136">
        <v>100</v>
      </c>
      <c r="I2639" s="900"/>
    </row>
    <row r="2640" spans="3:9" s="895" customFormat="1" ht="20.100000000000001" hidden="1" customHeight="1">
      <c r="C2640" s="904"/>
      <c r="D2640" s="890" t="s">
        <v>3154</v>
      </c>
      <c r="E2640" s="951">
        <f>E2641</f>
        <v>1811229440</v>
      </c>
      <c r="F2640" s="951">
        <f>F2641</f>
        <v>1693615274</v>
      </c>
      <c r="G2640" s="135">
        <f>(F2640/E2640)*100</f>
        <v>93.506390554252476</v>
      </c>
      <c r="H2640" s="956">
        <f>H2641</f>
        <v>100</v>
      </c>
      <c r="I2640" s="903"/>
    </row>
    <row r="2641" spans="3:10" s="2" customFormat="1" ht="20.100000000000001" hidden="1" customHeight="1">
      <c r="C2641" s="902"/>
      <c r="D2641" s="925" t="s">
        <v>3153</v>
      </c>
      <c r="E2641" s="950">
        <v>1811229440</v>
      </c>
      <c r="F2641" s="949">
        <v>1693615274</v>
      </c>
      <c r="G2641" s="136">
        <f>(F2641/E2641)*100</f>
        <v>93.506390554252476</v>
      </c>
      <c r="H2641" s="136">
        <v>100</v>
      </c>
      <c r="I2641" s="900"/>
    </row>
    <row r="2642" spans="3:10" s="2" customFormat="1" ht="15" hidden="1" customHeight="1">
      <c r="C2642" s="902"/>
      <c r="D2642" s="925"/>
      <c r="E2642" s="950"/>
      <c r="F2642" s="949"/>
      <c r="G2642" s="136"/>
      <c r="H2642" s="136"/>
      <c r="I2642" s="900"/>
    </row>
    <row r="2643" spans="3:10" s="895" customFormat="1" ht="20.100000000000001" hidden="1" customHeight="1">
      <c r="C2643" s="904"/>
      <c r="D2643" s="890" t="s">
        <v>2063</v>
      </c>
      <c r="E2643" s="955">
        <f>E2644+E2647+E2649+E2651+E2653</f>
        <v>6154331879</v>
      </c>
      <c r="F2643" s="955">
        <f>+F2644+F2647+F2649+F2651+F2653</f>
        <v>3509586693</v>
      </c>
      <c r="G2643" s="724">
        <f>(F2643/E2643)*100</f>
        <v>57.02628265751347</v>
      </c>
      <c r="H2643" s="724">
        <f>400/5</f>
        <v>80</v>
      </c>
      <c r="I2643" s="903"/>
    </row>
    <row r="2644" spans="3:10" s="895" customFormat="1" ht="20.100000000000001" hidden="1" customHeight="1">
      <c r="C2644" s="904"/>
      <c r="D2644" s="890" t="s">
        <v>548</v>
      </c>
      <c r="E2644" s="954">
        <f>(E2645+E2646)</f>
        <v>2530120000</v>
      </c>
      <c r="F2644" s="953"/>
      <c r="G2644" s="135"/>
      <c r="H2644" s="135"/>
      <c r="I2644" s="903"/>
    </row>
    <row r="2645" spans="3:10" s="2" customFormat="1" ht="20.100000000000001" hidden="1" customHeight="1">
      <c r="C2645" s="902"/>
      <c r="D2645" s="925" t="s">
        <v>3152</v>
      </c>
      <c r="E2645" s="950">
        <v>1699500000</v>
      </c>
      <c r="F2645" s="949"/>
      <c r="G2645" s="136"/>
      <c r="H2645" s="136"/>
      <c r="I2645" s="900"/>
    </row>
    <row r="2646" spans="3:10" s="2" customFormat="1" ht="28.5" hidden="1" customHeight="1">
      <c r="C2646" s="902"/>
      <c r="D2646" s="925" t="s">
        <v>2064</v>
      </c>
      <c r="E2646" s="950">
        <v>830620000</v>
      </c>
      <c r="F2646" s="949"/>
      <c r="G2646" s="136"/>
      <c r="H2646" s="136"/>
      <c r="I2646" s="900"/>
    </row>
    <row r="2647" spans="3:10" s="895" customFormat="1" ht="20.100000000000001" hidden="1" customHeight="1">
      <c r="C2647" s="904"/>
      <c r="D2647" s="889" t="s">
        <v>1433</v>
      </c>
      <c r="E2647" s="951">
        <f>E2648</f>
        <v>547000000</v>
      </c>
      <c r="F2647" s="951">
        <f>F2648</f>
        <v>547000000</v>
      </c>
      <c r="G2647" s="135">
        <f t="shared" ref="G2647:G2655" si="128">(F2647/E2647)*100</f>
        <v>100</v>
      </c>
      <c r="H2647" s="724">
        <v>100</v>
      </c>
      <c r="I2647" s="903"/>
    </row>
    <row r="2648" spans="3:10" s="2" customFormat="1" ht="20.100000000000001" hidden="1" customHeight="1">
      <c r="C2648" s="902"/>
      <c r="D2648" s="925" t="s">
        <v>2065</v>
      </c>
      <c r="E2648" s="950">
        <v>547000000</v>
      </c>
      <c r="F2648" s="950">
        <v>547000000</v>
      </c>
      <c r="G2648" s="136">
        <f t="shared" si="128"/>
        <v>100</v>
      </c>
      <c r="H2648" s="136">
        <v>100</v>
      </c>
      <c r="I2648" s="900"/>
    </row>
    <row r="2649" spans="3:10" s="895" customFormat="1" ht="28.5" hidden="1" customHeight="1">
      <c r="C2649" s="904"/>
      <c r="D2649" s="889" t="s">
        <v>3151</v>
      </c>
      <c r="E2649" s="951">
        <f>SUM(E2650:E2650)</f>
        <v>475775000</v>
      </c>
      <c r="F2649" s="951">
        <f>SUM(F2650:F2650)</f>
        <v>475775000</v>
      </c>
      <c r="G2649" s="135">
        <f t="shared" si="128"/>
        <v>100</v>
      </c>
      <c r="H2649" s="724">
        <v>100</v>
      </c>
      <c r="I2649" s="903"/>
    </row>
    <row r="2650" spans="3:10" s="2" customFormat="1" ht="20.100000000000001" hidden="1" customHeight="1">
      <c r="C2650" s="902"/>
      <c r="D2650" s="925" t="s">
        <v>2915</v>
      </c>
      <c r="E2650" s="950">
        <v>475775000</v>
      </c>
      <c r="F2650" s="949">
        <v>475775000</v>
      </c>
      <c r="G2650" s="136">
        <f t="shared" si="128"/>
        <v>100</v>
      </c>
      <c r="H2650" s="136">
        <v>100</v>
      </c>
      <c r="I2650" s="900"/>
    </row>
    <row r="2651" spans="3:10" s="895" customFormat="1" ht="20.100000000000001" hidden="1" customHeight="1">
      <c r="C2651" s="904"/>
      <c r="D2651" s="952" t="s">
        <v>1423</v>
      </c>
      <c r="E2651" s="951">
        <f>SUM(E2652:E2652)</f>
        <v>716466879</v>
      </c>
      <c r="F2651" s="951">
        <f>SUM(F2652:F2652)</f>
        <v>716398000</v>
      </c>
      <c r="G2651" s="135">
        <f t="shared" si="128"/>
        <v>99.990386296698588</v>
      </c>
      <c r="H2651" s="724">
        <v>100</v>
      </c>
      <c r="I2651" s="903"/>
    </row>
    <row r="2652" spans="3:10" s="2" customFormat="1" ht="20.100000000000001" hidden="1" customHeight="1">
      <c r="C2652" s="902"/>
      <c r="D2652" s="925" t="s">
        <v>3150</v>
      </c>
      <c r="E2652" s="950">
        <v>716466879</v>
      </c>
      <c r="F2652" s="949">
        <v>716398000</v>
      </c>
      <c r="G2652" s="136">
        <f t="shared" si="128"/>
        <v>99.990386296698588</v>
      </c>
      <c r="H2652" s="136">
        <v>100</v>
      </c>
      <c r="I2652" s="900"/>
    </row>
    <row r="2653" spans="3:10" s="895" customFormat="1" ht="20.100000000000001" hidden="1" customHeight="1">
      <c r="C2653" s="904"/>
      <c r="D2653" s="952" t="s">
        <v>3149</v>
      </c>
      <c r="E2653" s="951">
        <f>SUM(E2654:E2655)</f>
        <v>1884970000</v>
      </c>
      <c r="F2653" s="951">
        <f>F2654+F2655</f>
        <v>1770413693</v>
      </c>
      <c r="G2653" s="135">
        <f t="shared" si="128"/>
        <v>93.922645612397019</v>
      </c>
      <c r="H2653" s="724">
        <v>100</v>
      </c>
      <c r="I2653" s="903"/>
    </row>
    <row r="2654" spans="3:10" s="2" customFormat="1" ht="20.100000000000001" hidden="1" customHeight="1">
      <c r="C2654" s="902"/>
      <c r="D2654" s="925" t="s">
        <v>3148</v>
      </c>
      <c r="E2654" s="950">
        <v>684970000</v>
      </c>
      <c r="F2654" s="949">
        <v>683430000</v>
      </c>
      <c r="G2654" s="136">
        <f t="shared" si="128"/>
        <v>99.775172635297892</v>
      </c>
      <c r="H2654" s="136">
        <v>100</v>
      </c>
      <c r="I2654" s="900"/>
    </row>
    <row r="2655" spans="3:10" s="2" customFormat="1" ht="20.100000000000001" hidden="1" customHeight="1">
      <c r="C2655" s="902"/>
      <c r="D2655" s="925" t="s">
        <v>3147</v>
      </c>
      <c r="E2655" s="950">
        <v>1200000000</v>
      </c>
      <c r="F2655" s="949">
        <v>1086983693</v>
      </c>
      <c r="G2655" s="136">
        <f t="shared" si="128"/>
        <v>90.581974416666668</v>
      </c>
      <c r="H2655" s="136">
        <v>100</v>
      </c>
      <c r="I2655" s="900"/>
    </row>
    <row r="2656" spans="3:10" ht="15" hidden="1" customHeight="1">
      <c r="C2656" s="878"/>
      <c r="D2656" s="859"/>
      <c r="E2656" s="125"/>
      <c r="F2656" s="854"/>
      <c r="G2656" s="854"/>
      <c r="H2656" s="876"/>
      <c r="I2656" s="852"/>
      <c r="J2656" s="802"/>
    </row>
    <row r="2657" spans="3:9" s="895" customFormat="1" ht="20.100000000000001" customHeight="1">
      <c r="C2657" s="904" t="s">
        <v>2066</v>
      </c>
      <c r="D2657" s="889" t="s">
        <v>2583</v>
      </c>
      <c r="E2657" s="247">
        <f>+E2658+E2673+E2689+E2693+E2697+E2703+E2707+E2711+E2715+E2719+E2724+E2728+E2732+E2738+E2742+E2746+E2750+E2755+E2777+E2782</f>
        <v>61544586915.558998</v>
      </c>
      <c r="F2657" s="948">
        <f>F2658+F2673+F2689+F2693+F2697+F2703+F2707+F2711+F2715+F2719+F2724+F2728+F2732+F2738+F2742+F2746+F2750+F2755+F2777+F2782</f>
        <v>56615598150.059998</v>
      </c>
      <c r="G2657" s="941">
        <f t="shared" ref="G2657:G2671" si="129">+F2657/E2657*100</f>
        <v>91.991190431968093</v>
      </c>
      <c r="H2657" s="941">
        <f>(H2658+H2673+H2689+H2693+H2697+H2703+H2707+H2711+H2715+H2719+H2724+H2728+H2732+H2738+H2742+H2746+H2750+H2755+H2777+H2782)/20</f>
        <v>82.874999992154216</v>
      </c>
      <c r="I2657" s="903"/>
    </row>
    <row r="2658" spans="3:9" s="895" customFormat="1" ht="20.100000000000001" hidden="1" customHeight="1">
      <c r="C2658" s="904"/>
      <c r="D2658" s="889" t="s">
        <v>64</v>
      </c>
      <c r="E2658" s="247">
        <f>E2659+E2661+E2664+E2667+E2669</f>
        <v>17463376074.668999</v>
      </c>
      <c r="F2658" s="947">
        <f>F2659+F2661+F2664+F2667+F2669</f>
        <v>15333650000</v>
      </c>
      <c r="G2658" s="941">
        <f t="shared" si="129"/>
        <v>87.804614264946096</v>
      </c>
      <c r="H2658" s="941">
        <f>(H2659+H2664+H2667+H26560)/4</f>
        <v>75</v>
      </c>
      <c r="I2658" s="903"/>
    </row>
    <row r="2659" spans="3:9" s="895" customFormat="1" ht="20.100000000000001" hidden="1" customHeight="1">
      <c r="C2659" s="904"/>
      <c r="D2659" s="945" t="s">
        <v>388</v>
      </c>
      <c r="E2659" s="247">
        <f>SUM(E2660:E2660)</f>
        <v>420000000</v>
      </c>
      <c r="F2659" s="947">
        <f>F2660</f>
        <v>420000000</v>
      </c>
      <c r="G2659" s="941">
        <f t="shared" si="129"/>
        <v>100</v>
      </c>
      <c r="H2659" s="941">
        <f t="shared" ref="H2659:H2668" si="130">+G2659</f>
        <v>100</v>
      </c>
      <c r="I2659" s="903"/>
    </row>
    <row r="2660" spans="3:9" s="2" customFormat="1" ht="20.100000000000001" hidden="1" customHeight="1">
      <c r="C2660" s="902"/>
      <c r="D2660" s="808" t="s">
        <v>2068</v>
      </c>
      <c r="E2660" s="248">
        <v>420000000</v>
      </c>
      <c r="F2660" s="946">
        <f>315000000+105000000</f>
        <v>420000000</v>
      </c>
      <c r="G2660" s="938">
        <f t="shared" si="129"/>
        <v>100</v>
      </c>
      <c r="H2660" s="938">
        <f t="shared" si="130"/>
        <v>100</v>
      </c>
      <c r="I2660" s="900"/>
    </row>
    <row r="2661" spans="3:9" s="895" customFormat="1" ht="20.100000000000001" hidden="1" customHeight="1">
      <c r="C2661" s="904"/>
      <c r="D2661" s="945" t="s">
        <v>3146</v>
      </c>
      <c r="E2661" s="247">
        <f>SUM(E2662:E2663)</f>
        <v>5160000000</v>
      </c>
      <c r="F2661" s="942">
        <f>F2662+F2663</f>
        <v>5159850000</v>
      </c>
      <c r="G2661" s="941">
        <f t="shared" si="129"/>
        <v>99.997093023255815</v>
      </c>
      <c r="H2661" s="941">
        <f t="shared" si="130"/>
        <v>99.997093023255815</v>
      </c>
      <c r="I2661" s="903"/>
    </row>
    <row r="2662" spans="3:9" s="2" customFormat="1" ht="20.100000000000001" hidden="1" customHeight="1">
      <c r="C2662" s="902"/>
      <c r="D2662" s="808" t="s">
        <v>3143</v>
      </c>
      <c r="E2662" s="248">
        <v>2160000000</v>
      </c>
      <c r="F2662" s="939">
        <f>1620000000+540000000</f>
        <v>2160000000</v>
      </c>
      <c r="G2662" s="938">
        <f t="shared" si="129"/>
        <v>100</v>
      </c>
      <c r="H2662" s="938">
        <f t="shared" si="130"/>
        <v>100</v>
      </c>
      <c r="I2662" s="900"/>
    </row>
    <row r="2663" spans="3:9" s="2" customFormat="1" ht="20.100000000000001" hidden="1" customHeight="1">
      <c r="C2663" s="902"/>
      <c r="D2663" s="808" t="s">
        <v>3145</v>
      </c>
      <c r="E2663" s="248">
        <v>3000000000</v>
      </c>
      <c r="F2663" s="939">
        <v>2999850000</v>
      </c>
      <c r="G2663" s="938">
        <f t="shared" si="129"/>
        <v>99.995000000000005</v>
      </c>
      <c r="H2663" s="938">
        <f t="shared" si="130"/>
        <v>99.995000000000005</v>
      </c>
      <c r="I2663" s="900"/>
    </row>
    <row r="2664" spans="3:9" s="895" customFormat="1" ht="20.100000000000001" hidden="1" customHeight="1">
      <c r="C2664" s="904"/>
      <c r="D2664" s="945" t="s">
        <v>2072</v>
      </c>
      <c r="E2664" s="247">
        <f>SUM(E2665:E2666)</f>
        <v>1574000000</v>
      </c>
      <c r="F2664" s="942">
        <f>F2665+F2666</f>
        <v>1574000000</v>
      </c>
      <c r="G2664" s="941">
        <f t="shared" si="129"/>
        <v>100</v>
      </c>
      <c r="H2664" s="941">
        <f t="shared" si="130"/>
        <v>100</v>
      </c>
      <c r="I2664" s="903"/>
    </row>
    <row r="2665" spans="3:9" s="2" customFormat="1" ht="20.100000000000001" hidden="1" customHeight="1">
      <c r="C2665" s="902"/>
      <c r="D2665" s="808" t="s">
        <v>3143</v>
      </c>
      <c r="E2665" s="248">
        <v>864000000</v>
      </c>
      <c r="F2665" s="939">
        <f>648000000+216000000</f>
        <v>864000000</v>
      </c>
      <c r="G2665" s="938">
        <f t="shared" si="129"/>
        <v>100</v>
      </c>
      <c r="H2665" s="938">
        <f t="shared" si="130"/>
        <v>100</v>
      </c>
      <c r="I2665" s="900"/>
    </row>
    <row r="2666" spans="3:9" s="2" customFormat="1" ht="35.1" hidden="1" customHeight="1">
      <c r="C2666" s="902"/>
      <c r="D2666" s="890" t="s">
        <v>3144</v>
      </c>
      <c r="E2666" s="247">
        <v>710000000</v>
      </c>
      <c r="F2666" s="942">
        <v>710000000</v>
      </c>
      <c r="G2666" s="941">
        <f t="shared" si="129"/>
        <v>100</v>
      </c>
      <c r="H2666" s="941">
        <f t="shared" si="130"/>
        <v>100</v>
      </c>
      <c r="I2666" s="900"/>
    </row>
    <row r="2667" spans="3:9" s="2" customFormat="1" ht="20.100000000000001" hidden="1" customHeight="1">
      <c r="C2667" s="902"/>
      <c r="D2667" s="945" t="s">
        <v>2027</v>
      </c>
      <c r="E2667" s="247">
        <f>SUM(E2668:E2668)</f>
        <v>388800000</v>
      </c>
      <c r="F2667" s="942">
        <f>F2668</f>
        <v>388800000</v>
      </c>
      <c r="G2667" s="941">
        <f t="shared" si="129"/>
        <v>100</v>
      </c>
      <c r="H2667" s="941">
        <f t="shared" si="130"/>
        <v>100</v>
      </c>
      <c r="I2667" s="900"/>
    </row>
    <row r="2668" spans="3:9" s="2" customFormat="1" ht="20.100000000000001" hidden="1" customHeight="1">
      <c r="C2668" s="902"/>
      <c r="D2668" s="808" t="s">
        <v>3143</v>
      </c>
      <c r="E2668" s="248">
        <v>388800000</v>
      </c>
      <c r="F2668" s="939">
        <f>291600000+97200000</f>
        <v>388800000</v>
      </c>
      <c r="G2668" s="938">
        <f t="shared" si="129"/>
        <v>100</v>
      </c>
      <c r="H2668" s="938">
        <f t="shared" si="130"/>
        <v>100</v>
      </c>
      <c r="I2668" s="900"/>
    </row>
    <row r="2669" spans="3:9" s="895" customFormat="1" ht="20.100000000000001" hidden="1" customHeight="1">
      <c r="C2669" s="904"/>
      <c r="D2669" s="945" t="s">
        <v>3142</v>
      </c>
      <c r="E2669" s="247">
        <f>SUM(E2670:E2671)</f>
        <v>9920576074.6690006</v>
      </c>
      <c r="F2669" s="942">
        <f>F2670+F2671</f>
        <v>7791000000</v>
      </c>
      <c r="G2669" s="941">
        <f t="shared" si="129"/>
        <v>78.533745836528411</v>
      </c>
      <c r="H2669" s="941">
        <v>90</v>
      </c>
      <c r="I2669" s="903"/>
    </row>
    <row r="2670" spans="3:9" s="2" customFormat="1" ht="35.1" hidden="1" customHeight="1">
      <c r="C2670" s="902"/>
      <c r="D2670" s="808" t="s">
        <v>3141</v>
      </c>
      <c r="E2670" s="248">
        <v>912000000</v>
      </c>
      <c r="F2670" s="939">
        <v>912000000</v>
      </c>
      <c r="G2670" s="938">
        <f t="shared" si="129"/>
        <v>100</v>
      </c>
      <c r="H2670" s="938">
        <f>+G2670</f>
        <v>100</v>
      </c>
      <c r="I2670" s="900"/>
    </row>
    <row r="2671" spans="3:9" s="2" customFormat="1" ht="35.1" hidden="1" customHeight="1">
      <c r="C2671" s="902"/>
      <c r="D2671" s="808" t="s">
        <v>3140</v>
      </c>
      <c r="E2671" s="248">
        <v>9008576074.6690006</v>
      </c>
      <c r="F2671" s="939">
        <f>1215000000+1058000000+540000000+830000000+273000000+2963000000</f>
        <v>6879000000</v>
      </c>
      <c r="G2671" s="938">
        <f t="shared" si="129"/>
        <v>76.360569561519213</v>
      </c>
      <c r="H2671" s="938">
        <v>80</v>
      </c>
      <c r="I2671" s="900"/>
    </row>
    <row r="2672" spans="3:9" s="2" customFormat="1" ht="15" hidden="1" customHeight="1">
      <c r="C2672" s="902"/>
      <c r="D2672" s="808"/>
      <c r="E2672" s="248"/>
      <c r="F2672" s="942"/>
      <c r="G2672" s="941"/>
      <c r="H2672" s="941"/>
      <c r="I2672" s="900"/>
    </row>
    <row r="2673" spans="3:9" s="895" customFormat="1" ht="20.100000000000001" hidden="1" customHeight="1">
      <c r="C2673" s="904"/>
      <c r="D2673" s="945" t="s">
        <v>65</v>
      </c>
      <c r="E2673" s="247">
        <f>E2674+E2676+E2678+E2680+E2682+E2684+E2686</f>
        <v>9231688037.3299999</v>
      </c>
      <c r="F2673" s="942">
        <f>F2674+F2676+F2678+F2680+F2682+F2684+F2686</f>
        <v>8331859800</v>
      </c>
      <c r="G2673" s="941">
        <f t="shared" ref="G2673:G2687" si="131">+F2673/E2673*100</f>
        <v>90.252830969900828</v>
      </c>
      <c r="H2673" s="941">
        <f>(H2674+H2676+H2678+H2680+H2682+H2684+H2686)/7</f>
        <v>80</v>
      </c>
      <c r="I2673" s="903"/>
    </row>
    <row r="2674" spans="3:9" s="895" customFormat="1" ht="20.100000000000001" hidden="1" customHeight="1">
      <c r="C2674" s="904"/>
      <c r="D2674" s="945" t="s">
        <v>1878</v>
      </c>
      <c r="E2674" s="247">
        <f>SUM(E2675)</f>
        <v>23900000</v>
      </c>
      <c r="F2674" s="942">
        <f>F2675</f>
        <v>7200000</v>
      </c>
      <c r="G2674" s="941">
        <f t="shared" si="131"/>
        <v>30.125523012552303</v>
      </c>
      <c r="H2674" s="941">
        <v>35</v>
      </c>
      <c r="I2674" s="903"/>
    </row>
    <row r="2675" spans="3:9" s="2" customFormat="1" ht="20.100000000000001" hidden="1" customHeight="1">
      <c r="C2675" s="902"/>
      <c r="D2675" s="808" t="s">
        <v>3101</v>
      </c>
      <c r="E2675" s="248">
        <v>23900000</v>
      </c>
      <c r="F2675" s="939">
        <v>7200000</v>
      </c>
      <c r="G2675" s="938">
        <f t="shared" si="131"/>
        <v>30.125523012552303</v>
      </c>
      <c r="H2675" s="938">
        <v>35</v>
      </c>
      <c r="I2675" s="900"/>
    </row>
    <row r="2676" spans="3:9" s="895" customFormat="1" ht="20.100000000000001" hidden="1" customHeight="1">
      <c r="C2676" s="904"/>
      <c r="D2676" s="945" t="s">
        <v>162</v>
      </c>
      <c r="E2676" s="247">
        <f>SUM(E2677:E2677)</f>
        <v>689100000</v>
      </c>
      <c r="F2676" s="942">
        <f>F2677</f>
        <v>383828000</v>
      </c>
      <c r="G2676" s="941">
        <f t="shared" si="131"/>
        <v>55.699898418226667</v>
      </c>
      <c r="H2676" s="941">
        <v>60</v>
      </c>
      <c r="I2676" s="903"/>
    </row>
    <row r="2677" spans="3:9" s="2" customFormat="1" ht="20.100000000000001" hidden="1" customHeight="1">
      <c r="C2677" s="902"/>
      <c r="D2677" s="808" t="s">
        <v>3139</v>
      </c>
      <c r="E2677" s="248">
        <v>689100000</v>
      </c>
      <c r="F2677" s="939">
        <v>383828000</v>
      </c>
      <c r="G2677" s="938">
        <f t="shared" si="131"/>
        <v>55.699898418226667</v>
      </c>
      <c r="H2677" s="938">
        <v>60</v>
      </c>
      <c r="I2677" s="900"/>
    </row>
    <row r="2678" spans="3:9" s="895" customFormat="1" ht="20.100000000000001" hidden="1" customHeight="1">
      <c r="C2678" s="904"/>
      <c r="D2678" s="945" t="s">
        <v>173</v>
      </c>
      <c r="E2678" s="247">
        <f>SUM(E2679)</f>
        <v>4411500000</v>
      </c>
      <c r="F2678" s="942">
        <f>F2679</f>
        <v>4286500000</v>
      </c>
      <c r="G2678" s="941">
        <f t="shared" si="131"/>
        <v>97.166496656466052</v>
      </c>
      <c r="H2678" s="941">
        <v>100</v>
      </c>
      <c r="I2678" s="903"/>
    </row>
    <row r="2679" spans="3:9" s="2" customFormat="1" ht="20.100000000000001" hidden="1" customHeight="1">
      <c r="C2679" s="902"/>
      <c r="D2679" s="808" t="s">
        <v>414</v>
      </c>
      <c r="E2679" s="248">
        <v>4411500000</v>
      </c>
      <c r="F2679" s="939">
        <v>4286500000</v>
      </c>
      <c r="G2679" s="938">
        <f t="shared" si="131"/>
        <v>97.166496656466052</v>
      </c>
      <c r="H2679" s="938">
        <v>100</v>
      </c>
      <c r="I2679" s="900"/>
    </row>
    <row r="2680" spans="3:9" s="895" customFormat="1" ht="20.100000000000001" hidden="1" customHeight="1">
      <c r="C2680" s="904"/>
      <c r="D2680" s="945" t="s">
        <v>2080</v>
      </c>
      <c r="E2680" s="247">
        <f>SUM(E2681:E2681)</f>
        <v>430500000</v>
      </c>
      <c r="F2680" s="942">
        <f>F2681</f>
        <v>398000000</v>
      </c>
      <c r="G2680" s="941">
        <f t="shared" si="131"/>
        <v>92.450638792102197</v>
      </c>
      <c r="H2680" s="941">
        <v>95</v>
      </c>
      <c r="I2680" s="903"/>
    </row>
    <row r="2681" spans="3:9" s="2" customFormat="1" ht="20.100000000000001" hidden="1" customHeight="1">
      <c r="C2681" s="902"/>
      <c r="D2681" s="808" t="s">
        <v>684</v>
      </c>
      <c r="E2681" s="248">
        <v>430500000</v>
      </c>
      <c r="F2681" s="939">
        <f>201000000+197000000</f>
        <v>398000000</v>
      </c>
      <c r="G2681" s="938">
        <f t="shared" si="131"/>
        <v>92.450638792102197</v>
      </c>
      <c r="H2681" s="938">
        <v>95</v>
      </c>
      <c r="I2681" s="900"/>
    </row>
    <row r="2682" spans="3:9" s="895" customFormat="1" ht="20.100000000000001" hidden="1" customHeight="1">
      <c r="C2682" s="904"/>
      <c r="D2682" s="945" t="s">
        <v>221</v>
      </c>
      <c r="E2682" s="247">
        <f>SUM(E2683:E2683)</f>
        <v>1181750000</v>
      </c>
      <c r="F2682" s="942">
        <f>F2683</f>
        <v>830809800</v>
      </c>
      <c r="G2682" s="941">
        <f t="shared" si="131"/>
        <v>70.303346731542206</v>
      </c>
      <c r="H2682" s="941">
        <v>70</v>
      </c>
      <c r="I2682" s="903"/>
    </row>
    <row r="2683" spans="3:9" s="2" customFormat="1" ht="20.100000000000001" hidden="1" customHeight="1">
      <c r="C2683" s="902"/>
      <c r="D2683" s="808" t="s">
        <v>1410</v>
      </c>
      <c r="E2683" s="248">
        <v>1181750000</v>
      </c>
      <c r="F2683" s="939">
        <f>75059800+1750000+754000000</f>
        <v>830809800</v>
      </c>
      <c r="G2683" s="938">
        <f t="shared" si="131"/>
        <v>70.303346731542206</v>
      </c>
      <c r="H2683" s="938">
        <v>70</v>
      </c>
      <c r="I2683" s="900"/>
    </row>
    <row r="2684" spans="3:9" s="2" customFormat="1" ht="35.1" hidden="1" customHeight="1">
      <c r="C2684" s="902"/>
      <c r="D2684" s="945" t="s">
        <v>3138</v>
      </c>
      <c r="E2684" s="247">
        <f>SUM(E2685:E2685)</f>
        <v>1075000000</v>
      </c>
      <c r="F2684" s="942">
        <f>F2685</f>
        <v>1072455000</v>
      </c>
      <c r="G2684" s="941">
        <f t="shared" si="131"/>
        <v>99.763255813953492</v>
      </c>
      <c r="H2684" s="941">
        <v>100</v>
      </c>
      <c r="I2684" s="900"/>
    </row>
    <row r="2685" spans="3:9" s="2" customFormat="1" ht="20.100000000000001" hidden="1" customHeight="1">
      <c r="C2685" s="902"/>
      <c r="D2685" s="808" t="s">
        <v>3137</v>
      </c>
      <c r="E2685" s="248">
        <v>1075000000</v>
      </c>
      <c r="F2685" s="939">
        <f>997818000+10000000+64637000</f>
        <v>1072455000</v>
      </c>
      <c r="G2685" s="938">
        <f t="shared" si="131"/>
        <v>99.763255813953492</v>
      </c>
      <c r="H2685" s="938">
        <v>100</v>
      </c>
      <c r="I2685" s="900"/>
    </row>
    <row r="2686" spans="3:9" s="2" customFormat="1" ht="35.1" hidden="1" customHeight="1">
      <c r="C2686" s="902"/>
      <c r="D2686" s="945" t="s">
        <v>3136</v>
      </c>
      <c r="E2686" s="247">
        <f>SUM(E2687)</f>
        <v>1419938037.3299999</v>
      </c>
      <c r="F2686" s="942">
        <f>F2687</f>
        <v>1353067000</v>
      </c>
      <c r="G2686" s="941">
        <f t="shared" si="131"/>
        <v>95.290566519667166</v>
      </c>
      <c r="H2686" s="941">
        <v>100</v>
      </c>
      <c r="I2686" s="900"/>
    </row>
    <row r="2687" spans="3:9" s="2" customFormat="1" ht="20.100000000000001" hidden="1" customHeight="1">
      <c r="C2687" s="902"/>
      <c r="D2687" s="808" t="s">
        <v>3135</v>
      </c>
      <c r="E2687" s="248">
        <v>1419938037.3299999</v>
      </c>
      <c r="F2687" s="939">
        <f>1310500000+8000000+34567000</f>
        <v>1353067000</v>
      </c>
      <c r="G2687" s="938">
        <f t="shared" si="131"/>
        <v>95.290566519667166</v>
      </c>
      <c r="H2687" s="938">
        <v>100</v>
      </c>
      <c r="I2687" s="900"/>
    </row>
    <row r="2688" spans="3:9" s="2" customFormat="1" ht="15" hidden="1" customHeight="1">
      <c r="C2688" s="902"/>
      <c r="D2688" s="808"/>
      <c r="E2688" s="248"/>
      <c r="F2688" s="942"/>
      <c r="G2688" s="941"/>
      <c r="H2688" s="941"/>
      <c r="I2688" s="900"/>
    </row>
    <row r="2689" spans="3:9" s="2" customFormat="1" ht="20.100000000000001" hidden="1" customHeight="1">
      <c r="C2689" s="902"/>
      <c r="D2689" s="945" t="s">
        <v>610</v>
      </c>
      <c r="E2689" s="247">
        <f>E2690</f>
        <v>7461674609.5900002</v>
      </c>
      <c r="F2689" s="942">
        <f>F2690</f>
        <v>7421400000</v>
      </c>
      <c r="G2689" s="941">
        <f>+F2689/E2689*100</f>
        <v>99.460247039743095</v>
      </c>
      <c r="H2689" s="941">
        <v>100</v>
      </c>
      <c r="I2689" s="900"/>
    </row>
    <row r="2690" spans="3:9" s="895" customFormat="1" ht="20.100000000000001" hidden="1" customHeight="1">
      <c r="C2690" s="904"/>
      <c r="D2690" s="945" t="s">
        <v>492</v>
      </c>
      <c r="E2690" s="247">
        <f>SUM(E2691:E2691)</f>
        <v>7461674609.5900002</v>
      </c>
      <c r="F2690" s="942">
        <f>F2691</f>
        <v>7421400000</v>
      </c>
      <c r="G2690" s="941">
        <f>+F2690/E2690*100</f>
        <v>99.460247039743095</v>
      </c>
      <c r="H2690" s="941">
        <v>100</v>
      </c>
      <c r="I2690" s="903"/>
    </row>
    <row r="2691" spans="3:9" s="2" customFormat="1" ht="20.100000000000001" hidden="1" customHeight="1">
      <c r="C2691" s="902"/>
      <c r="D2691" s="808" t="s">
        <v>3134</v>
      </c>
      <c r="E2691" s="248">
        <v>7461674609.5900002</v>
      </c>
      <c r="F2691" s="939">
        <v>7421400000</v>
      </c>
      <c r="G2691" s="938">
        <f>+F2691/E2691*100</f>
        <v>99.460247039743095</v>
      </c>
      <c r="H2691" s="938">
        <v>100</v>
      </c>
      <c r="I2691" s="900"/>
    </row>
    <row r="2692" spans="3:9" s="2" customFormat="1" ht="15" hidden="1" customHeight="1">
      <c r="C2692" s="902"/>
      <c r="D2692" s="808"/>
      <c r="E2692" s="248"/>
      <c r="F2692" s="942"/>
      <c r="G2692" s="941"/>
      <c r="H2692" s="941"/>
      <c r="I2692" s="900"/>
    </row>
    <row r="2693" spans="3:9" s="2" customFormat="1" ht="20.100000000000001" hidden="1" customHeight="1">
      <c r="C2693" s="902"/>
      <c r="D2693" s="945" t="s">
        <v>2083</v>
      </c>
      <c r="E2693" s="247">
        <f>E2694</f>
        <v>3000000000</v>
      </c>
      <c r="F2693" s="942">
        <f>F2694</f>
        <v>2981800000</v>
      </c>
      <c r="G2693" s="941">
        <f>+F2693/E2693*100</f>
        <v>99.393333333333331</v>
      </c>
      <c r="H2693" s="941">
        <v>100</v>
      </c>
      <c r="I2693" s="900"/>
    </row>
    <row r="2694" spans="3:9" s="895" customFormat="1" ht="20.100000000000001" hidden="1" customHeight="1">
      <c r="C2694" s="904"/>
      <c r="D2694" s="945" t="s">
        <v>2224</v>
      </c>
      <c r="E2694" s="247">
        <f>SUM(E2695)</f>
        <v>3000000000</v>
      </c>
      <c r="F2694" s="942">
        <f>F2695</f>
        <v>2981800000</v>
      </c>
      <c r="G2694" s="941">
        <f>+F2694/E2694*100</f>
        <v>99.393333333333331</v>
      </c>
      <c r="H2694" s="941">
        <v>100</v>
      </c>
      <c r="I2694" s="903"/>
    </row>
    <row r="2695" spans="3:9" s="2" customFormat="1" ht="20.100000000000001" hidden="1" customHeight="1">
      <c r="C2695" s="902"/>
      <c r="D2695" s="808" t="s">
        <v>3133</v>
      </c>
      <c r="E2695" s="248">
        <v>3000000000</v>
      </c>
      <c r="F2695" s="939">
        <v>2981800000</v>
      </c>
      <c r="G2695" s="938">
        <f>+F2695/E2695*100</f>
        <v>99.393333333333331</v>
      </c>
      <c r="H2695" s="938">
        <v>100</v>
      </c>
      <c r="I2695" s="900"/>
    </row>
    <row r="2696" spans="3:9" s="2" customFormat="1" ht="15" hidden="1" customHeight="1">
      <c r="C2696" s="902"/>
      <c r="D2696" s="808"/>
      <c r="E2696" s="248"/>
      <c r="F2696" s="942"/>
      <c r="G2696" s="941"/>
      <c r="H2696" s="941"/>
      <c r="I2696" s="900"/>
    </row>
    <row r="2697" spans="3:9" s="2" customFormat="1" ht="35.1" hidden="1" customHeight="1">
      <c r="C2697" s="902"/>
      <c r="D2697" s="945" t="s">
        <v>2084</v>
      </c>
      <c r="E2697" s="247">
        <f>E2698+E2700</f>
        <v>883648964.77999997</v>
      </c>
      <c r="F2697" s="942">
        <f>F2698+F2700</f>
        <v>814731924</v>
      </c>
      <c r="G2697" s="941">
        <f>+F2697/E2697*100</f>
        <v>92.200857633872957</v>
      </c>
      <c r="H2697" s="941">
        <f>190/2</f>
        <v>95</v>
      </c>
      <c r="I2697" s="900"/>
    </row>
    <row r="2698" spans="3:9" s="895" customFormat="1" ht="20.100000000000001" hidden="1" customHeight="1">
      <c r="C2698" s="904"/>
      <c r="D2698" s="945" t="s">
        <v>2085</v>
      </c>
      <c r="E2698" s="247">
        <f>SUM(E2699)</f>
        <v>535445040</v>
      </c>
      <c r="F2698" s="942">
        <f>F2699</f>
        <v>470378000</v>
      </c>
      <c r="G2698" s="941">
        <f>+F2698/E2698*100</f>
        <v>87.848045057995122</v>
      </c>
      <c r="H2698" s="941">
        <v>90</v>
      </c>
      <c r="I2698" s="903"/>
    </row>
    <row r="2699" spans="3:9" s="2" customFormat="1" ht="35.1" hidden="1" customHeight="1">
      <c r="C2699" s="902"/>
      <c r="D2699" s="808" t="s">
        <v>3132</v>
      </c>
      <c r="E2699" s="248">
        <v>535445040</v>
      </c>
      <c r="F2699" s="939">
        <f>273748000+196630000</f>
        <v>470378000</v>
      </c>
      <c r="G2699" s="938">
        <f>+F2699/E2699*100</f>
        <v>87.848045057995122</v>
      </c>
      <c r="H2699" s="938">
        <v>90</v>
      </c>
      <c r="I2699" s="900"/>
    </row>
    <row r="2700" spans="3:9" s="2" customFormat="1" ht="20.100000000000001" hidden="1" customHeight="1">
      <c r="C2700" s="902"/>
      <c r="D2700" s="945" t="s">
        <v>2086</v>
      </c>
      <c r="E2700" s="247">
        <f>SUM(E2701)</f>
        <v>348203924.77999997</v>
      </c>
      <c r="F2700" s="942">
        <f>F2701</f>
        <v>344353924</v>
      </c>
      <c r="G2700" s="941">
        <f>+F2700/E2700*100</f>
        <v>98.89432585160192</v>
      </c>
      <c r="H2700" s="941">
        <v>100</v>
      </c>
      <c r="I2700" s="900"/>
    </row>
    <row r="2701" spans="3:9" s="2" customFormat="1" ht="45.75" hidden="1" customHeight="1">
      <c r="C2701" s="902"/>
      <c r="D2701" s="808" t="s">
        <v>3131</v>
      </c>
      <c r="E2701" s="248">
        <v>348203924.77999997</v>
      </c>
      <c r="F2701" s="939">
        <v>344353924</v>
      </c>
      <c r="G2701" s="938">
        <f>+F2701/E2701*100</f>
        <v>98.89432585160192</v>
      </c>
      <c r="H2701" s="938">
        <v>100</v>
      </c>
      <c r="I2701" s="900"/>
    </row>
    <row r="2702" spans="3:9" s="895" customFormat="1" ht="15.75" hidden="1" customHeight="1">
      <c r="C2702" s="904"/>
      <c r="D2702" s="890"/>
      <c r="E2702" s="247"/>
      <c r="F2702" s="942"/>
      <c r="G2702" s="941"/>
      <c r="H2702" s="941"/>
      <c r="I2702" s="903"/>
    </row>
    <row r="2703" spans="3:9" s="2" customFormat="1" ht="20.100000000000001" hidden="1" customHeight="1">
      <c r="C2703" s="902"/>
      <c r="D2703" s="945" t="s">
        <v>1347</v>
      </c>
      <c r="E2703" s="247">
        <f>E2704</f>
        <v>1000000000</v>
      </c>
      <c r="F2703" s="942">
        <f>F2704</f>
        <v>44550000</v>
      </c>
      <c r="G2703" s="941">
        <f>+F2703/E2703*100</f>
        <v>4.4550000000000001</v>
      </c>
      <c r="H2703" s="941">
        <v>5</v>
      </c>
      <c r="I2703" s="900"/>
    </row>
    <row r="2704" spans="3:9" s="2" customFormat="1" ht="20.100000000000001" hidden="1" customHeight="1">
      <c r="C2704" s="902"/>
      <c r="D2704" s="945" t="s">
        <v>2320</v>
      </c>
      <c r="E2704" s="247">
        <f>SUM(E2705)</f>
        <v>1000000000</v>
      </c>
      <c r="F2704" s="942">
        <f>F2705</f>
        <v>44550000</v>
      </c>
      <c r="G2704" s="941">
        <f>+F2704/E2704*100</f>
        <v>4.4550000000000001</v>
      </c>
      <c r="H2704" s="941">
        <v>5</v>
      </c>
      <c r="I2704" s="900"/>
    </row>
    <row r="2705" spans="3:9" s="2" customFormat="1" ht="20.100000000000001" hidden="1" customHeight="1">
      <c r="C2705" s="902"/>
      <c r="D2705" s="808" t="s">
        <v>3130</v>
      </c>
      <c r="E2705" s="248">
        <v>1000000000</v>
      </c>
      <c r="F2705" s="939">
        <v>44550000</v>
      </c>
      <c r="G2705" s="938">
        <f>+F2705/E2705*100</f>
        <v>4.4550000000000001</v>
      </c>
      <c r="H2705" s="938">
        <v>5</v>
      </c>
      <c r="I2705" s="900"/>
    </row>
    <row r="2706" spans="3:9" s="895" customFormat="1" ht="15" hidden="1" customHeight="1">
      <c r="C2706" s="904"/>
      <c r="D2706" s="808"/>
      <c r="E2706" s="248"/>
      <c r="F2706" s="942"/>
      <c r="G2706" s="941"/>
      <c r="H2706" s="941"/>
      <c r="I2706" s="903"/>
    </row>
    <row r="2707" spans="3:9" s="2" customFormat="1" ht="20.100000000000001" hidden="1" customHeight="1">
      <c r="C2707" s="902"/>
      <c r="D2707" s="945" t="s">
        <v>1909</v>
      </c>
      <c r="E2707" s="247">
        <f>E2708</f>
        <v>347242773.52999997</v>
      </c>
      <c r="F2707" s="942">
        <f>F2708</f>
        <v>325500000</v>
      </c>
      <c r="G2707" s="941">
        <f>+F2707/E2707*100</f>
        <v>93.738451830410369</v>
      </c>
      <c r="H2707" s="941">
        <v>95</v>
      </c>
      <c r="I2707" s="900"/>
    </row>
    <row r="2708" spans="3:9" s="2" customFormat="1" ht="20.100000000000001" hidden="1" customHeight="1">
      <c r="C2708" s="902"/>
      <c r="D2708" s="945" t="s">
        <v>970</v>
      </c>
      <c r="E2708" s="247">
        <f>SUM(E2709)</f>
        <v>347242773.52999997</v>
      </c>
      <c r="F2708" s="942">
        <f>F2709</f>
        <v>325500000</v>
      </c>
      <c r="G2708" s="941">
        <f>+F2708/E2708*100</f>
        <v>93.738451830410369</v>
      </c>
      <c r="H2708" s="941">
        <v>95</v>
      </c>
      <c r="I2708" s="900"/>
    </row>
    <row r="2709" spans="3:9" s="2" customFormat="1" ht="20.100000000000001" hidden="1" customHeight="1">
      <c r="C2709" s="902"/>
      <c r="D2709" s="808" t="s">
        <v>3129</v>
      </c>
      <c r="E2709" s="248">
        <v>347242773.52999997</v>
      </c>
      <c r="F2709" s="939">
        <v>325500000</v>
      </c>
      <c r="G2709" s="938">
        <f>+F2709/E2709*100</f>
        <v>93.738451830410369</v>
      </c>
      <c r="H2709" s="938">
        <v>95</v>
      </c>
      <c r="I2709" s="900"/>
    </row>
    <row r="2710" spans="3:9" s="895" customFormat="1" ht="20.100000000000001" hidden="1" customHeight="1">
      <c r="C2710" s="904"/>
      <c r="D2710" s="808"/>
      <c r="E2710" s="248"/>
      <c r="F2710" s="942"/>
      <c r="G2710" s="941"/>
      <c r="H2710" s="941"/>
      <c r="I2710" s="903"/>
    </row>
    <row r="2711" spans="3:9" s="2" customFormat="1" ht="20.100000000000001" hidden="1" customHeight="1">
      <c r="C2711" s="902"/>
      <c r="D2711" s="945" t="s">
        <v>1128</v>
      </c>
      <c r="E2711" s="247">
        <f>E2712</f>
        <v>694485547.05999994</v>
      </c>
      <c r="F2711" s="942">
        <f>F2712</f>
        <v>694485547.05999994</v>
      </c>
      <c r="G2711" s="941">
        <f>+F2711/E2711*100</f>
        <v>100</v>
      </c>
      <c r="H2711" s="941">
        <f>+G2711</f>
        <v>100</v>
      </c>
      <c r="I2711" s="900"/>
    </row>
    <row r="2712" spans="3:9" s="2" customFormat="1" ht="20.100000000000001" hidden="1" customHeight="1">
      <c r="C2712" s="902"/>
      <c r="D2712" s="945" t="s">
        <v>1205</v>
      </c>
      <c r="E2712" s="247">
        <f>SUM(E2713)</f>
        <v>694485547.05999994</v>
      </c>
      <c r="F2712" s="942">
        <f>F2713</f>
        <v>694485547.05999994</v>
      </c>
      <c r="G2712" s="941">
        <f>+F2712/E2712*100</f>
        <v>100</v>
      </c>
      <c r="H2712" s="941">
        <f>+G2712</f>
        <v>100</v>
      </c>
      <c r="I2712" s="900"/>
    </row>
    <row r="2713" spans="3:9" s="2" customFormat="1" ht="20.100000000000001" hidden="1" customHeight="1">
      <c r="C2713" s="902"/>
      <c r="D2713" s="808" t="s">
        <v>3128</v>
      </c>
      <c r="E2713" s="248">
        <v>694485547.05999994</v>
      </c>
      <c r="F2713" s="939">
        <v>694485547.05999994</v>
      </c>
      <c r="G2713" s="938">
        <f>+F2713/E2713*100</f>
        <v>100</v>
      </c>
      <c r="H2713" s="938">
        <f>+G2713</f>
        <v>100</v>
      </c>
      <c r="I2713" s="900"/>
    </row>
    <row r="2714" spans="3:9" s="895" customFormat="1" ht="15" hidden="1" customHeight="1">
      <c r="C2714" s="904"/>
      <c r="D2714" s="808"/>
      <c r="E2714" s="248"/>
      <c r="F2714" s="942"/>
      <c r="G2714" s="941"/>
      <c r="H2714" s="941"/>
      <c r="I2714" s="903"/>
    </row>
    <row r="2715" spans="3:9" s="2" customFormat="1" ht="35.1" hidden="1" customHeight="1">
      <c r="C2715" s="902"/>
      <c r="D2715" s="945" t="s">
        <v>1733</v>
      </c>
      <c r="E2715" s="247">
        <f>E2716</f>
        <v>300000000</v>
      </c>
      <c r="F2715" s="942">
        <f>F2716</f>
        <v>227650000</v>
      </c>
      <c r="G2715" s="941">
        <f>+F2715/E2715*100</f>
        <v>75.88333333333334</v>
      </c>
      <c r="H2715" s="941">
        <v>80</v>
      </c>
      <c r="I2715" s="900"/>
    </row>
    <row r="2716" spans="3:9" s="2" customFormat="1" ht="20.100000000000001" hidden="1" customHeight="1">
      <c r="C2716" s="902"/>
      <c r="D2716" s="945" t="s">
        <v>1635</v>
      </c>
      <c r="E2716" s="247">
        <f>SUM(E2717)</f>
        <v>300000000</v>
      </c>
      <c r="F2716" s="942">
        <f>F2717</f>
        <v>227650000</v>
      </c>
      <c r="G2716" s="941">
        <f>+F2716/E2716*100</f>
        <v>75.88333333333334</v>
      </c>
      <c r="H2716" s="941">
        <v>80</v>
      </c>
      <c r="I2716" s="900"/>
    </row>
    <row r="2717" spans="3:9" s="2" customFormat="1" ht="35.1" hidden="1" customHeight="1">
      <c r="C2717" s="902"/>
      <c r="D2717" s="808" t="s">
        <v>3127</v>
      </c>
      <c r="E2717" s="248">
        <v>300000000</v>
      </c>
      <c r="F2717" s="939">
        <v>227650000</v>
      </c>
      <c r="G2717" s="938">
        <f>+F2717/E2717*100</f>
        <v>75.88333333333334</v>
      </c>
      <c r="H2717" s="938">
        <v>80</v>
      </c>
      <c r="I2717" s="900"/>
    </row>
    <row r="2718" spans="3:9" s="895" customFormat="1" ht="15" hidden="1" customHeight="1">
      <c r="C2718" s="904"/>
      <c r="D2718" s="808"/>
      <c r="E2718" s="248"/>
      <c r="F2718" s="942"/>
      <c r="G2718" s="941"/>
      <c r="H2718" s="941"/>
      <c r="I2718" s="903"/>
    </row>
    <row r="2719" spans="3:9" s="2" customFormat="1" ht="20.100000000000001" hidden="1" customHeight="1">
      <c r="C2719" s="902"/>
      <c r="D2719" s="945" t="s">
        <v>642</v>
      </c>
      <c r="E2719" s="247">
        <f>E2720</f>
        <v>2800000000</v>
      </c>
      <c r="F2719" s="942">
        <f>F2720</f>
        <v>2799500000</v>
      </c>
      <c r="G2719" s="941">
        <f>+F2719/E2719*100</f>
        <v>99.982142857142847</v>
      </c>
      <c r="H2719" s="941">
        <v>100</v>
      </c>
      <c r="I2719" s="900"/>
    </row>
    <row r="2720" spans="3:9" s="2" customFormat="1" ht="20.100000000000001" hidden="1" customHeight="1">
      <c r="C2720" s="902"/>
      <c r="D2720" s="945" t="s">
        <v>1953</v>
      </c>
      <c r="E2720" s="247">
        <f>SUM(E2721:E2722)</f>
        <v>2800000000</v>
      </c>
      <c r="F2720" s="942">
        <f>F2721+F2722</f>
        <v>2799500000</v>
      </c>
      <c r="G2720" s="941">
        <f>+F2720/E2720*100</f>
        <v>99.982142857142847</v>
      </c>
      <c r="H2720" s="941">
        <v>100</v>
      </c>
      <c r="I2720" s="900"/>
    </row>
    <row r="2721" spans="3:9" s="2" customFormat="1" ht="35.1" hidden="1" customHeight="1">
      <c r="C2721" s="902"/>
      <c r="D2721" s="808" t="s">
        <v>3126</v>
      </c>
      <c r="E2721" s="248">
        <v>2600000000</v>
      </c>
      <c r="F2721" s="939">
        <v>2599500000</v>
      </c>
      <c r="G2721" s="938">
        <f>+F2721/E2721*100</f>
        <v>99.980769230769226</v>
      </c>
      <c r="H2721" s="938">
        <v>100</v>
      </c>
      <c r="I2721" s="900"/>
    </row>
    <row r="2722" spans="3:9" s="2" customFormat="1" ht="20.100000000000001" hidden="1" customHeight="1">
      <c r="C2722" s="902"/>
      <c r="D2722" s="808" t="s">
        <v>3125</v>
      </c>
      <c r="E2722" s="248">
        <v>200000000</v>
      </c>
      <c r="F2722" s="939">
        <v>200000000</v>
      </c>
      <c r="G2722" s="938">
        <f>+F2722/E2722*100</f>
        <v>100</v>
      </c>
      <c r="H2722" s="938">
        <f>+G2722</f>
        <v>100</v>
      </c>
      <c r="I2722" s="900"/>
    </row>
    <row r="2723" spans="3:9" s="2" customFormat="1" ht="15" hidden="1" customHeight="1">
      <c r="C2723" s="902"/>
      <c r="D2723" s="808"/>
      <c r="E2723" s="248"/>
      <c r="F2723" s="942"/>
      <c r="G2723" s="941"/>
      <c r="H2723" s="941"/>
      <c r="I2723" s="900"/>
    </row>
    <row r="2724" spans="3:9" s="2" customFormat="1" ht="20.100000000000001" hidden="1" customHeight="1">
      <c r="C2724" s="902"/>
      <c r="D2724" s="945" t="s">
        <v>1139</v>
      </c>
      <c r="E2724" s="247">
        <f>E2725</f>
        <v>248605040</v>
      </c>
      <c r="F2724" s="942">
        <f>F2725</f>
        <v>166405040</v>
      </c>
      <c r="G2724" s="941">
        <f>+F2724/E2724*100</f>
        <v>66.935505410509776</v>
      </c>
      <c r="H2724" s="941">
        <v>70</v>
      </c>
      <c r="I2724" s="900"/>
    </row>
    <row r="2725" spans="3:9" s="2" customFormat="1" ht="20.100000000000001" hidden="1" customHeight="1">
      <c r="C2725" s="902"/>
      <c r="D2725" s="945" t="s">
        <v>2095</v>
      </c>
      <c r="E2725" s="247">
        <f>SUM(E2726)</f>
        <v>248605040</v>
      </c>
      <c r="F2725" s="942">
        <f>F2726</f>
        <v>166405040</v>
      </c>
      <c r="G2725" s="941">
        <f>+F2725/E2725*100</f>
        <v>66.935505410509776</v>
      </c>
      <c r="H2725" s="941">
        <v>70</v>
      </c>
      <c r="I2725" s="900"/>
    </row>
    <row r="2726" spans="3:9" s="2" customFormat="1" ht="20.100000000000001" hidden="1" customHeight="1">
      <c r="C2726" s="902"/>
      <c r="D2726" s="808" t="s">
        <v>3124</v>
      </c>
      <c r="E2726" s="248">
        <v>248605040</v>
      </c>
      <c r="F2726" s="939">
        <v>166405040</v>
      </c>
      <c r="G2726" s="938">
        <f>+F2726/E2726*100</f>
        <v>66.935505410509776</v>
      </c>
      <c r="H2726" s="938">
        <v>70</v>
      </c>
      <c r="I2726" s="900"/>
    </row>
    <row r="2727" spans="3:9" s="895" customFormat="1" ht="15" hidden="1" customHeight="1">
      <c r="C2727" s="904"/>
      <c r="D2727" s="808"/>
      <c r="E2727" s="248"/>
      <c r="F2727" s="942"/>
      <c r="G2727" s="941"/>
      <c r="H2727" s="941"/>
      <c r="I2727" s="903"/>
    </row>
    <row r="2728" spans="3:9" s="2" customFormat="1" ht="20.100000000000001" hidden="1" customHeight="1">
      <c r="C2728" s="902"/>
      <c r="D2728" s="945" t="s">
        <v>2097</v>
      </c>
      <c r="E2728" s="247">
        <f>E2729</f>
        <v>2000000000</v>
      </c>
      <c r="F2728" s="942">
        <f>F2729</f>
        <v>1992650000</v>
      </c>
      <c r="G2728" s="941">
        <f>+F2728/E2728*100</f>
        <v>99.632500000000007</v>
      </c>
      <c r="H2728" s="941">
        <v>100</v>
      </c>
      <c r="I2728" s="900"/>
    </row>
    <row r="2729" spans="3:9" s="2" customFormat="1" ht="20.100000000000001" hidden="1" customHeight="1">
      <c r="C2729" s="902"/>
      <c r="D2729" s="945" t="s">
        <v>1433</v>
      </c>
      <c r="E2729" s="247">
        <f>SUM(E2730:E2730)</f>
        <v>2000000000</v>
      </c>
      <c r="F2729" s="942">
        <f>F2730</f>
        <v>1992650000</v>
      </c>
      <c r="G2729" s="941">
        <f>+F2729/E2729*100</f>
        <v>99.632500000000007</v>
      </c>
      <c r="H2729" s="941">
        <v>100</v>
      </c>
      <c r="I2729" s="900"/>
    </row>
    <row r="2730" spans="3:9" s="2" customFormat="1" ht="35.1" hidden="1" customHeight="1">
      <c r="C2730" s="902"/>
      <c r="D2730" s="808" t="s">
        <v>3123</v>
      </c>
      <c r="E2730" s="248">
        <v>2000000000</v>
      </c>
      <c r="F2730" s="939">
        <f>149400000+348600000+934312500+560337500</f>
        <v>1992650000</v>
      </c>
      <c r="G2730" s="938">
        <f>+F2730/E2730*100</f>
        <v>99.632500000000007</v>
      </c>
      <c r="H2730" s="938">
        <v>100</v>
      </c>
      <c r="I2730" s="900"/>
    </row>
    <row r="2731" spans="3:9" s="895" customFormat="1" ht="15" hidden="1" customHeight="1">
      <c r="C2731" s="904"/>
      <c r="D2731" s="808"/>
      <c r="E2731" s="248"/>
      <c r="F2731" s="942"/>
      <c r="G2731" s="941"/>
      <c r="H2731" s="941"/>
      <c r="I2731" s="903"/>
    </row>
    <row r="2732" spans="3:9" s="2" customFormat="1" ht="20.100000000000001" hidden="1" customHeight="1">
      <c r="C2732" s="902"/>
      <c r="D2732" s="945" t="s">
        <v>3122</v>
      </c>
      <c r="E2732" s="247">
        <f>E2735+E2734</f>
        <v>887801151.25</v>
      </c>
      <c r="F2732" s="942">
        <f>F2733+F2735</f>
        <v>850750000</v>
      </c>
      <c r="G2732" s="941">
        <f>+F2732/E2732*100</f>
        <v>95.826638521719303</v>
      </c>
      <c r="H2732" s="941">
        <f>195/2</f>
        <v>97.5</v>
      </c>
      <c r="I2732" s="900"/>
    </row>
    <row r="2733" spans="3:9" s="2" customFormat="1" ht="20.100000000000001" hidden="1" customHeight="1">
      <c r="C2733" s="902"/>
      <c r="D2733" s="945" t="s">
        <v>904</v>
      </c>
      <c r="E2733" s="247">
        <f>SUM(E2734)</f>
        <v>600000000</v>
      </c>
      <c r="F2733" s="943">
        <f>F2734</f>
        <v>563250000</v>
      </c>
      <c r="G2733" s="941">
        <f>+F2733/E2733*100</f>
        <v>93.875</v>
      </c>
      <c r="H2733" s="941">
        <v>95</v>
      </c>
      <c r="I2733" s="900"/>
    </row>
    <row r="2734" spans="3:9" s="2" customFormat="1" ht="20.100000000000001" hidden="1" customHeight="1">
      <c r="C2734" s="902"/>
      <c r="D2734" s="808" t="s">
        <v>626</v>
      </c>
      <c r="E2734" s="248">
        <v>600000000</v>
      </c>
      <c r="F2734" s="939">
        <v>563250000</v>
      </c>
      <c r="G2734" s="938">
        <f>+F2734/E2734*100</f>
        <v>93.875</v>
      </c>
      <c r="H2734" s="938">
        <v>95</v>
      </c>
      <c r="I2734" s="900"/>
    </row>
    <row r="2735" spans="3:9" s="2" customFormat="1" ht="20.100000000000001" hidden="1" customHeight="1">
      <c r="C2735" s="902"/>
      <c r="D2735" s="944" t="s">
        <v>2918</v>
      </c>
      <c r="E2735" s="248">
        <f>SUM(E2736)</f>
        <v>287801151.25</v>
      </c>
      <c r="F2735" s="939">
        <f>F2736</f>
        <v>287500000</v>
      </c>
      <c r="G2735" s="938">
        <f>+F2735/E2735*100</f>
        <v>99.895361346300376</v>
      </c>
      <c r="H2735" s="938">
        <v>100</v>
      </c>
      <c r="I2735" s="900"/>
    </row>
    <row r="2736" spans="3:9" s="2" customFormat="1" ht="20.100000000000001" hidden="1" customHeight="1">
      <c r="C2736" s="902"/>
      <c r="D2736" s="808" t="s">
        <v>3121</v>
      </c>
      <c r="E2736" s="248">
        <v>287801151.25</v>
      </c>
      <c r="F2736" s="939">
        <v>287500000</v>
      </c>
      <c r="G2736" s="938">
        <f>+F2736/E2736*100</f>
        <v>99.895361346300376</v>
      </c>
      <c r="H2736" s="938">
        <v>100</v>
      </c>
      <c r="I2736" s="900"/>
    </row>
    <row r="2737" spans="3:9" s="895" customFormat="1" ht="15" hidden="1" customHeight="1">
      <c r="C2737" s="904"/>
      <c r="D2737" s="808"/>
      <c r="E2737" s="248"/>
      <c r="F2737" s="942"/>
      <c r="G2737" s="941"/>
      <c r="H2737" s="941"/>
      <c r="I2737" s="903"/>
    </row>
    <row r="2738" spans="3:9" s="2" customFormat="1" ht="20.100000000000001" hidden="1" customHeight="1">
      <c r="C2738" s="902"/>
      <c r="D2738" s="945" t="s">
        <v>1182</v>
      </c>
      <c r="E2738" s="247">
        <f>E2739</f>
        <v>347242773.52999997</v>
      </c>
      <c r="F2738" s="942">
        <f>F2739</f>
        <v>218231000</v>
      </c>
      <c r="G2738" s="941">
        <f>+F2738/E2738*100</f>
        <v>62.846808237795038</v>
      </c>
      <c r="H2738" s="941">
        <v>65</v>
      </c>
      <c r="I2738" s="900"/>
    </row>
    <row r="2739" spans="3:9" s="2" customFormat="1" ht="20.100000000000001" hidden="1" customHeight="1">
      <c r="C2739" s="902"/>
      <c r="D2739" s="945" t="s">
        <v>3120</v>
      </c>
      <c r="E2739" s="247">
        <f>SUM(E2740)</f>
        <v>347242773.52999997</v>
      </c>
      <c r="F2739" s="942">
        <f>F2740</f>
        <v>218231000</v>
      </c>
      <c r="G2739" s="941">
        <f>+F2739/E2739*100</f>
        <v>62.846808237795038</v>
      </c>
      <c r="H2739" s="941">
        <v>65</v>
      </c>
      <c r="I2739" s="900"/>
    </row>
    <row r="2740" spans="3:9" s="2" customFormat="1" ht="35.1" hidden="1" customHeight="1">
      <c r="C2740" s="902"/>
      <c r="D2740" s="808" t="s">
        <v>3119</v>
      </c>
      <c r="E2740" s="248">
        <v>347242773.52999997</v>
      </c>
      <c r="F2740" s="939">
        <v>218231000</v>
      </c>
      <c r="G2740" s="938">
        <f>+F2740/E2740*100</f>
        <v>62.846808237795038</v>
      </c>
      <c r="H2740" s="938">
        <v>65</v>
      </c>
      <c r="I2740" s="900"/>
    </row>
    <row r="2741" spans="3:9" s="895" customFormat="1" ht="15" hidden="1" customHeight="1">
      <c r="C2741" s="904"/>
      <c r="D2741" s="808"/>
      <c r="E2741" s="248"/>
      <c r="F2741" s="942"/>
      <c r="G2741" s="941"/>
      <c r="H2741" s="941"/>
      <c r="I2741" s="903"/>
    </row>
    <row r="2742" spans="3:9" s="2" customFormat="1" ht="20.100000000000001" hidden="1" customHeight="1">
      <c r="C2742" s="902"/>
      <c r="D2742" s="945" t="s">
        <v>2103</v>
      </c>
      <c r="E2742" s="247">
        <f>E2743</f>
        <v>592675214.92999995</v>
      </c>
      <c r="F2742" s="942">
        <f>F2743</f>
        <v>592675214</v>
      </c>
      <c r="G2742" s="941">
        <f>+F2742/E2742*100</f>
        <v>99.999999843084382</v>
      </c>
      <c r="H2742" s="941">
        <f>+G2742</f>
        <v>99.999999843084382</v>
      </c>
      <c r="I2742" s="900"/>
    </row>
    <row r="2743" spans="3:9" s="2" customFormat="1" ht="20.100000000000001" hidden="1" customHeight="1">
      <c r="C2743" s="902"/>
      <c r="D2743" s="945" t="s">
        <v>1202</v>
      </c>
      <c r="E2743" s="247">
        <f>SUM(E2744:E2744)</f>
        <v>592675214.92999995</v>
      </c>
      <c r="F2743" s="942">
        <f>F2744</f>
        <v>592675214</v>
      </c>
      <c r="G2743" s="941">
        <f>+F2743/E2743*100</f>
        <v>99.999999843084382</v>
      </c>
      <c r="H2743" s="941">
        <f>+G2743</f>
        <v>99.999999843084382</v>
      </c>
      <c r="I2743" s="900"/>
    </row>
    <row r="2744" spans="3:9" s="2" customFormat="1" ht="35.1" hidden="1" customHeight="1">
      <c r="C2744" s="902"/>
      <c r="D2744" s="808" t="s">
        <v>3118</v>
      </c>
      <c r="E2744" s="248">
        <v>592675214.92999995</v>
      </c>
      <c r="F2744" s="939">
        <f>526425214+66250000</f>
        <v>592675214</v>
      </c>
      <c r="G2744" s="938">
        <f>+F2744/E2744*100</f>
        <v>99.999999843084382</v>
      </c>
      <c r="H2744" s="938">
        <f>+G2744</f>
        <v>99.999999843084382</v>
      </c>
      <c r="I2744" s="900"/>
    </row>
    <row r="2745" spans="3:9" s="895" customFormat="1" ht="15" hidden="1" customHeight="1">
      <c r="C2745" s="904"/>
      <c r="D2745" s="808"/>
      <c r="E2745" s="248"/>
      <c r="F2745" s="942"/>
      <c r="G2745" s="941"/>
      <c r="H2745" s="941"/>
      <c r="I2745" s="903"/>
    </row>
    <row r="2746" spans="3:9" s="2" customFormat="1" ht="20.100000000000001" hidden="1" customHeight="1">
      <c r="C2746" s="902"/>
      <c r="D2746" s="945" t="s">
        <v>2105</v>
      </c>
      <c r="E2746" s="247">
        <f>E2747</f>
        <v>1000000000</v>
      </c>
      <c r="F2746" s="942">
        <f>F2747</f>
        <v>996530000</v>
      </c>
      <c r="G2746" s="941">
        <f>+F2746/E2746*100</f>
        <v>99.653000000000006</v>
      </c>
      <c r="H2746" s="941">
        <v>100</v>
      </c>
      <c r="I2746" s="900"/>
    </row>
    <row r="2747" spans="3:9" s="2" customFormat="1" ht="20.100000000000001" hidden="1" customHeight="1">
      <c r="C2747" s="902"/>
      <c r="D2747" s="945" t="s">
        <v>2106</v>
      </c>
      <c r="E2747" s="247">
        <f>SUM(E2748)</f>
        <v>1000000000</v>
      </c>
      <c r="F2747" s="942">
        <f>F2748</f>
        <v>996530000</v>
      </c>
      <c r="G2747" s="941">
        <f>+F2747/E2747*100</f>
        <v>99.653000000000006</v>
      </c>
      <c r="H2747" s="941">
        <v>100</v>
      </c>
      <c r="I2747" s="900"/>
    </row>
    <row r="2748" spans="3:9" s="2" customFormat="1" ht="20.100000000000001" hidden="1" customHeight="1">
      <c r="C2748" s="902"/>
      <c r="D2748" s="808" t="s">
        <v>2107</v>
      </c>
      <c r="E2748" s="248">
        <v>1000000000</v>
      </c>
      <c r="F2748" s="939">
        <f>241882500+754647500</f>
        <v>996530000</v>
      </c>
      <c r="G2748" s="938">
        <f>+F2748/E2748*100</f>
        <v>99.653000000000006</v>
      </c>
      <c r="H2748" s="938">
        <v>100</v>
      </c>
      <c r="I2748" s="900"/>
    </row>
    <row r="2749" spans="3:9" s="895" customFormat="1" ht="15" hidden="1" customHeight="1">
      <c r="C2749" s="904"/>
      <c r="D2749" s="808"/>
      <c r="E2749" s="248"/>
      <c r="F2749" s="942"/>
      <c r="G2749" s="941"/>
      <c r="H2749" s="941"/>
      <c r="I2749" s="903"/>
    </row>
    <row r="2750" spans="3:9" s="2" customFormat="1" ht="20.100000000000001" hidden="1" customHeight="1">
      <c r="C2750" s="902"/>
      <c r="D2750" s="945" t="s">
        <v>2108</v>
      </c>
      <c r="E2750" s="247">
        <f>E2751</f>
        <v>500000000</v>
      </c>
      <c r="F2750" s="942">
        <f>F2751</f>
        <v>439609046</v>
      </c>
      <c r="G2750" s="941">
        <f>+F2750/E2750*100</f>
        <v>87.921809199999998</v>
      </c>
      <c r="H2750" s="941">
        <v>50</v>
      </c>
      <c r="I2750" s="900"/>
    </row>
    <row r="2751" spans="3:9" s="2" customFormat="1" ht="20.100000000000001" hidden="1" customHeight="1">
      <c r="C2751" s="902"/>
      <c r="D2751" s="945" t="s">
        <v>1443</v>
      </c>
      <c r="E2751" s="247">
        <f>SUM(E2752:E2753)</f>
        <v>500000000</v>
      </c>
      <c r="F2751" s="942">
        <f>F2752+F2753</f>
        <v>439609046</v>
      </c>
      <c r="G2751" s="941">
        <f>+F2751/E2751*100</f>
        <v>87.921809199999998</v>
      </c>
      <c r="H2751" s="941">
        <v>50</v>
      </c>
      <c r="I2751" s="900"/>
    </row>
    <row r="2752" spans="3:9" s="2" customFormat="1" ht="20.100000000000001" hidden="1" customHeight="1">
      <c r="C2752" s="902"/>
      <c r="D2752" s="808" t="s">
        <v>2109</v>
      </c>
      <c r="E2752" s="248">
        <v>450676569.12</v>
      </c>
      <c r="F2752" s="939">
        <f>162798955+200000000+76810091</f>
        <v>439609046</v>
      </c>
      <c r="G2752" s="938">
        <f>+F2752/E2752*100</f>
        <v>97.544242616914673</v>
      </c>
      <c r="H2752" s="938">
        <v>100</v>
      </c>
      <c r="I2752" s="900"/>
    </row>
    <row r="2753" spans="3:9" s="2" customFormat="1" ht="20.100000000000001" hidden="1" customHeight="1">
      <c r="C2753" s="902"/>
      <c r="D2753" s="808" t="s">
        <v>727</v>
      </c>
      <c r="E2753" s="248">
        <v>49323430.880000003</v>
      </c>
      <c r="F2753" s="940"/>
      <c r="G2753" s="938">
        <f>+F2753/E2753*100</f>
        <v>0</v>
      </c>
      <c r="H2753" s="938">
        <f>+G2753</f>
        <v>0</v>
      </c>
      <c r="I2753" s="900"/>
    </row>
    <row r="2754" spans="3:9" s="895" customFormat="1" ht="15" hidden="1" customHeight="1">
      <c r="C2754" s="904"/>
      <c r="D2754" s="890"/>
      <c r="E2754" s="247"/>
      <c r="F2754" s="943"/>
      <c r="G2754" s="941"/>
      <c r="H2754" s="941"/>
      <c r="I2754" s="903"/>
    </row>
    <row r="2755" spans="3:9" s="2" customFormat="1" ht="20.100000000000001" hidden="1" customHeight="1">
      <c r="C2755" s="902"/>
      <c r="D2755" s="945" t="s">
        <v>2110</v>
      </c>
      <c r="E2755" s="247">
        <f>E2756+E2758+E2763+E2766+E2768+E2772+E2770</f>
        <v>9454000000</v>
      </c>
      <c r="F2755" s="942">
        <f>F2756+F2758+F2763+F2766+F2768+F2770+F2772</f>
        <v>9443358000</v>
      </c>
      <c r="G2755" s="941">
        <f t="shared" ref="G2755:G2775" si="132">+F2755/E2755*100</f>
        <v>99.887433890416759</v>
      </c>
      <c r="H2755" s="941">
        <v>100</v>
      </c>
      <c r="I2755" s="900"/>
    </row>
    <row r="2756" spans="3:9" s="2" customFormat="1" ht="20.100000000000001" hidden="1" customHeight="1">
      <c r="C2756" s="902"/>
      <c r="D2756" s="945" t="s">
        <v>2056</v>
      </c>
      <c r="E2756" s="247">
        <f>SUM(E2757:E2757)</f>
        <v>131250000</v>
      </c>
      <c r="F2756" s="942">
        <f>F2757</f>
        <v>131250000</v>
      </c>
      <c r="G2756" s="941">
        <f t="shared" si="132"/>
        <v>100</v>
      </c>
      <c r="H2756" s="941">
        <f t="shared" ref="H2756:H2775" si="133">+G2756</f>
        <v>100</v>
      </c>
      <c r="I2756" s="900"/>
    </row>
    <row r="2757" spans="3:9" s="2" customFormat="1" ht="20.100000000000001" hidden="1" customHeight="1">
      <c r="C2757" s="902"/>
      <c r="D2757" s="808" t="s">
        <v>2244</v>
      </c>
      <c r="E2757" s="248">
        <v>131250000</v>
      </c>
      <c r="F2757" s="939">
        <v>131250000</v>
      </c>
      <c r="G2757" s="938">
        <f t="shared" si="132"/>
        <v>100</v>
      </c>
      <c r="H2757" s="938">
        <f t="shared" si="133"/>
        <v>100</v>
      </c>
      <c r="I2757" s="900"/>
    </row>
    <row r="2758" spans="3:9" s="895" customFormat="1" ht="20.100000000000001" hidden="1" customHeight="1">
      <c r="C2758" s="904"/>
      <c r="D2758" s="945" t="s">
        <v>304</v>
      </c>
      <c r="E2758" s="247">
        <f>SUM(E2759:E2762)</f>
        <v>3118000000</v>
      </c>
      <c r="F2758" s="942">
        <f>F2759+F2760+F2761+F2762</f>
        <v>3113600000</v>
      </c>
      <c r="G2758" s="941">
        <f t="shared" si="132"/>
        <v>99.858883899935861</v>
      </c>
      <c r="H2758" s="941">
        <f t="shared" si="133"/>
        <v>99.858883899935861</v>
      </c>
      <c r="I2758" s="903"/>
    </row>
    <row r="2759" spans="3:9" s="2" customFormat="1" ht="20.100000000000001" hidden="1" customHeight="1">
      <c r="C2759" s="902"/>
      <c r="D2759" s="808" t="s">
        <v>1185</v>
      </c>
      <c r="E2759" s="248">
        <v>808750000</v>
      </c>
      <c r="F2759" s="939">
        <v>808750000</v>
      </c>
      <c r="G2759" s="938">
        <f t="shared" si="132"/>
        <v>100</v>
      </c>
      <c r="H2759" s="938">
        <f t="shared" si="133"/>
        <v>100</v>
      </c>
      <c r="I2759" s="900"/>
    </row>
    <row r="2760" spans="3:9" s="2" customFormat="1" ht="20.100000000000001" hidden="1" customHeight="1">
      <c r="C2760" s="902"/>
      <c r="D2760" s="808" t="s">
        <v>629</v>
      </c>
      <c r="E2760" s="248">
        <v>1057500000</v>
      </c>
      <c r="F2760" s="939">
        <v>1055300000</v>
      </c>
      <c r="G2760" s="938">
        <f t="shared" si="132"/>
        <v>99.791962174940892</v>
      </c>
      <c r="H2760" s="938">
        <f t="shared" si="133"/>
        <v>99.791962174940892</v>
      </c>
      <c r="I2760" s="900"/>
    </row>
    <row r="2761" spans="3:9" s="2" customFormat="1" ht="20.100000000000001" hidden="1" customHeight="1">
      <c r="C2761" s="902"/>
      <c r="D2761" s="808" t="s">
        <v>3117</v>
      </c>
      <c r="E2761" s="248">
        <v>62500000</v>
      </c>
      <c r="F2761" s="939">
        <v>62500000</v>
      </c>
      <c r="G2761" s="938">
        <f t="shared" si="132"/>
        <v>100</v>
      </c>
      <c r="H2761" s="938">
        <f t="shared" si="133"/>
        <v>100</v>
      </c>
      <c r="I2761" s="900"/>
    </row>
    <row r="2762" spans="3:9" s="2" customFormat="1" ht="20.100000000000001" hidden="1" customHeight="1">
      <c r="C2762" s="902"/>
      <c r="D2762" s="808" t="s">
        <v>1189</v>
      </c>
      <c r="E2762" s="248">
        <v>1189250000</v>
      </c>
      <c r="F2762" s="939">
        <v>1187050000</v>
      </c>
      <c r="G2762" s="938">
        <f t="shared" si="132"/>
        <v>99.815009459743536</v>
      </c>
      <c r="H2762" s="938">
        <f t="shared" si="133"/>
        <v>99.815009459743536</v>
      </c>
      <c r="I2762" s="900"/>
    </row>
    <row r="2763" spans="3:9" s="2" customFormat="1" ht="20.100000000000001" hidden="1" customHeight="1">
      <c r="C2763" s="902"/>
      <c r="D2763" s="945" t="s">
        <v>2112</v>
      </c>
      <c r="E2763" s="247">
        <f>SUM(E2764:E2765)</f>
        <v>2333500000</v>
      </c>
      <c r="F2763" s="942">
        <f>F2764+F2765</f>
        <v>2331446000</v>
      </c>
      <c r="G2763" s="941">
        <f t="shared" si="132"/>
        <v>99.911977715877441</v>
      </c>
      <c r="H2763" s="941">
        <f t="shared" si="133"/>
        <v>99.911977715877441</v>
      </c>
      <c r="I2763" s="900"/>
    </row>
    <row r="2764" spans="3:9" s="2" customFormat="1" ht="20.100000000000001" hidden="1" customHeight="1">
      <c r="C2764" s="902"/>
      <c r="D2764" s="808" t="s">
        <v>3116</v>
      </c>
      <c r="E2764" s="248">
        <v>1332000000</v>
      </c>
      <c r="F2764" s="939">
        <v>1329946000</v>
      </c>
      <c r="G2764" s="938">
        <f t="shared" si="132"/>
        <v>99.845795795795794</v>
      </c>
      <c r="H2764" s="938">
        <f t="shared" si="133"/>
        <v>99.845795795795794</v>
      </c>
      <c r="I2764" s="900"/>
    </row>
    <row r="2765" spans="3:9" s="2" customFormat="1" ht="20.100000000000001" hidden="1" customHeight="1">
      <c r="C2765" s="902"/>
      <c r="D2765" s="808" t="s">
        <v>3115</v>
      </c>
      <c r="E2765" s="248">
        <v>1001500000</v>
      </c>
      <c r="F2765" s="939">
        <v>1001500000</v>
      </c>
      <c r="G2765" s="938">
        <f t="shared" si="132"/>
        <v>100</v>
      </c>
      <c r="H2765" s="938">
        <f t="shared" si="133"/>
        <v>100</v>
      </c>
      <c r="I2765" s="900"/>
    </row>
    <row r="2766" spans="3:9" s="2" customFormat="1" ht="20.100000000000001" hidden="1" customHeight="1">
      <c r="C2766" s="902"/>
      <c r="D2766" s="944" t="s">
        <v>310</v>
      </c>
      <c r="E2766" s="248">
        <f>SUM(E2767)</f>
        <v>1295750000</v>
      </c>
      <c r="F2766" s="939">
        <f>F2767</f>
        <v>1294679000</v>
      </c>
      <c r="G2766" s="938">
        <f t="shared" si="132"/>
        <v>99.917345166891764</v>
      </c>
      <c r="H2766" s="938">
        <f t="shared" si="133"/>
        <v>99.917345166891764</v>
      </c>
      <c r="I2766" s="900"/>
    </row>
    <row r="2767" spans="3:9" s="2" customFormat="1" ht="20.100000000000001" hidden="1" customHeight="1">
      <c r="C2767" s="902"/>
      <c r="D2767" s="808" t="s">
        <v>3114</v>
      </c>
      <c r="E2767" s="248">
        <v>1295750000</v>
      </c>
      <c r="F2767" s="939">
        <v>1294679000</v>
      </c>
      <c r="G2767" s="938">
        <f t="shared" si="132"/>
        <v>99.917345166891764</v>
      </c>
      <c r="H2767" s="938">
        <f t="shared" si="133"/>
        <v>99.917345166891764</v>
      </c>
      <c r="I2767" s="900"/>
    </row>
    <row r="2768" spans="3:9" s="2" customFormat="1" ht="20.100000000000001" hidden="1" customHeight="1">
      <c r="C2768" s="902"/>
      <c r="D2768" s="945" t="s">
        <v>3113</v>
      </c>
      <c r="E2768" s="247">
        <f>SUM(E2769)</f>
        <v>750000000</v>
      </c>
      <c r="F2768" s="942">
        <f>F2769</f>
        <v>750000000</v>
      </c>
      <c r="G2768" s="941">
        <f t="shared" si="132"/>
        <v>100</v>
      </c>
      <c r="H2768" s="941">
        <f t="shared" si="133"/>
        <v>100</v>
      </c>
      <c r="I2768" s="900"/>
    </row>
    <row r="2769" spans="3:9" s="2" customFormat="1" ht="20.100000000000001" hidden="1" customHeight="1">
      <c r="C2769" s="902"/>
      <c r="D2769" s="808" t="s">
        <v>3112</v>
      </c>
      <c r="E2769" s="248">
        <v>750000000</v>
      </c>
      <c r="F2769" s="939">
        <v>750000000</v>
      </c>
      <c r="G2769" s="938">
        <f t="shared" si="132"/>
        <v>100</v>
      </c>
      <c r="H2769" s="938">
        <f t="shared" si="133"/>
        <v>100</v>
      </c>
      <c r="I2769" s="900"/>
    </row>
    <row r="2770" spans="3:9" s="2" customFormat="1" ht="20.100000000000001" hidden="1" customHeight="1">
      <c r="C2770" s="902"/>
      <c r="D2770" s="945" t="s">
        <v>2114</v>
      </c>
      <c r="E2770" s="247">
        <f>SUM(E2771)</f>
        <v>628000000</v>
      </c>
      <c r="F2770" s="943">
        <f>F2771</f>
        <v>627558000</v>
      </c>
      <c r="G2770" s="941">
        <f t="shared" si="132"/>
        <v>99.929617834394904</v>
      </c>
      <c r="H2770" s="941">
        <f t="shared" si="133"/>
        <v>99.929617834394904</v>
      </c>
      <c r="I2770" s="900"/>
    </row>
    <row r="2771" spans="3:9" s="2" customFormat="1" ht="20.100000000000001" hidden="1" customHeight="1">
      <c r="C2771" s="902"/>
      <c r="D2771" s="808" t="s">
        <v>3111</v>
      </c>
      <c r="E2771" s="248">
        <v>628000000</v>
      </c>
      <c r="F2771" s="939">
        <v>627558000</v>
      </c>
      <c r="G2771" s="938">
        <f t="shared" si="132"/>
        <v>99.929617834394904</v>
      </c>
      <c r="H2771" s="938">
        <f t="shared" si="133"/>
        <v>99.929617834394904</v>
      </c>
      <c r="I2771" s="900"/>
    </row>
    <row r="2772" spans="3:9" s="2" customFormat="1" ht="20.100000000000001" hidden="1" customHeight="1">
      <c r="C2772" s="902"/>
      <c r="D2772" s="945" t="s">
        <v>3110</v>
      </c>
      <c r="E2772" s="247">
        <f>SUM(E2773:E2775)</f>
        <v>1197500000</v>
      </c>
      <c r="F2772" s="943">
        <f>F2773+F2774+F2775</f>
        <v>1194825000</v>
      </c>
      <c r="G2772" s="941">
        <f t="shared" si="132"/>
        <v>99.776617954070986</v>
      </c>
      <c r="H2772" s="941">
        <f t="shared" si="133"/>
        <v>99.776617954070986</v>
      </c>
      <c r="I2772" s="900"/>
    </row>
    <row r="2773" spans="3:9" s="2" customFormat="1" ht="20.100000000000001" hidden="1" customHeight="1">
      <c r="C2773" s="902"/>
      <c r="D2773" s="808" t="s">
        <v>322</v>
      </c>
      <c r="E2773" s="248">
        <v>391000000</v>
      </c>
      <c r="F2773" s="939">
        <v>389000000</v>
      </c>
      <c r="G2773" s="938">
        <f t="shared" si="132"/>
        <v>99.488491048593346</v>
      </c>
      <c r="H2773" s="938">
        <f t="shared" si="133"/>
        <v>99.488491048593346</v>
      </c>
      <c r="I2773" s="900"/>
    </row>
    <row r="2774" spans="3:9" s="2" customFormat="1" ht="20.100000000000001" hidden="1" customHeight="1">
      <c r="C2774" s="902"/>
      <c r="D2774" s="808" t="s">
        <v>472</v>
      </c>
      <c r="E2774" s="248">
        <v>505000000</v>
      </c>
      <c r="F2774" s="939">
        <v>504325000</v>
      </c>
      <c r="G2774" s="938">
        <f t="shared" si="132"/>
        <v>99.866336633663366</v>
      </c>
      <c r="H2774" s="938">
        <f t="shared" si="133"/>
        <v>99.866336633663366</v>
      </c>
      <c r="I2774" s="900"/>
    </row>
    <row r="2775" spans="3:9" s="2" customFormat="1" ht="20.100000000000001" hidden="1" customHeight="1">
      <c r="C2775" s="902"/>
      <c r="D2775" s="808" t="s">
        <v>3109</v>
      </c>
      <c r="E2775" s="248">
        <v>301500000</v>
      </c>
      <c r="F2775" s="939">
        <v>301500000</v>
      </c>
      <c r="G2775" s="938">
        <f t="shared" si="132"/>
        <v>100</v>
      </c>
      <c r="H2775" s="938">
        <f t="shared" si="133"/>
        <v>100</v>
      </c>
      <c r="I2775" s="900"/>
    </row>
    <row r="2776" spans="3:9" s="2" customFormat="1" ht="15" hidden="1" customHeight="1">
      <c r="C2776" s="902"/>
      <c r="D2776" s="808"/>
      <c r="E2776" s="248"/>
      <c r="F2776" s="942"/>
      <c r="G2776" s="941"/>
      <c r="H2776" s="941"/>
      <c r="I2776" s="900"/>
    </row>
    <row r="2777" spans="3:9" s="2" customFormat="1" ht="20.100000000000001" hidden="1" customHeight="1">
      <c r="C2777" s="902"/>
      <c r="D2777" s="945" t="s">
        <v>1186</v>
      </c>
      <c r="E2777" s="247">
        <f>E2778</f>
        <v>1243074149.1300001</v>
      </c>
      <c r="F2777" s="942">
        <f>F2778</f>
        <v>1094434000</v>
      </c>
      <c r="G2777" s="941">
        <f>+F2777/E2777*100</f>
        <v>88.042535577300029</v>
      </c>
      <c r="H2777" s="941">
        <v>50</v>
      </c>
      <c r="I2777" s="900"/>
    </row>
    <row r="2778" spans="3:9" s="2" customFormat="1" ht="20.100000000000001" hidden="1" customHeight="1">
      <c r="C2778" s="902"/>
      <c r="D2778" s="945" t="s">
        <v>1428</v>
      </c>
      <c r="E2778" s="247">
        <f>SUM(E2779:E2780)</f>
        <v>1243074149.1300001</v>
      </c>
      <c r="F2778" s="942">
        <f>F2779+F2780</f>
        <v>1094434000</v>
      </c>
      <c r="G2778" s="941">
        <f>+F2778/E2778*100</f>
        <v>88.042535577300029</v>
      </c>
      <c r="H2778" s="941">
        <v>50</v>
      </c>
      <c r="I2778" s="900"/>
    </row>
    <row r="2779" spans="3:9" s="2" customFormat="1" ht="20.100000000000001" hidden="1" customHeight="1">
      <c r="C2779" s="902"/>
      <c r="D2779" s="808" t="s">
        <v>1429</v>
      </c>
      <c r="E2779" s="248">
        <v>1103726149.1300001</v>
      </c>
      <c r="F2779" s="939">
        <v>1094434000</v>
      </c>
      <c r="G2779" s="938">
        <f>+F2779/E2779*100</f>
        <v>99.158110991813999</v>
      </c>
      <c r="H2779" s="938">
        <v>100</v>
      </c>
      <c r="I2779" s="900"/>
    </row>
    <row r="2780" spans="3:9" s="2" customFormat="1" ht="20.100000000000001" hidden="1" customHeight="1">
      <c r="C2780" s="902"/>
      <c r="D2780" s="808" t="s">
        <v>2919</v>
      </c>
      <c r="E2780" s="248">
        <v>139348000</v>
      </c>
      <c r="F2780" s="939"/>
      <c r="G2780" s="938">
        <f>+F2780/E2780*100</f>
        <v>0</v>
      </c>
      <c r="H2780" s="938">
        <f>+G2780</f>
        <v>0</v>
      </c>
      <c r="I2780" s="900"/>
    </row>
    <row r="2781" spans="3:9" s="895" customFormat="1" ht="15" hidden="1" customHeight="1">
      <c r="C2781" s="904"/>
      <c r="D2781" s="808"/>
      <c r="E2781" s="248"/>
      <c r="F2781" s="942"/>
      <c r="G2781" s="941"/>
      <c r="H2781" s="941"/>
      <c r="I2781" s="903"/>
    </row>
    <row r="2782" spans="3:9" s="2" customFormat="1" ht="20.100000000000001" hidden="1" customHeight="1">
      <c r="C2782" s="902"/>
      <c r="D2782" s="945" t="s">
        <v>2116</v>
      </c>
      <c r="E2782" s="943">
        <f>E2783</f>
        <v>2089072579.76</v>
      </c>
      <c r="F2782" s="942">
        <f>F2783</f>
        <v>1845828579</v>
      </c>
      <c r="G2782" s="941">
        <f>+F2782/E2782*100</f>
        <v>88.356364296929087</v>
      </c>
      <c r="H2782" s="941">
        <f>H2783</f>
        <v>95</v>
      </c>
      <c r="I2782" s="900"/>
    </row>
    <row r="2783" spans="3:9" s="2" customFormat="1" ht="20.100000000000001" hidden="1" customHeight="1">
      <c r="C2783" s="902"/>
      <c r="D2783" s="944" t="s">
        <v>1423</v>
      </c>
      <c r="E2783" s="943">
        <f>SUM(E2784:E2785)</f>
        <v>2089072579.76</v>
      </c>
      <c r="F2783" s="942">
        <f>F2784+F2785</f>
        <v>1845828579</v>
      </c>
      <c r="G2783" s="941">
        <f>+F2783/E2783*100</f>
        <v>88.356364296929087</v>
      </c>
      <c r="H2783" s="941">
        <f>190/2</f>
        <v>95</v>
      </c>
      <c r="I2783" s="900"/>
    </row>
    <row r="2784" spans="3:9" s="2" customFormat="1" ht="35.1" hidden="1" customHeight="1">
      <c r="C2784" s="902"/>
      <c r="D2784" s="808" t="s">
        <v>3108</v>
      </c>
      <c r="E2784" s="940">
        <v>1771200000</v>
      </c>
      <c r="F2784" s="939">
        <f>278446000+287200000+330280000+545680000+43175000+43175000</f>
        <v>1527956000</v>
      </c>
      <c r="G2784" s="938">
        <f>+F2784/E2784*100</f>
        <v>86.26671183378501</v>
      </c>
      <c r="H2784" s="938">
        <v>90</v>
      </c>
      <c r="I2784" s="900"/>
    </row>
    <row r="2785" spans="3:10" s="2" customFormat="1" ht="20.100000000000001" hidden="1" customHeight="1">
      <c r="C2785" s="902"/>
      <c r="D2785" s="808" t="s">
        <v>3107</v>
      </c>
      <c r="E2785" s="940">
        <v>317872579.75999999</v>
      </c>
      <c r="F2785" s="939">
        <f>199872579+118000000</f>
        <v>317872579</v>
      </c>
      <c r="G2785" s="938">
        <f>+F2785/E2785*100</f>
        <v>99.999999760910498</v>
      </c>
      <c r="H2785" s="938">
        <f>+G2785</f>
        <v>99.999999760910498</v>
      </c>
      <c r="I2785" s="900"/>
    </row>
    <row r="2786" spans="3:10" ht="15" hidden="1" customHeight="1">
      <c r="C2786" s="878"/>
      <c r="D2786" s="859"/>
      <c r="E2786" s="855"/>
      <c r="F2786" s="854"/>
      <c r="G2786" s="854"/>
      <c r="H2786" s="876"/>
      <c r="I2786" s="852"/>
      <c r="J2786" s="802"/>
    </row>
    <row r="2787" spans="3:10" s="656" customFormat="1" ht="20.100000000000001" customHeight="1">
      <c r="C2787" s="881" t="s">
        <v>2117</v>
      </c>
      <c r="D2787" s="893" t="s">
        <v>2118</v>
      </c>
      <c r="E2787" s="855">
        <f>+E2788+E2797+E2801+E2811+E2817+E2821+E2825+E2831+E2839</f>
        <v>64316106423.529999</v>
      </c>
      <c r="F2787" s="855">
        <f>+F2788+F2797+F2801+F2811+F2817+F2821+F2825+F2831+F2839</f>
        <v>50714661000</v>
      </c>
      <c r="G2787" s="855">
        <f>+F2787/E2787*100</f>
        <v>78.852193983941291</v>
      </c>
      <c r="H2787" s="887">
        <f>(H2788+H2797+H2801+H2811+H2817+H2821+H2825+H2831+H2839)/9</f>
        <v>91.814814814814824</v>
      </c>
      <c r="I2787" s="863"/>
      <c r="J2787" s="44"/>
    </row>
    <row r="2788" spans="3:10" s="656" customFormat="1" ht="20.100000000000001" hidden="1" customHeight="1">
      <c r="C2788" s="881"/>
      <c r="D2788" s="856" t="s">
        <v>2119</v>
      </c>
      <c r="E2788" s="434">
        <f>+E2789+E2792</f>
        <v>11940000000</v>
      </c>
      <c r="F2788" s="434">
        <f>+F2789+F2792</f>
        <v>9435770000</v>
      </c>
      <c r="G2788" s="932">
        <f>+F2788/E2788*100</f>
        <v>79.026549413735353</v>
      </c>
      <c r="H2788" s="932">
        <f>(H2789+H2792)/2</f>
        <v>58.333333333333336</v>
      </c>
      <c r="I2788" s="930"/>
      <c r="J2788" s="44"/>
    </row>
    <row r="2789" spans="3:10" s="656" customFormat="1" ht="20.100000000000001" hidden="1" customHeight="1">
      <c r="C2789" s="881"/>
      <c r="D2789" s="856" t="s">
        <v>394</v>
      </c>
      <c r="E2789" s="434">
        <f>SUM(E2790:E2791)</f>
        <v>5240000000</v>
      </c>
      <c r="F2789" s="434">
        <f>SUM(F2790:F2791)</f>
        <v>4740000000</v>
      </c>
      <c r="G2789" s="932">
        <v>100</v>
      </c>
      <c r="H2789" s="932">
        <v>50</v>
      </c>
      <c r="I2789" s="935"/>
      <c r="J2789" s="44"/>
    </row>
    <row r="2790" spans="3:10" ht="20.100000000000001" hidden="1" customHeight="1">
      <c r="C2790" s="878"/>
      <c r="D2790" s="859" t="s">
        <v>1996</v>
      </c>
      <c r="E2790" s="435">
        <v>4740000000</v>
      </c>
      <c r="F2790" s="435">
        <v>4740000000</v>
      </c>
      <c r="G2790" s="932">
        <v>100</v>
      </c>
      <c r="H2790" s="931">
        <v>100</v>
      </c>
      <c r="I2790" s="930"/>
      <c r="J2790" s="802"/>
    </row>
    <row r="2791" spans="3:10" ht="20.100000000000001" hidden="1" customHeight="1">
      <c r="C2791" s="878"/>
      <c r="D2791" s="859" t="s">
        <v>3106</v>
      </c>
      <c r="E2791" s="435">
        <v>500000000</v>
      </c>
      <c r="F2791" s="435">
        <v>0</v>
      </c>
      <c r="G2791" s="931">
        <f>F2791/E2791</f>
        <v>0</v>
      </c>
      <c r="H2791" s="931">
        <v>0</v>
      </c>
      <c r="I2791" s="930"/>
      <c r="J2791" s="802"/>
    </row>
    <row r="2792" spans="3:10" s="656" customFormat="1" ht="20.100000000000001" hidden="1" customHeight="1">
      <c r="C2792" s="881"/>
      <c r="D2792" s="856" t="s">
        <v>2075</v>
      </c>
      <c r="E2792" s="434">
        <f>SUM(E2793:E2795)</f>
        <v>6700000000</v>
      </c>
      <c r="F2792" s="434">
        <f>SUM(F2793:F2795)</f>
        <v>4695770000</v>
      </c>
      <c r="G2792" s="932">
        <f>+F2792/E2792*100</f>
        <v>70.086119402985076</v>
      </c>
      <c r="H2792" s="932">
        <f>200/3</f>
        <v>66.666666666666671</v>
      </c>
      <c r="I2792" s="935"/>
      <c r="J2792" s="44"/>
    </row>
    <row r="2793" spans="3:10" ht="20.100000000000001" hidden="1" customHeight="1">
      <c r="C2793" s="878"/>
      <c r="D2793" s="859" t="s">
        <v>3105</v>
      </c>
      <c r="E2793" s="435">
        <v>2000000000</v>
      </c>
      <c r="F2793" s="435">
        <v>0</v>
      </c>
      <c r="G2793" s="931">
        <f>F2793/E2793</f>
        <v>0</v>
      </c>
      <c r="H2793" s="931">
        <v>0</v>
      </c>
      <c r="I2793" s="930"/>
      <c r="J2793" s="802"/>
    </row>
    <row r="2794" spans="3:10" ht="20.100000000000001" hidden="1" customHeight="1">
      <c r="C2794" s="878"/>
      <c r="D2794" s="859" t="s">
        <v>3104</v>
      </c>
      <c r="E2794" s="435">
        <v>2200000000</v>
      </c>
      <c r="F2794" s="435">
        <v>2199000000</v>
      </c>
      <c r="G2794" s="931">
        <v>100</v>
      </c>
      <c r="H2794" s="931">
        <v>100</v>
      </c>
      <c r="I2794" s="930"/>
      <c r="J2794" s="802"/>
    </row>
    <row r="2795" spans="3:10" ht="20.100000000000001" hidden="1" customHeight="1">
      <c r="C2795" s="878"/>
      <c r="D2795" s="859" t="s">
        <v>3103</v>
      </c>
      <c r="E2795" s="435">
        <v>2500000000</v>
      </c>
      <c r="F2795" s="435">
        <v>2496770000</v>
      </c>
      <c r="G2795" s="931">
        <v>100</v>
      </c>
      <c r="H2795" s="931">
        <v>100</v>
      </c>
      <c r="I2795" s="930"/>
      <c r="J2795" s="802"/>
    </row>
    <row r="2796" spans="3:10" s="656" customFormat="1" ht="15" hidden="1" customHeight="1">
      <c r="C2796" s="881"/>
      <c r="D2796" s="859"/>
      <c r="E2796" s="435"/>
      <c r="F2796" s="435"/>
      <c r="G2796" s="931"/>
      <c r="H2796" s="931"/>
      <c r="I2796" s="930"/>
      <c r="J2796" s="44"/>
    </row>
    <row r="2797" spans="3:10" s="656" customFormat="1" ht="20.100000000000001" hidden="1" customHeight="1">
      <c r="C2797" s="881"/>
      <c r="D2797" s="856" t="s">
        <v>669</v>
      </c>
      <c r="E2797" s="434">
        <f>E2798</f>
        <v>12632400000</v>
      </c>
      <c r="F2797" s="434">
        <f>F2798</f>
        <v>9349400000</v>
      </c>
      <c r="G2797" s="932">
        <v>74</v>
      </c>
      <c r="H2797" s="932">
        <v>100</v>
      </c>
      <c r="I2797" s="935"/>
      <c r="J2797" s="44"/>
    </row>
    <row r="2798" spans="3:10" ht="20.100000000000001" hidden="1" customHeight="1">
      <c r="C2798" s="878"/>
      <c r="D2798" s="856" t="s">
        <v>2122</v>
      </c>
      <c r="E2798" s="434">
        <f>SUM(E2799:E2799)</f>
        <v>12632400000</v>
      </c>
      <c r="F2798" s="434">
        <f>SUM(F2799:F2799)</f>
        <v>9349400000</v>
      </c>
      <c r="G2798" s="932">
        <v>74</v>
      </c>
      <c r="H2798" s="932">
        <v>100</v>
      </c>
      <c r="I2798" s="935"/>
      <c r="J2798" s="802"/>
    </row>
    <row r="2799" spans="3:10" ht="20.100000000000001" hidden="1" customHeight="1">
      <c r="C2799" s="878"/>
      <c r="D2799" s="859" t="s">
        <v>2123</v>
      </c>
      <c r="E2799" s="435">
        <v>12632400000</v>
      </c>
      <c r="F2799" s="435">
        <v>9349400000</v>
      </c>
      <c r="G2799" s="931">
        <v>74</v>
      </c>
      <c r="H2799" s="931">
        <v>100</v>
      </c>
      <c r="I2799" s="930"/>
      <c r="J2799" s="802"/>
    </row>
    <row r="2800" spans="3:10" s="656" customFormat="1" ht="15" hidden="1" customHeight="1">
      <c r="C2800" s="881"/>
      <c r="D2800" s="859"/>
      <c r="E2800" s="434"/>
      <c r="F2800" s="434"/>
      <c r="G2800" s="932"/>
      <c r="H2800" s="932"/>
      <c r="I2800" s="930"/>
      <c r="J2800" s="44"/>
    </row>
    <row r="2801" spans="3:10" s="656" customFormat="1" ht="20.100000000000001" hidden="1" customHeight="1">
      <c r="C2801" s="881"/>
      <c r="D2801" s="856" t="s">
        <v>161</v>
      </c>
      <c r="E2801" s="434">
        <f>+E2802+E2804+E2806+E2808</f>
        <v>9057975423.5299988</v>
      </c>
      <c r="F2801" s="434">
        <f>+F2802+F2804+F2806+F2808</f>
        <v>9053500000</v>
      </c>
      <c r="G2801" s="932">
        <f>+F2801/E2801*100</f>
        <v>99.950591348278863</v>
      </c>
      <c r="H2801" s="932">
        <v>100</v>
      </c>
      <c r="I2801" s="935"/>
      <c r="J2801" s="44"/>
    </row>
    <row r="2802" spans="3:10" ht="20.100000000000001" hidden="1" customHeight="1">
      <c r="C2802" s="878"/>
      <c r="D2802" s="856" t="s">
        <v>212</v>
      </c>
      <c r="E2802" s="434">
        <f>SUM(E2803:E2803)</f>
        <v>1000000000</v>
      </c>
      <c r="F2802" s="434">
        <f>SUM(F2803:F2803)</f>
        <v>998500000</v>
      </c>
      <c r="G2802" s="932">
        <v>100</v>
      </c>
      <c r="H2802" s="932">
        <f t="shared" ref="H2802:H2809" si="134">+G2802</f>
        <v>100</v>
      </c>
      <c r="I2802" s="935"/>
      <c r="J2802" s="802"/>
    </row>
    <row r="2803" spans="3:10" s="656" customFormat="1" ht="35.1" hidden="1" customHeight="1">
      <c r="C2803" s="881"/>
      <c r="D2803" s="859" t="s">
        <v>3102</v>
      </c>
      <c r="E2803" s="435">
        <v>1000000000</v>
      </c>
      <c r="F2803" s="435">
        <v>998500000</v>
      </c>
      <c r="G2803" s="931">
        <v>100</v>
      </c>
      <c r="H2803" s="932">
        <f t="shared" si="134"/>
        <v>100</v>
      </c>
      <c r="I2803" s="930"/>
      <c r="J2803" s="44"/>
    </row>
    <row r="2804" spans="3:10" ht="20.100000000000001" hidden="1" customHeight="1">
      <c r="C2804" s="878"/>
      <c r="D2804" s="856" t="s">
        <v>953</v>
      </c>
      <c r="E2804" s="434">
        <f>SUM(E2805:E2805)</f>
        <v>750000000</v>
      </c>
      <c r="F2804" s="434">
        <f>SUM(F2805:F2805)</f>
        <v>750000000</v>
      </c>
      <c r="G2804" s="932">
        <v>100</v>
      </c>
      <c r="H2804" s="932">
        <f t="shared" si="134"/>
        <v>100</v>
      </c>
      <c r="I2804" s="935"/>
      <c r="J2804" s="802"/>
    </row>
    <row r="2805" spans="3:10" s="656" customFormat="1" ht="20.100000000000001" hidden="1" customHeight="1">
      <c r="C2805" s="881"/>
      <c r="D2805" s="859" t="s">
        <v>3101</v>
      </c>
      <c r="E2805" s="435">
        <v>750000000</v>
      </c>
      <c r="F2805" s="435">
        <v>750000000</v>
      </c>
      <c r="G2805" s="931">
        <v>100</v>
      </c>
      <c r="H2805" s="932">
        <f t="shared" si="134"/>
        <v>100</v>
      </c>
      <c r="I2805" s="930"/>
      <c r="J2805" s="44"/>
    </row>
    <row r="2806" spans="3:10" ht="20.100000000000001" hidden="1" customHeight="1">
      <c r="C2806" s="878"/>
      <c r="D2806" s="856" t="s">
        <v>162</v>
      </c>
      <c r="E2806" s="434">
        <f>E2807</f>
        <v>4307975423.5299997</v>
      </c>
      <c r="F2806" s="434">
        <f>F2807</f>
        <v>4305000000</v>
      </c>
      <c r="G2806" s="932">
        <v>100</v>
      </c>
      <c r="H2806" s="932">
        <f t="shared" si="134"/>
        <v>100</v>
      </c>
      <c r="I2806" s="935"/>
      <c r="J2806" s="802"/>
    </row>
    <row r="2807" spans="3:10" s="656" customFormat="1" ht="20.100000000000001" hidden="1" customHeight="1">
      <c r="C2807" s="881"/>
      <c r="D2807" s="859" t="s">
        <v>859</v>
      </c>
      <c r="E2807" s="435">
        <v>4307975423.5299997</v>
      </c>
      <c r="F2807" s="435">
        <v>4305000000</v>
      </c>
      <c r="G2807" s="931">
        <v>100</v>
      </c>
      <c r="H2807" s="932">
        <f t="shared" si="134"/>
        <v>100</v>
      </c>
      <c r="I2807" s="930"/>
      <c r="J2807" s="44"/>
    </row>
    <row r="2808" spans="3:10" ht="20.100000000000001" hidden="1" customHeight="1">
      <c r="C2808" s="878"/>
      <c r="D2808" s="856" t="s">
        <v>2124</v>
      </c>
      <c r="E2808" s="434">
        <f>E2809</f>
        <v>3000000000</v>
      </c>
      <c r="F2808" s="434">
        <f>F2809</f>
        <v>3000000000</v>
      </c>
      <c r="G2808" s="932">
        <v>100</v>
      </c>
      <c r="H2808" s="932">
        <f t="shared" si="134"/>
        <v>100</v>
      </c>
      <c r="I2808" s="935"/>
      <c r="J2808" s="802"/>
    </row>
    <row r="2809" spans="3:10" ht="20.100000000000001" hidden="1" customHeight="1">
      <c r="C2809" s="878"/>
      <c r="D2809" s="859" t="s">
        <v>1172</v>
      </c>
      <c r="E2809" s="435">
        <v>3000000000</v>
      </c>
      <c r="F2809" s="435">
        <v>3000000000</v>
      </c>
      <c r="G2809" s="931">
        <v>100</v>
      </c>
      <c r="H2809" s="932">
        <f t="shared" si="134"/>
        <v>100</v>
      </c>
      <c r="I2809" s="930"/>
      <c r="J2809" s="802"/>
    </row>
    <row r="2810" spans="3:10" s="656" customFormat="1" ht="15" hidden="1" customHeight="1">
      <c r="C2810" s="881"/>
      <c r="D2810" s="856"/>
      <c r="E2810" s="434"/>
      <c r="F2810" s="434"/>
      <c r="G2810" s="932"/>
      <c r="H2810" s="932"/>
      <c r="I2810" s="935"/>
      <c r="J2810" s="44"/>
    </row>
    <row r="2811" spans="3:10" s="656" customFormat="1" ht="20.100000000000001" hidden="1" customHeight="1">
      <c r="C2811" s="881"/>
      <c r="D2811" s="934" t="s">
        <v>2143</v>
      </c>
      <c r="E2811" s="434">
        <f>+E2812+E2814</f>
        <v>1727712000</v>
      </c>
      <c r="F2811" s="434">
        <f>+F2812+F2814</f>
        <v>1727712000</v>
      </c>
      <c r="G2811" s="932">
        <f>+F2811/E2811*100</f>
        <v>100</v>
      </c>
      <c r="H2811" s="932">
        <f>+G2811</f>
        <v>100</v>
      </c>
      <c r="I2811" s="935"/>
      <c r="J2811" s="44"/>
    </row>
    <row r="2812" spans="3:10" s="656" customFormat="1" ht="20.100000000000001" hidden="1" customHeight="1">
      <c r="C2812" s="881"/>
      <c r="D2812" s="934" t="s">
        <v>1653</v>
      </c>
      <c r="E2812" s="434">
        <f>SUM(E2813:E2813)</f>
        <v>565000000</v>
      </c>
      <c r="F2812" s="434">
        <f>SUM(F2813:F2813)</f>
        <v>565000000</v>
      </c>
      <c r="G2812" s="932">
        <f>+F2812/E2812*100</f>
        <v>100</v>
      </c>
      <c r="H2812" s="932">
        <f>+G2812</f>
        <v>100</v>
      </c>
      <c r="I2812" s="935"/>
      <c r="J2812" s="44"/>
    </row>
    <row r="2813" spans="3:10" ht="35.1" hidden="1" customHeight="1">
      <c r="C2813" s="878"/>
      <c r="D2813" s="859" t="s">
        <v>3100</v>
      </c>
      <c r="E2813" s="937">
        <v>565000000</v>
      </c>
      <c r="F2813" s="937">
        <v>565000000</v>
      </c>
      <c r="G2813" s="936">
        <f>+F2813/E2813*100</f>
        <v>100</v>
      </c>
      <c r="H2813" s="936">
        <f>+G2813</f>
        <v>100</v>
      </c>
      <c r="I2813" s="930"/>
      <c r="J2813" s="802"/>
    </row>
    <row r="2814" spans="3:10" s="656" customFormat="1" ht="20.100000000000001" hidden="1" customHeight="1">
      <c r="C2814" s="881"/>
      <c r="D2814" s="934" t="s">
        <v>1859</v>
      </c>
      <c r="E2814" s="434">
        <f>SUM(E2815:E2815)</f>
        <v>1162712000</v>
      </c>
      <c r="F2814" s="434">
        <f>SUM(F2815:F2815)</f>
        <v>1162712000</v>
      </c>
      <c r="G2814" s="932">
        <f>+F2814/E2814*100</f>
        <v>100</v>
      </c>
      <c r="H2814" s="932">
        <f>+G2814</f>
        <v>100</v>
      </c>
      <c r="I2814" s="935"/>
      <c r="J2814" s="44"/>
    </row>
    <row r="2815" spans="3:10" ht="20.100000000000001" hidden="1" customHeight="1">
      <c r="C2815" s="878"/>
      <c r="D2815" s="859" t="s">
        <v>3099</v>
      </c>
      <c r="E2815" s="937">
        <v>1162712000</v>
      </c>
      <c r="F2815" s="937">
        <v>1162712000</v>
      </c>
      <c r="G2815" s="936">
        <f>+F2815/E2815*100</f>
        <v>100</v>
      </c>
      <c r="H2815" s="936">
        <f>+G2815</f>
        <v>100</v>
      </c>
      <c r="I2815" s="930"/>
      <c r="J2815" s="802"/>
    </row>
    <row r="2816" spans="3:10" s="656" customFormat="1" ht="15" hidden="1" customHeight="1">
      <c r="C2816" s="881"/>
      <c r="D2816" s="856"/>
      <c r="E2816" s="434"/>
      <c r="F2816" s="434"/>
      <c r="G2816" s="932"/>
      <c r="H2816" s="932"/>
      <c r="I2816" s="935"/>
      <c r="J2816" s="44"/>
    </row>
    <row r="2817" spans="3:10" s="656" customFormat="1" ht="20.100000000000001" hidden="1" customHeight="1">
      <c r="C2817" s="881"/>
      <c r="D2817" s="934" t="s">
        <v>669</v>
      </c>
      <c r="E2817" s="434">
        <f>E2818</f>
        <v>7046523000</v>
      </c>
      <c r="F2817" s="434">
        <f>F2818</f>
        <v>7046523000</v>
      </c>
      <c r="G2817" s="932">
        <v>100</v>
      </c>
      <c r="H2817" s="932">
        <v>100</v>
      </c>
      <c r="I2817" s="930"/>
      <c r="J2817" s="44"/>
    </row>
    <row r="2818" spans="3:10" s="656" customFormat="1" ht="20.100000000000001" hidden="1" customHeight="1">
      <c r="C2818" s="881"/>
      <c r="D2818" s="934" t="s">
        <v>3098</v>
      </c>
      <c r="E2818" s="434">
        <f>E2819</f>
        <v>7046523000</v>
      </c>
      <c r="F2818" s="434">
        <f>F2819</f>
        <v>7046523000</v>
      </c>
      <c r="G2818" s="932">
        <v>100</v>
      </c>
      <c r="H2818" s="932">
        <v>100</v>
      </c>
      <c r="I2818" s="935"/>
      <c r="J2818" s="44"/>
    </row>
    <row r="2819" spans="3:10" ht="20.100000000000001" hidden="1" customHeight="1">
      <c r="C2819" s="878"/>
      <c r="D2819" s="859" t="s">
        <v>3097</v>
      </c>
      <c r="E2819" s="937">
        <v>7046523000</v>
      </c>
      <c r="F2819" s="937">
        <v>7046523000</v>
      </c>
      <c r="G2819" s="936">
        <v>100</v>
      </c>
      <c r="H2819" s="936">
        <v>100</v>
      </c>
      <c r="I2819" s="930"/>
      <c r="J2819" s="802"/>
    </row>
    <row r="2820" spans="3:10" s="656" customFormat="1" ht="15" hidden="1" customHeight="1">
      <c r="C2820" s="881"/>
      <c r="D2820" s="856"/>
      <c r="E2820" s="434"/>
      <c r="F2820" s="434"/>
      <c r="G2820" s="932"/>
      <c r="H2820" s="932"/>
      <c r="I2820" s="935"/>
      <c r="J2820" s="44"/>
    </row>
    <row r="2821" spans="3:10" ht="20.100000000000001" hidden="1" customHeight="1">
      <c r="C2821" s="878"/>
      <c r="D2821" s="934" t="s">
        <v>69</v>
      </c>
      <c r="E2821" s="434">
        <f>SUM(E2822)</f>
        <v>747674000</v>
      </c>
      <c r="F2821" s="434">
        <f>SUM(F2822)</f>
        <v>747674000</v>
      </c>
      <c r="G2821" s="932">
        <v>100</v>
      </c>
      <c r="H2821" s="932">
        <v>100</v>
      </c>
      <c r="I2821" s="930"/>
      <c r="J2821" s="802"/>
    </row>
    <row r="2822" spans="3:10" s="656" customFormat="1" ht="20.100000000000001" hidden="1" customHeight="1">
      <c r="C2822" s="881"/>
      <c r="D2822" s="934" t="s">
        <v>3096</v>
      </c>
      <c r="E2822" s="434">
        <f>SUM(E2823:E2823)</f>
        <v>747674000</v>
      </c>
      <c r="F2822" s="434">
        <f>SUM(F2823:F2823)</f>
        <v>747674000</v>
      </c>
      <c r="G2822" s="932">
        <v>100</v>
      </c>
      <c r="H2822" s="932">
        <v>100</v>
      </c>
      <c r="I2822" s="935"/>
      <c r="J2822" s="44"/>
    </row>
    <row r="2823" spans="3:10" ht="20.100000000000001" hidden="1" customHeight="1">
      <c r="C2823" s="878"/>
      <c r="D2823" s="859" t="s">
        <v>3095</v>
      </c>
      <c r="E2823" s="937">
        <v>747674000</v>
      </c>
      <c r="F2823" s="937">
        <v>747674000</v>
      </c>
      <c r="G2823" s="936">
        <v>100</v>
      </c>
      <c r="H2823" s="936">
        <v>100</v>
      </c>
      <c r="I2823" s="930"/>
      <c r="J2823" s="802"/>
    </row>
    <row r="2824" spans="3:10" s="656" customFormat="1" ht="15" hidden="1" customHeight="1">
      <c r="C2824" s="881"/>
      <c r="D2824" s="856"/>
      <c r="E2824" s="434"/>
      <c r="F2824" s="434"/>
      <c r="G2824" s="932"/>
      <c r="H2824" s="932"/>
      <c r="I2824" s="935"/>
      <c r="J2824" s="44"/>
    </row>
    <row r="2825" spans="3:10" s="656" customFormat="1" ht="20.100000000000001" hidden="1" customHeight="1">
      <c r="C2825" s="881"/>
      <c r="D2825" s="934" t="s">
        <v>669</v>
      </c>
      <c r="E2825" s="434">
        <f>E2826</f>
        <v>4877500000</v>
      </c>
      <c r="F2825" s="434">
        <f>F2826</f>
        <v>4877500000</v>
      </c>
      <c r="G2825" s="932">
        <f>G2826</f>
        <v>100</v>
      </c>
      <c r="H2825" s="932">
        <f>+G2825</f>
        <v>100</v>
      </c>
      <c r="I2825" s="930"/>
      <c r="J2825" s="44"/>
    </row>
    <row r="2826" spans="3:10" s="656" customFormat="1" ht="20.100000000000001" hidden="1" customHeight="1">
      <c r="C2826" s="881"/>
      <c r="D2826" s="934" t="s">
        <v>2151</v>
      </c>
      <c r="E2826" s="434">
        <f>SUM(E2827:E2829)</f>
        <v>4877500000</v>
      </c>
      <c r="F2826" s="434">
        <f>SUM(F2827:F2829)</f>
        <v>4877500000</v>
      </c>
      <c r="G2826" s="932">
        <f>SUM(G2827:G2829)/3</f>
        <v>100</v>
      </c>
      <c r="H2826" s="932">
        <f>+G2826</f>
        <v>100</v>
      </c>
      <c r="I2826" s="935"/>
      <c r="J2826" s="44"/>
    </row>
    <row r="2827" spans="3:10" ht="20.100000000000001" hidden="1" customHeight="1">
      <c r="C2827" s="878"/>
      <c r="D2827" s="859" t="s">
        <v>3094</v>
      </c>
      <c r="E2827" s="937">
        <v>4020000000</v>
      </c>
      <c r="F2827" s="937">
        <v>4020000000</v>
      </c>
      <c r="G2827" s="936">
        <v>100</v>
      </c>
      <c r="H2827" s="936">
        <v>100</v>
      </c>
      <c r="I2827" s="930"/>
      <c r="J2827" s="802"/>
    </row>
    <row r="2828" spans="3:10" ht="20.100000000000001" hidden="1" customHeight="1">
      <c r="C2828" s="878"/>
      <c r="D2828" s="859" t="s">
        <v>3093</v>
      </c>
      <c r="E2828" s="937">
        <v>300000000</v>
      </c>
      <c r="F2828" s="937">
        <v>300000000</v>
      </c>
      <c r="G2828" s="936">
        <v>100</v>
      </c>
      <c r="H2828" s="936">
        <v>100</v>
      </c>
      <c r="I2828" s="930"/>
      <c r="J2828" s="802"/>
    </row>
    <row r="2829" spans="3:10" ht="20.100000000000001" hidden="1" customHeight="1">
      <c r="C2829" s="878"/>
      <c r="D2829" s="859" t="s">
        <v>3092</v>
      </c>
      <c r="E2829" s="937">
        <v>557500000</v>
      </c>
      <c r="F2829" s="937">
        <v>557500000</v>
      </c>
      <c r="G2829" s="936">
        <v>100</v>
      </c>
      <c r="H2829" s="936">
        <v>100</v>
      </c>
      <c r="I2829" s="930"/>
      <c r="J2829" s="802"/>
    </row>
    <row r="2830" spans="3:10" s="656" customFormat="1" ht="15" hidden="1" customHeight="1">
      <c r="C2830" s="881"/>
      <c r="D2830" s="856"/>
      <c r="E2830" s="434"/>
      <c r="F2830" s="434"/>
      <c r="G2830" s="932"/>
      <c r="H2830" s="932"/>
      <c r="I2830" s="935"/>
      <c r="J2830" s="44"/>
    </row>
    <row r="2831" spans="3:10" s="656" customFormat="1" ht="20.100000000000001" hidden="1" customHeight="1">
      <c r="C2831" s="881"/>
      <c r="D2831" s="934" t="s">
        <v>2153</v>
      </c>
      <c r="E2831" s="434">
        <f>+E2832</f>
        <v>15000000000</v>
      </c>
      <c r="F2831" s="434">
        <f>+F2832</f>
        <v>7190260000</v>
      </c>
      <c r="G2831" s="932">
        <f>+F2831/E2831*100</f>
        <v>47.935066666666664</v>
      </c>
      <c r="H2831" s="932">
        <f>H2832</f>
        <v>68</v>
      </c>
      <c r="I2831" s="930"/>
      <c r="J2831" s="44"/>
    </row>
    <row r="2832" spans="3:10" s="656" customFormat="1" ht="20.100000000000001" hidden="1" customHeight="1">
      <c r="C2832" s="881"/>
      <c r="D2832" s="934" t="s">
        <v>3091</v>
      </c>
      <c r="E2832" s="434">
        <f>SUM(E2833:E2837)</f>
        <v>15000000000</v>
      </c>
      <c r="F2832" s="434">
        <f>SUM(F2833:F2837)</f>
        <v>7190260000</v>
      </c>
      <c r="G2832" s="932">
        <v>54</v>
      </c>
      <c r="H2832" s="932">
        <f>SUM((H2833:H2837))/5</f>
        <v>68</v>
      </c>
      <c r="I2832" s="935"/>
      <c r="J2832" s="44"/>
    </row>
    <row r="2833" spans="3:10" ht="20.100000000000001" hidden="1" customHeight="1">
      <c r="C2833" s="878"/>
      <c r="D2833" s="859" t="s">
        <v>3090</v>
      </c>
      <c r="E2833" s="435">
        <v>1000000000</v>
      </c>
      <c r="F2833" s="435">
        <v>1000000000</v>
      </c>
      <c r="G2833" s="931">
        <v>100</v>
      </c>
      <c r="H2833" s="931">
        <v>100</v>
      </c>
      <c r="I2833" s="930"/>
      <c r="J2833" s="802"/>
    </row>
    <row r="2834" spans="3:10" ht="20.100000000000001" hidden="1" customHeight="1">
      <c r="C2834" s="878"/>
      <c r="D2834" s="859" t="s">
        <v>3089</v>
      </c>
      <c r="E2834" s="435">
        <v>4000000000</v>
      </c>
      <c r="F2834" s="435">
        <v>3192000000</v>
      </c>
      <c r="G2834" s="931">
        <v>80</v>
      </c>
      <c r="H2834" s="931">
        <v>90</v>
      </c>
      <c r="I2834" s="930"/>
      <c r="J2834" s="802"/>
    </row>
    <row r="2835" spans="3:10" ht="20.100000000000001" hidden="1" customHeight="1">
      <c r="C2835" s="878"/>
      <c r="D2835" s="859" t="s">
        <v>3088</v>
      </c>
      <c r="E2835" s="435">
        <v>3000000000</v>
      </c>
      <c r="F2835" s="435">
        <v>899910000</v>
      </c>
      <c r="G2835" s="931">
        <v>30</v>
      </c>
      <c r="H2835" s="931">
        <v>50</v>
      </c>
      <c r="I2835" s="930"/>
      <c r="J2835" s="802"/>
    </row>
    <row r="2836" spans="3:10" ht="20.100000000000001" hidden="1" customHeight="1">
      <c r="C2836" s="878"/>
      <c r="D2836" s="859" t="s">
        <v>3087</v>
      </c>
      <c r="E2836" s="435">
        <v>3000000000</v>
      </c>
      <c r="F2836" s="435">
        <v>899700000</v>
      </c>
      <c r="G2836" s="931">
        <v>30</v>
      </c>
      <c r="H2836" s="931">
        <v>50</v>
      </c>
      <c r="I2836" s="930"/>
      <c r="J2836" s="802"/>
    </row>
    <row r="2837" spans="3:10" ht="20.100000000000001" hidden="1" customHeight="1">
      <c r="C2837" s="878"/>
      <c r="D2837" s="859" t="s">
        <v>3086</v>
      </c>
      <c r="E2837" s="435">
        <v>4000000000</v>
      </c>
      <c r="F2837" s="435">
        <v>1198650000</v>
      </c>
      <c r="G2837" s="931">
        <v>30</v>
      </c>
      <c r="H2837" s="931">
        <v>50</v>
      </c>
      <c r="I2837" s="930"/>
      <c r="J2837" s="802"/>
    </row>
    <row r="2838" spans="3:10" s="656" customFormat="1" ht="15" hidden="1" customHeight="1">
      <c r="C2838" s="881"/>
      <c r="D2838" s="859"/>
      <c r="E2838" s="435"/>
      <c r="F2838" s="435"/>
      <c r="G2838" s="931"/>
      <c r="H2838" s="931"/>
      <c r="I2838" s="930"/>
      <c r="J2838" s="44"/>
    </row>
    <row r="2839" spans="3:10" s="656" customFormat="1" ht="20.100000000000001" hidden="1" customHeight="1">
      <c r="C2839" s="881"/>
      <c r="D2839" s="934" t="s">
        <v>366</v>
      </c>
      <c r="E2839" s="434">
        <f>E2840</f>
        <v>1286322000</v>
      </c>
      <c r="F2839" s="434">
        <f>F2840</f>
        <v>1286322000</v>
      </c>
      <c r="G2839" s="932">
        <v>100</v>
      </c>
      <c r="H2839" s="932">
        <v>100</v>
      </c>
      <c r="I2839" s="930"/>
      <c r="J2839" s="44"/>
    </row>
    <row r="2840" spans="3:10" ht="20.100000000000001" hidden="1" customHeight="1">
      <c r="C2840" s="878"/>
      <c r="D2840" s="933" t="s">
        <v>2156</v>
      </c>
      <c r="E2840" s="434">
        <f>E2841</f>
        <v>1286322000</v>
      </c>
      <c r="F2840" s="434">
        <f>F2841</f>
        <v>1286322000</v>
      </c>
      <c r="G2840" s="932">
        <v>100</v>
      </c>
      <c r="H2840" s="932">
        <v>100</v>
      </c>
      <c r="I2840" s="930"/>
      <c r="J2840" s="802"/>
    </row>
    <row r="2841" spans="3:10" ht="20.100000000000001" hidden="1" customHeight="1">
      <c r="C2841" s="878"/>
      <c r="D2841" s="859" t="s">
        <v>2157</v>
      </c>
      <c r="E2841" s="435">
        <v>1286322000</v>
      </c>
      <c r="F2841" s="435">
        <v>1286322000</v>
      </c>
      <c r="G2841" s="931">
        <v>100</v>
      </c>
      <c r="H2841" s="931">
        <v>100</v>
      </c>
      <c r="I2841" s="930"/>
      <c r="J2841" s="802"/>
    </row>
    <row r="2842" spans="3:10" ht="15" hidden="1" customHeight="1">
      <c r="C2842" s="878"/>
      <c r="D2842" s="859"/>
      <c r="E2842" s="435"/>
      <c r="F2842" s="435"/>
      <c r="G2842" s="931"/>
      <c r="H2842" s="931"/>
      <c r="I2842" s="930"/>
      <c r="J2842" s="802"/>
    </row>
    <row r="2843" spans="3:10" s="895" customFormat="1" ht="20.100000000000001" customHeight="1">
      <c r="C2843" s="881" t="s">
        <v>2158</v>
      </c>
      <c r="D2843" s="856" t="s">
        <v>2159</v>
      </c>
      <c r="E2843" s="855">
        <v>61730319464.800003</v>
      </c>
      <c r="F2843" s="855">
        <f>+F2844+F2859+F2877+F2882+F2886+F2890+F2894+F2898+F2902+F2908+F2912</f>
        <v>56200011500</v>
      </c>
      <c r="G2843" s="855">
        <f t="shared" ref="G2843:G2875" si="135">+F2843/E2843*100</f>
        <v>91.041180391179566</v>
      </c>
      <c r="H2843" s="887">
        <f>(H2844+H2859+H2877+H2882+H2886+H2890+H2894+H2898+H2902+H2908+H2912+H2916)/12</f>
        <v>85.956722169612803</v>
      </c>
      <c r="I2843" s="863"/>
      <c r="J2843" s="44"/>
    </row>
    <row r="2844" spans="3:10" s="2" customFormat="1" ht="20.100000000000001" hidden="1" customHeight="1">
      <c r="C2844" s="878"/>
      <c r="D2844" s="889" t="s">
        <v>64</v>
      </c>
      <c r="E2844" s="915">
        <f>E2845+E2847+E2854+E2856</f>
        <v>32673896200</v>
      </c>
      <c r="F2844" s="915">
        <f>F2845+F2847+F2854+F2856</f>
        <v>31319655200</v>
      </c>
      <c r="G2844" s="855">
        <f t="shared" si="135"/>
        <v>95.855281562656131</v>
      </c>
      <c r="H2844" s="887">
        <f>(H2845+H2847+H2854+H2856)/4</f>
        <v>74.5</v>
      </c>
      <c r="I2844" s="852"/>
      <c r="J2844" s="802"/>
    </row>
    <row r="2845" spans="3:10" s="2" customFormat="1" ht="20.100000000000001" hidden="1" customHeight="1">
      <c r="C2845" s="878"/>
      <c r="D2845" s="917" t="s">
        <v>388</v>
      </c>
      <c r="E2845" s="916">
        <f>SUM(E2846:E2846)</f>
        <v>300000000</v>
      </c>
      <c r="F2845" s="915">
        <f>SUM(F2846:F2846)</f>
        <v>300000000</v>
      </c>
      <c r="G2845" s="855">
        <f t="shared" si="135"/>
        <v>100</v>
      </c>
      <c r="H2845" s="887">
        <f>+G2845</f>
        <v>100</v>
      </c>
      <c r="I2845" s="852"/>
      <c r="J2845" s="802"/>
    </row>
    <row r="2846" spans="3:10" s="2" customFormat="1" ht="20.100000000000001" hidden="1" customHeight="1">
      <c r="C2846" s="878"/>
      <c r="D2846" s="914" t="s">
        <v>3085</v>
      </c>
      <c r="E2846" s="920">
        <v>300000000</v>
      </c>
      <c r="F2846" s="920">
        <v>300000000</v>
      </c>
      <c r="G2846" s="855">
        <f t="shared" si="135"/>
        <v>100</v>
      </c>
      <c r="H2846" s="887">
        <f>+G2846</f>
        <v>100</v>
      </c>
      <c r="I2846" s="852"/>
      <c r="J2846" s="802"/>
    </row>
    <row r="2847" spans="3:10" s="2" customFormat="1" ht="20.100000000000001" hidden="1" customHeight="1">
      <c r="C2847" s="878"/>
      <c r="D2847" s="917" t="s">
        <v>394</v>
      </c>
      <c r="E2847" s="916">
        <f>SUM(E2848:E2853)</f>
        <v>23824811000</v>
      </c>
      <c r="F2847" s="916">
        <f>SUM(F2848:F2853)</f>
        <v>23754066000</v>
      </c>
      <c r="G2847" s="855">
        <f t="shared" si="135"/>
        <v>99.703061652829064</v>
      </c>
      <c r="H2847" s="887">
        <f>SUM((H2848:H2853))/6</f>
        <v>100</v>
      </c>
      <c r="I2847" s="852"/>
      <c r="J2847" s="802"/>
    </row>
    <row r="2848" spans="3:10" s="2" customFormat="1" ht="20.100000000000001" hidden="1" customHeight="1">
      <c r="C2848" s="878"/>
      <c r="D2848" s="914" t="s">
        <v>3084</v>
      </c>
      <c r="E2848" s="920">
        <v>1132000000</v>
      </c>
      <c r="F2848" s="920">
        <v>1132000000</v>
      </c>
      <c r="G2848" s="855">
        <f t="shared" si="135"/>
        <v>100</v>
      </c>
      <c r="H2848" s="887">
        <f>+G2848</f>
        <v>100</v>
      </c>
      <c r="I2848" s="852"/>
      <c r="J2848" s="802"/>
    </row>
    <row r="2849" spans="3:10" s="2" customFormat="1" ht="20.100000000000001" hidden="1" customHeight="1">
      <c r="C2849" s="878"/>
      <c r="D2849" s="914" t="s">
        <v>3083</v>
      </c>
      <c r="E2849" s="920">
        <v>564000000</v>
      </c>
      <c r="F2849" s="929">
        <v>560855000</v>
      </c>
      <c r="G2849" s="855">
        <f t="shared" si="135"/>
        <v>99.442375886524829</v>
      </c>
      <c r="H2849" s="887">
        <v>100</v>
      </c>
      <c r="I2849" s="852"/>
      <c r="J2849" s="802"/>
    </row>
    <row r="2850" spans="3:10" s="2" customFormat="1" ht="35.1" hidden="1" customHeight="1">
      <c r="C2850" s="878"/>
      <c r="D2850" s="914" t="s">
        <v>3082</v>
      </c>
      <c r="E2850" s="920">
        <v>12000000000</v>
      </c>
      <c r="F2850" s="928">
        <v>12000000000</v>
      </c>
      <c r="G2850" s="855">
        <f t="shared" si="135"/>
        <v>100</v>
      </c>
      <c r="H2850" s="887">
        <f>+G2850</f>
        <v>100</v>
      </c>
      <c r="I2850" s="852"/>
      <c r="J2850" s="802"/>
    </row>
    <row r="2851" spans="3:10" s="2" customFormat="1" ht="20.100000000000001" hidden="1" customHeight="1">
      <c r="C2851" s="878"/>
      <c r="D2851" s="914" t="s">
        <v>3081</v>
      </c>
      <c r="E2851" s="920">
        <v>5222511000</v>
      </c>
      <c r="F2851" s="912">
        <v>5176211000</v>
      </c>
      <c r="G2851" s="855">
        <f t="shared" si="135"/>
        <v>99.113453279466526</v>
      </c>
      <c r="H2851" s="887">
        <v>100</v>
      </c>
      <c r="I2851" s="852"/>
      <c r="J2851" s="802"/>
    </row>
    <row r="2852" spans="3:10" s="2" customFormat="1" ht="20.100000000000001" hidden="1" customHeight="1">
      <c r="C2852" s="878"/>
      <c r="D2852" s="914" t="s">
        <v>3080</v>
      </c>
      <c r="E2852" s="920">
        <v>4320000000</v>
      </c>
      <c r="F2852" s="912">
        <v>4320000000</v>
      </c>
      <c r="G2852" s="855">
        <f t="shared" si="135"/>
        <v>100</v>
      </c>
      <c r="H2852" s="887">
        <f>+G2852</f>
        <v>100</v>
      </c>
      <c r="I2852" s="852"/>
      <c r="J2852" s="802"/>
    </row>
    <row r="2853" spans="3:10" s="2" customFormat="1" ht="47.25" hidden="1" customHeight="1">
      <c r="C2853" s="878"/>
      <c r="D2853" s="914" t="s">
        <v>3079</v>
      </c>
      <c r="E2853" s="920">
        <v>586300000</v>
      </c>
      <c r="F2853" s="912">
        <v>565000000</v>
      </c>
      <c r="G2853" s="855">
        <f t="shared" si="135"/>
        <v>96.367047586559778</v>
      </c>
      <c r="H2853" s="887">
        <v>100</v>
      </c>
      <c r="I2853" s="852"/>
      <c r="J2853" s="802"/>
    </row>
    <row r="2854" spans="3:10" s="2" customFormat="1" ht="20.100000000000001" hidden="1" customHeight="1">
      <c r="C2854" s="878"/>
      <c r="D2854" s="917" t="s">
        <v>106</v>
      </c>
      <c r="E2854" s="916">
        <f>SUM(E2855:E2855)</f>
        <v>800000000</v>
      </c>
      <c r="F2854" s="915">
        <f>SUM(F2855:F2855)</f>
        <v>16504000</v>
      </c>
      <c r="G2854" s="855">
        <f t="shared" si="135"/>
        <v>2.0629999999999997</v>
      </c>
      <c r="H2854" s="887">
        <v>3</v>
      </c>
      <c r="I2854" s="852"/>
      <c r="J2854" s="802"/>
    </row>
    <row r="2855" spans="3:10" s="2" customFormat="1" ht="20.100000000000001" hidden="1" customHeight="1">
      <c r="C2855" s="878"/>
      <c r="D2855" s="914" t="s">
        <v>3078</v>
      </c>
      <c r="E2855" s="920">
        <v>800000000</v>
      </c>
      <c r="F2855" s="912">
        <v>16504000</v>
      </c>
      <c r="G2855" s="855">
        <f t="shared" si="135"/>
        <v>2.0629999999999997</v>
      </c>
      <c r="H2855" s="887">
        <v>3</v>
      </c>
      <c r="I2855" s="852"/>
      <c r="J2855" s="802"/>
    </row>
    <row r="2856" spans="3:10" s="2" customFormat="1" ht="20.100000000000001" hidden="1" customHeight="1">
      <c r="C2856" s="878"/>
      <c r="D2856" s="917" t="s">
        <v>2075</v>
      </c>
      <c r="E2856" s="916">
        <f>SUM(E2857:E2857)</f>
        <v>7749085200</v>
      </c>
      <c r="F2856" s="915">
        <f>SUM(F2857:F2857)</f>
        <v>7249085200</v>
      </c>
      <c r="G2856" s="855">
        <f t="shared" si="135"/>
        <v>93.547625466809933</v>
      </c>
      <c r="H2856" s="887">
        <v>95</v>
      </c>
      <c r="I2856" s="852"/>
      <c r="J2856" s="802"/>
    </row>
    <row r="2857" spans="3:10" s="2" customFormat="1" ht="35.1" hidden="1" customHeight="1">
      <c r="C2857" s="878"/>
      <c r="D2857" s="914" t="s">
        <v>3077</v>
      </c>
      <c r="E2857" s="920">
        <v>7749085200</v>
      </c>
      <c r="F2857" s="912">
        <v>7249085200</v>
      </c>
      <c r="G2857" s="855">
        <f t="shared" si="135"/>
        <v>93.547625466809933</v>
      </c>
      <c r="H2857" s="887">
        <v>95</v>
      </c>
      <c r="I2857" s="852"/>
      <c r="J2857" s="802"/>
    </row>
    <row r="2858" spans="3:10" s="2" customFormat="1" ht="15" hidden="1" customHeight="1">
      <c r="C2858" s="878"/>
      <c r="D2858" s="927"/>
      <c r="E2858" s="926">
        <f>E2859+E2877</f>
        <v>15948248100</v>
      </c>
      <c r="F2858" s="926">
        <f>F2859+F2878</f>
        <v>13949832300</v>
      </c>
      <c r="G2858" s="855">
        <f t="shared" si="135"/>
        <v>87.469371008844547</v>
      </c>
      <c r="H2858" s="887">
        <f>+G2858</f>
        <v>87.469371008844547</v>
      </c>
      <c r="I2858" s="852"/>
      <c r="J2858" s="802"/>
    </row>
    <row r="2859" spans="3:10" s="2" customFormat="1" ht="20.100000000000001" hidden="1" customHeight="1">
      <c r="C2859" s="878"/>
      <c r="D2859" s="889" t="s">
        <v>65</v>
      </c>
      <c r="E2859" s="916">
        <f>E2860+E2862+E2867+E2869+E2871+E2873</f>
        <v>13948298100</v>
      </c>
      <c r="F2859" s="916">
        <f>F2860+F2862+F2867+F2869+F2871+F2873</f>
        <v>12367906300</v>
      </c>
      <c r="G2859" s="855">
        <f t="shared" si="135"/>
        <v>88.669644219892319</v>
      </c>
      <c r="H2859" s="887">
        <f>(H2860+H2862+H2867+H2869+H2871+H2873)/6</f>
        <v>99.375</v>
      </c>
      <c r="I2859" s="852"/>
      <c r="J2859" s="802"/>
    </row>
    <row r="2860" spans="3:10" s="2" customFormat="1" ht="20.100000000000001" hidden="1" customHeight="1">
      <c r="C2860" s="878"/>
      <c r="D2860" s="917" t="s">
        <v>162</v>
      </c>
      <c r="E2860" s="916">
        <f>SUM(E2861)</f>
        <v>1032200000</v>
      </c>
      <c r="F2860" s="915">
        <f>SUM(F2861)</f>
        <v>1025490700</v>
      </c>
      <c r="G2860" s="855">
        <f t="shared" si="135"/>
        <v>99.350000000000009</v>
      </c>
      <c r="H2860" s="887">
        <v>100</v>
      </c>
      <c r="I2860" s="852"/>
      <c r="J2860" s="802"/>
    </row>
    <row r="2861" spans="3:10" s="2" customFormat="1" ht="20.100000000000001" hidden="1" customHeight="1">
      <c r="C2861" s="878"/>
      <c r="D2861" s="914" t="s">
        <v>1504</v>
      </c>
      <c r="E2861" s="920">
        <v>1032200000</v>
      </c>
      <c r="F2861" s="912">
        <v>1025490700</v>
      </c>
      <c r="G2861" s="855">
        <f t="shared" si="135"/>
        <v>99.350000000000009</v>
      </c>
      <c r="H2861" s="887">
        <v>100</v>
      </c>
      <c r="I2861" s="852"/>
      <c r="J2861" s="802"/>
    </row>
    <row r="2862" spans="3:10" s="2" customFormat="1" ht="20.100000000000001" hidden="1" customHeight="1">
      <c r="C2862" s="878"/>
      <c r="D2862" s="917" t="s">
        <v>173</v>
      </c>
      <c r="E2862" s="916">
        <f>SUM(E2863:E2866)</f>
        <v>10314450000</v>
      </c>
      <c r="F2862" s="915">
        <f>SUM(F2863:F2866)</f>
        <v>8743130000</v>
      </c>
      <c r="G2862" s="855">
        <f t="shared" si="135"/>
        <v>84.76583821725832</v>
      </c>
      <c r="H2862" s="887">
        <f>SUM((H2863:H2866))/4</f>
        <v>96.25</v>
      </c>
      <c r="I2862" s="852"/>
      <c r="J2862" s="802"/>
    </row>
    <row r="2863" spans="3:10" s="2" customFormat="1" ht="20.100000000000001" hidden="1" customHeight="1">
      <c r="C2863" s="878"/>
      <c r="D2863" s="914" t="s">
        <v>2346</v>
      </c>
      <c r="E2863" s="920">
        <v>77400000</v>
      </c>
      <c r="F2863" s="912">
        <v>77400000</v>
      </c>
      <c r="G2863" s="855">
        <f t="shared" si="135"/>
        <v>100</v>
      </c>
      <c r="H2863" s="887">
        <f>+G2863</f>
        <v>100</v>
      </c>
      <c r="I2863" s="852"/>
      <c r="J2863" s="802"/>
    </row>
    <row r="2864" spans="3:10" s="2" customFormat="1" ht="20.100000000000001" hidden="1" customHeight="1">
      <c r="C2864" s="878"/>
      <c r="D2864" s="914" t="s">
        <v>414</v>
      </c>
      <c r="E2864" s="920">
        <v>9582000000</v>
      </c>
      <c r="F2864" s="912">
        <v>8011450000</v>
      </c>
      <c r="G2864" s="855">
        <f t="shared" si="135"/>
        <v>83.609371738676685</v>
      </c>
      <c r="H2864" s="887">
        <v>85</v>
      </c>
      <c r="I2864" s="852"/>
      <c r="J2864" s="802"/>
    </row>
    <row r="2865" spans="3:10" s="2" customFormat="1" ht="35.1" hidden="1" customHeight="1">
      <c r="C2865" s="878"/>
      <c r="D2865" s="914" t="s">
        <v>3076</v>
      </c>
      <c r="E2865" s="920">
        <v>176300000</v>
      </c>
      <c r="F2865" s="912">
        <v>176300000</v>
      </c>
      <c r="G2865" s="855">
        <f t="shared" si="135"/>
        <v>100</v>
      </c>
      <c r="H2865" s="887">
        <f>+G2865</f>
        <v>100</v>
      </c>
      <c r="I2865" s="852"/>
      <c r="J2865" s="802"/>
    </row>
    <row r="2866" spans="3:10" s="2" customFormat="1" ht="35.1" hidden="1" customHeight="1">
      <c r="C2866" s="878"/>
      <c r="D2866" s="914" t="s">
        <v>3075</v>
      </c>
      <c r="E2866" s="920">
        <v>478750000</v>
      </c>
      <c r="F2866" s="912">
        <v>477980000</v>
      </c>
      <c r="G2866" s="855">
        <f t="shared" si="135"/>
        <v>99.83916449086162</v>
      </c>
      <c r="H2866" s="887">
        <v>100</v>
      </c>
      <c r="I2866" s="852"/>
      <c r="J2866" s="802"/>
    </row>
    <row r="2867" spans="3:10" s="2" customFormat="1" ht="20.100000000000001" hidden="1" customHeight="1">
      <c r="C2867" s="878"/>
      <c r="D2867" s="917" t="s">
        <v>190</v>
      </c>
      <c r="E2867" s="916">
        <f>SUM(E2868:E2868)</f>
        <v>750487500</v>
      </c>
      <c r="F2867" s="342">
        <f>SUM(F2868:F2868)</f>
        <v>748125000</v>
      </c>
      <c r="G2867" s="855">
        <f t="shared" si="135"/>
        <v>99.685204616998945</v>
      </c>
      <c r="H2867" s="887">
        <v>100</v>
      </c>
      <c r="I2867" s="852"/>
      <c r="J2867" s="802"/>
    </row>
    <row r="2868" spans="3:10" s="2" customFormat="1" ht="20.100000000000001" hidden="1" customHeight="1">
      <c r="C2868" s="878"/>
      <c r="D2868" s="914" t="s">
        <v>3074</v>
      </c>
      <c r="E2868" s="920">
        <v>750487500</v>
      </c>
      <c r="F2868" s="912">
        <v>748125000</v>
      </c>
      <c r="G2868" s="855">
        <f t="shared" si="135"/>
        <v>99.685204616998945</v>
      </c>
      <c r="H2868" s="887">
        <v>100</v>
      </c>
      <c r="I2868" s="852"/>
      <c r="J2868" s="802"/>
    </row>
    <row r="2869" spans="3:10" s="2" customFormat="1" ht="20.100000000000001" hidden="1" customHeight="1">
      <c r="C2869" s="878"/>
      <c r="D2869" s="917" t="s">
        <v>953</v>
      </c>
      <c r="E2869" s="916">
        <f>SUM(E2870:E2870)</f>
        <v>834000000</v>
      </c>
      <c r="F2869" s="342">
        <f>SUM(F2870:F2870)</f>
        <v>834000000</v>
      </c>
      <c r="G2869" s="855">
        <f t="shared" si="135"/>
        <v>100</v>
      </c>
      <c r="H2869" s="887">
        <f t="shared" ref="H2869:H2875" si="136">+G2869</f>
        <v>100</v>
      </c>
      <c r="I2869" s="852"/>
      <c r="J2869" s="802"/>
    </row>
    <row r="2870" spans="3:10" s="2" customFormat="1" ht="35.1" hidden="1" customHeight="1">
      <c r="C2870" s="878"/>
      <c r="D2870" s="914" t="s">
        <v>3073</v>
      </c>
      <c r="E2870" s="920">
        <v>834000000</v>
      </c>
      <c r="F2870" s="912">
        <v>834000000</v>
      </c>
      <c r="G2870" s="855">
        <f t="shared" si="135"/>
        <v>100</v>
      </c>
      <c r="H2870" s="887">
        <f t="shared" si="136"/>
        <v>100</v>
      </c>
      <c r="I2870" s="852"/>
      <c r="J2870" s="802"/>
    </row>
    <row r="2871" spans="3:10" s="2" customFormat="1" ht="20.100000000000001" hidden="1" customHeight="1">
      <c r="C2871" s="878"/>
      <c r="D2871" s="917" t="s">
        <v>212</v>
      </c>
      <c r="E2871" s="916">
        <f>SUM(E2872:E2872)</f>
        <v>350000000</v>
      </c>
      <c r="F2871" s="342">
        <f>F2872</f>
        <v>350000000</v>
      </c>
      <c r="G2871" s="855">
        <f t="shared" si="135"/>
        <v>100</v>
      </c>
      <c r="H2871" s="887">
        <f t="shared" si="136"/>
        <v>100</v>
      </c>
      <c r="I2871" s="852"/>
      <c r="J2871" s="802"/>
    </row>
    <row r="2872" spans="3:10" s="2" customFormat="1" ht="35.1" hidden="1" customHeight="1">
      <c r="C2872" s="878"/>
      <c r="D2872" s="914" t="s">
        <v>1616</v>
      </c>
      <c r="E2872" s="920">
        <v>350000000</v>
      </c>
      <c r="F2872" s="912">
        <v>350000000</v>
      </c>
      <c r="G2872" s="855">
        <f t="shared" si="135"/>
        <v>100</v>
      </c>
      <c r="H2872" s="887">
        <f t="shared" si="136"/>
        <v>100</v>
      </c>
      <c r="I2872" s="852"/>
      <c r="J2872" s="802"/>
    </row>
    <row r="2873" spans="3:10" s="2" customFormat="1" ht="20.100000000000001" hidden="1" customHeight="1">
      <c r="C2873" s="878"/>
      <c r="D2873" s="917" t="s">
        <v>877</v>
      </c>
      <c r="E2873" s="916">
        <f>SUM(E2874:E2875)</f>
        <v>667160600</v>
      </c>
      <c r="F2873" s="915">
        <f>SUM(F2874:F2875)</f>
        <v>667160600</v>
      </c>
      <c r="G2873" s="855">
        <f t="shared" si="135"/>
        <v>100</v>
      </c>
      <c r="H2873" s="887">
        <f t="shared" si="136"/>
        <v>100</v>
      </c>
      <c r="I2873" s="852"/>
      <c r="J2873" s="802"/>
    </row>
    <row r="2874" spans="3:10" s="2" customFormat="1" ht="20.100000000000001" hidden="1" customHeight="1">
      <c r="C2874" s="878"/>
      <c r="D2874" s="914" t="s">
        <v>3072</v>
      </c>
      <c r="E2874" s="920">
        <v>266160600</v>
      </c>
      <c r="F2874" s="912">
        <v>266160600</v>
      </c>
      <c r="G2874" s="855">
        <f t="shared" si="135"/>
        <v>100</v>
      </c>
      <c r="H2874" s="887">
        <f t="shared" si="136"/>
        <v>100</v>
      </c>
      <c r="I2874" s="852"/>
      <c r="J2874" s="802"/>
    </row>
    <row r="2875" spans="3:10" s="2" customFormat="1" ht="20.100000000000001" hidden="1" customHeight="1">
      <c r="C2875" s="878"/>
      <c r="D2875" s="914" t="s">
        <v>2961</v>
      </c>
      <c r="E2875" s="920">
        <v>401000000</v>
      </c>
      <c r="F2875" s="912">
        <v>401000000</v>
      </c>
      <c r="G2875" s="855">
        <f t="shared" si="135"/>
        <v>100</v>
      </c>
      <c r="H2875" s="887">
        <f t="shared" si="136"/>
        <v>100</v>
      </c>
      <c r="I2875" s="852"/>
      <c r="J2875" s="802"/>
    </row>
    <row r="2876" spans="3:10" s="2" customFormat="1" ht="15" hidden="1" customHeight="1">
      <c r="C2876" s="878"/>
      <c r="D2876" s="893"/>
      <c r="E2876" s="918"/>
      <c r="F2876" s="340"/>
      <c r="G2876" s="855"/>
      <c r="H2876" s="887"/>
      <c r="I2876" s="852"/>
      <c r="J2876" s="802"/>
    </row>
    <row r="2877" spans="3:10" s="2" customFormat="1" ht="20.100000000000001" hidden="1" customHeight="1">
      <c r="C2877" s="878"/>
      <c r="D2877" s="889" t="s">
        <v>1231</v>
      </c>
      <c r="E2877" s="915">
        <f>E2878</f>
        <v>1999950000</v>
      </c>
      <c r="F2877" s="342">
        <f>F2878</f>
        <v>1581926000</v>
      </c>
      <c r="G2877" s="855">
        <f>+F2877/E2877*100</f>
        <v>79.09827745693643</v>
      </c>
      <c r="H2877" s="887">
        <f>H2878</f>
        <v>85</v>
      </c>
      <c r="I2877" s="852"/>
      <c r="J2877" s="802"/>
    </row>
    <row r="2878" spans="3:10" s="2" customFormat="1" ht="20.100000000000001" hidden="1" customHeight="1">
      <c r="C2878" s="878"/>
      <c r="D2878" s="917" t="s">
        <v>1171</v>
      </c>
      <c r="E2878" s="916">
        <f>SUM(E2879:E2880)</f>
        <v>1999950000</v>
      </c>
      <c r="F2878" s="915">
        <f>F2879+F2880</f>
        <v>1581926000</v>
      </c>
      <c r="G2878" s="855">
        <f>+F2878/E2878*100</f>
        <v>79.09827745693643</v>
      </c>
      <c r="H2878" s="887">
        <f>170/2</f>
        <v>85</v>
      </c>
      <c r="I2878" s="852"/>
      <c r="J2878" s="802"/>
    </row>
    <row r="2879" spans="3:10" s="2" customFormat="1" ht="20.100000000000001" hidden="1" customHeight="1">
      <c r="C2879" s="878"/>
      <c r="D2879" s="925" t="s">
        <v>3071</v>
      </c>
      <c r="E2879" s="918">
        <v>1357950000</v>
      </c>
      <c r="F2879" s="912">
        <v>1026926000</v>
      </c>
      <c r="G2879" s="855">
        <f>+F2879/E2879*100</f>
        <v>75.623255642696705</v>
      </c>
      <c r="H2879" s="887">
        <v>80</v>
      </c>
      <c r="I2879" s="852"/>
      <c r="J2879" s="802"/>
    </row>
    <row r="2880" spans="3:10" s="2" customFormat="1" ht="20.100000000000001" hidden="1" customHeight="1">
      <c r="C2880" s="878"/>
      <c r="D2880" s="925" t="s">
        <v>3070</v>
      </c>
      <c r="E2880" s="918">
        <v>642000000</v>
      </c>
      <c r="F2880" s="912">
        <v>555000000</v>
      </c>
      <c r="G2880" s="855">
        <f>+F2880/E2880*100</f>
        <v>86.44859813084112</v>
      </c>
      <c r="H2880" s="887">
        <v>90</v>
      </c>
      <c r="I2880" s="852"/>
      <c r="J2880" s="802"/>
    </row>
    <row r="2881" spans="3:10" s="2" customFormat="1" ht="15" hidden="1" customHeight="1">
      <c r="C2881" s="878"/>
      <c r="D2881" s="893"/>
      <c r="E2881" s="918"/>
      <c r="F2881" s="340"/>
      <c r="G2881" s="855"/>
      <c r="H2881" s="887"/>
      <c r="I2881" s="852"/>
      <c r="J2881" s="802"/>
    </row>
    <row r="2882" spans="3:10" s="2" customFormat="1" ht="20.100000000000001" hidden="1" customHeight="1">
      <c r="C2882" s="878"/>
      <c r="D2882" s="889" t="s">
        <v>2173</v>
      </c>
      <c r="E2882" s="919">
        <f>E2883</f>
        <v>1999950000</v>
      </c>
      <c r="F2882" s="342">
        <f>F2883</f>
        <v>8200000</v>
      </c>
      <c r="G2882" s="855">
        <f>+F2882/E2882*100</f>
        <v>0.41001025025625643</v>
      </c>
      <c r="H2882" s="887">
        <v>1</v>
      </c>
      <c r="I2882" s="852"/>
      <c r="J2882" s="802"/>
    </row>
    <row r="2883" spans="3:10" s="2" customFormat="1" ht="20.100000000000001" hidden="1" customHeight="1">
      <c r="C2883" s="878"/>
      <c r="D2883" s="917" t="s">
        <v>1529</v>
      </c>
      <c r="E2883" s="916">
        <f>SUM(E2884:E2884)</f>
        <v>1999950000</v>
      </c>
      <c r="F2883" s="342">
        <f>F2884</f>
        <v>8200000</v>
      </c>
      <c r="G2883" s="855">
        <f>+F2883/E2883*100</f>
        <v>0.41001025025625643</v>
      </c>
      <c r="H2883" s="887">
        <v>1</v>
      </c>
      <c r="I2883" s="852"/>
      <c r="J2883" s="802"/>
    </row>
    <row r="2884" spans="3:10" s="2" customFormat="1" ht="20.100000000000001" hidden="1" customHeight="1">
      <c r="C2884" s="878"/>
      <c r="D2884" s="914" t="s">
        <v>2956</v>
      </c>
      <c r="E2884" s="913">
        <v>1999950000</v>
      </c>
      <c r="F2884" s="912">
        <v>8200000</v>
      </c>
      <c r="G2884" s="855">
        <f>+F2884/E2884*100</f>
        <v>0.41001025025625643</v>
      </c>
      <c r="H2884" s="887">
        <v>1</v>
      </c>
      <c r="I2884" s="852"/>
      <c r="J2884" s="802"/>
    </row>
    <row r="2885" spans="3:10" s="2" customFormat="1" ht="15" hidden="1" customHeight="1">
      <c r="C2885" s="878"/>
      <c r="D2885" s="924"/>
      <c r="E2885" s="913"/>
      <c r="F2885" s="340"/>
      <c r="G2885" s="855"/>
      <c r="H2885" s="887"/>
      <c r="I2885" s="852"/>
      <c r="J2885" s="802"/>
    </row>
    <row r="2886" spans="3:10" s="2" customFormat="1" ht="20.100000000000001" hidden="1" customHeight="1">
      <c r="C2886" s="878"/>
      <c r="D2886" s="889" t="s">
        <v>642</v>
      </c>
      <c r="E2886" s="915">
        <f>E2887</f>
        <v>2548000000</v>
      </c>
      <c r="F2886" s="342">
        <f>F2887</f>
        <v>2544000000</v>
      </c>
      <c r="G2886" s="855">
        <f>+F2886/E2886*100</f>
        <v>99.843014128728413</v>
      </c>
      <c r="H2886" s="887">
        <v>100</v>
      </c>
      <c r="I2886" s="852"/>
      <c r="J2886" s="802"/>
    </row>
    <row r="2887" spans="3:10" s="2" customFormat="1" ht="20.100000000000001" hidden="1" customHeight="1">
      <c r="C2887" s="878"/>
      <c r="D2887" s="917" t="s">
        <v>1953</v>
      </c>
      <c r="E2887" s="916">
        <f>E2888</f>
        <v>2548000000</v>
      </c>
      <c r="F2887" s="915">
        <f>F2888</f>
        <v>2544000000</v>
      </c>
      <c r="G2887" s="855">
        <f>+F2887/E2887*100</f>
        <v>99.843014128728413</v>
      </c>
      <c r="H2887" s="887">
        <v>100</v>
      </c>
      <c r="I2887" s="852"/>
      <c r="J2887" s="802"/>
    </row>
    <row r="2888" spans="3:10" s="2" customFormat="1" ht="35.1" hidden="1" customHeight="1">
      <c r="C2888" s="878"/>
      <c r="D2888" s="914" t="s">
        <v>3069</v>
      </c>
      <c r="E2888" s="920">
        <v>2548000000</v>
      </c>
      <c r="F2888" s="912">
        <v>2544000000</v>
      </c>
      <c r="G2888" s="855">
        <f>+F2888/E2888*100</f>
        <v>99.843014128728413</v>
      </c>
      <c r="H2888" s="887">
        <v>100</v>
      </c>
      <c r="I2888" s="852"/>
      <c r="J2888" s="802"/>
    </row>
    <row r="2889" spans="3:10" s="2" customFormat="1" ht="15" hidden="1" customHeight="1">
      <c r="C2889" s="878"/>
      <c r="D2889" s="893"/>
      <c r="E2889" s="918"/>
      <c r="F2889" s="340"/>
      <c r="G2889" s="855"/>
      <c r="H2889" s="887"/>
      <c r="I2889" s="852"/>
      <c r="J2889" s="802"/>
    </row>
    <row r="2890" spans="3:10" s="2" customFormat="1" ht="20.100000000000001" hidden="1" customHeight="1">
      <c r="C2890" s="878"/>
      <c r="D2890" s="889" t="s">
        <v>522</v>
      </c>
      <c r="E2890" s="919">
        <f>E2891</f>
        <v>690150000</v>
      </c>
      <c r="F2890" s="342">
        <f>F2891</f>
        <v>690150000</v>
      </c>
      <c r="G2890" s="855">
        <f>+F2890/E2890*100</f>
        <v>100</v>
      </c>
      <c r="H2890" s="887">
        <f>+G2890</f>
        <v>100</v>
      </c>
      <c r="I2890" s="852"/>
      <c r="J2890" s="802"/>
    </row>
    <row r="2891" spans="3:10" s="2" customFormat="1" ht="20.100000000000001" hidden="1" customHeight="1">
      <c r="C2891" s="878"/>
      <c r="D2891" s="917" t="s">
        <v>1635</v>
      </c>
      <c r="E2891" s="919">
        <f>SUM(E2892:E2892)</f>
        <v>690150000</v>
      </c>
      <c r="F2891" s="915">
        <f>F2892</f>
        <v>690150000</v>
      </c>
      <c r="G2891" s="855">
        <f>+F2891/E2891*100</f>
        <v>100</v>
      </c>
      <c r="H2891" s="887">
        <f>+G2891</f>
        <v>100</v>
      </c>
      <c r="I2891" s="852"/>
      <c r="J2891" s="802"/>
    </row>
    <row r="2892" spans="3:10" s="2" customFormat="1" ht="35.1" hidden="1" customHeight="1">
      <c r="C2892" s="878"/>
      <c r="D2892" s="923" t="s">
        <v>3068</v>
      </c>
      <c r="E2892" s="913">
        <v>690150000</v>
      </c>
      <c r="F2892" s="912">
        <v>690150000</v>
      </c>
      <c r="G2892" s="855">
        <f>+F2892/E2892*100</f>
        <v>100</v>
      </c>
      <c r="H2892" s="887">
        <f>+G2892</f>
        <v>100</v>
      </c>
      <c r="I2892" s="852"/>
      <c r="J2892" s="802"/>
    </row>
    <row r="2893" spans="3:10" s="2" customFormat="1" ht="15" hidden="1" customHeight="1">
      <c r="C2893" s="878"/>
      <c r="D2893" s="893"/>
      <c r="E2893" s="918"/>
      <c r="F2893" s="340"/>
      <c r="G2893" s="855"/>
      <c r="H2893" s="887"/>
      <c r="I2893" s="852"/>
      <c r="J2893" s="802"/>
    </row>
    <row r="2894" spans="3:10" s="2" customFormat="1" ht="20.100000000000001" hidden="1" customHeight="1">
      <c r="C2894" s="878"/>
      <c r="D2894" s="889" t="s">
        <v>2178</v>
      </c>
      <c r="E2894" s="915">
        <f>E2895</f>
        <v>1402700000</v>
      </c>
      <c r="F2894" s="342">
        <f>F2895</f>
        <v>1402700000</v>
      </c>
      <c r="G2894" s="855">
        <f>+F2894/E2894*100</f>
        <v>100</v>
      </c>
      <c r="H2894" s="887">
        <f>+G2894</f>
        <v>100</v>
      </c>
      <c r="I2894" s="852"/>
      <c r="J2894" s="802"/>
    </row>
    <row r="2895" spans="3:10" s="2" customFormat="1" ht="20.100000000000001" hidden="1" customHeight="1">
      <c r="C2895" s="878"/>
      <c r="D2895" s="917" t="s">
        <v>1433</v>
      </c>
      <c r="E2895" s="915">
        <f>SUM(E2896:E2896)</f>
        <v>1402700000</v>
      </c>
      <c r="F2895" s="915">
        <f>F2896</f>
        <v>1402700000</v>
      </c>
      <c r="G2895" s="855">
        <f>+F2895/E2895*100</f>
        <v>100</v>
      </c>
      <c r="H2895" s="887">
        <f>+G2895</f>
        <v>100</v>
      </c>
      <c r="I2895" s="852"/>
      <c r="J2895" s="802"/>
    </row>
    <row r="2896" spans="3:10" s="2" customFormat="1" ht="35.1" hidden="1" customHeight="1">
      <c r="C2896" s="878"/>
      <c r="D2896" s="914" t="s">
        <v>3067</v>
      </c>
      <c r="E2896" s="918">
        <v>1402700000</v>
      </c>
      <c r="F2896" s="912">
        <v>1402700000</v>
      </c>
      <c r="G2896" s="855">
        <f>+F2896/E2896*100</f>
        <v>100</v>
      </c>
      <c r="H2896" s="887">
        <f>+G2896</f>
        <v>100</v>
      </c>
      <c r="I2896" s="852"/>
      <c r="J2896" s="802"/>
    </row>
    <row r="2897" spans="3:10" s="2" customFormat="1" ht="15" hidden="1" customHeight="1">
      <c r="C2897" s="878"/>
      <c r="D2897" s="893"/>
      <c r="E2897" s="918"/>
      <c r="F2897" s="340"/>
      <c r="G2897" s="855"/>
      <c r="H2897" s="887"/>
      <c r="I2897" s="852"/>
      <c r="J2897" s="802"/>
    </row>
    <row r="2898" spans="3:10" s="2" customFormat="1" ht="20.100000000000001" hidden="1" customHeight="1">
      <c r="C2898" s="878"/>
      <c r="D2898" s="889" t="s">
        <v>2182</v>
      </c>
      <c r="E2898" s="915">
        <f>E2899</f>
        <v>348000000</v>
      </c>
      <c r="F2898" s="342">
        <f>F2899</f>
        <v>345000000</v>
      </c>
      <c r="G2898" s="855">
        <f>+F2898/E2898*100</f>
        <v>99.137931034482762</v>
      </c>
      <c r="H2898" s="887">
        <v>100</v>
      </c>
      <c r="I2898" s="852"/>
      <c r="J2898" s="802"/>
    </row>
    <row r="2899" spans="3:10" s="2" customFormat="1" ht="20.100000000000001" hidden="1" customHeight="1">
      <c r="C2899" s="878"/>
      <c r="D2899" s="917" t="s">
        <v>286</v>
      </c>
      <c r="E2899" s="916">
        <f>SUM(E2900:E2900)</f>
        <v>348000000</v>
      </c>
      <c r="F2899" s="915">
        <f>F2900</f>
        <v>345000000</v>
      </c>
      <c r="G2899" s="855">
        <f>+F2899/E2899*100</f>
        <v>99.137931034482762</v>
      </c>
      <c r="H2899" s="887">
        <v>100</v>
      </c>
      <c r="I2899" s="852"/>
      <c r="J2899" s="802"/>
    </row>
    <row r="2900" spans="3:10" s="2" customFormat="1" ht="20.100000000000001" hidden="1" customHeight="1">
      <c r="C2900" s="878"/>
      <c r="D2900" s="914" t="s">
        <v>1514</v>
      </c>
      <c r="E2900" s="913">
        <v>348000000</v>
      </c>
      <c r="F2900" s="912">
        <v>345000000</v>
      </c>
      <c r="G2900" s="855">
        <f>+F2900/E2900*100</f>
        <v>99.137931034482762</v>
      </c>
      <c r="H2900" s="887">
        <v>100</v>
      </c>
      <c r="I2900" s="852"/>
      <c r="J2900" s="802"/>
    </row>
    <row r="2901" spans="3:10" s="2" customFormat="1" ht="20.100000000000001" hidden="1" customHeight="1">
      <c r="C2901" s="878"/>
      <c r="D2901" s="893"/>
      <c r="E2901" s="918"/>
      <c r="F2901" s="340"/>
      <c r="G2901" s="855"/>
      <c r="H2901" s="887"/>
      <c r="I2901" s="852"/>
      <c r="J2901" s="802"/>
    </row>
    <row r="2902" spans="3:10" s="2" customFormat="1" ht="20.100000000000001" hidden="1" customHeight="1">
      <c r="C2902" s="878"/>
      <c r="D2902" s="889" t="s">
        <v>2188</v>
      </c>
      <c r="E2902" s="922">
        <f>E2903+E2905</f>
        <v>2936582085</v>
      </c>
      <c r="F2902" s="342">
        <f>F2903+F2905</f>
        <v>2901998000</v>
      </c>
      <c r="G2902" s="855">
        <f>+F2902/E2902*100</f>
        <v>98.82230143755713</v>
      </c>
      <c r="H2902" s="887">
        <v>100</v>
      </c>
      <c r="I2902" s="852"/>
      <c r="J2902" s="802"/>
    </row>
    <row r="2903" spans="3:10" s="2" customFormat="1" ht="20.100000000000001" hidden="1" customHeight="1">
      <c r="C2903" s="878"/>
      <c r="D2903" s="917" t="s">
        <v>1849</v>
      </c>
      <c r="E2903" s="921">
        <f>SUM(E2904:E2904)</f>
        <v>2436582085</v>
      </c>
      <c r="F2903" s="915">
        <f>F2904</f>
        <v>2406498000</v>
      </c>
      <c r="G2903" s="855">
        <f>+F2903/E2903*100</f>
        <v>98.765316170335382</v>
      </c>
      <c r="H2903" s="887">
        <v>100</v>
      </c>
      <c r="I2903" s="852"/>
      <c r="J2903" s="802"/>
    </row>
    <row r="2904" spans="3:10" s="2" customFormat="1" ht="20.100000000000001" hidden="1" customHeight="1">
      <c r="C2904" s="878"/>
      <c r="D2904" s="914" t="s">
        <v>1427</v>
      </c>
      <c r="E2904" s="920">
        <v>2436582085</v>
      </c>
      <c r="F2904" s="912">
        <v>2406498000</v>
      </c>
      <c r="G2904" s="855">
        <f>+F2904/E2904*100</f>
        <v>98.765316170335382</v>
      </c>
      <c r="H2904" s="887">
        <v>100</v>
      </c>
      <c r="I2904" s="852"/>
      <c r="J2904" s="802"/>
    </row>
    <row r="2905" spans="3:10" ht="20.100000000000001" hidden="1" customHeight="1">
      <c r="C2905" s="878"/>
      <c r="D2905" s="917" t="s">
        <v>312</v>
      </c>
      <c r="E2905" s="916">
        <f>SUM(E2906:E2906)</f>
        <v>500000000</v>
      </c>
      <c r="F2905" s="342">
        <f>F2906</f>
        <v>495500000</v>
      </c>
      <c r="G2905" s="855">
        <f>+F2905/E2905*100</f>
        <v>99.1</v>
      </c>
      <c r="H2905" s="887">
        <v>100</v>
      </c>
      <c r="I2905" s="852"/>
      <c r="J2905" s="802"/>
    </row>
    <row r="2906" spans="3:10" ht="20.100000000000001" hidden="1" customHeight="1">
      <c r="C2906" s="878"/>
      <c r="D2906" s="914" t="s">
        <v>2940</v>
      </c>
      <c r="E2906" s="920">
        <v>500000000</v>
      </c>
      <c r="F2906" s="912">
        <v>495500000</v>
      </c>
      <c r="G2906" s="855">
        <f>+F2906/E2906*100</f>
        <v>99.1</v>
      </c>
      <c r="H2906" s="887">
        <v>100</v>
      </c>
      <c r="I2906" s="852"/>
      <c r="J2906" s="802"/>
    </row>
    <row r="2907" spans="3:10" ht="20.100000000000001" hidden="1" customHeight="1">
      <c r="C2907" s="878"/>
      <c r="D2907" s="893"/>
      <c r="E2907" s="918"/>
      <c r="F2907" s="340"/>
      <c r="G2907" s="855"/>
      <c r="H2907" s="887"/>
      <c r="I2907" s="852"/>
      <c r="J2907" s="802"/>
    </row>
    <row r="2908" spans="3:10" ht="20.100000000000001" hidden="1" customHeight="1">
      <c r="C2908" s="878"/>
      <c r="D2908" s="889" t="s">
        <v>3066</v>
      </c>
      <c r="E2908" s="915">
        <f>E2909</f>
        <v>1000000000</v>
      </c>
      <c r="F2908" s="915">
        <f>F2909</f>
        <v>994445000</v>
      </c>
      <c r="G2908" s="855">
        <f>+F2908/E2908*100</f>
        <v>99.444500000000005</v>
      </c>
      <c r="H2908" s="887">
        <v>100</v>
      </c>
      <c r="I2908" s="852"/>
      <c r="J2908" s="802"/>
    </row>
    <row r="2909" spans="3:10" ht="20.100000000000001" hidden="1" customHeight="1">
      <c r="C2909" s="878"/>
      <c r="D2909" s="917" t="s">
        <v>1896</v>
      </c>
      <c r="E2909" s="919">
        <f>SUM(E2910:E2910)</f>
        <v>1000000000</v>
      </c>
      <c r="F2909" s="915">
        <f>F2910</f>
        <v>994445000</v>
      </c>
      <c r="G2909" s="855">
        <f>+F2909/E2909*100</f>
        <v>99.444500000000005</v>
      </c>
      <c r="H2909" s="887">
        <v>100</v>
      </c>
      <c r="I2909" s="852"/>
      <c r="J2909" s="802"/>
    </row>
    <row r="2910" spans="3:10" ht="20.100000000000001" hidden="1" customHeight="1">
      <c r="C2910" s="878"/>
      <c r="D2910" s="914" t="s">
        <v>2340</v>
      </c>
      <c r="E2910" s="913">
        <v>1000000000</v>
      </c>
      <c r="F2910" s="912">
        <v>994445000</v>
      </c>
      <c r="G2910" s="855">
        <f>+F2910/E2910*100</f>
        <v>99.444500000000005</v>
      </c>
      <c r="H2910" s="887">
        <v>100</v>
      </c>
      <c r="I2910" s="852"/>
      <c r="J2910" s="802"/>
    </row>
    <row r="2911" spans="3:10" ht="20.100000000000001" hidden="1" customHeight="1">
      <c r="C2911" s="878"/>
      <c r="D2911" s="893"/>
      <c r="E2911" s="918"/>
      <c r="F2911" s="340"/>
      <c r="G2911" s="855"/>
      <c r="H2911" s="887"/>
      <c r="I2911" s="852"/>
      <c r="J2911" s="802"/>
    </row>
    <row r="2912" spans="3:10" ht="35.1" hidden="1" customHeight="1">
      <c r="C2912" s="878"/>
      <c r="D2912" s="889" t="s">
        <v>2192</v>
      </c>
      <c r="E2912" s="915">
        <f>E2913</f>
        <v>2182793080</v>
      </c>
      <c r="F2912" s="915">
        <f>F2913</f>
        <v>2044031000</v>
      </c>
      <c r="G2912" s="855">
        <f>+F2912/E2912*100</f>
        <v>93.642911860431582</v>
      </c>
      <c r="H2912" s="887">
        <v>95</v>
      </c>
      <c r="I2912" s="852"/>
      <c r="J2912" s="802"/>
    </row>
    <row r="2913" spans="3:10" ht="20.100000000000001" hidden="1" customHeight="1">
      <c r="C2913" s="878"/>
      <c r="D2913" s="917" t="s">
        <v>884</v>
      </c>
      <c r="E2913" s="916">
        <f>E2914</f>
        <v>2182793080</v>
      </c>
      <c r="F2913" s="915">
        <f>F2914</f>
        <v>2044031000</v>
      </c>
      <c r="G2913" s="855">
        <f>+F2913/E2913*100</f>
        <v>93.642911860431582</v>
      </c>
      <c r="H2913" s="887">
        <v>95</v>
      </c>
      <c r="I2913" s="852"/>
      <c r="J2913" s="802"/>
    </row>
    <row r="2914" spans="3:10" ht="35.1" hidden="1" customHeight="1">
      <c r="C2914" s="878"/>
      <c r="D2914" s="914" t="s">
        <v>3065</v>
      </c>
      <c r="E2914" s="913">
        <v>2182793080</v>
      </c>
      <c r="F2914" s="912">
        <v>2044031000</v>
      </c>
      <c r="G2914" s="855">
        <f>+F2914/E2914*100</f>
        <v>93.642911860431582</v>
      </c>
      <c r="H2914" s="887">
        <v>95</v>
      </c>
      <c r="I2914" s="852"/>
      <c r="J2914" s="802"/>
    </row>
    <row r="2915" spans="3:10" ht="15" hidden="1" customHeight="1">
      <c r="C2915" s="878"/>
      <c r="D2915" s="911"/>
      <c r="E2915" s="125"/>
      <c r="F2915" s="910"/>
      <c r="G2915" s="854"/>
      <c r="H2915" s="876"/>
      <c r="I2915" s="852"/>
      <c r="J2915" s="802"/>
    </row>
    <row r="2916" spans="3:10" s="605" customFormat="1" ht="20.100000000000001" customHeight="1">
      <c r="C2916" s="1676" t="s">
        <v>2194</v>
      </c>
      <c r="D2916" s="1677" t="s">
        <v>2195</v>
      </c>
      <c r="E2916" s="1679">
        <f>+E2917+E2935+E2972+E2977+E2982+E2990+E2994+E2998+E3002+E3007+E3011+E2986</f>
        <v>61756420382.300003</v>
      </c>
      <c r="F2916" s="1679">
        <f>+F2917+F2935+F2977+F2982+F2986+F2990+F2994+F3002+F3007+F3011</f>
        <v>55734967801.480003</v>
      </c>
      <c r="G2916" s="1679">
        <f t="shared" ref="G2916:G2933" si="137">+F2916/E2916*100</f>
        <v>90.249673566659951</v>
      </c>
      <c r="H2916" s="1680">
        <f>(H2917+H2935+H2972+H2977+H2982+H2986+H2990+H2994+H2998+H3002+H3007+H3011)/12</f>
        <v>76.605666035353536</v>
      </c>
      <c r="I2916" s="1681"/>
    </row>
    <row r="2917" spans="3:10" s="895" customFormat="1" ht="20.100000000000001" hidden="1" customHeight="1">
      <c r="C2917" s="904"/>
      <c r="D2917" s="890" t="s">
        <v>444</v>
      </c>
      <c r="E2917" s="120">
        <v>24740803800</v>
      </c>
      <c r="F2917" s="120">
        <f>+F2918+F2921+F2924+F2930+F2932</f>
        <v>23406972324.480003</v>
      </c>
      <c r="G2917" s="120">
        <f t="shared" si="137"/>
        <v>94.608778735313365</v>
      </c>
      <c r="H2917" s="905">
        <f>(H2918+H2921+H2930+H2932)/4</f>
        <v>94.84375</v>
      </c>
      <c r="I2917" s="903"/>
    </row>
    <row r="2918" spans="3:10" s="895" customFormat="1" ht="20.100000000000001" hidden="1" customHeight="1">
      <c r="C2918" s="904"/>
      <c r="D2918" s="890" t="s">
        <v>388</v>
      </c>
      <c r="E2918" s="120">
        <f>+E2919+E2920</f>
        <v>2516057000</v>
      </c>
      <c r="F2918" s="120">
        <f>+F2919+F2920</f>
        <v>2416837000</v>
      </c>
      <c r="G2918" s="120">
        <f t="shared" si="137"/>
        <v>96.05652813111945</v>
      </c>
      <c r="H2918" s="905">
        <v>100</v>
      </c>
      <c r="I2918" s="903"/>
    </row>
    <row r="2919" spans="3:10" s="2" customFormat="1" ht="20.100000000000001" hidden="1" customHeight="1">
      <c r="C2919" s="902"/>
      <c r="D2919" s="808" t="s">
        <v>3064</v>
      </c>
      <c r="E2919" s="115">
        <v>1507657000</v>
      </c>
      <c r="F2919" s="115">
        <v>1422837000</v>
      </c>
      <c r="G2919" s="115">
        <f t="shared" si="137"/>
        <v>94.374051922950642</v>
      </c>
      <c r="H2919" s="901">
        <v>100</v>
      </c>
      <c r="I2919" s="900"/>
    </row>
    <row r="2920" spans="3:10" s="2" customFormat="1" ht="35.1" hidden="1" customHeight="1">
      <c r="C2920" s="902"/>
      <c r="D2920" s="808" t="s">
        <v>3063</v>
      </c>
      <c r="E2920" s="115">
        <v>1008400000</v>
      </c>
      <c r="F2920" s="115">
        <v>994000000</v>
      </c>
      <c r="G2920" s="115">
        <f t="shared" si="137"/>
        <v>98.571995239984133</v>
      </c>
      <c r="H2920" s="901">
        <v>100</v>
      </c>
      <c r="I2920" s="900"/>
    </row>
    <row r="2921" spans="3:10" s="895" customFormat="1" ht="20.100000000000001" hidden="1" customHeight="1">
      <c r="C2921" s="904"/>
      <c r="D2921" s="890" t="s">
        <v>394</v>
      </c>
      <c r="E2921" s="120">
        <f>SUM(E2922:E2929)</f>
        <v>19569623000</v>
      </c>
      <c r="F2921" s="120">
        <f>SUM(F2922:F2929)</f>
        <v>17594946312.240002</v>
      </c>
      <c r="G2921" s="120">
        <f t="shared" si="137"/>
        <v>89.909480178744388</v>
      </c>
      <c r="H2921" s="905">
        <f>SUM((H2922:H2929))/8</f>
        <v>79.375</v>
      </c>
      <c r="I2921" s="903"/>
    </row>
    <row r="2922" spans="3:10" s="2" customFormat="1" ht="20.100000000000001" hidden="1" customHeight="1">
      <c r="C2922" s="902"/>
      <c r="D2922" s="808" t="s">
        <v>3062</v>
      </c>
      <c r="E2922" s="115">
        <v>3000000000</v>
      </c>
      <c r="F2922" s="115">
        <v>2492425300</v>
      </c>
      <c r="G2922" s="115">
        <f t="shared" si="137"/>
        <v>83.080843333333334</v>
      </c>
      <c r="H2922" s="901">
        <v>85</v>
      </c>
      <c r="I2922" s="900"/>
    </row>
    <row r="2923" spans="3:10" s="2" customFormat="1" ht="20.100000000000001" hidden="1" customHeight="1">
      <c r="C2923" s="902"/>
      <c r="D2923" s="808" t="s">
        <v>3061</v>
      </c>
      <c r="E2923" s="115">
        <v>2248560000</v>
      </c>
      <c r="F2923" s="115">
        <v>1067757000</v>
      </c>
      <c r="G2923" s="115">
        <f t="shared" si="137"/>
        <v>47.486257871704559</v>
      </c>
      <c r="H2923" s="901">
        <v>50</v>
      </c>
      <c r="I2923" s="900"/>
    </row>
    <row r="2924" spans="3:10" s="2" customFormat="1" ht="20.100000000000001" hidden="1" customHeight="1">
      <c r="C2924" s="902"/>
      <c r="D2924" s="808" t="s">
        <v>3060</v>
      </c>
      <c r="E2924" s="909">
        <v>820131800</v>
      </c>
      <c r="F2924" s="909">
        <v>789910000</v>
      </c>
      <c r="G2924" s="115">
        <f t="shared" si="137"/>
        <v>96.315006929374036</v>
      </c>
      <c r="H2924" s="901">
        <v>100</v>
      </c>
      <c r="I2924" s="900"/>
    </row>
    <row r="2925" spans="3:10" s="2" customFormat="1" ht="20.100000000000001" hidden="1" customHeight="1">
      <c r="C2925" s="902"/>
      <c r="D2925" s="808" t="s">
        <v>2202</v>
      </c>
      <c r="E2925" s="907">
        <v>1497600000</v>
      </c>
      <c r="F2925" s="907">
        <v>1494100000</v>
      </c>
      <c r="G2925" s="115">
        <f t="shared" si="137"/>
        <v>99.76629273504274</v>
      </c>
      <c r="H2925" s="906">
        <v>100</v>
      </c>
      <c r="I2925" s="900"/>
    </row>
    <row r="2926" spans="3:10" s="2" customFormat="1" ht="35.1" hidden="1" customHeight="1">
      <c r="C2926" s="902"/>
      <c r="D2926" s="808" t="s">
        <v>3059</v>
      </c>
      <c r="E2926" s="115">
        <v>8577000000</v>
      </c>
      <c r="F2926" s="115">
        <v>8518350000</v>
      </c>
      <c r="G2926" s="115">
        <f t="shared" si="137"/>
        <v>99.316194473592162</v>
      </c>
      <c r="H2926" s="901">
        <v>100</v>
      </c>
      <c r="I2926" s="900"/>
    </row>
    <row r="2927" spans="3:10" s="2" customFormat="1" ht="20.100000000000001" hidden="1" customHeight="1">
      <c r="C2927" s="902"/>
      <c r="D2927" s="808" t="s">
        <v>2203</v>
      </c>
      <c r="E2927" s="115">
        <v>720000000</v>
      </c>
      <c r="F2927" s="115">
        <f>E2927</f>
        <v>720000000</v>
      </c>
      <c r="G2927" s="115">
        <f t="shared" si="137"/>
        <v>100</v>
      </c>
      <c r="H2927" s="901">
        <v>100</v>
      </c>
      <c r="I2927" s="900"/>
    </row>
    <row r="2928" spans="3:10" s="2" customFormat="1" ht="20.100000000000001" hidden="1" customHeight="1">
      <c r="C2928" s="902"/>
      <c r="D2928" s="808" t="s">
        <v>3058</v>
      </c>
      <c r="E2928" s="115">
        <v>1266331200</v>
      </c>
      <c r="F2928" s="115">
        <v>1209725000</v>
      </c>
      <c r="G2928" s="115">
        <f t="shared" si="137"/>
        <v>95.529905604473768</v>
      </c>
      <c r="H2928" s="901">
        <v>100</v>
      </c>
      <c r="I2928" s="900"/>
    </row>
    <row r="2929" spans="3:9" s="2" customFormat="1" ht="35.1" hidden="1" customHeight="1">
      <c r="C2929" s="902"/>
      <c r="D2929" s="808" t="s">
        <v>3057</v>
      </c>
      <c r="E2929" s="115">
        <v>1440000000</v>
      </c>
      <c r="F2929" s="115">
        <v>1302679012.24</v>
      </c>
      <c r="G2929" s="115">
        <f t="shared" si="137"/>
        <v>90.463820294444446</v>
      </c>
      <c r="H2929" s="901">
        <v>0</v>
      </c>
      <c r="I2929" s="900"/>
    </row>
    <row r="2930" spans="3:9" s="895" customFormat="1" ht="20.100000000000001" hidden="1" customHeight="1">
      <c r="C2930" s="904"/>
      <c r="D2930" s="890" t="s">
        <v>404</v>
      </c>
      <c r="E2930" s="120">
        <f>+E2931</f>
        <v>1332123800</v>
      </c>
      <c r="F2930" s="120">
        <f>+F2931</f>
        <v>1302679012.24</v>
      </c>
      <c r="G2930" s="120">
        <f t="shared" si="137"/>
        <v>97.789635786103375</v>
      </c>
      <c r="H2930" s="905">
        <v>100</v>
      </c>
      <c r="I2930" s="903"/>
    </row>
    <row r="2931" spans="3:9" s="2" customFormat="1" ht="20.100000000000001" hidden="1" customHeight="1">
      <c r="C2931" s="902"/>
      <c r="D2931" s="808" t="s">
        <v>3056</v>
      </c>
      <c r="E2931" s="115">
        <v>1332123800</v>
      </c>
      <c r="F2931" s="115">
        <v>1302679012.24</v>
      </c>
      <c r="G2931" s="115">
        <f t="shared" si="137"/>
        <v>97.789635786103375</v>
      </c>
      <c r="H2931" s="901">
        <v>100</v>
      </c>
      <c r="I2931" s="900"/>
    </row>
    <row r="2932" spans="3:9" s="895" customFormat="1" ht="20.100000000000001" hidden="1" customHeight="1">
      <c r="C2932" s="904"/>
      <c r="D2932" s="890" t="s">
        <v>106</v>
      </c>
      <c r="E2932" s="120">
        <f>+E2933</f>
        <v>1323000000</v>
      </c>
      <c r="F2932" s="120">
        <f>+F2933</f>
        <v>1302600000</v>
      </c>
      <c r="G2932" s="120">
        <f t="shared" si="137"/>
        <v>98.458049886621311</v>
      </c>
      <c r="H2932" s="905">
        <v>100</v>
      </c>
      <c r="I2932" s="903"/>
    </row>
    <row r="2933" spans="3:9" s="2" customFormat="1" ht="20.100000000000001" hidden="1" customHeight="1">
      <c r="C2933" s="902"/>
      <c r="D2933" s="808" t="s">
        <v>3055</v>
      </c>
      <c r="E2933" s="115">
        <v>1323000000</v>
      </c>
      <c r="F2933" s="115">
        <v>1302600000</v>
      </c>
      <c r="G2933" s="115">
        <f t="shared" si="137"/>
        <v>98.458049886621311</v>
      </c>
      <c r="H2933" s="901">
        <v>100</v>
      </c>
      <c r="I2933" s="900"/>
    </row>
    <row r="2934" spans="3:9" s="895" customFormat="1" ht="15" hidden="1" customHeight="1">
      <c r="C2934" s="904"/>
      <c r="D2934" s="890"/>
      <c r="E2934" s="120"/>
      <c r="F2934" s="120"/>
      <c r="G2934" s="120"/>
      <c r="H2934" s="905"/>
      <c r="I2934" s="903"/>
    </row>
    <row r="2935" spans="3:9" s="895" customFormat="1" ht="20.100000000000001" hidden="1" customHeight="1">
      <c r="C2935" s="904"/>
      <c r="D2935" s="890" t="s">
        <v>161</v>
      </c>
      <c r="E2935" s="120">
        <f>+E2936+E2938+E2943+E2945+E2950+E2954+E2957+E2961+E2963+E2965+E2967</f>
        <v>16589509100</v>
      </c>
      <c r="F2935" s="120">
        <f>+F2936+F2938+F2943+F2945+F2950+F2954+F2957+F2963+F2965+F2967</f>
        <v>14960762000</v>
      </c>
      <c r="G2935" s="120">
        <f t="shared" ref="G2935:G2970" si="138">+F2935/E2935*100</f>
        <v>90.182065724898393</v>
      </c>
      <c r="H2935" s="905">
        <f>(H2936+H2938+H2943+H2945+H2950+H2954+H2957+H2961+H2963+H2965+H2967)/11</f>
        <v>82.424242424242436</v>
      </c>
      <c r="I2935" s="903"/>
    </row>
    <row r="2936" spans="3:9" s="895" customFormat="1" ht="20.100000000000001" hidden="1" customHeight="1">
      <c r="C2936" s="904"/>
      <c r="D2936" s="890" t="s">
        <v>3054</v>
      </c>
      <c r="E2936" s="120">
        <f>+E2937</f>
        <v>300000000</v>
      </c>
      <c r="F2936" s="120">
        <f>+F2937</f>
        <v>300000000</v>
      </c>
      <c r="G2936" s="120">
        <f t="shared" si="138"/>
        <v>100</v>
      </c>
      <c r="H2936" s="905">
        <v>100</v>
      </c>
      <c r="I2936" s="903"/>
    </row>
    <row r="2937" spans="3:9" s="2" customFormat="1" ht="20.100000000000001" hidden="1" customHeight="1">
      <c r="C2937" s="902"/>
      <c r="D2937" s="808" t="s">
        <v>3053</v>
      </c>
      <c r="E2937" s="120">
        <v>300000000</v>
      </c>
      <c r="F2937" s="115">
        <v>300000000</v>
      </c>
      <c r="G2937" s="120">
        <f t="shared" si="138"/>
        <v>100</v>
      </c>
      <c r="H2937" s="901">
        <v>100</v>
      </c>
      <c r="I2937" s="900"/>
    </row>
    <row r="2938" spans="3:9" s="895" customFormat="1" ht="20.100000000000001" hidden="1" customHeight="1">
      <c r="C2938" s="904"/>
      <c r="D2938" s="890" t="s">
        <v>173</v>
      </c>
      <c r="E2938" s="120">
        <f>+E2939+E2940+E2941+E2942</f>
        <v>1750000000</v>
      </c>
      <c r="F2938" s="120">
        <f>+F2939+F2940+F2941+F2942</f>
        <v>1450000000</v>
      </c>
      <c r="G2938" s="120">
        <f t="shared" si="138"/>
        <v>82.857142857142861</v>
      </c>
      <c r="H2938" s="905">
        <f>SUM((H2939:H2942))/4</f>
        <v>75</v>
      </c>
      <c r="I2938" s="903"/>
    </row>
    <row r="2939" spans="3:9" s="2" customFormat="1" ht="20.100000000000001" hidden="1" customHeight="1">
      <c r="C2939" s="902"/>
      <c r="D2939" s="808" t="s">
        <v>2206</v>
      </c>
      <c r="E2939" s="909">
        <v>300000000</v>
      </c>
      <c r="F2939" s="115">
        <v>0</v>
      </c>
      <c r="G2939" s="120">
        <f t="shared" si="138"/>
        <v>0</v>
      </c>
      <c r="H2939" s="901">
        <v>0</v>
      </c>
      <c r="I2939" s="900"/>
    </row>
    <row r="2940" spans="3:9" s="2" customFormat="1" ht="35.1" hidden="1" customHeight="1">
      <c r="C2940" s="902"/>
      <c r="D2940" s="808" t="s">
        <v>3052</v>
      </c>
      <c r="E2940" s="909">
        <v>250000000</v>
      </c>
      <c r="F2940" s="115">
        <v>250000000</v>
      </c>
      <c r="G2940" s="120">
        <f t="shared" si="138"/>
        <v>100</v>
      </c>
      <c r="H2940" s="901">
        <v>100</v>
      </c>
      <c r="I2940" s="900"/>
    </row>
    <row r="2941" spans="3:9" s="2" customFormat="1" ht="20.100000000000001" hidden="1" customHeight="1">
      <c r="C2941" s="902"/>
      <c r="D2941" s="808" t="s">
        <v>1685</v>
      </c>
      <c r="E2941" s="909">
        <v>1050000000</v>
      </c>
      <c r="F2941" s="115">
        <f>+E2941</f>
        <v>1050000000</v>
      </c>
      <c r="G2941" s="120">
        <f t="shared" si="138"/>
        <v>100</v>
      </c>
      <c r="H2941" s="901">
        <v>100</v>
      </c>
      <c r="I2941" s="900"/>
    </row>
    <row r="2942" spans="3:9" s="2" customFormat="1" ht="20.100000000000001" hidden="1" customHeight="1">
      <c r="C2942" s="902"/>
      <c r="D2942" s="808" t="s">
        <v>3051</v>
      </c>
      <c r="E2942" s="909">
        <v>150000000</v>
      </c>
      <c r="F2942" s="907">
        <v>150000000</v>
      </c>
      <c r="G2942" s="120">
        <f t="shared" si="138"/>
        <v>100</v>
      </c>
      <c r="H2942" s="906">
        <v>100</v>
      </c>
      <c r="I2942" s="900"/>
    </row>
    <row r="2943" spans="3:9" s="895" customFormat="1" ht="20.100000000000001" hidden="1" customHeight="1">
      <c r="C2943" s="904"/>
      <c r="D2943" s="890" t="s">
        <v>945</v>
      </c>
      <c r="E2943" s="120">
        <f>+E2944</f>
        <v>950000000</v>
      </c>
      <c r="F2943" s="120">
        <f>+F2944</f>
        <v>950000000</v>
      </c>
      <c r="G2943" s="120">
        <f t="shared" si="138"/>
        <v>100</v>
      </c>
      <c r="H2943" s="901">
        <v>100</v>
      </c>
      <c r="I2943" s="903"/>
    </row>
    <row r="2944" spans="3:9" s="2" customFormat="1" ht="20.100000000000001" hidden="1" customHeight="1">
      <c r="C2944" s="902"/>
      <c r="D2944" s="808" t="s">
        <v>2208</v>
      </c>
      <c r="E2944" s="115">
        <v>950000000</v>
      </c>
      <c r="F2944" s="115">
        <v>950000000</v>
      </c>
      <c r="G2944" s="120">
        <f t="shared" si="138"/>
        <v>100</v>
      </c>
      <c r="H2944" s="901">
        <v>100</v>
      </c>
      <c r="I2944" s="900"/>
    </row>
    <row r="2945" spans="3:9" s="895" customFormat="1" ht="20.100000000000001" hidden="1" customHeight="1">
      <c r="C2945" s="904"/>
      <c r="D2945" s="890" t="s">
        <v>190</v>
      </c>
      <c r="E2945" s="120">
        <f>+E2946+E2947+E2948+E2949</f>
        <v>2050000000</v>
      </c>
      <c r="F2945" s="120">
        <f>+F2946+F2947+F2948+F2949</f>
        <v>1742410000</v>
      </c>
      <c r="G2945" s="120">
        <f t="shared" si="138"/>
        <v>84.995609756097551</v>
      </c>
      <c r="H2945" s="905">
        <f>SUM((H2946:H2949))/4</f>
        <v>75</v>
      </c>
      <c r="I2945" s="903"/>
    </row>
    <row r="2946" spans="3:9" s="2" customFormat="1" ht="20.100000000000001" hidden="1" customHeight="1">
      <c r="C2946" s="902"/>
      <c r="D2946" s="808" t="s">
        <v>3050</v>
      </c>
      <c r="E2946" s="115">
        <v>1000000000</v>
      </c>
      <c r="F2946" s="115">
        <v>992750000</v>
      </c>
      <c r="G2946" s="120">
        <f t="shared" si="138"/>
        <v>99.275000000000006</v>
      </c>
      <c r="H2946" s="901">
        <v>100</v>
      </c>
      <c r="I2946" s="900"/>
    </row>
    <row r="2947" spans="3:9" s="2" customFormat="1" ht="20.100000000000001" hidden="1" customHeight="1">
      <c r="C2947" s="902"/>
      <c r="D2947" s="808" t="s">
        <v>3049</v>
      </c>
      <c r="E2947" s="120">
        <v>150000000</v>
      </c>
      <c r="F2947" s="115">
        <v>150000000</v>
      </c>
      <c r="G2947" s="120">
        <f t="shared" si="138"/>
        <v>100</v>
      </c>
      <c r="H2947" s="901">
        <v>100</v>
      </c>
      <c r="I2947" s="900"/>
    </row>
    <row r="2948" spans="3:9" s="2" customFormat="1" ht="20.100000000000001" hidden="1" customHeight="1">
      <c r="C2948" s="902"/>
      <c r="D2948" s="808" t="s">
        <v>3048</v>
      </c>
      <c r="E2948" s="115">
        <v>600000000</v>
      </c>
      <c r="F2948" s="115">
        <v>599660000</v>
      </c>
      <c r="G2948" s="120">
        <f t="shared" si="138"/>
        <v>99.943333333333328</v>
      </c>
      <c r="H2948" s="901">
        <v>100</v>
      </c>
      <c r="I2948" s="900"/>
    </row>
    <row r="2949" spans="3:9" s="2" customFormat="1" ht="20.100000000000001" hidden="1" customHeight="1">
      <c r="C2949" s="902"/>
      <c r="D2949" s="808" t="s">
        <v>2209</v>
      </c>
      <c r="E2949" s="115">
        <v>300000000</v>
      </c>
      <c r="F2949" s="115">
        <v>0</v>
      </c>
      <c r="G2949" s="120">
        <f t="shared" si="138"/>
        <v>0</v>
      </c>
      <c r="H2949" s="901">
        <v>0</v>
      </c>
      <c r="I2949" s="900"/>
    </row>
    <row r="2950" spans="3:9" s="895" customFormat="1" ht="20.100000000000001" hidden="1" customHeight="1">
      <c r="C2950" s="904"/>
      <c r="D2950" s="890" t="s">
        <v>196</v>
      </c>
      <c r="E2950" s="120">
        <f>+E2951+E2952+E2953</f>
        <v>1450000000</v>
      </c>
      <c r="F2950" s="120">
        <f>+F2951+F2952+F2953</f>
        <v>1248900000</v>
      </c>
      <c r="G2950" s="120">
        <f t="shared" si="138"/>
        <v>86.131034482758622</v>
      </c>
      <c r="H2950" s="905">
        <f>SUM((H2951:H2953))/3</f>
        <v>66.666666666666671</v>
      </c>
      <c r="I2950" s="903"/>
    </row>
    <row r="2951" spans="3:9" s="2" customFormat="1" ht="20.100000000000001" hidden="1" customHeight="1">
      <c r="C2951" s="902"/>
      <c r="D2951" s="808" t="s">
        <v>3047</v>
      </c>
      <c r="E2951" s="115">
        <v>200000000</v>
      </c>
      <c r="F2951" s="115">
        <v>0</v>
      </c>
      <c r="G2951" s="120">
        <f t="shared" si="138"/>
        <v>0</v>
      </c>
      <c r="H2951" s="901">
        <v>0</v>
      </c>
      <c r="I2951" s="900"/>
    </row>
    <row r="2952" spans="3:9" s="2" customFormat="1" ht="20.100000000000001" hidden="1" customHeight="1">
      <c r="C2952" s="902"/>
      <c r="D2952" s="808" t="s">
        <v>3046</v>
      </c>
      <c r="E2952" s="115">
        <v>1000000000</v>
      </c>
      <c r="F2952" s="115">
        <v>998900000</v>
      </c>
      <c r="G2952" s="120">
        <f t="shared" si="138"/>
        <v>99.89</v>
      </c>
      <c r="H2952" s="901">
        <v>100</v>
      </c>
      <c r="I2952" s="900"/>
    </row>
    <row r="2953" spans="3:9" s="2" customFormat="1" ht="20.100000000000001" hidden="1" customHeight="1">
      <c r="C2953" s="902"/>
      <c r="D2953" s="808" t="s">
        <v>3045</v>
      </c>
      <c r="E2953" s="115">
        <v>250000000</v>
      </c>
      <c r="F2953" s="115">
        <v>250000000</v>
      </c>
      <c r="G2953" s="120">
        <f t="shared" si="138"/>
        <v>100</v>
      </c>
      <c r="H2953" s="901">
        <v>100</v>
      </c>
      <c r="I2953" s="900"/>
    </row>
    <row r="2954" spans="3:9" s="895" customFormat="1" ht="20.100000000000001" hidden="1" customHeight="1">
      <c r="C2954" s="904"/>
      <c r="D2954" s="890" t="s">
        <v>2390</v>
      </c>
      <c r="E2954" s="120">
        <f>+E2955+E2956</f>
        <v>1100000000</v>
      </c>
      <c r="F2954" s="120">
        <f>+F2955+F2956</f>
        <v>931850000</v>
      </c>
      <c r="G2954" s="120">
        <f t="shared" si="138"/>
        <v>84.713636363636368</v>
      </c>
      <c r="H2954" s="905">
        <f>SUM((H2955:H2956))/2</f>
        <v>90</v>
      </c>
      <c r="I2954" s="903"/>
    </row>
    <row r="2955" spans="3:9" s="2" customFormat="1" ht="20.100000000000001" hidden="1" customHeight="1">
      <c r="C2955" s="902"/>
      <c r="D2955" s="808" t="s">
        <v>3044</v>
      </c>
      <c r="E2955" s="115">
        <v>350000000</v>
      </c>
      <c r="F2955" s="115">
        <v>350000000</v>
      </c>
      <c r="G2955" s="120">
        <f t="shared" si="138"/>
        <v>100</v>
      </c>
      <c r="H2955" s="901">
        <v>100</v>
      </c>
      <c r="I2955" s="900"/>
    </row>
    <row r="2956" spans="3:9" s="2" customFormat="1" ht="20.100000000000001" hidden="1" customHeight="1">
      <c r="C2956" s="902"/>
      <c r="D2956" s="808" t="s">
        <v>3043</v>
      </c>
      <c r="E2956" s="115">
        <v>750000000</v>
      </c>
      <c r="F2956" s="115">
        <v>581850000</v>
      </c>
      <c r="G2956" s="120">
        <f t="shared" si="138"/>
        <v>77.58</v>
      </c>
      <c r="H2956" s="901">
        <v>80</v>
      </c>
      <c r="I2956" s="900"/>
    </row>
    <row r="2957" spans="3:9" s="895" customFormat="1" ht="35.1" hidden="1" customHeight="1">
      <c r="C2957" s="904"/>
      <c r="D2957" s="890" t="s">
        <v>421</v>
      </c>
      <c r="E2957" s="120">
        <f>+E2958+E2959+E2960</f>
        <v>4337778700</v>
      </c>
      <c r="F2957" s="120">
        <f>+F2958+F2959+F2960</f>
        <v>4207841000</v>
      </c>
      <c r="G2957" s="120">
        <f t="shared" si="138"/>
        <v>97.004510626602496</v>
      </c>
      <c r="H2957" s="905">
        <f>SUM((H2958:H2960))/3</f>
        <v>100</v>
      </c>
      <c r="I2957" s="903"/>
    </row>
    <row r="2958" spans="3:9" s="2" customFormat="1" ht="20.100000000000001" hidden="1" customHeight="1">
      <c r="C2958" s="902"/>
      <c r="D2958" s="808" t="s">
        <v>3042</v>
      </c>
      <c r="E2958" s="115">
        <v>1372000000</v>
      </c>
      <c r="F2958" s="115">
        <v>1312828000</v>
      </c>
      <c r="G2958" s="120">
        <f t="shared" si="138"/>
        <v>95.687172011661801</v>
      </c>
      <c r="H2958" s="901">
        <v>100</v>
      </c>
      <c r="I2958" s="900"/>
    </row>
    <row r="2959" spans="3:9" s="2" customFormat="1" ht="20.100000000000001" hidden="1" customHeight="1">
      <c r="C2959" s="902"/>
      <c r="D2959" s="808" t="s">
        <v>3041</v>
      </c>
      <c r="E2959" s="115">
        <v>1965778700</v>
      </c>
      <c r="F2959" s="115">
        <v>1897513000</v>
      </c>
      <c r="G2959" s="120">
        <f t="shared" si="138"/>
        <v>96.527294756017042</v>
      </c>
      <c r="H2959" s="901">
        <v>100</v>
      </c>
      <c r="I2959" s="900"/>
    </row>
    <row r="2960" spans="3:9" s="2" customFormat="1" ht="20.100000000000001" hidden="1" customHeight="1">
      <c r="C2960" s="902"/>
      <c r="D2960" s="808" t="s">
        <v>3040</v>
      </c>
      <c r="E2960" s="115">
        <v>1000000000</v>
      </c>
      <c r="F2960" s="115">
        <v>997500000</v>
      </c>
      <c r="G2960" s="120">
        <f t="shared" si="138"/>
        <v>99.75</v>
      </c>
      <c r="H2960" s="901">
        <v>100</v>
      </c>
      <c r="I2960" s="900"/>
    </row>
    <row r="2961" spans="3:9" s="895" customFormat="1" ht="20.100000000000001" hidden="1" customHeight="1">
      <c r="C2961" s="904"/>
      <c r="D2961" s="890" t="s">
        <v>3039</v>
      </c>
      <c r="E2961" s="120">
        <f>+E2962</f>
        <v>450000000</v>
      </c>
      <c r="F2961" s="120"/>
      <c r="G2961" s="120">
        <f t="shared" si="138"/>
        <v>0</v>
      </c>
      <c r="H2961" s="905"/>
      <c r="I2961" s="903"/>
    </row>
    <row r="2962" spans="3:9" s="2" customFormat="1" ht="35.1" hidden="1" customHeight="1">
      <c r="C2962" s="902"/>
      <c r="D2962" s="808" t="s">
        <v>3038</v>
      </c>
      <c r="E2962" s="115">
        <v>450000000</v>
      </c>
      <c r="F2962" s="115">
        <v>0</v>
      </c>
      <c r="G2962" s="120">
        <f t="shared" si="138"/>
        <v>0</v>
      </c>
      <c r="H2962" s="901">
        <v>0</v>
      </c>
      <c r="I2962" s="900"/>
    </row>
    <row r="2963" spans="3:9" s="895" customFormat="1" ht="20.100000000000001" hidden="1" customHeight="1">
      <c r="C2963" s="904"/>
      <c r="D2963" s="890" t="s">
        <v>1878</v>
      </c>
      <c r="E2963" s="120">
        <f>+E2964</f>
        <v>300000000</v>
      </c>
      <c r="F2963" s="120">
        <f>+F2964</f>
        <v>300000000</v>
      </c>
      <c r="G2963" s="120">
        <f t="shared" si="138"/>
        <v>100</v>
      </c>
      <c r="H2963" s="905">
        <f>+G2963</f>
        <v>100</v>
      </c>
      <c r="I2963" s="903"/>
    </row>
    <row r="2964" spans="3:9" s="2" customFormat="1" ht="20.100000000000001" hidden="1" customHeight="1">
      <c r="C2964" s="902"/>
      <c r="D2964" s="808" t="s">
        <v>1728</v>
      </c>
      <c r="E2964" s="115">
        <v>300000000</v>
      </c>
      <c r="F2964" s="115">
        <v>300000000</v>
      </c>
      <c r="G2964" s="120">
        <f t="shared" si="138"/>
        <v>100</v>
      </c>
      <c r="H2964" s="905">
        <f>+G2964</f>
        <v>100</v>
      </c>
      <c r="I2964" s="900"/>
    </row>
    <row r="2965" spans="3:9" s="895" customFormat="1" ht="20.100000000000001" hidden="1" customHeight="1">
      <c r="C2965" s="904"/>
      <c r="D2965" s="890" t="s">
        <v>483</v>
      </c>
      <c r="E2965" s="120">
        <f>+E2966</f>
        <v>400000000</v>
      </c>
      <c r="F2965" s="908">
        <f>+F2966</f>
        <v>399800000</v>
      </c>
      <c r="G2965" s="120">
        <f t="shared" si="138"/>
        <v>99.95</v>
      </c>
      <c r="H2965" s="905">
        <v>100</v>
      </c>
      <c r="I2965" s="903"/>
    </row>
    <row r="2966" spans="3:9" s="2" customFormat="1" ht="20.100000000000001" hidden="1" customHeight="1">
      <c r="C2966" s="902"/>
      <c r="D2966" s="808" t="s">
        <v>2213</v>
      </c>
      <c r="E2966" s="115">
        <v>400000000</v>
      </c>
      <c r="F2966" s="115">
        <v>399800000</v>
      </c>
      <c r="G2966" s="120">
        <f t="shared" si="138"/>
        <v>99.95</v>
      </c>
      <c r="H2966" s="905">
        <v>100</v>
      </c>
      <c r="I2966" s="900"/>
    </row>
    <row r="2967" spans="3:9" s="895" customFormat="1" ht="35.1" hidden="1" customHeight="1">
      <c r="C2967" s="904"/>
      <c r="D2967" s="890" t="s">
        <v>2216</v>
      </c>
      <c r="E2967" s="120">
        <f>+E2968+E2969+E2970</f>
        <v>3501730400</v>
      </c>
      <c r="F2967" s="120">
        <f>+F2968+F2969+F2970</f>
        <v>3429961000</v>
      </c>
      <c r="G2967" s="120">
        <f t="shared" si="138"/>
        <v>97.950459007352478</v>
      </c>
      <c r="H2967" s="905">
        <f>SUM((H2968:H2970))/3</f>
        <v>100</v>
      </c>
      <c r="I2967" s="903"/>
    </row>
    <row r="2968" spans="3:9" s="2" customFormat="1" ht="20.100000000000001" hidden="1" customHeight="1">
      <c r="C2968" s="902"/>
      <c r="D2968" s="808" t="s">
        <v>3037</v>
      </c>
      <c r="E2968" s="115">
        <v>2000000000</v>
      </c>
      <c r="F2968" s="115">
        <v>1947000000</v>
      </c>
      <c r="G2968" s="120">
        <f t="shared" si="138"/>
        <v>97.350000000000009</v>
      </c>
      <c r="H2968" s="905">
        <v>100</v>
      </c>
      <c r="I2968" s="900"/>
    </row>
    <row r="2969" spans="3:9" s="2" customFormat="1" ht="20.100000000000001" hidden="1" customHeight="1">
      <c r="C2969" s="902"/>
      <c r="D2969" s="808" t="s">
        <v>3036</v>
      </c>
      <c r="E2969" s="115">
        <v>1000000000</v>
      </c>
      <c r="F2969" s="115">
        <v>985000000</v>
      </c>
      <c r="G2969" s="120">
        <f t="shared" si="138"/>
        <v>98.5</v>
      </c>
      <c r="H2969" s="905">
        <v>100</v>
      </c>
      <c r="I2969" s="900"/>
    </row>
    <row r="2970" spans="3:9" s="2" customFormat="1" ht="20.100000000000001" hidden="1" customHeight="1">
      <c r="C2970" s="902"/>
      <c r="D2970" s="808" t="s">
        <v>3035</v>
      </c>
      <c r="E2970" s="115">
        <v>501730400</v>
      </c>
      <c r="F2970" s="115">
        <v>497961000</v>
      </c>
      <c r="G2970" s="120">
        <f t="shared" si="138"/>
        <v>99.248720029721142</v>
      </c>
      <c r="H2970" s="905">
        <v>100</v>
      </c>
      <c r="I2970" s="900"/>
    </row>
    <row r="2971" spans="3:9" s="2" customFormat="1" ht="15" hidden="1" customHeight="1">
      <c r="C2971" s="902"/>
      <c r="D2971" s="808"/>
      <c r="E2971" s="120"/>
      <c r="F2971" s="115"/>
      <c r="G2971" s="120"/>
      <c r="H2971" s="901"/>
      <c r="I2971" s="900"/>
    </row>
    <row r="2972" spans="3:9" s="895" customFormat="1" ht="20.100000000000001" hidden="1" customHeight="1">
      <c r="C2972" s="904"/>
      <c r="D2972" s="890" t="s">
        <v>525</v>
      </c>
      <c r="E2972" s="120">
        <v>1000000000</v>
      </c>
      <c r="F2972" s="115">
        <v>0</v>
      </c>
      <c r="G2972" s="120">
        <f>+F2972/E2972*100</f>
        <v>0</v>
      </c>
      <c r="H2972" s="901">
        <v>0</v>
      </c>
      <c r="I2972" s="903"/>
    </row>
    <row r="2973" spans="3:9" s="2" customFormat="1" ht="20.100000000000001" hidden="1" customHeight="1">
      <c r="C2973" s="902"/>
      <c r="D2973" s="808" t="s">
        <v>3034</v>
      </c>
      <c r="E2973" s="120">
        <f>+E2974</f>
        <v>500000000</v>
      </c>
      <c r="F2973" s="115"/>
      <c r="G2973" s="120">
        <f>+F2973/E2973*100</f>
        <v>0</v>
      </c>
      <c r="H2973" s="901"/>
      <c r="I2973" s="900"/>
    </row>
    <row r="2974" spans="3:9" s="2" customFormat="1" ht="20.100000000000001" hidden="1" customHeight="1">
      <c r="C2974" s="902"/>
      <c r="D2974" s="808" t="s">
        <v>3033</v>
      </c>
      <c r="E2974" s="115">
        <v>500000000</v>
      </c>
      <c r="F2974" s="115">
        <v>0</v>
      </c>
      <c r="G2974" s="120">
        <f>+F2974/E2974*100</f>
        <v>0</v>
      </c>
      <c r="H2974" s="901">
        <v>0</v>
      </c>
      <c r="I2974" s="900"/>
    </row>
    <row r="2975" spans="3:9" s="2" customFormat="1" ht="20.100000000000001" hidden="1" customHeight="1">
      <c r="C2975" s="902"/>
      <c r="D2975" s="808" t="s">
        <v>3032</v>
      </c>
      <c r="E2975" s="120">
        <v>500000000</v>
      </c>
      <c r="F2975" s="115">
        <v>0</v>
      </c>
      <c r="G2975" s="120">
        <f>+F2975/E2975*100</f>
        <v>0</v>
      </c>
      <c r="H2975" s="901">
        <v>0</v>
      </c>
      <c r="I2975" s="900"/>
    </row>
    <row r="2976" spans="3:9" s="2" customFormat="1" ht="15" hidden="1" customHeight="1">
      <c r="C2976" s="902"/>
      <c r="D2976" s="808"/>
      <c r="E2976" s="120"/>
      <c r="F2976" s="115"/>
      <c r="G2976" s="120"/>
      <c r="H2976" s="901"/>
      <c r="I2976" s="900"/>
    </row>
    <row r="2977" spans="3:9" s="895" customFormat="1" ht="20.100000000000001" hidden="1" customHeight="1">
      <c r="C2977" s="904"/>
      <c r="D2977" s="890" t="s">
        <v>2232</v>
      </c>
      <c r="E2977" s="120">
        <v>2329492160</v>
      </c>
      <c r="F2977" s="115">
        <v>2325702160</v>
      </c>
      <c r="G2977" s="120">
        <f>+F2977/E2977*100</f>
        <v>99.837303594960375</v>
      </c>
      <c r="H2977" s="901">
        <v>100</v>
      </c>
      <c r="I2977" s="903"/>
    </row>
    <row r="2978" spans="3:9" s="895" customFormat="1" ht="20.100000000000001" hidden="1" customHeight="1">
      <c r="C2978" s="904"/>
      <c r="D2978" s="890" t="s">
        <v>3031</v>
      </c>
      <c r="E2978" s="120">
        <f>+E2979+E2980</f>
        <v>2329492160</v>
      </c>
      <c r="F2978" s="120">
        <f>+F2979+F2980</f>
        <v>2325702160</v>
      </c>
      <c r="G2978" s="120">
        <f>+F2978/E2978*100</f>
        <v>99.837303594960375</v>
      </c>
      <c r="H2978" s="905">
        <v>100</v>
      </c>
      <c r="I2978" s="903"/>
    </row>
    <row r="2979" spans="3:9" s="2" customFormat="1" ht="20.100000000000001" hidden="1" customHeight="1">
      <c r="C2979" s="902"/>
      <c r="D2979" s="808" t="s">
        <v>3030</v>
      </c>
      <c r="E2979" s="120">
        <v>2087546160</v>
      </c>
      <c r="F2979" s="115">
        <v>2083756160</v>
      </c>
      <c r="G2979" s="120">
        <f>+F2979/E2979*100</f>
        <v>99.818447128373919</v>
      </c>
      <c r="H2979" s="901">
        <v>100</v>
      </c>
      <c r="I2979" s="900"/>
    </row>
    <row r="2980" spans="3:9" s="2" customFormat="1" ht="20.100000000000001" hidden="1" customHeight="1">
      <c r="C2980" s="902"/>
      <c r="D2980" s="808" t="s">
        <v>2046</v>
      </c>
      <c r="E2980" s="115">
        <v>241946000</v>
      </c>
      <c r="F2980" s="115">
        <v>241946000</v>
      </c>
      <c r="G2980" s="120">
        <f>+F2980/E2980*100</f>
        <v>100</v>
      </c>
      <c r="H2980" s="901">
        <v>100</v>
      </c>
      <c r="I2980" s="900"/>
    </row>
    <row r="2981" spans="3:9" s="2" customFormat="1" ht="15" hidden="1" customHeight="1">
      <c r="C2981" s="902"/>
      <c r="D2981" s="808"/>
      <c r="E2981" s="120"/>
      <c r="F2981" s="115"/>
      <c r="G2981" s="120"/>
      <c r="H2981" s="901"/>
      <c r="I2981" s="900"/>
    </row>
    <row r="2982" spans="3:9" s="895" customFormat="1" ht="20.100000000000001" hidden="1" customHeight="1">
      <c r="C2982" s="904"/>
      <c r="D2982" s="890" t="s">
        <v>3029</v>
      </c>
      <c r="E2982" s="120">
        <v>491250000</v>
      </c>
      <c r="F2982" s="120">
        <f>+F2983</f>
        <v>473445551</v>
      </c>
      <c r="G2982" s="120">
        <f>+F2982/E2982*100</f>
        <v>96.375684681933834</v>
      </c>
      <c r="H2982" s="905">
        <v>100</v>
      </c>
      <c r="I2982" s="903"/>
    </row>
    <row r="2983" spans="3:9" s="895" customFormat="1" ht="20.100000000000001" hidden="1" customHeight="1">
      <c r="C2983" s="904"/>
      <c r="D2983" s="890" t="s">
        <v>1188</v>
      </c>
      <c r="E2983" s="120">
        <f>+E2984</f>
        <v>491250000</v>
      </c>
      <c r="F2983" s="120">
        <f>+F2984</f>
        <v>473445551</v>
      </c>
      <c r="G2983" s="120">
        <f>+F2983/E2983*100</f>
        <v>96.375684681933834</v>
      </c>
      <c r="H2983" s="905">
        <v>100</v>
      </c>
      <c r="I2983" s="903"/>
    </row>
    <row r="2984" spans="3:9" s="2" customFormat="1" ht="20.100000000000001" hidden="1" customHeight="1">
      <c r="C2984" s="902"/>
      <c r="D2984" s="808" t="s">
        <v>1185</v>
      </c>
      <c r="E2984" s="115">
        <v>491250000</v>
      </c>
      <c r="F2984" s="115">
        <v>473445551</v>
      </c>
      <c r="G2984" s="115">
        <f>+F2984/E2984*100</f>
        <v>96.375684681933834</v>
      </c>
      <c r="H2984" s="901">
        <v>100</v>
      </c>
      <c r="I2984" s="900"/>
    </row>
    <row r="2985" spans="3:9" s="2" customFormat="1" ht="15" hidden="1" customHeight="1">
      <c r="C2985" s="902"/>
      <c r="D2985" s="808"/>
      <c r="E2985" s="120"/>
      <c r="F2985" s="115"/>
      <c r="G2985" s="120"/>
      <c r="H2985" s="901"/>
      <c r="I2985" s="900"/>
    </row>
    <row r="2986" spans="3:9" s="895" customFormat="1" ht="20.100000000000001" hidden="1" customHeight="1">
      <c r="C2986" s="904"/>
      <c r="D2986" s="890" t="s">
        <v>2236</v>
      </c>
      <c r="E2986" s="120">
        <v>288877602.30000001</v>
      </c>
      <c r="F2986" s="120">
        <f>+F2987</f>
        <v>269250000</v>
      </c>
      <c r="G2986" s="120">
        <f>+F2986/E2986*100</f>
        <v>93.205564521538534</v>
      </c>
      <c r="H2986" s="905">
        <v>100</v>
      </c>
      <c r="I2986" s="903"/>
    </row>
    <row r="2987" spans="3:9" s="895" customFormat="1" ht="20.100000000000001" hidden="1" customHeight="1">
      <c r="C2987" s="904"/>
      <c r="D2987" s="890" t="s">
        <v>973</v>
      </c>
      <c r="E2987" s="120">
        <f>+E2988</f>
        <v>288877602.30000001</v>
      </c>
      <c r="F2987" s="120">
        <f>+F2988</f>
        <v>269250000</v>
      </c>
      <c r="G2987" s="120">
        <f>+F2987/E2987*100</f>
        <v>93.205564521538534</v>
      </c>
      <c r="H2987" s="905">
        <v>100</v>
      </c>
      <c r="I2987" s="903"/>
    </row>
    <row r="2988" spans="3:9" s="2" customFormat="1" ht="20.100000000000001" hidden="1" customHeight="1">
      <c r="C2988" s="902"/>
      <c r="D2988" s="808" t="s">
        <v>3028</v>
      </c>
      <c r="E2988" s="115">
        <v>288877602.30000001</v>
      </c>
      <c r="F2988" s="115">
        <v>269250000</v>
      </c>
      <c r="G2988" s="120">
        <f>+F2988/E2988*100</f>
        <v>93.205564521538534</v>
      </c>
      <c r="H2988" s="901">
        <v>100</v>
      </c>
      <c r="I2988" s="900"/>
    </row>
    <row r="2989" spans="3:9" s="2" customFormat="1" ht="15" hidden="1" customHeight="1">
      <c r="C2989" s="902"/>
      <c r="D2989" s="808"/>
      <c r="E2989" s="120"/>
      <c r="F2989" s="115"/>
      <c r="G2989" s="120"/>
      <c r="H2989" s="901"/>
      <c r="I2989" s="900"/>
    </row>
    <row r="2990" spans="3:9" s="895" customFormat="1" ht="20.100000000000001" hidden="1" customHeight="1">
      <c r="C2990" s="904"/>
      <c r="D2990" s="890" t="s">
        <v>2248</v>
      </c>
      <c r="E2990" s="120">
        <f>+E2991</f>
        <v>500000000</v>
      </c>
      <c r="F2990" s="120">
        <f>+F2991</f>
        <v>481272000</v>
      </c>
      <c r="G2990" s="120">
        <f>+F2990/E2990*100</f>
        <v>96.25439999999999</v>
      </c>
      <c r="H2990" s="905">
        <v>100</v>
      </c>
      <c r="I2990" s="120"/>
    </row>
    <row r="2991" spans="3:9" s="895" customFormat="1" ht="20.100000000000001" hidden="1" customHeight="1">
      <c r="C2991" s="904"/>
      <c r="D2991" s="890" t="s">
        <v>542</v>
      </c>
      <c r="E2991" s="120">
        <f>+E2992</f>
        <v>500000000</v>
      </c>
      <c r="F2991" s="120">
        <f>+F2992</f>
        <v>481272000</v>
      </c>
      <c r="G2991" s="120">
        <f>+F2991/E2991*100</f>
        <v>96.25439999999999</v>
      </c>
      <c r="H2991" s="905">
        <v>100</v>
      </c>
      <c r="I2991" s="903"/>
    </row>
    <row r="2992" spans="3:9" s="2" customFormat="1" ht="20.100000000000001" hidden="1" customHeight="1">
      <c r="C2992" s="902"/>
      <c r="D2992" s="808" t="s">
        <v>3027</v>
      </c>
      <c r="E2992" s="115">
        <v>500000000</v>
      </c>
      <c r="F2992" s="115">
        <v>481272000</v>
      </c>
      <c r="G2992" s="115">
        <f>+F2992/E2992*100</f>
        <v>96.25439999999999</v>
      </c>
      <c r="H2992" s="901">
        <v>100</v>
      </c>
      <c r="I2992" s="900"/>
    </row>
    <row r="2993" spans="3:9" s="895" customFormat="1" ht="15" hidden="1" customHeight="1">
      <c r="C2993" s="904"/>
      <c r="D2993" s="890"/>
      <c r="E2993" s="120"/>
      <c r="F2993" s="120"/>
      <c r="G2993" s="120"/>
      <c r="H2993" s="905"/>
      <c r="I2993" s="903"/>
    </row>
    <row r="2994" spans="3:9" s="895" customFormat="1" ht="20.100000000000001" hidden="1" customHeight="1">
      <c r="C2994" s="904"/>
      <c r="D2994" s="890" t="s">
        <v>2137</v>
      </c>
      <c r="E2994" s="120">
        <f>+E2995</f>
        <v>600000000</v>
      </c>
      <c r="F2994" s="120">
        <f>+F2995</f>
        <v>559556800</v>
      </c>
      <c r="G2994" s="120">
        <f>+F2994/E2994*100</f>
        <v>93.259466666666668</v>
      </c>
      <c r="H2994" s="905">
        <v>100</v>
      </c>
      <c r="I2994" s="903"/>
    </row>
    <row r="2995" spans="3:9" s="895" customFormat="1" ht="20.100000000000001" hidden="1" customHeight="1">
      <c r="C2995" s="904"/>
      <c r="D2995" s="890" t="s">
        <v>3026</v>
      </c>
      <c r="E2995" s="120">
        <f>+E2996</f>
        <v>600000000</v>
      </c>
      <c r="F2995" s="120">
        <f>+F2996</f>
        <v>559556800</v>
      </c>
      <c r="G2995" s="120">
        <f>+F2995/E2995*100</f>
        <v>93.259466666666668</v>
      </c>
      <c r="H2995" s="905">
        <v>100</v>
      </c>
      <c r="I2995" s="903"/>
    </row>
    <row r="2996" spans="3:9" s="2" customFormat="1" ht="35.1" hidden="1" customHeight="1">
      <c r="C2996" s="902"/>
      <c r="D2996" s="808" t="s">
        <v>3025</v>
      </c>
      <c r="E2996" s="120">
        <v>600000000</v>
      </c>
      <c r="F2996" s="115">
        <v>559556800</v>
      </c>
      <c r="G2996" s="120">
        <f>+F2996/E2996*100</f>
        <v>93.259466666666668</v>
      </c>
      <c r="H2996" s="901">
        <v>100</v>
      </c>
      <c r="I2996" s="900"/>
    </row>
    <row r="2997" spans="3:9" s="895" customFormat="1" ht="15" hidden="1" customHeight="1">
      <c r="C2997" s="904"/>
      <c r="D2997" s="890"/>
      <c r="E2997" s="120"/>
      <c r="F2997" s="120"/>
      <c r="G2997" s="120"/>
      <c r="H2997" s="905"/>
      <c r="I2997" s="903"/>
    </row>
    <row r="2998" spans="3:9" s="895" customFormat="1" ht="20.100000000000001" hidden="1" customHeight="1">
      <c r="C2998" s="904"/>
      <c r="D2998" s="890" t="s">
        <v>363</v>
      </c>
      <c r="E2998" s="120">
        <v>750000000</v>
      </c>
      <c r="F2998" s="120">
        <v>0</v>
      </c>
      <c r="G2998" s="120">
        <f>+F2998/E2998*100</f>
        <v>0</v>
      </c>
      <c r="H2998" s="905">
        <v>0</v>
      </c>
      <c r="I2998" s="903"/>
    </row>
    <row r="2999" spans="3:9" s="895" customFormat="1" ht="35.1" hidden="1" customHeight="1">
      <c r="C2999" s="904"/>
      <c r="D2999" s="890" t="s">
        <v>1864</v>
      </c>
      <c r="E2999" s="120">
        <f>+E3000</f>
        <v>750000000</v>
      </c>
      <c r="F2999" s="120"/>
      <c r="G2999" s="120">
        <f>+F2999/E2999*100</f>
        <v>0</v>
      </c>
      <c r="H2999" s="905"/>
      <c r="I2999" s="903"/>
    </row>
    <row r="3000" spans="3:9" s="2" customFormat="1" ht="20.100000000000001" hidden="1" customHeight="1">
      <c r="C3000" s="902"/>
      <c r="D3000" s="808" t="s">
        <v>3024</v>
      </c>
      <c r="E3000" s="120">
        <v>750000000</v>
      </c>
      <c r="F3000" s="115">
        <v>0</v>
      </c>
      <c r="G3000" s="120">
        <f>+F3000/E3000*100</f>
        <v>0</v>
      </c>
      <c r="H3000" s="901">
        <v>0</v>
      </c>
      <c r="I3000" s="900"/>
    </row>
    <row r="3001" spans="3:9" s="895" customFormat="1" ht="15" hidden="1" customHeight="1">
      <c r="C3001" s="904"/>
      <c r="D3001" s="890"/>
      <c r="E3001" s="120"/>
      <c r="F3001" s="120"/>
      <c r="G3001" s="120"/>
      <c r="H3001" s="905"/>
      <c r="I3001" s="903"/>
    </row>
    <row r="3002" spans="3:9" s="895" customFormat="1" ht="20.100000000000001" hidden="1" customHeight="1">
      <c r="C3002" s="904"/>
      <c r="D3002" s="890" t="s">
        <v>2254</v>
      </c>
      <c r="E3002" s="120">
        <v>1209830720</v>
      </c>
      <c r="F3002" s="120">
        <v>1183504066</v>
      </c>
      <c r="G3002" s="120">
        <f>+F3002/E3002*100</f>
        <v>97.823939038347447</v>
      </c>
      <c r="H3002" s="905">
        <v>100</v>
      </c>
      <c r="I3002" s="903"/>
    </row>
    <row r="3003" spans="3:9" s="895" customFormat="1" ht="20.100000000000001" hidden="1" customHeight="1">
      <c r="C3003" s="904"/>
      <c r="D3003" s="890" t="s">
        <v>509</v>
      </c>
      <c r="E3003" s="120">
        <f>+E3004+E3005</f>
        <v>1209830720</v>
      </c>
      <c r="F3003" s="908">
        <f>+F3004+F3005</f>
        <v>1183504066</v>
      </c>
      <c r="G3003" s="120">
        <f>+F3003/E3003*100</f>
        <v>97.823939038347447</v>
      </c>
      <c r="H3003" s="905">
        <v>100</v>
      </c>
      <c r="I3003" s="903"/>
    </row>
    <row r="3004" spans="3:9" s="2" customFormat="1" ht="35.1" hidden="1" customHeight="1">
      <c r="C3004" s="902"/>
      <c r="D3004" s="808" t="s">
        <v>3023</v>
      </c>
      <c r="E3004" s="120">
        <v>532405740</v>
      </c>
      <c r="F3004" s="907">
        <v>523579486</v>
      </c>
      <c r="G3004" s="120">
        <f>+F3004/E3004*100</f>
        <v>98.34219405673575</v>
      </c>
      <c r="H3004" s="906">
        <v>100</v>
      </c>
      <c r="I3004" s="900"/>
    </row>
    <row r="3005" spans="3:9" s="2" customFormat="1" ht="20.100000000000001" hidden="1" customHeight="1">
      <c r="C3005" s="902"/>
      <c r="D3005" s="808" t="s">
        <v>3022</v>
      </c>
      <c r="E3005" s="120">
        <v>677424980</v>
      </c>
      <c r="F3005" s="115">
        <v>659924580</v>
      </c>
      <c r="G3005" s="120">
        <f>+F3005/E3005*100</f>
        <v>97.416629070867742</v>
      </c>
      <c r="H3005" s="901">
        <v>100</v>
      </c>
      <c r="I3005" s="900"/>
    </row>
    <row r="3006" spans="3:9" s="895" customFormat="1" ht="15" hidden="1" customHeight="1">
      <c r="C3006" s="904"/>
      <c r="D3006" s="890"/>
      <c r="E3006" s="120"/>
      <c r="F3006" s="120"/>
      <c r="G3006" s="120"/>
      <c r="H3006" s="905"/>
      <c r="I3006" s="903"/>
    </row>
    <row r="3007" spans="3:9" s="895" customFormat="1" ht="35.1" hidden="1" customHeight="1">
      <c r="C3007" s="904"/>
      <c r="D3007" s="890" t="s">
        <v>3021</v>
      </c>
      <c r="E3007" s="120">
        <v>250000000</v>
      </c>
      <c r="F3007" s="120">
        <v>137845900</v>
      </c>
      <c r="G3007" s="120">
        <f>+F3007/E3007*100</f>
        <v>55.138359999999999</v>
      </c>
      <c r="H3007" s="905">
        <v>60</v>
      </c>
      <c r="I3007" s="903"/>
    </row>
    <row r="3008" spans="3:9" s="895" customFormat="1" ht="35.1" hidden="1" customHeight="1">
      <c r="C3008" s="904"/>
      <c r="D3008" s="890" t="s">
        <v>3020</v>
      </c>
      <c r="E3008" s="120">
        <f>+E3009</f>
        <v>250000000</v>
      </c>
      <c r="F3008" s="120">
        <f>+F3009</f>
        <v>137845900</v>
      </c>
      <c r="G3008" s="120">
        <f>+F3008/E3008*100</f>
        <v>55.138359999999999</v>
      </c>
      <c r="H3008" s="905">
        <v>60</v>
      </c>
      <c r="I3008" s="903"/>
    </row>
    <row r="3009" spans="3:9" s="2" customFormat="1" ht="20.100000000000001" hidden="1" customHeight="1">
      <c r="C3009" s="902"/>
      <c r="D3009" s="808" t="s">
        <v>3019</v>
      </c>
      <c r="E3009" s="115">
        <v>250000000</v>
      </c>
      <c r="F3009" s="115">
        <v>137845900</v>
      </c>
      <c r="G3009" s="120">
        <f>+F3009/E3009*100</f>
        <v>55.138359999999999</v>
      </c>
      <c r="H3009" s="901">
        <v>60</v>
      </c>
      <c r="I3009" s="900"/>
    </row>
    <row r="3010" spans="3:9" s="895" customFormat="1" ht="20.100000000000001" hidden="1" customHeight="1">
      <c r="C3010" s="904"/>
      <c r="D3010" s="808"/>
      <c r="E3010" s="120"/>
      <c r="F3010" s="120"/>
      <c r="G3010" s="120"/>
      <c r="H3010" s="905"/>
      <c r="I3010" s="903"/>
    </row>
    <row r="3011" spans="3:9" s="895" customFormat="1" ht="20.100000000000001" hidden="1" customHeight="1">
      <c r="C3011" s="904"/>
      <c r="D3011" s="890" t="s">
        <v>2256</v>
      </c>
      <c r="E3011" s="120">
        <f>+E3012+E3021+E3024</f>
        <v>13006657000</v>
      </c>
      <c r="F3011" s="120">
        <f>+F3012+F3021+F3024</f>
        <v>11936657000</v>
      </c>
      <c r="G3011" s="120">
        <f t="shared" ref="G3011:G3022" si="139">+F3011/E3011*100</f>
        <v>91.773443399022511</v>
      </c>
      <c r="H3011" s="905">
        <f>(H3012+H3021)/2</f>
        <v>82</v>
      </c>
      <c r="I3011" s="903"/>
    </row>
    <row r="3012" spans="3:9" s="895" customFormat="1" ht="20.100000000000001" hidden="1" customHeight="1">
      <c r="C3012" s="904"/>
      <c r="D3012" s="890" t="s">
        <v>2257</v>
      </c>
      <c r="E3012" s="120">
        <f>+E3013+E3016+E3019</f>
        <v>1670000000</v>
      </c>
      <c r="F3012" s="120">
        <f>+F3013+F3016</f>
        <v>1100000000</v>
      </c>
      <c r="G3012" s="120">
        <f t="shared" si="139"/>
        <v>65.868263473053887</v>
      </c>
      <c r="H3012" s="905">
        <f>(H3013+H3016+H3019)/3</f>
        <v>66.666666666666671</v>
      </c>
      <c r="I3012" s="903"/>
    </row>
    <row r="3013" spans="3:9" s="895" customFormat="1" ht="20.100000000000001" hidden="1" customHeight="1">
      <c r="C3013" s="904"/>
      <c r="D3013" s="890" t="s">
        <v>2258</v>
      </c>
      <c r="E3013" s="120">
        <f>+E3014+E3015</f>
        <v>400000000</v>
      </c>
      <c r="F3013" s="120">
        <f>+F3014+F3015</f>
        <v>400000000</v>
      </c>
      <c r="G3013" s="120">
        <f t="shared" si="139"/>
        <v>100</v>
      </c>
      <c r="H3013" s="905">
        <v>100</v>
      </c>
      <c r="I3013" s="903"/>
    </row>
    <row r="3014" spans="3:9" s="2" customFormat="1" ht="20.100000000000001" hidden="1" customHeight="1">
      <c r="C3014" s="902"/>
      <c r="D3014" s="808" t="s">
        <v>2259</v>
      </c>
      <c r="E3014" s="115">
        <v>200000000</v>
      </c>
      <c r="F3014" s="115">
        <v>200000000</v>
      </c>
      <c r="G3014" s="120">
        <f t="shared" si="139"/>
        <v>100</v>
      </c>
      <c r="H3014" s="901">
        <v>100</v>
      </c>
      <c r="I3014" s="900"/>
    </row>
    <row r="3015" spans="3:9" s="2" customFormat="1" ht="20.100000000000001" hidden="1" customHeight="1">
      <c r="C3015" s="902"/>
      <c r="D3015" s="808" t="s">
        <v>2260</v>
      </c>
      <c r="E3015" s="115">
        <v>200000000</v>
      </c>
      <c r="F3015" s="115">
        <v>200000000</v>
      </c>
      <c r="G3015" s="120">
        <f t="shared" si="139"/>
        <v>100</v>
      </c>
      <c r="H3015" s="901">
        <v>100</v>
      </c>
      <c r="I3015" s="900"/>
    </row>
    <row r="3016" spans="3:9" s="2" customFormat="1" ht="20.100000000000001" hidden="1" customHeight="1">
      <c r="C3016" s="902"/>
      <c r="D3016" s="890" t="s">
        <v>2261</v>
      </c>
      <c r="E3016" s="120">
        <f>+E3017+E3018</f>
        <v>700000000</v>
      </c>
      <c r="F3016" s="115">
        <f>+F3017+F3018</f>
        <v>700000000</v>
      </c>
      <c r="G3016" s="120">
        <f t="shared" si="139"/>
        <v>100</v>
      </c>
      <c r="H3016" s="905">
        <v>100</v>
      </c>
      <c r="I3016" s="900"/>
    </row>
    <row r="3017" spans="3:9" s="2" customFormat="1" ht="20.100000000000001" hidden="1" customHeight="1">
      <c r="C3017" s="902"/>
      <c r="D3017" s="808" t="s">
        <v>2262</v>
      </c>
      <c r="E3017" s="115">
        <v>350000000</v>
      </c>
      <c r="F3017" s="115">
        <v>350000000</v>
      </c>
      <c r="G3017" s="120">
        <f t="shared" si="139"/>
        <v>100</v>
      </c>
      <c r="H3017" s="901">
        <v>100</v>
      </c>
      <c r="I3017" s="900"/>
    </row>
    <row r="3018" spans="3:9" s="2" customFormat="1" ht="20.100000000000001" hidden="1" customHeight="1">
      <c r="C3018" s="902"/>
      <c r="D3018" s="808" t="s">
        <v>2263</v>
      </c>
      <c r="E3018" s="115">
        <v>350000000</v>
      </c>
      <c r="F3018" s="115">
        <v>350000000</v>
      </c>
      <c r="G3018" s="120">
        <f t="shared" si="139"/>
        <v>100</v>
      </c>
      <c r="H3018" s="901">
        <v>100</v>
      </c>
      <c r="I3018" s="900"/>
    </row>
    <row r="3019" spans="3:9" s="895" customFormat="1" ht="20.100000000000001" hidden="1" customHeight="1">
      <c r="C3019" s="904"/>
      <c r="D3019" s="890" t="s">
        <v>3018</v>
      </c>
      <c r="E3019" s="120">
        <f>+E3020</f>
        <v>570000000</v>
      </c>
      <c r="F3019" s="120"/>
      <c r="G3019" s="120">
        <f t="shared" si="139"/>
        <v>0</v>
      </c>
      <c r="H3019" s="905">
        <v>0</v>
      </c>
      <c r="I3019" s="903"/>
    </row>
    <row r="3020" spans="3:9" s="2" customFormat="1" ht="20.100000000000001" hidden="1" customHeight="1">
      <c r="C3020" s="902"/>
      <c r="D3020" s="808" t="s">
        <v>3017</v>
      </c>
      <c r="E3020" s="115">
        <v>570000000</v>
      </c>
      <c r="F3020" s="115">
        <v>0</v>
      </c>
      <c r="G3020" s="120">
        <f t="shared" si="139"/>
        <v>0</v>
      </c>
      <c r="H3020" s="901">
        <v>0</v>
      </c>
      <c r="I3020" s="900"/>
    </row>
    <row r="3021" spans="3:9" s="2" customFormat="1" ht="20.100000000000001" hidden="1" customHeight="1">
      <c r="C3021" s="902"/>
      <c r="D3021" s="890" t="s">
        <v>2264</v>
      </c>
      <c r="E3021" s="120">
        <f>+E3022</f>
        <v>3500000000</v>
      </c>
      <c r="F3021" s="120">
        <f>+F3022</f>
        <v>3500000000</v>
      </c>
      <c r="G3021" s="120">
        <f t="shared" si="139"/>
        <v>100</v>
      </c>
      <c r="H3021" s="905">
        <f>(H3022+H3024)/2</f>
        <v>97.333333333333343</v>
      </c>
      <c r="I3021" s="900"/>
    </row>
    <row r="3022" spans="3:9" s="895" customFormat="1" ht="20.100000000000001" hidden="1" customHeight="1">
      <c r="C3022" s="904"/>
      <c r="D3022" s="890" t="s">
        <v>2265</v>
      </c>
      <c r="E3022" s="120">
        <f>+E3023</f>
        <v>3500000000</v>
      </c>
      <c r="F3022" s="120">
        <f>+F3023</f>
        <v>3500000000</v>
      </c>
      <c r="G3022" s="120">
        <f t="shared" si="139"/>
        <v>100</v>
      </c>
      <c r="H3022" s="905">
        <v>98</v>
      </c>
      <c r="I3022" s="903"/>
    </row>
    <row r="3023" spans="3:9" s="2" customFormat="1" ht="20.100000000000001" hidden="1" customHeight="1">
      <c r="C3023" s="902"/>
      <c r="D3023" s="808" t="s">
        <v>2266</v>
      </c>
      <c r="E3023" s="115">
        <v>3500000000</v>
      </c>
      <c r="F3023" s="115">
        <v>3500000000</v>
      </c>
      <c r="G3023" s="115">
        <v>100</v>
      </c>
      <c r="H3023" s="901">
        <v>100</v>
      </c>
      <c r="I3023" s="900"/>
    </row>
    <row r="3024" spans="3:9" s="895" customFormat="1" ht="20.100000000000001" hidden="1" customHeight="1">
      <c r="C3024" s="904"/>
      <c r="D3024" s="890" t="s">
        <v>2267</v>
      </c>
      <c r="E3024" s="120">
        <f>+E3025+E3026+E3027+E3028+E3029+E3030+E3031+E3032+E3033+E3034+E3035+E3036+E3037+E3038+E3039+E3040+E3041+E3042</f>
        <v>7836657000</v>
      </c>
      <c r="F3024" s="120">
        <f>SUM(F3025:F3042)</f>
        <v>7336657000</v>
      </c>
      <c r="G3024" s="120">
        <v>91.773443399022511</v>
      </c>
      <c r="H3024" s="905">
        <f>SUM((H3025:H3042))/18</f>
        <v>96.666666666666671</v>
      </c>
      <c r="I3024" s="903"/>
    </row>
    <row r="3025" spans="3:9" s="895" customFormat="1" ht="20.100000000000001" hidden="1" customHeight="1">
      <c r="C3025" s="904"/>
      <c r="D3025" s="808" t="s">
        <v>3016</v>
      </c>
      <c r="E3025" s="115">
        <v>720000000</v>
      </c>
      <c r="F3025" s="115">
        <v>720000000</v>
      </c>
      <c r="G3025" s="115">
        <v>100</v>
      </c>
      <c r="H3025" s="901">
        <v>100</v>
      </c>
      <c r="I3025" s="903"/>
    </row>
    <row r="3026" spans="3:9" s="895" customFormat="1" ht="20.100000000000001" hidden="1" customHeight="1">
      <c r="C3026" s="904"/>
      <c r="D3026" s="808" t="s">
        <v>3015</v>
      </c>
      <c r="E3026" s="115">
        <v>252000000</v>
      </c>
      <c r="F3026" s="115">
        <v>252000000</v>
      </c>
      <c r="G3026" s="115">
        <v>100</v>
      </c>
      <c r="H3026" s="901">
        <v>100</v>
      </c>
      <c r="I3026" s="903"/>
    </row>
    <row r="3027" spans="3:9" s="895" customFormat="1" ht="20.100000000000001" hidden="1" customHeight="1">
      <c r="C3027" s="904"/>
      <c r="D3027" s="808" t="s">
        <v>3014</v>
      </c>
      <c r="E3027" s="115">
        <v>42000000</v>
      </c>
      <c r="F3027" s="115">
        <v>42000000</v>
      </c>
      <c r="G3027" s="115">
        <v>100</v>
      </c>
      <c r="H3027" s="901">
        <v>100</v>
      </c>
      <c r="I3027" s="903"/>
    </row>
    <row r="3028" spans="3:9" s="895" customFormat="1" ht="20.100000000000001" hidden="1" customHeight="1">
      <c r="C3028" s="904"/>
      <c r="D3028" s="808" t="s">
        <v>3013</v>
      </c>
      <c r="E3028" s="115">
        <v>600000000</v>
      </c>
      <c r="F3028" s="115">
        <v>600000000</v>
      </c>
      <c r="G3028" s="115">
        <v>100</v>
      </c>
      <c r="H3028" s="901">
        <v>100</v>
      </c>
      <c r="I3028" s="903"/>
    </row>
    <row r="3029" spans="3:9" s="895" customFormat="1" ht="20.100000000000001" hidden="1" customHeight="1">
      <c r="C3029" s="904"/>
      <c r="D3029" s="808" t="s">
        <v>3012</v>
      </c>
      <c r="E3029" s="115">
        <v>1140000000</v>
      </c>
      <c r="F3029" s="115">
        <v>1140000000</v>
      </c>
      <c r="G3029" s="115">
        <v>100</v>
      </c>
      <c r="H3029" s="901">
        <v>100</v>
      </c>
      <c r="I3029" s="903"/>
    </row>
    <row r="3030" spans="3:9" s="895" customFormat="1" ht="20.100000000000001" hidden="1" customHeight="1">
      <c r="C3030" s="904"/>
      <c r="D3030" s="808" t="s">
        <v>3011</v>
      </c>
      <c r="E3030" s="115">
        <v>670000000</v>
      </c>
      <c r="F3030" s="115">
        <v>670000000</v>
      </c>
      <c r="G3030" s="115">
        <v>100</v>
      </c>
      <c r="H3030" s="901">
        <v>100</v>
      </c>
      <c r="I3030" s="903"/>
    </row>
    <row r="3031" spans="3:9" s="895" customFormat="1" ht="20.100000000000001" hidden="1" customHeight="1">
      <c r="C3031" s="904"/>
      <c r="D3031" s="808" t="s">
        <v>3010</v>
      </c>
      <c r="E3031" s="115">
        <v>1550000000</v>
      </c>
      <c r="F3031" s="115">
        <v>1550000000</v>
      </c>
      <c r="G3031" s="115">
        <v>100</v>
      </c>
      <c r="H3031" s="901">
        <v>100</v>
      </c>
      <c r="I3031" s="903"/>
    </row>
    <row r="3032" spans="3:9" s="895" customFormat="1" ht="20.100000000000001" hidden="1" customHeight="1">
      <c r="C3032" s="904"/>
      <c r="D3032" s="808" t="s">
        <v>3009</v>
      </c>
      <c r="E3032" s="115">
        <v>500000000</v>
      </c>
      <c r="F3032" s="115">
        <v>500000000</v>
      </c>
      <c r="G3032" s="115">
        <v>100</v>
      </c>
      <c r="H3032" s="901">
        <v>100</v>
      </c>
      <c r="I3032" s="903"/>
    </row>
    <row r="3033" spans="3:9" s="895" customFormat="1" ht="20.100000000000001" hidden="1" customHeight="1">
      <c r="C3033" s="904"/>
      <c r="D3033" s="808" t="s">
        <v>3008</v>
      </c>
      <c r="E3033" s="115">
        <v>70000000</v>
      </c>
      <c r="F3033" s="115">
        <v>70000000</v>
      </c>
      <c r="G3033" s="115">
        <v>100</v>
      </c>
      <c r="H3033" s="901">
        <v>100</v>
      </c>
      <c r="I3033" s="903"/>
    </row>
    <row r="3034" spans="3:9" s="895" customFormat="1" ht="20.100000000000001" hidden="1" customHeight="1">
      <c r="C3034" s="904"/>
      <c r="D3034" s="808" t="s">
        <v>3007</v>
      </c>
      <c r="E3034" s="115">
        <v>997657000</v>
      </c>
      <c r="F3034" s="115">
        <v>997657000</v>
      </c>
      <c r="G3034" s="115">
        <v>100</v>
      </c>
      <c r="H3034" s="901">
        <v>100</v>
      </c>
      <c r="I3034" s="903"/>
    </row>
    <row r="3035" spans="3:9" s="895" customFormat="1" ht="20.100000000000001" hidden="1" customHeight="1">
      <c r="C3035" s="904"/>
      <c r="D3035" s="808" t="s">
        <v>3006</v>
      </c>
      <c r="E3035" s="115">
        <v>176000000</v>
      </c>
      <c r="F3035" s="115">
        <v>176000000</v>
      </c>
      <c r="G3035" s="115">
        <v>100</v>
      </c>
      <c r="H3035" s="901">
        <v>100</v>
      </c>
      <c r="I3035" s="903"/>
    </row>
    <row r="3036" spans="3:9" s="895" customFormat="1" ht="20.100000000000001" hidden="1" customHeight="1">
      <c r="C3036" s="904"/>
      <c r="D3036" s="808" t="s">
        <v>3005</v>
      </c>
      <c r="E3036" s="115">
        <v>45000000</v>
      </c>
      <c r="F3036" s="115">
        <v>45000000</v>
      </c>
      <c r="G3036" s="115">
        <v>100</v>
      </c>
      <c r="H3036" s="901">
        <v>100</v>
      </c>
      <c r="I3036" s="903"/>
    </row>
    <row r="3037" spans="3:9" s="895" customFormat="1" ht="20.100000000000001" hidden="1" customHeight="1">
      <c r="C3037" s="904"/>
      <c r="D3037" s="808" t="s">
        <v>3004</v>
      </c>
      <c r="E3037" s="115">
        <v>100000000</v>
      </c>
      <c r="F3037" s="115">
        <v>100000000</v>
      </c>
      <c r="G3037" s="115">
        <v>100</v>
      </c>
      <c r="H3037" s="901">
        <v>100</v>
      </c>
      <c r="I3037" s="903"/>
    </row>
    <row r="3038" spans="3:9" s="895" customFormat="1" ht="20.100000000000001" hidden="1" customHeight="1">
      <c r="C3038" s="904"/>
      <c r="D3038" s="808" t="s">
        <v>3003</v>
      </c>
      <c r="E3038" s="115">
        <v>72000000</v>
      </c>
      <c r="F3038" s="115">
        <v>72000000</v>
      </c>
      <c r="G3038" s="115">
        <v>100</v>
      </c>
      <c r="H3038" s="901">
        <v>100</v>
      </c>
      <c r="I3038" s="903"/>
    </row>
    <row r="3039" spans="3:9" s="895" customFormat="1" ht="20.100000000000001" hidden="1" customHeight="1">
      <c r="C3039" s="904"/>
      <c r="D3039" s="808" t="s">
        <v>3002</v>
      </c>
      <c r="E3039" s="115">
        <v>13000000</v>
      </c>
      <c r="F3039" s="115">
        <v>13000000</v>
      </c>
      <c r="G3039" s="115">
        <v>100</v>
      </c>
      <c r="H3039" s="901">
        <v>100</v>
      </c>
      <c r="I3039" s="903"/>
    </row>
    <row r="3040" spans="3:9" s="895" customFormat="1" ht="20.100000000000001" hidden="1" customHeight="1">
      <c r="C3040" s="904"/>
      <c r="D3040" s="808" t="s">
        <v>3001</v>
      </c>
      <c r="E3040" s="115">
        <v>56000000</v>
      </c>
      <c r="F3040" s="115">
        <v>56000000</v>
      </c>
      <c r="G3040" s="115">
        <v>100</v>
      </c>
      <c r="H3040" s="901">
        <v>100</v>
      </c>
      <c r="I3040" s="903"/>
    </row>
    <row r="3041" spans="1:10" s="2" customFormat="1" ht="20.100000000000001" hidden="1" customHeight="1">
      <c r="C3041" s="902"/>
      <c r="D3041" s="808" t="s">
        <v>3000</v>
      </c>
      <c r="E3041" s="115">
        <v>33000000</v>
      </c>
      <c r="F3041" s="115">
        <v>33000000</v>
      </c>
      <c r="G3041" s="115">
        <v>100</v>
      </c>
      <c r="H3041" s="901">
        <v>100</v>
      </c>
      <c r="I3041" s="900"/>
    </row>
    <row r="3042" spans="1:10" s="2" customFormat="1" ht="20.100000000000001" hidden="1" customHeight="1">
      <c r="C3042" s="902"/>
      <c r="D3042" s="808" t="s">
        <v>2999</v>
      </c>
      <c r="E3042" s="115">
        <v>800000000</v>
      </c>
      <c r="F3042" s="115">
        <v>300000000</v>
      </c>
      <c r="G3042" s="115">
        <v>37.5</v>
      </c>
      <c r="H3042" s="901">
        <v>40</v>
      </c>
      <c r="I3042" s="900"/>
    </row>
    <row r="3043" spans="1:10" ht="15" hidden="1" customHeight="1">
      <c r="C3043" s="878"/>
      <c r="D3043" s="859"/>
      <c r="E3043" s="125"/>
      <c r="F3043" s="854"/>
      <c r="G3043" s="854"/>
      <c r="H3043" s="876"/>
      <c r="I3043" s="852"/>
      <c r="J3043" s="802"/>
    </row>
    <row r="3044" spans="1:10" s="656" customFormat="1" ht="20.100000000000001" customHeight="1">
      <c r="C3044" s="881" t="s">
        <v>2274</v>
      </c>
      <c r="D3044" s="856" t="s">
        <v>2275</v>
      </c>
      <c r="E3044" s="855">
        <f>+E3045+E3084+E3097+E3102+E3106+E3110+E3114+E3118+E3124+E3137+E3143+E3147+E3151+E3155+E3162+E3167+E3182+E3201+E3209</f>
        <v>60339107583.360001</v>
      </c>
      <c r="F3044" s="855">
        <f>+F3045+F3084+F3097+F3102+F3106+F3110+F3114+F3118+F3124+F3137+F3143+F3147+F3151+F3155+F3162+F3167+F3182+F3201+F3209</f>
        <v>59677391512</v>
      </c>
      <c r="G3044" s="855">
        <f>+F3044/E3044*100</f>
        <v>98.903337987811938</v>
      </c>
      <c r="H3044" s="887">
        <f>(H3045+H3084+H3097+H3102+H3106+H3110+H3114+H3118+H3124+H3137+H3143+H3147+H3151+H3155+H3162+H3167+H3182+H3201+H3209)/19</f>
        <v>81.678134312364563</v>
      </c>
      <c r="I3044" s="863"/>
      <c r="J3044" s="44"/>
    </row>
    <row r="3045" spans="1:10" s="656" customFormat="1" ht="20.100000000000001" hidden="1" customHeight="1">
      <c r="A3045" s="656" t="s">
        <v>2998</v>
      </c>
      <c r="C3045" s="881"/>
      <c r="D3045" s="889" t="s">
        <v>64</v>
      </c>
      <c r="E3045" s="231">
        <f>E3046+E3053+E3069+E3077+E3081</f>
        <v>18000000910.5</v>
      </c>
      <c r="F3045" s="899">
        <f>F3046+F3053+F3069+F3077+F3081</f>
        <v>17766343206</v>
      </c>
      <c r="G3045" s="231">
        <f t="shared" ref="G3045:G3082" si="140">F3045/E3045*100</f>
        <v>98.701901707328815</v>
      </c>
      <c r="H3045" s="887">
        <f>(H3046+H3053+H3069+H3077+H3081)/5</f>
        <v>98.356980061172905</v>
      </c>
      <c r="I3045" s="863"/>
      <c r="J3045" s="44"/>
    </row>
    <row r="3046" spans="1:10" s="656" customFormat="1" ht="20.100000000000001" hidden="1" customHeight="1">
      <c r="C3046" s="881"/>
      <c r="D3046" s="889" t="s">
        <v>388</v>
      </c>
      <c r="E3046" s="231">
        <f>SUM(E3047:E3052)</f>
        <v>1240741600</v>
      </c>
      <c r="F3046" s="899">
        <f>SUM(F3047:F3052)</f>
        <v>1213328000</v>
      </c>
      <c r="G3046" s="231">
        <f t="shared" si="140"/>
        <v>97.790547201770295</v>
      </c>
      <c r="H3046" s="887">
        <f>SUM((H3047:H3052))/6</f>
        <v>97.5</v>
      </c>
      <c r="I3046" s="863"/>
      <c r="J3046" s="44"/>
    </row>
    <row r="3047" spans="1:10" s="898" customFormat="1" ht="20.100000000000001" hidden="1" customHeight="1">
      <c r="C3047" s="878"/>
      <c r="D3047" s="888" t="s">
        <v>2997</v>
      </c>
      <c r="E3047" s="694">
        <v>50000000</v>
      </c>
      <c r="F3047" s="897">
        <v>50000000</v>
      </c>
      <c r="G3047" s="694">
        <f t="shared" si="140"/>
        <v>100</v>
      </c>
      <c r="H3047" s="887">
        <f>+G3047</f>
        <v>100</v>
      </c>
      <c r="I3047" s="852"/>
      <c r="J3047" s="802"/>
    </row>
    <row r="3048" spans="1:10" s="898" customFormat="1" ht="20.100000000000001" hidden="1" customHeight="1">
      <c r="C3048" s="878"/>
      <c r="D3048" s="888" t="s">
        <v>2996</v>
      </c>
      <c r="E3048" s="694">
        <v>224000000</v>
      </c>
      <c r="F3048" s="897">
        <v>224000000</v>
      </c>
      <c r="G3048" s="694">
        <f t="shared" si="140"/>
        <v>100</v>
      </c>
      <c r="H3048" s="887">
        <f>+G3048</f>
        <v>100</v>
      </c>
      <c r="I3048" s="852"/>
      <c r="J3048" s="802"/>
    </row>
    <row r="3049" spans="1:10" s="898" customFormat="1" ht="20.100000000000001" hidden="1" customHeight="1">
      <c r="C3049" s="878"/>
      <c r="D3049" s="888" t="s">
        <v>2995</v>
      </c>
      <c r="E3049" s="694">
        <v>86028000</v>
      </c>
      <c r="F3049" s="897">
        <v>86028000</v>
      </c>
      <c r="G3049" s="694">
        <f t="shared" si="140"/>
        <v>100</v>
      </c>
      <c r="H3049" s="887">
        <f>+G3049</f>
        <v>100</v>
      </c>
      <c r="I3049" s="852"/>
      <c r="J3049" s="802"/>
    </row>
    <row r="3050" spans="1:10" s="898" customFormat="1" ht="35.1" hidden="1" customHeight="1">
      <c r="C3050" s="878"/>
      <c r="D3050" s="888" t="s">
        <v>2994</v>
      </c>
      <c r="E3050" s="694">
        <v>94000000</v>
      </c>
      <c r="F3050" s="897">
        <v>85500000</v>
      </c>
      <c r="G3050" s="694">
        <f t="shared" si="140"/>
        <v>90.957446808510639</v>
      </c>
      <c r="H3050" s="887">
        <v>90</v>
      </c>
      <c r="I3050" s="852"/>
      <c r="J3050" s="802"/>
    </row>
    <row r="3051" spans="1:10" s="898" customFormat="1" ht="20.100000000000001" hidden="1" customHeight="1">
      <c r="C3051" s="878"/>
      <c r="D3051" s="888" t="s">
        <v>2993</v>
      </c>
      <c r="E3051" s="694">
        <v>144113600</v>
      </c>
      <c r="F3051" s="897">
        <v>135000000</v>
      </c>
      <c r="G3051" s="694">
        <f t="shared" si="140"/>
        <v>93.676099965582708</v>
      </c>
      <c r="H3051" s="887">
        <v>95</v>
      </c>
      <c r="I3051" s="852"/>
      <c r="J3051" s="802"/>
    </row>
    <row r="3052" spans="1:10" s="898" customFormat="1" ht="20.100000000000001" hidden="1" customHeight="1">
      <c r="C3052" s="878"/>
      <c r="D3052" s="888" t="s">
        <v>2992</v>
      </c>
      <c r="E3052" s="694">
        <v>642600000</v>
      </c>
      <c r="F3052" s="897">
        <v>632800000</v>
      </c>
      <c r="G3052" s="694">
        <f t="shared" si="140"/>
        <v>98.474945533769059</v>
      </c>
      <c r="H3052" s="887">
        <v>100</v>
      </c>
      <c r="I3052" s="852"/>
      <c r="J3052" s="802"/>
    </row>
    <row r="3053" spans="1:10" s="898" customFormat="1" ht="35.1" hidden="1" customHeight="1">
      <c r="C3053" s="878"/>
      <c r="D3053" s="889" t="s">
        <v>394</v>
      </c>
      <c r="E3053" s="231">
        <f>SUM(E3054:E3068)</f>
        <v>10409283296.92</v>
      </c>
      <c r="F3053" s="899">
        <f>SUM(F3054:F3068)</f>
        <v>10280910207</v>
      </c>
      <c r="G3053" s="231">
        <f t="shared" si="140"/>
        <v>98.76674420074643</v>
      </c>
      <c r="H3053" s="887">
        <f>SUM((H3054:H3068))/15</f>
        <v>100.0014296538524</v>
      </c>
      <c r="I3053" s="852"/>
      <c r="J3053" s="802"/>
    </row>
    <row r="3054" spans="1:10" s="656" customFormat="1" ht="20.100000000000001" hidden="1" customHeight="1">
      <c r="C3054" s="881"/>
      <c r="D3054" s="888" t="s">
        <v>2991</v>
      </c>
      <c r="E3054" s="694">
        <v>1560000000</v>
      </c>
      <c r="F3054" s="897">
        <v>1560000000</v>
      </c>
      <c r="G3054" s="694">
        <f t="shared" si="140"/>
        <v>100</v>
      </c>
      <c r="H3054" s="887">
        <f>+G3054</f>
        <v>100</v>
      </c>
      <c r="I3054" s="863"/>
      <c r="J3054" s="44"/>
    </row>
    <row r="3055" spans="1:10" ht="35.1" hidden="1" customHeight="1">
      <c r="C3055" s="878"/>
      <c r="D3055" s="888" t="s">
        <v>2990</v>
      </c>
      <c r="E3055" s="694">
        <v>650152500</v>
      </c>
      <c r="F3055" s="897">
        <v>650152500</v>
      </c>
      <c r="G3055" s="694">
        <f t="shared" si="140"/>
        <v>100</v>
      </c>
      <c r="H3055" s="887">
        <f>+G3055</f>
        <v>100</v>
      </c>
      <c r="I3055" s="852"/>
      <c r="J3055" s="802"/>
    </row>
    <row r="3056" spans="1:10" ht="35.1" hidden="1" customHeight="1">
      <c r="C3056" s="878"/>
      <c r="D3056" s="888" t="s">
        <v>2989</v>
      </c>
      <c r="E3056" s="694">
        <v>174200000</v>
      </c>
      <c r="F3056" s="897">
        <v>173900000</v>
      </c>
      <c r="G3056" s="694">
        <f t="shared" si="140"/>
        <v>99.827784156142357</v>
      </c>
      <c r="H3056" s="887">
        <v>100</v>
      </c>
      <c r="I3056" s="852"/>
      <c r="J3056" s="802"/>
    </row>
    <row r="3057" spans="3:10" ht="51.75" hidden="1" customHeight="1">
      <c r="C3057" s="878"/>
      <c r="D3057" s="888" t="s">
        <v>2988</v>
      </c>
      <c r="E3057" s="694">
        <v>699080400</v>
      </c>
      <c r="F3057" s="897">
        <v>696780400</v>
      </c>
      <c r="G3057" s="694">
        <f t="shared" si="140"/>
        <v>99.670996354639612</v>
      </c>
      <c r="H3057" s="887">
        <v>100</v>
      </c>
      <c r="I3057" s="852"/>
      <c r="J3057" s="802"/>
    </row>
    <row r="3058" spans="3:10" ht="20.100000000000001" hidden="1" customHeight="1">
      <c r="C3058" s="878"/>
      <c r="D3058" s="808" t="s">
        <v>2987</v>
      </c>
      <c r="E3058" s="694">
        <v>1089000000</v>
      </c>
      <c r="F3058" s="897">
        <v>1083500000</v>
      </c>
      <c r="G3058" s="694">
        <f t="shared" si="140"/>
        <v>99.494949494949495</v>
      </c>
      <c r="H3058" s="887">
        <v>100</v>
      </c>
      <c r="I3058" s="852"/>
      <c r="J3058" s="802"/>
    </row>
    <row r="3059" spans="3:10" ht="35.1" hidden="1" customHeight="1">
      <c r="C3059" s="878"/>
      <c r="D3059" s="808" t="s">
        <v>2986</v>
      </c>
      <c r="E3059" s="694">
        <v>1566663983.9200001</v>
      </c>
      <c r="F3059" s="897">
        <v>1566999952</v>
      </c>
      <c r="G3059" s="694">
        <f t="shared" si="140"/>
        <v>100.02144480778574</v>
      </c>
      <c r="H3059" s="887">
        <f>+G3059</f>
        <v>100.02144480778574</v>
      </c>
      <c r="I3059" s="852"/>
      <c r="J3059" s="802"/>
    </row>
    <row r="3060" spans="3:10" ht="20.100000000000001" hidden="1" customHeight="1">
      <c r="C3060" s="878"/>
      <c r="D3060" s="808" t="s">
        <v>2985</v>
      </c>
      <c r="E3060" s="694">
        <v>224000000</v>
      </c>
      <c r="F3060" s="897">
        <v>220000000</v>
      </c>
      <c r="G3060" s="694">
        <f t="shared" si="140"/>
        <v>98.214285714285708</v>
      </c>
      <c r="H3060" s="887">
        <v>100</v>
      </c>
      <c r="I3060" s="852"/>
      <c r="J3060" s="802"/>
    </row>
    <row r="3061" spans="3:10" ht="20.100000000000001" hidden="1" customHeight="1">
      <c r="C3061" s="878"/>
      <c r="D3061" s="808" t="s">
        <v>2984</v>
      </c>
      <c r="E3061" s="694">
        <v>873600000</v>
      </c>
      <c r="F3061" s="897">
        <v>873600000</v>
      </c>
      <c r="G3061" s="694">
        <f t="shared" si="140"/>
        <v>100</v>
      </c>
      <c r="H3061" s="887">
        <f>+G3061</f>
        <v>100</v>
      </c>
      <c r="I3061" s="852"/>
      <c r="J3061" s="802"/>
    </row>
    <row r="3062" spans="3:10" ht="35.1" hidden="1" customHeight="1">
      <c r="C3062" s="878"/>
      <c r="D3062" s="808" t="s">
        <v>2983</v>
      </c>
      <c r="E3062" s="694">
        <v>761139990</v>
      </c>
      <c r="F3062" s="897">
        <v>761139990</v>
      </c>
      <c r="G3062" s="694">
        <f t="shared" si="140"/>
        <v>100</v>
      </c>
      <c r="H3062" s="887">
        <f>+G3062</f>
        <v>100</v>
      </c>
      <c r="I3062" s="852"/>
      <c r="J3062" s="802"/>
    </row>
    <row r="3063" spans="3:10" ht="35.1" hidden="1" customHeight="1">
      <c r="C3063" s="878"/>
      <c r="D3063" s="808" t="s">
        <v>2982</v>
      </c>
      <c r="E3063" s="694">
        <v>366537365</v>
      </c>
      <c r="F3063" s="897">
        <v>366537365</v>
      </c>
      <c r="G3063" s="694">
        <f t="shared" si="140"/>
        <v>100</v>
      </c>
      <c r="H3063" s="887">
        <f>+G3063</f>
        <v>100</v>
      </c>
      <c r="I3063" s="852"/>
      <c r="J3063" s="802"/>
    </row>
    <row r="3064" spans="3:10" ht="35.1" hidden="1" customHeight="1">
      <c r="C3064" s="878"/>
      <c r="D3064" s="808" t="s">
        <v>2981</v>
      </c>
      <c r="E3064" s="694">
        <v>399000000</v>
      </c>
      <c r="F3064" s="897">
        <v>399000000</v>
      </c>
      <c r="G3064" s="694">
        <f t="shared" si="140"/>
        <v>100</v>
      </c>
      <c r="H3064" s="887">
        <f>+G3064</f>
        <v>100</v>
      </c>
      <c r="I3064" s="852"/>
      <c r="J3064" s="802"/>
    </row>
    <row r="3065" spans="3:10" ht="44.25" hidden="1" customHeight="1">
      <c r="C3065" s="878"/>
      <c r="D3065" s="808" t="s">
        <v>2980</v>
      </c>
      <c r="E3065" s="694">
        <v>175500000</v>
      </c>
      <c r="F3065" s="897">
        <v>66200000</v>
      </c>
      <c r="G3065" s="694">
        <f t="shared" si="140"/>
        <v>37.720797720797719</v>
      </c>
      <c r="H3065" s="887">
        <v>100</v>
      </c>
      <c r="I3065" s="852"/>
      <c r="J3065" s="802"/>
    </row>
    <row r="3066" spans="3:10" ht="20.100000000000001" hidden="1" customHeight="1">
      <c r="C3066" s="878"/>
      <c r="D3066" s="808" t="s">
        <v>2979</v>
      </c>
      <c r="E3066" s="694">
        <v>1009666664</v>
      </c>
      <c r="F3066" s="897">
        <v>1006050000</v>
      </c>
      <c r="G3066" s="694">
        <f t="shared" si="140"/>
        <v>99.641796235435578</v>
      </c>
      <c r="H3066" s="887">
        <v>100</v>
      </c>
      <c r="I3066" s="852"/>
      <c r="J3066" s="802"/>
    </row>
    <row r="3067" spans="3:10" ht="20.100000000000001" hidden="1" customHeight="1">
      <c r="C3067" s="878"/>
      <c r="D3067" s="808" t="s">
        <v>2978</v>
      </c>
      <c r="E3067" s="694">
        <v>795742394</v>
      </c>
      <c r="F3067" s="897">
        <v>792050000</v>
      </c>
      <c r="G3067" s="694">
        <f t="shared" si="140"/>
        <v>99.535981238672065</v>
      </c>
      <c r="H3067" s="887">
        <v>100</v>
      </c>
      <c r="I3067" s="852"/>
      <c r="J3067" s="802"/>
    </row>
    <row r="3068" spans="3:10" ht="20.100000000000001" hidden="1" customHeight="1">
      <c r="C3068" s="878"/>
      <c r="D3068" s="808" t="s">
        <v>2977</v>
      </c>
      <c r="E3068" s="136">
        <v>65000000</v>
      </c>
      <c r="F3068" s="239">
        <v>65000000</v>
      </c>
      <c r="G3068" s="694">
        <f t="shared" si="140"/>
        <v>100</v>
      </c>
      <c r="H3068" s="887">
        <f>+G3068</f>
        <v>100</v>
      </c>
      <c r="I3068" s="852"/>
      <c r="J3068" s="802"/>
    </row>
    <row r="3069" spans="3:10" ht="20.100000000000001" hidden="1" customHeight="1">
      <c r="C3069" s="878"/>
      <c r="D3069" s="889" t="s">
        <v>404</v>
      </c>
      <c r="E3069" s="135">
        <f>SUM(E3070:E3076)</f>
        <v>3042905853.5799999</v>
      </c>
      <c r="F3069" s="170">
        <f>SUM(F3070:F3076)</f>
        <v>2965104999</v>
      </c>
      <c r="G3069" s="231">
        <f t="shared" si="140"/>
        <v>97.44320533320257</v>
      </c>
      <c r="H3069" s="887">
        <f>SUM((H3070:H3076))/7</f>
        <v>94.285714285714292</v>
      </c>
      <c r="I3069" s="852"/>
      <c r="J3069" s="802"/>
    </row>
    <row r="3070" spans="3:10" s="656" customFormat="1" ht="20.100000000000001" hidden="1" customHeight="1">
      <c r="C3070" s="881"/>
      <c r="D3070" s="808" t="s">
        <v>2976</v>
      </c>
      <c r="E3070" s="136">
        <v>600000000</v>
      </c>
      <c r="F3070" s="239">
        <v>600000000</v>
      </c>
      <c r="G3070" s="694">
        <f t="shared" si="140"/>
        <v>100</v>
      </c>
      <c r="H3070" s="887">
        <f>+G3070</f>
        <v>100</v>
      </c>
      <c r="I3070" s="863"/>
      <c r="J3070" s="44"/>
    </row>
    <row r="3071" spans="3:10" ht="35.1" hidden="1" customHeight="1">
      <c r="C3071" s="878"/>
      <c r="D3071" s="808" t="s">
        <v>2975</v>
      </c>
      <c r="E3071" s="136">
        <v>610104999</v>
      </c>
      <c r="F3071" s="239">
        <v>610104999</v>
      </c>
      <c r="G3071" s="694">
        <f t="shared" si="140"/>
        <v>100</v>
      </c>
      <c r="H3071" s="887">
        <f>+G3071</f>
        <v>100</v>
      </c>
      <c r="I3071" s="852"/>
      <c r="J3071" s="802"/>
    </row>
    <row r="3072" spans="3:10" ht="35.1" hidden="1" customHeight="1">
      <c r="C3072" s="878"/>
      <c r="D3072" s="808" t="s">
        <v>2974</v>
      </c>
      <c r="E3072" s="136">
        <v>172000000</v>
      </c>
      <c r="F3072" s="239">
        <v>98000000</v>
      </c>
      <c r="G3072" s="694">
        <f t="shared" si="140"/>
        <v>56.97674418604651</v>
      </c>
      <c r="H3072" s="887">
        <v>60</v>
      </c>
      <c r="I3072" s="852"/>
      <c r="J3072" s="802"/>
    </row>
    <row r="3073" spans="3:10" ht="54" hidden="1" customHeight="1">
      <c r="C3073" s="878"/>
      <c r="D3073" s="808" t="s">
        <v>1594</v>
      </c>
      <c r="E3073" s="136">
        <v>478500000</v>
      </c>
      <c r="F3073" s="239">
        <v>477000000</v>
      </c>
      <c r="G3073" s="694">
        <f t="shared" si="140"/>
        <v>99.686520376175551</v>
      </c>
      <c r="H3073" s="887">
        <v>100</v>
      </c>
      <c r="I3073" s="852"/>
      <c r="J3073" s="802"/>
    </row>
    <row r="3074" spans="3:10" ht="20.100000000000001" hidden="1" customHeight="1">
      <c r="C3074" s="878"/>
      <c r="D3074" s="808" t="s">
        <v>2973</v>
      </c>
      <c r="E3074" s="136">
        <v>360000000</v>
      </c>
      <c r="F3074" s="239">
        <v>360000000</v>
      </c>
      <c r="G3074" s="694">
        <f t="shared" si="140"/>
        <v>100</v>
      </c>
      <c r="H3074" s="887">
        <f>+G3074</f>
        <v>100</v>
      </c>
      <c r="I3074" s="852"/>
      <c r="J3074" s="802"/>
    </row>
    <row r="3075" spans="3:10" ht="45" hidden="1" customHeight="1">
      <c r="C3075" s="878"/>
      <c r="D3075" s="808" t="s">
        <v>2972</v>
      </c>
      <c r="E3075" s="136">
        <v>55000000</v>
      </c>
      <c r="F3075" s="239">
        <v>55000000</v>
      </c>
      <c r="G3075" s="694">
        <f t="shared" si="140"/>
        <v>100</v>
      </c>
      <c r="H3075" s="887">
        <f>+G3075</f>
        <v>100</v>
      </c>
      <c r="I3075" s="852"/>
      <c r="J3075" s="802"/>
    </row>
    <row r="3076" spans="3:10" ht="20.100000000000001" hidden="1" customHeight="1">
      <c r="C3076" s="878"/>
      <c r="D3076" s="808" t="s">
        <v>2971</v>
      </c>
      <c r="E3076" s="136">
        <v>767300854.58000004</v>
      </c>
      <c r="F3076" s="239">
        <v>765000000</v>
      </c>
      <c r="G3076" s="694">
        <f t="shared" si="140"/>
        <v>99.700136580551643</v>
      </c>
      <c r="H3076" s="887">
        <v>100</v>
      </c>
      <c r="I3076" s="852"/>
      <c r="J3076" s="802"/>
    </row>
    <row r="3077" spans="3:10" ht="20.100000000000001" hidden="1" customHeight="1">
      <c r="C3077" s="878"/>
      <c r="D3077" s="889" t="s">
        <v>106</v>
      </c>
      <c r="E3077" s="135">
        <f>SUM(E3078:E3080)</f>
        <v>180000000</v>
      </c>
      <c r="F3077" s="170">
        <f>SUM(F3078:F3080)</f>
        <v>180000000</v>
      </c>
      <c r="G3077" s="231">
        <f t="shared" si="140"/>
        <v>100</v>
      </c>
      <c r="H3077" s="887">
        <f t="shared" ref="H3077:H3082" si="141">+G3077</f>
        <v>100</v>
      </c>
      <c r="I3077" s="852"/>
      <c r="J3077" s="802"/>
    </row>
    <row r="3078" spans="3:10" ht="35.1" hidden="1" customHeight="1">
      <c r="C3078" s="878"/>
      <c r="D3078" s="808" t="s">
        <v>2970</v>
      </c>
      <c r="E3078" s="136">
        <v>50000000</v>
      </c>
      <c r="F3078" s="239">
        <v>50000000</v>
      </c>
      <c r="G3078" s="694">
        <f t="shared" si="140"/>
        <v>100</v>
      </c>
      <c r="H3078" s="887">
        <f t="shared" si="141"/>
        <v>100</v>
      </c>
      <c r="I3078" s="852"/>
      <c r="J3078" s="802"/>
    </row>
    <row r="3079" spans="3:10" s="656" customFormat="1" ht="20.100000000000001" hidden="1" customHeight="1">
      <c r="C3079" s="881"/>
      <c r="D3079" s="808" t="s">
        <v>2969</v>
      </c>
      <c r="E3079" s="136">
        <v>30000000</v>
      </c>
      <c r="F3079" s="239">
        <v>30000000</v>
      </c>
      <c r="G3079" s="694">
        <f t="shared" si="140"/>
        <v>100</v>
      </c>
      <c r="H3079" s="887">
        <f t="shared" si="141"/>
        <v>100</v>
      </c>
      <c r="I3079" s="863"/>
      <c r="J3079" s="44"/>
    </row>
    <row r="3080" spans="3:10" ht="35.1" hidden="1" customHeight="1">
      <c r="C3080" s="878"/>
      <c r="D3080" s="808" t="s">
        <v>2968</v>
      </c>
      <c r="E3080" s="136">
        <v>100000000</v>
      </c>
      <c r="F3080" s="239">
        <v>100000000</v>
      </c>
      <c r="G3080" s="694">
        <f t="shared" si="140"/>
        <v>100</v>
      </c>
      <c r="H3080" s="887">
        <f t="shared" si="141"/>
        <v>100</v>
      </c>
      <c r="I3080" s="852"/>
      <c r="J3080" s="802"/>
    </row>
    <row r="3081" spans="3:10" ht="20.100000000000001" hidden="1" customHeight="1">
      <c r="C3081" s="878"/>
      <c r="D3081" s="889" t="s">
        <v>2075</v>
      </c>
      <c r="E3081" s="135">
        <f>SUM(E3082)</f>
        <v>3127070160</v>
      </c>
      <c r="F3081" s="170">
        <f>SUM(F3082)</f>
        <v>3127000000</v>
      </c>
      <c r="G3081" s="231">
        <f t="shared" si="140"/>
        <v>99.997756366297835</v>
      </c>
      <c r="H3081" s="887">
        <f t="shared" si="141"/>
        <v>99.997756366297835</v>
      </c>
      <c r="I3081" s="852"/>
      <c r="J3081" s="802"/>
    </row>
    <row r="3082" spans="3:10" ht="35.1" hidden="1" customHeight="1">
      <c r="C3082" s="878"/>
      <c r="D3082" s="808" t="s">
        <v>2967</v>
      </c>
      <c r="E3082" s="136">
        <v>3127070160</v>
      </c>
      <c r="F3082" s="239">
        <v>3127000000</v>
      </c>
      <c r="G3082" s="694">
        <f t="shared" si="140"/>
        <v>99.997756366297835</v>
      </c>
      <c r="H3082" s="887">
        <f t="shared" si="141"/>
        <v>99.997756366297835</v>
      </c>
      <c r="I3082" s="852"/>
      <c r="J3082" s="802"/>
    </row>
    <row r="3083" spans="3:10" ht="15" hidden="1" customHeight="1">
      <c r="C3083" s="878"/>
      <c r="D3083" s="890"/>
      <c r="E3083" s="136"/>
      <c r="F3083" s="136"/>
      <c r="G3083" s="136"/>
      <c r="H3083" s="887"/>
      <c r="I3083" s="852"/>
      <c r="J3083" s="802"/>
    </row>
    <row r="3084" spans="3:10" ht="20.100000000000001" hidden="1" customHeight="1">
      <c r="C3084" s="878"/>
      <c r="D3084" s="889" t="s">
        <v>65</v>
      </c>
      <c r="E3084" s="135">
        <f>E3085+E3087+E3090+E3092+E3094</f>
        <v>3328200000</v>
      </c>
      <c r="F3084" s="170">
        <f>F3085+F3087+F3090+F3092+F3094</f>
        <v>3324473800</v>
      </c>
      <c r="G3084" s="231">
        <f t="shared" ref="G3084:G3095" si="142">F3084/E3084*100</f>
        <v>99.888041584039428</v>
      </c>
      <c r="H3084" s="887">
        <f>100/6</f>
        <v>16.666666666666668</v>
      </c>
      <c r="I3084" s="852"/>
      <c r="J3084" s="802"/>
    </row>
    <row r="3085" spans="3:10" ht="20.100000000000001" hidden="1" customHeight="1">
      <c r="C3085" s="878"/>
      <c r="D3085" s="889" t="s">
        <v>162</v>
      </c>
      <c r="E3085" s="135">
        <f>SUM(E3086)</f>
        <v>1454500000</v>
      </c>
      <c r="F3085" s="170">
        <f>SUM(F3086)</f>
        <v>1450773800</v>
      </c>
      <c r="G3085" s="231">
        <f t="shared" si="142"/>
        <v>99.743815744241999</v>
      </c>
      <c r="H3085" s="887">
        <v>100</v>
      </c>
      <c r="I3085" s="852"/>
      <c r="J3085" s="802"/>
    </row>
    <row r="3086" spans="3:10" s="656" customFormat="1" ht="20.100000000000001" hidden="1" customHeight="1">
      <c r="C3086" s="881"/>
      <c r="D3086" s="888" t="s">
        <v>2966</v>
      </c>
      <c r="E3086" s="136">
        <v>1454500000</v>
      </c>
      <c r="F3086" s="239">
        <v>1450773800</v>
      </c>
      <c r="G3086" s="694">
        <f t="shared" si="142"/>
        <v>99.743815744241999</v>
      </c>
      <c r="H3086" s="887">
        <v>100</v>
      </c>
      <c r="I3086" s="863"/>
      <c r="J3086" s="44"/>
    </row>
    <row r="3087" spans="3:10" ht="20.100000000000001" hidden="1" customHeight="1">
      <c r="C3087" s="878"/>
      <c r="D3087" s="889" t="s">
        <v>190</v>
      </c>
      <c r="E3087" s="135">
        <f>SUM(E3088:E3089)</f>
        <v>463550000</v>
      </c>
      <c r="F3087" s="170">
        <f>SUM(F3088:F3089)</f>
        <v>463550000</v>
      </c>
      <c r="G3087" s="231">
        <f t="shared" si="142"/>
        <v>100</v>
      </c>
      <c r="H3087" s="887">
        <f t="shared" ref="H3087:H3095" si="143">+G3087</f>
        <v>100</v>
      </c>
      <c r="I3087" s="852"/>
      <c r="J3087" s="802"/>
    </row>
    <row r="3088" spans="3:10" ht="20.100000000000001" hidden="1" customHeight="1">
      <c r="C3088" s="878"/>
      <c r="D3088" s="888" t="s">
        <v>2965</v>
      </c>
      <c r="E3088" s="136">
        <v>178550000</v>
      </c>
      <c r="F3088" s="239">
        <v>178550000</v>
      </c>
      <c r="G3088" s="694">
        <f t="shared" si="142"/>
        <v>100</v>
      </c>
      <c r="H3088" s="887">
        <f t="shared" si="143"/>
        <v>100</v>
      </c>
      <c r="I3088" s="852"/>
      <c r="J3088" s="802"/>
    </row>
    <row r="3089" spans="3:10" ht="20.100000000000001" hidden="1" customHeight="1">
      <c r="C3089" s="878"/>
      <c r="D3089" s="888" t="s">
        <v>2964</v>
      </c>
      <c r="E3089" s="136">
        <v>285000000</v>
      </c>
      <c r="F3089" s="239">
        <v>285000000</v>
      </c>
      <c r="G3089" s="694">
        <f t="shared" si="142"/>
        <v>100</v>
      </c>
      <c r="H3089" s="887">
        <f t="shared" si="143"/>
        <v>100</v>
      </c>
      <c r="I3089" s="852"/>
      <c r="J3089" s="802"/>
    </row>
    <row r="3090" spans="3:10" s="656" customFormat="1" ht="20.100000000000001" hidden="1" customHeight="1">
      <c r="C3090" s="881"/>
      <c r="D3090" s="889" t="s">
        <v>196</v>
      </c>
      <c r="E3090" s="135">
        <f>SUM(E3091)</f>
        <v>833150000</v>
      </c>
      <c r="F3090" s="170">
        <f>SUM(F3091)</f>
        <v>833150000</v>
      </c>
      <c r="G3090" s="231">
        <f t="shared" si="142"/>
        <v>100</v>
      </c>
      <c r="H3090" s="887">
        <f t="shared" si="143"/>
        <v>100</v>
      </c>
      <c r="I3090" s="863"/>
      <c r="J3090" s="44"/>
    </row>
    <row r="3091" spans="3:10" ht="20.100000000000001" hidden="1" customHeight="1">
      <c r="C3091" s="878"/>
      <c r="D3091" s="888" t="s">
        <v>2963</v>
      </c>
      <c r="E3091" s="136">
        <v>833150000</v>
      </c>
      <c r="F3091" s="239">
        <v>833150000</v>
      </c>
      <c r="G3091" s="694">
        <f t="shared" si="142"/>
        <v>100</v>
      </c>
      <c r="H3091" s="887">
        <f t="shared" si="143"/>
        <v>100</v>
      </c>
      <c r="I3091" s="852"/>
      <c r="J3091" s="802"/>
    </row>
    <row r="3092" spans="3:10" ht="20.100000000000001" hidden="1" customHeight="1">
      <c r="C3092" s="878"/>
      <c r="D3092" s="889" t="s">
        <v>2962</v>
      </c>
      <c r="E3092" s="135">
        <f>SUM(E3093)</f>
        <v>227000000</v>
      </c>
      <c r="F3092" s="170">
        <f>SUM(F3093)</f>
        <v>227000000</v>
      </c>
      <c r="G3092" s="231">
        <f t="shared" si="142"/>
        <v>100</v>
      </c>
      <c r="H3092" s="887">
        <f t="shared" si="143"/>
        <v>100</v>
      </c>
      <c r="I3092" s="852"/>
      <c r="J3092" s="802"/>
    </row>
    <row r="3093" spans="3:10" ht="20.100000000000001" hidden="1" customHeight="1">
      <c r="C3093" s="878"/>
      <c r="D3093" s="888" t="s">
        <v>2961</v>
      </c>
      <c r="E3093" s="136">
        <v>227000000</v>
      </c>
      <c r="F3093" s="239">
        <v>227000000</v>
      </c>
      <c r="G3093" s="694">
        <f t="shared" si="142"/>
        <v>100</v>
      </c>
      <c r="H3093" s="887">
        <f t="shared" si="143"/>
        <v>100</v>
      </c>
      <c r="I3093" s="852"/>
      <c r="J3093" s="802"/>
    </row>
    <row r="3094" spans="3:10" s="656" customFormat="1" ht="20.100000000000001" hidden="1" customHeight="1">
      <c r="C3094" s="881"/>
      <c r="D3094" s="889" t="s">
        <v>953</v>
      </c>
      <c r="E3094" s="135">
        <f>SUM(E3095)</f>
        <v>350000000</v>
      </c>
      <c r="F3094" s="170">
        <f>SUM(F3095)</f>
        <v>350000000</v>
      </c>
      <c r="G3094" s="231">
        <f t="shared" si="142"/>
        <v>100</v>
      </c>
      <c r="H3094" s="887">
        <f t="shared" si="143"/>
        <v>100</v>
      </c>
      <c r="I3094" s="863"/>
      <c r="J3094" s="44"/>
    </row>
    <row r="3095" spans="3:10" ht="35.1" hidden="1" customHeight="1">
      <c r="C3095" s="878"/>
      <c r="D3095" s="888" t="s">
        <v>2960</v>
      </c>
      <c r="E3095" s="136">
        <v>350000000</v>
      </c>
      <c r="F3095" s="239">
        <v>350000000</v>
      </c>
      <c r="G3095" s="694">
        <f t="shared" si="142"/>
        <v>100</v>
      </c>
      <c r="H3095" s="887">
        <f t="shared" si="143"/>
        <v>100</v>
      </c>
      <c r="I3095" s="852"/>
      <c r="J3095" s="802"/>
    </row>
    <row r="3096" spans="3:10" ht="15" hidden="1" customHeight="1">
      <c r="C3096" s="878"/>
      <c r="D3096" s="888"/>
      <c r="E3096" s="136"/>
      <c r="F3096" s="136"/>
      <c r="G3096" s="136"/>
      <c r="H3096" s="887"/>
      <c r="I3096" s="852"/>
      <c r="J3096" s="802"/>
    </row>
    <row r="3097" spans="3:10" s="656" customFormat="1" ht="20.100000000000001" hidden="1" customHeight="1">
      <c r="C3097" s="881"/>
      <c r="D3097" s="889" t="s">
        <v>2311</v>
      </c>
      <c r="E3097" s="135">
        <f>E3098</f>
        <v>9874195752</v>
      </c>
      <c r="F3097" s="135">
        <f>F3098</f>
        <v>9782040037</v>
      </c>
      <c r="G3097" s="231">
        <f>F3097/E3097*100</f>
        <v>99.066701559148925</v>
      </c>
      <c r="H3097" s="887">
        <f>H3098</f>
        <v>95</v>
      </c>
      <c r="I3097" s="863"/>
      <c r="J3097" s="44"/>
    </row>
    <row r="3098" spans="3:10" s="656" customFormat="1" ht="20.100000000000001" hidden="1" customHeight="1">
      <c r="C3098" s="881"/>
      <c r="D3098" s="889" t="s">
        <v>2959</v>
      </c>
      <c r="E3098" s="135">
        <f>SUM(E3099:E3100)</f>
        <v>9874195752</v>
      </c>
      <c r="F3098" s="170">
        <f>SUM(F3099:F3100)</f>
        <v>9782040037</v>
      </c>
      <c r="G3098" s="231">
        <f>F3098/E3098*100</f>
        <v>99.066701559148925</v>
      </c>
      <c r="H3098" s="887">
        <f>190/2</f>
        <v>95</v>
      </c>
      <c r="I3098" s="863"/>
      <c r="J3098" s="44"/>
    </row>
    <row r="3099" spans="3:10" ht="20.100000000000001" hidden="1" customHeight="1">
      <c r="C3099" s="878"/>
      <c r="D3099" s="888" t="s">
        <v>2958</v>
      </c>
      <c r="E3099" s="136">
        <v>7274910715</v>
      </c>
      <c r="F3099" s="239">
        <f>6495688755+778066245</f>
        <v>7273755000</v>
      </c>
      <c r="G3099" s="694">
        <f>F3099/E3099*100</f>
        <v>99.984113688191158</v>
      </c>
      <c r="H3099" s="887">
        <v>90</v>
      </c>
      <c r="I3099" s="852"/>
      <c r="J3099" s="802"/>
    </row>
    <row r="3100" spans="3:10" s="656" customFormat="1" ht="20.100000000000001" hidden="1" customHeight="1">
      <c r="C3100" s="881"/>
      <c r="D3100" s="888" t="s">
        <v>2957</v>
      </c>
      <c r="E3100" s="136">
        <v>2599285037</v>
      </c>
      <c r="F3100" s="239">
        <v>2508285037</v>
      </c>
      <c r="G3100" s="694">
        <f>F3100/E3100*100</f>
        <v>96.499037285074792</v>
      </c>
      <c r="H3100" s="887">
        <v>100</v>
      </c>
      <c r="I3100" s="863"/>
      <c r="J3100" s="44"/>
    </row>
    <row r="3101" spans="3:10" ht="15" hidden="1" customHeight="1">
      <c r="C3101" s="878"/>
      <c r="D3101" s="888"/>
      <c r="E3101" s="136"/>
      <c r="F3101" s="136"/>
      <c r="G3101" s="136"/>
      <c r="H3101" s="887"/>
      <c r="I3101" s="852"/>
      <c r="J3101" s="802"/>
    </row>
    <row r="3102" spans="3:10" ht="20.100000000000001" hidden="1" customHeight="1">
      <c r="C3102" s="878"/>
      <c r="D3102" s="889" t="s">
        <v>610</v>
      </c>
      <c r="E3102" s="135">
        <f>E3103</f>
        <v>3403756630</v>
      </c>
      <c r="F3102" s="135">
        <f>F3103</f>
        <v>3317950000</v>
      </c>
      <c r="G3102" s="231">
        <f>F3102/E3102*100</f>
        <v>97.479060951546344</v>
      </c>
      <c r="H3102" s="887">
        <v>100</v>
      </c>
      <c r="I3102" s="852"/>
      <c r="J3102" s="802"/>
    </row>
    <row r="3103" spans="3:10" s="656" customFormat="1" ht="20.100000000000001" hidden="1" customHeight="1">
      <c r="C3103" s="881"/>
      <c r="D3103" s="889" t="s">
        <v>1529</v>
      </c>
      <c r="E3103" s="135">
        <f>SUM(E3104:E3104)</f>
        <v>3403756630</v>
      </c>
      <c r="F3103" s="135">
        <f>SUM(F3104:F3104)</f>
        <v>3317950000</v>
      </c>
      <c r="G3103" s="231">
        <f>F3103/E3103*100</f>
        <v>97.479060951546344</v>
      </c>
      <c r="H3103" s="887">
        <v>100</v>
      </c>
      <c r="I3103" s="863"/>
      <c r="J3103" s="44"/>
    </row>
    <row r="3104" spans="3:10" ht="20.100000000000001" hidden="1" customHeight="1">
      <c r="C3104" s="878"/>
      <c r="D3104" s="888" t="s">
        <v>2956</v>
      </c>
      <c r="E3104" s="136">
        <v>3403756630</v>
      </c>
      <c r="F3104" s="136">
        <v>3317950000</v>
      </c>
      <c r="G3104" s="694">
        <f>F3104/E3104*100</f>
        <v>97.479060951546344</v>
      </c>
      <c r="H3104" s="887">
        <v>100</v>
      </c>
      <c r="I3104" s="852"/>
      <c r="J3104" s="802"/>
    </row>
    <row r="3105" spans="3:10" s="656" customFormat="1" ht="15" hidden="1" customHeight="1">
      <c r="C3105" s="881"/>
      <c r="D3105" s="888"/>
      <c r="E3105" s="136"/>
      <c r="F3105" s="136"/>
      <c r="G3105" s="136"/>
      <c r="H3105" s="887"/>
      <c r="I3105" s="863"/>
      <c r="J3105" s="44"/>
    </row>
    <row r="3106" spans="3:10" ht="20.100000000000001" hidden="1" customHeight="1">
      <c r="C3106" s="878"/>
      <c r="D3106" s="889" t="s">
        <v>1899</v>
      </c>
      <c r="E3106" s="135">
        <f>E3107</f>
        <v>3300000001</v>
      </c>
      <c r="F3106" s="170">
        <f>F3107</f>
        <v>3256620000</v>
      </c>
      <c r="G3106" s="231">
        <f>F3106/E3106*100</f>
        <v>98.685454515549864</v>
      </c>
      <c r="H3106" s="887">
        <v>100</v>
      </c>
      <c r="I3106" s="852"/>
      <c r="J3106" s="802"/>
    </row>
    <row r="3107" spans="3:10" ht="20.100000000000001" hidden="1" customHeight="1">
      <c r="C3107" s="878"/>
      <c r="D3107" s="889" t="s">
        <v>498</v>
      </c>
      <c r="E3107" s="135">
        <f>SUM(E3108)</f>
        <v>3300000001</v>
      </c>
      <c r="F3107" s="170">
        <f>SUM(F3108)</f>
        <v>3256620000</v>
      </c>
      <c r="G3107" s="231">
        <f>F3107/E3107*100</f>
        <v>98.685454515549864</v>
      </c>
      <c r="H3107" s="887">
        <v>100</v>
      </c>
      <c r="I3107" s="852"/>
      <c r="J3107" s="802"/>
    </row>
    <row r="3108" spans="3:10" s="656" customFormat="1" ht="20.100000000000001" hidden="1" customHeight="1">
      <c r="C3108" s="881"/>
      <c r="D3108" s="888" t="s">
        <v>2955</v>
      </c>
      <c r="E3108" s="136">
        <v>3300000001</v>
      </c>
      <c r="F3108" s="239">
        <v>3256620000</v>
      </c>
      <c r="G3108" s="694">
        <f>F3108/E3108*100</f>
        <v>98.685454515549864</v>
      </c>
      <c r="H3108" s="887">
        <v>100</v>
      </c>
      <c r="I3108" s="863"/>
      <c r="J3108" s="44"/>
    </row>
    <row r="3109" spans="3:10" s="656" customFormat="1" ht="15" hidden="1" customHeight="1">
      <c r="C3109" s="881"/>
      <c r="D3109" s="888"/>
      <c r="E3109" s="136"/>
      <c r="F3109" s="136"/>
      <c r="G3109" s="694"/>
      <c r="H3109" s="887"/>
      <c r="I3109" s="863"/>
      <c r="J3109" s="44"/>
    </row>
    <row r="3110" spans="3:10" ht="20.100000000000001" hidden="1" customHeight="1">
      <c r="C3110" s="878"/>
      <c r="D3110" s="889" t="s">
        <v>642</v>
      </c>
      <c r="E3110" s="135">
        <f>E3111</f>
        <v>3000000000</v>
      </c>
      <c r="F3110" s="135">
        <f>F3111</f>
        <v>2957800000</v>
      </c>
      <c r="G3110" s="231">
        <f>F3110/E3110*100</f>
        <v>98.593333333333334</v>
      </c>
      <c r="H3110" s="887">
        <v>100</v>
      </c>
      <c r="I3110" s="852"/>
      <c r="J3110" s="802"/>
    </row>
    <row r="3111" spans="3:10" ht="20.100000000000001" hidden="1" customHeight="1">
      <c r="C3111" s="878"/>
      <c r="D3111" s="889" t="s">
        <v>2313</v>
      </c>
      <c r="E3111" s="135">
        <f>SUM(E3112)</f>
        <v>3000000000</v>
      </c>
      <c r="F3111" s="135">
        <f>SUM(F3112)</f>
        <v>2957800000</v>
      </c>
      <c r="G3111" s="231">
        <f>F3111/E3111*100</f>
        <v>98.593333333333334</v>
      </c>
      <c r="H3111" s="887">
        <v>100</v>
      </c>
      <c r="I3111" s="852"/>
      <c r="J3111" s="802"/>
    </row>
    <row r="3112" spans="3:10" s="896" customFormat="1" ht="20.100000000000001" hidden="1" customHeight="1">
      <c r="C3112" s="894"/>
      <c r="D3112" s="888" t="s">
        <v>1953</v>
      </c>
      <c r="E3112" s="136">
        <v>3000000000</v>
      </c>
      <c r="F3112" s="136">
        <v>2957800000</v>
      </c>
      <c r="G3112" s="694">
        <f>F3112/E3112*100</f>
        <v>98.593333333333334</v>
      </c>
      <c r="H3112" s="887">
        <v>100</v>
      </c>
      <c r="I3112" s="893"/>
      <c r="J3112" s="892"/>
    </row>
    <row r="3113" spans="3:10" s="895" customFormat="1" ht="15" hidden="1" customHeight="1">
      <c r="C3113" s="881"/>
      <c r="D3113" s="888"/>
      <c r="E3113" s="136"/>
      <c r="F3113" s="136"/>
      <c r="G3113" s="136"/>
      <c r="H3113" s="887"/>
      <c r="I3113" s="863"/>
      <c r="J3113" s="44"/>
    </row>
    <row r="3114" spans="3:10" s="2" customFormat="1" ht="20.100000000000001" hidden="1" customHeight="1">
      <c r="C3114" s="878"/>
      <c r="D3114" s="889" t="s">
        <v>1139</v>
      </c>
      <c r="E3114" s="135">
        <f>E3115</f>
        <v>244500000</v>
      </c>
      <c r="F3114" s="170">
        <f>F3115</f>
        <v>244500000</v>
      </c>
      <c r="G3114" s="231">
        <f>F3114/E3114*100</f>
        <v>100</v>
      </c>
      <c r="H3114" s="887">
        <f>+G3114</f>
        <v>100</v>
      </c>
      <c r="I3114" s="852"/>
      <c r="J3114" s="802"/>
    </row>
    <row r="3115" spans="3:10" s="2" customFormat="1" ht="20.100000000000001" hidden="1" customHeight="1">
      <c r="C3115" s="878"/>
      <c r="D3115" s="889" t="s">
        <v>536</v>
      </c>
      <c r="E3115" s="135">
        <f>SUM(E3116)</f>
        <v>244500000</v>
      </c>
      <c r="F3115" s="170">
        <f>SUM(F3116)</f>
        <v>244500000</v>
      </c>
      <c r="G3115" s="231">
        <f>F3115/E3115*100</f>
        <v>100</v>
      </c>
      <c r="H3115" s="887">
        <f>+G3115</f>
        <v>100</v>
      </c>
      <c r="I3115" s="852"/>
      <c r="J3115" s="802"/>
    </row>
    <row r="3116" spans="3:10" s="2" customFormat="1" ht="20.100000000000001" hidden="1" customHeight="1">
      <c r="C3116" s="878"/>
      <c r="D3116" s="888" t="s">
        <v>2954</v>
      </c>
      <c r="E3116" s="136">
        <v>244500000</v>
      </c>
      <c r="F3116" s="239">
        <v>244500000</v>
      </c>
      <c r="G3116" s="694">
        <f>F3116/E3116*100</f>
        <v>100</v>
      </c>
      <c r="H3116" s="887">
        <f>+G3116</f>
        <v>100</v>
      </c>
      <c r="I3116" s="852"/>
      <c r="J3116" s="802"/>
    </row>
    <row r="3117" spans="3:10" ht="15" hidden="1" customHeight="1">
      <c r="C3117" s="878"/>
      <c r="D3117" s="888"/>
      <c r="E3117" s="136"/>
      <c r="F3117" s="136"/>
      <c r="G3117" s="136"/>
      <c r="H3117" s="887"/>
      <c r="I3117" s="852"/>
      <c r="J3117" s="802"/>
    </row>
    <row r="3118" spans="3:10" s="656" customFormat="1" ht="35.1" hidden="1" customHeight="1">
      <c r="C3118" s="881"/>
      <c r="D3118" s="889" t="s">
        <v>1733</v>
      </c>
      <c r="E3118" s="135">
        <f>E3119+E3121</f>
        <v>576186429.81999993</v>
      </c>
      <c r="F3118" s="170">
        <f>F3119+F3121</f>
        <v>576186429</v>
      </c>
      <c r="G3118" s="231">
        <f>F3118/E3118*100</f>
        <v>99.999999857684969</v>
      </c>
      <c r="H3118" s="887">
        <f>+G3118</f>
        <v>99.999999857684969</v>
      </c>
      <c r="I3118" s="863"/>
      <c r="J3118" s="44"/>
    </row>
    <row r="3119" spans="3:10" s="656" customFormat="1" ht="20.100000000000001" hidden="1" customHeight="1">
      <c r="C3119" s="881"/>
      <c r="D3119" s="889" t="s">
        <v>190</v>
      </c>
      <c r="E3119" s="135">
        <f>SUM(E3120:E3120)</f>
        <v>140186429.81999999</v>
      </c>
      <c r="F3119" s="170">
        <f>SUM(F3120:F3120)</f>
        <v>140186429</v>
      </c>
      <c r="G3119" s="231">
        <f>F3119/E3119*100</f>
        <v>99.99999941506465</v>
      </c>
      <c r="H3119" s="887">
        <f>+G3119</f>
        <v>99.99999941506465</v>
      </c>
      <c r="I3119" s="863"/>
      <c r="J3119" s="44"/>
    </row>
    <row r="3120" spans="3:10" ht="35.1" hidden="1" customHeight="1">
      <c r="C3120" s="878"/>
      <c r="D3120" s="888" t="s">
        <v>2953</v>
      </c>
      <c r="E3120" s="136">
        <v>140186429.81999999</v>
      </c>
      <c r="F3120" s="239">
        <v>140186429</v>
      </c>
      <c r="G3120" s="694">
        <f>F3120/E3120*100</f>
        <v>99.99999941506465</v>
      </c>
      <c r="H3120" s="887">
        <f>+G3120</f>
        <v>99.99999941506465</v>
      </c>
      <c r="I3120" s="852"/>
      <c r="J3120" s="802"/>
    </row>
    <row r="3121" spans="3:10" ht="20.100000000000001" hidden="1" customHeight="1">
      <c r="C3121" s="878"/>
      <c r="D3121" s="889" t="s">
        <v>1635</v>
      </c>
      <c r="E3121" s="135">
        <f>SUM(E3122:E3122)</f>
        <v>436000000</v>
      </c>
      <c r="F3121" s="170">
        <f>SUM(F3122:F3122)</f>
        <v>436000000</v>
      </c>
      <c r="G3121" s="231">
        <f>F3121/E3121*100</f>
        <v>100</v>
      </c>
      <c r="H3121" s="887">
        <f>+G3121</f>
        <v>100</v>
      </c>
      <c r="I3121" s="852"/>
      <c r="J3121" s="802"/>
    </row>
    <row r="3122" spans="3:10" s="656" customFormat="1" ht="35.1" hidden="1" customHeight="1">
      <c r="C3122" s="881"/>
      <c r="D3122" s="888" t="s">
        <v>2134</v>
      </c>
      <c r="E3122" s="136">
        <v>436000000</v>
      </c>
      <c r="F3122" s="239">
        <v>436000000</v>
      </c>
      <c r="G3122" s="694">
        <f>F3122/E3122*100</f>
        <v>100</v>
      </c>
      <c r="H3122" s="887">
        <f>+G3122</f>
        <v>100</v>
      </c>
      <c r="I3122" s="863"/>
      <c r="J3122" s="44"/>
    </row>
    <row r="3123" spans="3:10" ht="15" hidden="1" customHeight="1">
      <c r="C3123" s="878"/>
      <c r="D3123" s="888"/>
      <c r="E3123" s="136"/>
      <c r="F3123" s="136"/>
      <c r="G3123" s="694"/>
      <c r="H3123" s="887"/>
      <c r="I3123" s="852"/>
      <c r="J3123" s="802"/>
    </row>
    <row r="3124" spans="3:10" ht="20.100000000000001" hidden="1" customHeight="1">
      <c r="C3124" s="878"/>
      <c r="D3124" s="889" t="s">
        <v>1137</v>
      </c>
      <c r="E3124" s="135">
        <f>E3125+E3129+E3134</f>
        <v>2300000000</v>
      </c>
      <c r="F3124" s="170">
        <f>F3125+F3129+F3134</f>
        <v>2299990000</v>
      </c>
      <c r="G3124" s="231">
        <f t="shared" ref="G3124:G3135" si="144">F3124/E3124*100</f>
        <v>99.999565217391307</v>
      </c>
      <c r="H3124" s="887">
        <f>(H3125+H3129+H3134)/3</f>
        <v>77.777572016460908</v>
      </c>
      <c r="I3124" s="852"/>
      <c r="J3124" s="802"/>
    </row>
    <row r="3125" spans="3:10" ht="20.100000000000001" hidden="1" customHeight="1">
      <c r="C3125" s="878"/>
      <c r="D3125" s="889" t="s">
        <v>912</v>
      </c>
      <c r="E3125" s="135">
        <f>SUM(E3126:E3128)</f>
        <v>515000000</v>
      </c>
      <c r="F3125" s="170">
        <f>SUM(F3126:F3128)</f>
        <v>515000000</v>
      </c>
      <c r="G3125" s="231">
        <f t="shared" si="144"/>
        <v>100</v>
      </c>
      <c r="H3125" s="887">
        <f>100/3</f>
        <v>33.333333333333336</v>
      </c>
      <c r="I3125" s="852"/>
      <c r="J3125" s="802"/>
    </row>
    <row r="3126" spans="3:10" ht="20.100000000000001" hidden="1" customHeight="1">
      <c r="C3126" s="878"/>
      <c r="D3126" s="888" t="s">
        <v>1421</v>
      </c>
      <c r="E3126" s="136">
        <v>105000000</v>
      </c>
      <c r="F3126" s="239">
        <v>105000000</v>
      </c>
      <c r="G3126" s="694">
        <f t="shared" si="144"/>
        <v>100</v>
      </c>
      <c r="H3126" s="887">
        <f t="shared" ref="H3126:H3135" si="145">+G3126</f>
        <v>100</v>
      </c>
      <c r="I3126" s="852"/>
      <c r="J3126" s="802"/>
    </row>
    <row r="3127" spans="3:10" ht="20.100000000000001" hidden="1" customHeight="1">
      <c r="C3127" s="878"/>
      <c r="D3127" s="888" t="s">
        <v>2363</v>
      </c>
      <c r="E3127" s="136">
        <v>300000000</v>
      </c>
      <c r="F3127" s="239">
        <v>300000000</v>
      </c>
      <c r="G3127" s="694">
        <f t="shared" si="144"/>
        <v>100</v>
      </c>
      <c r="H3127" s="887">
        <f t="shared" si="145"/>
        <v>100</v>
      </c>
      <c r="I3127" s="852"/>
      <c r="J3127" s="802"/>
    </row>
    <row r="3128" spans="3:10" s="891" customFormat="1" ht="20.100000000000001" hidden="1" customHeight="1">
      <c r="C3128" s="894"/>
      <c r="D3128" s="888" t="s">
        <v>2952</v>
      </c>
      <c r="E3128" s="136">
        <v>110000000</v>
      </c>
      <c r="F3128" s="239">
        <v>110000000</v>
      </c>
      <c r="G3128" s="694">
        <f t="shared" si="144"/>
        <v>100</v>
      </c>
      <c r="H3128" s="887">
        <f t="shared" si="145"/>
        <v>100</v>
      </c>
      <c r="I3128" s="893"/>
      <c r="J3128" s="892"/>
    </row>
    <row r="3129" spans="3:10" ht="20.100000000000001" hidden="1" customHeight="1">
      <c r="C3129" s="878"/>
      <c r="D3129" s="889" t="s">
        <v>1849</v>
      </c>
      <c r="E3129" s="135">
        <f>SUM(E3130:E3133)</f>
        <v>1620000000</v>
      </c>
      <c r="F3129" s="170">
        <f>SUM(F3130:F3133)</f>
        <v>1619990000</v>
      </c>
      <c r="G3129" s="231">
        <f t="shared" si="144"/>
        <v>99.999382716049382</v>
      </c>
      <c r="H3129" s="887">
        <f t="shared" si="145"/>
        <v>99.999382716049382</v>
      </c>
      <c r="I3129" s="852"/>
      <c r="J3129" s="802"/>
    </row>
    <row r="3130" spans="3:10" s="656" customFormat="1" ht="20.100000000000001" hidden="1" customHeight="1">
      <c r="C3130" s="881"/>
      <c r="D3130" s="888" t="s">
        <v>1418</v>
      </c>
      <c r="E3130" s="136">
        <v>320000000</v>
      </c>
      <c r="F3130" s="239">
        <v>320000000</v>
      </c>
      <c r="G3130" s="694">
        <f t="shared" si="144"/>
        <v>100</v>
      </c>
      <c r="H3130" s="887">
        <f t="shared" si="145"/>
        <v>100</v>
      </c>
      <c r="I3130" s="863"/>
      <c r="J3130" s="44"/>
    </row>
    <row r="3131" spans="3:10" ht="20.100000000000001" hidden="1" customHeight="1">
      <c r="C3131" s="878"/>
      <c r="D3131" s="888" t="s">
        <v>307</v>
      </c>
      <c r="E3131" s="136">
        <v>300000000</v>
      </c>
      <c r="F3131" s="239">
        <v>300000000</v>
      </c>
      <c r="G3131" s="694">
        <f t="shared" si="144"/>
        <v>100</v>
      </c>
      <c r="H3131" s="887">
        <f t="shared" si="145"/>
        <v>100</v>
      </c>
      <c r="I3131" s="852"/>
      <c r="J3131" s="802"/>
    </row>
    <row r="3132" spans="3:10" s="656" customFormat="1" ht="20.100000000000001" hidden="1" customHeight="1">
      <c r="C3132" s="881"/>
      <c r="D3132" s="888" t="s">
        <v>1641</v>
      </c>
      <c r="E3132" s="136">
        <v>300000000</v>
      </c>
      <c r="F3132" s="239">
        <v>300000000</v>
      </c>
      <c r="G3132" s="694">
        <f t="shared" si="144"/>
        <v>100</v>
      </c>
      <c r="H3132" s="887">
        <f t="shared" si="145"/>
        <v>100</v>
      </c>
      <c r="I3132" s="863"/>
      <c r="J3132" s="44"/>
    </row>
    <row r="3133" spans="3:10" ht="20.100000000000001" hidden="1" customHeight="1">
      <c r="C3133" s="878"/>
      <c r="D3133" s="888" t="s">
        <v>1427</v>
      </c>
      <c r="E3133" s="136">
        <v>700000000</v>
      </c>
      <c r="F3133" s="239">
        <v>699990000</v>
      </c>
      <c r="G3133" s="694">
        <f t="shared" si="144"/>
        <v>99.998571428571424</v>
      </c>
      <c r="H3133" s="887">
        <f t="shared" si="145"/>
        <v>99.998571428571424</v>
      </c>
      <c r="I3133" s="852"/>
      <c r="J3133" s="802"/>
    </row>
    <row r="3134" spans="3:10" s="656" customFormat="1" ht="20.100000000000001" hidden="1" customHeight="1">
      <c r="C3134" s="881"/>
      <c r="D3134" s="889" t="s">
        <v>308</v>
      </c>
      <c r="E3134" s="135">
        <f>SUM(E3135)</f>
        <v>165000000</v>
      </c>
      <c r="F3134" s="170">
        <f>SUM(F3135)</f>
        <v>165000000</v>
      </c>
      <c r="G3134" s="231">
        <f t="shared" si="144"/>
        <v>100</v>
      </c>
      <c r="H3134" s="887">
        <f t="shared" si="145"/>
        <v>100</v>
      </c>
      <c r="I3134" s="863"/>
      <c r="J3134" s="44"/>
    </row>
    <row r="3135" spans="3:10" ht="20.100000000000001" hidden="1" customHeight="1">
      <c r="C3135" s="878"/>
      <c r="D3135" s="888" t="s">
        <v>2951</v>
      </c>
      <c r="E3135" s="136">
        <v>165000000</v>
      </c>
      <c r="F3135" s="239">
        <v>165000000</v>
      </c>
      <c r="G3135" s="694">
        <f t="shared" si="144"/>
        <v>100</v>
      </c>
      <c r="H3135" s="887">
        <f t="shared" si="145"/>
        <v>100</v>
      </c>
      <c r="I3135" s="852"/>
      <c r="J3135" s="802"/>
    </row>
    <row r="3136" spans="3:10" ht="15" hidden="1" customHeight="1">
      <c r="C3136" s="878"/>
      <c r="D3136" s="888"/>
      <c r="E3136" s="136"/>
      <c r="F3136" s="136"/>
      <c r="G3136" s="136"/>
      <c r="H3136" s="887"/>
      <c r="I3136" s="852"/>
      <c r="J3136" s="802"/>
    </row>
    <row r="3137" spans="3:10" ht="20.100000000000001" hidden="1" customHeight="1">
      <c r="C3137" s="878"/>
      <c r="D3137" s="889" t="s">
        <v>1909</v>
      </c>
      <c r="E3137" s="135">
        <f>E3138+E3140</f>
        <v>1014400200</v>
      </c>
      <c r="F3137" s="135">
        <f>F3138+F3140</f>
        <v>1013900200</v>
      </c>
      <c r="G3137" s="231">
        <f>F3137/E3137*100</f>
        <v>99.95070978889791</v>
      </c>
      <c r="H3137" s="887">
        <v>100</v>
      </c>
      <c r="I3137" s="852"/>
      <c r="J3137" s="802"/>
    </row>
    <row r="3138" spans="3:10" ht="20.100000000000001" hidden="1" customHeight="1">
      <c r="C3138" s="878"/>
      <c r="D3138" s="889" t="s">
        <v>1910</v>
      </c>
      <c r="E3138" s="135">
        <f>SUM(E3139)</f>
        <v>531000000</v>
      </c>
      <c r="F3138" s="135">
        <f>SUM(F3139)</f>
        <v>530500000</v>
      </c>
      <c r="G3138" s="231">
        <f>F3138/E3138*100</f>
        <v>99.905838041431267</v>
      </c>
      <c r="H3138" s="887">
        <v>100</v>
      </c>
      <c r="I3138" s="852"/>
      <c r="J3138" s="802"/>
    </row>
    <row r="3139" spans="3:10" s="656" customFormat="1" ht="20.100000000000001" hidden="1" customHeight="1">
      <c r="C3139" s="881"/>
      <c r="D3139" s="888" t="s">
        <v>2950</v>
      </c>
      <c r="E3139" s="136">
        <v>531000000</v>
      </c>
      <c r="F3139" s="136">
        <v>530500000</v>
      </c>
      <c r="G3139" s="694">
        <f>F3139/E3139*100</f>
        <v>99.905838041431267</v>
      </c>
      <c r="H3139" s="887">
        <v>100</v>
      </c>
      <c r="I3139" s="863"/>
      <c r="J3139" s="44"/>
    </row>
    <row r="3140" spans="3:10" s="656" customFormat="1" ht="20.100000000000001" hidden="1" customHeight="1">
      <c r="C3140" s="881"/>
      <c r="D3140" s="889" t="s">
        <v>970</v>
      </c>
      <c r="E3140" s="135">
        <f>SUM(E3141)</f>
        <v>483400200</v>
      </c>
      <c r="F3140" s="135">
        <f>SUM(F3141)</f>
        <v>483400200</v>
      </c>
      <c r="G3140" s="231">
        <f>F3140/E3140*100</f>
        <v>100</v>
      </c>
      <c r="H3140" s="887">
        <f>+G3140</f>
        <v>100</v>
      </c>
      <c r="I3140" s="863"/>
      <c r="J3140" s="44"/>
    </row>
    <row r="3141" spans="3:10" ht="20.100000000000001" hidden="1" customHeight="1">
      <c r="C3141" s="878"/>
      <c r="D3141" s="888" t="s">
        <v>2950</v>
      </c>
      <c r="E3141" s="136">
        <v>483400200</v>
      </c>
      <c r="F3141" s="136">
        <v>483400200</v>
      </c>
      <c r="G3141" s="694">
        <f>F3141/E3141*100</f>
        <v>100</v>
      </c>
      <c r="H3141" s="887">
        <f>+G3141</f>
        <v>100</v>
      </c>
      <c r="I3141" s="852"/>
      <c r="J3141" s="802"/>
    </row>
    <row r="3142" spans="3:10" ht="15" hidden="1" customHeight="1">
      <c r="C3142" s="878"/>
      <c r="D3142" s="888"/>
      <c r="E3142" s="136"/>
      <c r="F3142" s="136"/>
      <c r="G3142" s="136"/>
      <c r="H3142" s="887"/>
      <c r="I3142" s="852"/>
      <c r="J3142" s="802"/>
    </row>
    <row r="3143" spans="3:10" ht="20.100000000000001" hidden="1" customHeight="1">
      <c r="C3143" s="878"/>
      <c r="D3143" s="889" t="s">
        <v>1128</v>
      </c>
      <c r="E3143" s="135">
        <f>E3144</f>
        <v>1056813660</v>
      </c>
      <c r="F3143" s="170">
        <f>F3144</f>
        <v>1055103660</v>
      </c>
      <c r="G3143" s="231">
        <f>F3143/E3143*100</f>
        <v>99.838192856061298</v>
      </c>
      <c r="H3143" s="887">
        <v>25</v>
      </c>
      <c r="I3143" s="852"/>
      <c r="J3143" s="802"/>
    </row>
    <row r="3144" spans="3:10" ht="20.100000000000001" hidden="1" customHeight="1">
      <c r="C3144" s="878"/>
      <c r="D3144" s="889" t="s">
        <v>1205</v>
      </c>
      <c r="E3144" s="135">
        <f>SUM(E3145)</f>
        <v>1056813660</v>
      </c>
      <c r="F3144" s="170">
        <f>SUM(F3145)</f>
        <v>1055103660</v>
      </c>
      <c r="G3144" s="231">
        <f>F3144/E3144*100</f>
        <v>99.838192856061298</v>
      </c>
      <c r="H3144" s="887">
        <v>25</v>
      </c>
      <c r="I3144" s="852"/>
      <c r="J3144" s="802"/>
    </row>
    <row r="3145" spans="3:10" ht="35.1" hidden="1" customHeight="1">
      <c r="C3145" s="878"/>
      <c r="D3145" s="888" t="s">
        <v>2920</v>
      </c>
      <c r="E3145" s="136">
        <v>1056813660</v>
      </c>
      <c r="F3145" s="239">
        <f>264500000+790603660</f>
        <v>1055103660</v>
      </c>
      <c r="G3145" s="694">
        <f>F3145/E3145*100</f>
        <v>99.838192856061298</v>
      </c>
      <c r="H3145" s="887">
        <v>25</v>
      </c>
      <c r="I3145" s="852"/>
      <c r="J3145" s="802"/>
    </row>
    <row r="3146" spans="3:10" s="656" customFormat="1" ht="15" hidden="1" customHeight="1">
      <c r="C3146" s="881"/>
      <c r="D3146" s="888"/>
      <c r="E3146" s="136"/>
      <c r="F3146" s="136"/>
      <c r="G3146" s="136"/>
      <c r="H3146" s="887"/>
      <c r="I3146" s="863"/>
      <c r="J3146" s="44"/>
    </row>
    <row r="3147" spans="3:10" ht="20.100000000000001" hidden="1" customHeight="1">
      <c r="C3147" s="878"/>
      <c r="D3147" s="889" t="s">
        <v>1347</v>
      </c>
      <c r="E3147" s="135">
        <f>E3148</f>
        <v>1885600000</v>
      </c>
      <c r="F3147" s="170">
        <f>F3148</f>
        <v>1842750000</v>
      </c>
      <c r="G3147" s="231">
        <f>F3147/E3147*100</f>
        <v>97.727513788714475</v>
      </c>
      <c r="H3147" s="887">
        <v>100</v>
      </c>
      <c r="I3147" s="852"/>
      <c r="J3147" s="802"/>
    </row>
    <row r="3148" spans="3:10" s="656" customFormat="1" ht="20.100000000000001" hidden="1" customHeight="1">
      <c r="C3148" s="881"/>
      <c r="D3148" s="889" t="s">
        <v>519</v>
      </c>
      <c r="E3148" s="135">
        <f>SUM(E3149)</f>
        <v>1885600000</v>
      </c>
      <c r="F3148" s="170">
        <f>SUM(F3149)</f>
        <v>1842750000</v>
      </c>
      <c r="G3148" s="231">
        <f>F3148/E3148*100</f>
        <v>97.727513788714475</v>
      </c>
      <c r="H3148" s="887">
        <v>100</v>
      </c>
      <c r="I3148" s="863"/>
      <c r="J3148" s="44"/>
    </row>
    <row r="3149" spans="3:10" ht="20.100000000000001" hidden="1" customHeight="1">
      <c r="C3149" s="878"/>
      <c r="D3149" s="888" t="s">
        <v>729</v>
      </c>
      <c r="E3149" s="136">
        <v>1885600000</v>
      </c>
      <c r="F3149" s="239">
        <v>1842750000</v>
      </c>
      <c r="G3149" s="694">
        <f>F3149/E3149*100</f>
        <v>97.727513788714475</v>
      </c>
      <c r="H3149" s="887">
        <v>100</v>
      </c>
      <c r="I3149" s="852"/>
      <c r="J3149" s="802"/>
    </row>
    <row r="3150" spans="3:10" ht="15" hidden="1" customHeight="1">
      <c r="C3150" s="878"/>
      <c r="D3150" s="888"/>
      <c r="E3150" s="136"/>
      <c r="F3150" s="136"/>
      <c r="G3150" s="136"/>
      <c r="H3150" s="887"/>
      <c r="I3150" s="852"/>
      <c r="J3150" s="802"/>
    </row>
    <row r="3151" spans="3:10" s="656" customFormat="1" ht="20.100000000000001" hidden="1" customHeight="1">
      <c r="C3151" s="881"/>
      <c r="D3151" s="889" t="s">
        <v>2949</v>
      </c>
      <c r="E3151" s="135">
        <f>E3152</f>
        <v>1001230960</v>
      </c>
      <c r="F3151" s="170">
        <f>F3152</f>
        <v>980000000</v>
      </c>
      <c r="G3151" s="231">
        <f>F3151/E3151*100</f>
        <v>97.879514233159554</v>
      </c>
      <c r="H3151" s="887">
        <v>100</v>
      </c>
      <c r="I3151" s="863"/>
      <c r="J3151" s="44"/>
    </row>
    <row r="3152" spans="3:10" s="656" customFormat="1" ht="20.100000000000001" hidden="1" customHeight="1">
      <c r="C3152" s="881"/>
      <c r="D3152" s="889" t="s">
        <v>1443</v>
      </c>
      <c r="E3152" s="135">
        <f>SUM(E3153)</f>
        <v>1001230960</v>
      </c>
      <c r="F3152" s="170">
        <f>SUM(F3153)</f>
        <v>980000000</v>
      </c>
      <c r="G3152" s="231">
        <f>F3152/E3152*100</f>
        <v>97.879514233159554</v>
      </c>
      <c r="H3152" s="887">
        <v>100</v>
      </c>
      <c r="I3152" s="863"/>
      <c r="J3152" s="44"/>
    </row>
    <row r="3153" spans="3:10" ht="20.100000000000001" hidden="1" customHeight="1">
      <c r="C3153" s="878"/>
      <c r="D3153" s="888" t="s">
        <v>2109</v>
      </c>
      <c r="E3153" s="136">
        <v>1001230960</v>
      </c>
      <c r="F3153" s="239">
        <v>980000000</v>
      </c>
      <c r="G3153" s="694">
        <f>F3153/E3153*100</f>
        <v>97.879514233159554</v>
      </c>
      <c r="H3153" s="887">
        <v>100</v>
      </c>
      <c r="I3153" s="852"/>
      <c r="J3153" s="802"/>
    </row>
    <row r="3154" spans="3:10" ht="15" hidden="1" customHeight="1">
      <c r="C3154" s="878"/>
      <c r="D3154" s="888"/>
      <c r="E3154" s="136"/>
      <c r="F3154" s="136"/>
      <c r="G3154" s="136"/>
      <c r="H3154" s="887"/>
      <c r="I3154" s="852"/>
      <c r="J3154" s="802"/>
    </row>
    <row r="3155" spans="3:10" s="656" customFormat="1" ht="20.100000000000001" hidden="1" customHeight="1">
      <c r="C3155" s="881"/>
      <c r="D3155" s="889" t="s">
        <v>2948</v>
      </c>
      <c r="E3155" s="135">
        <f>E3156+E3159</f>
        <v>1200000000</v>
      </c>
      <c r="F3155" s="170">
        <f>F3156+F3159</f>
        <v>1200000000</v>
      </c>
      <c r="G3155" s="231">
        <f t="shared" ref="G3155:G3160" si="146">F3155/E3155*100</f>
        <v>100</v>
      </c>
      <c r="H3155" s="887">
        <f t="shared" ref="H3155:H3160" si="147">+G3155</f>
        <v>100</v>
      </c>
      <c r="I3155" s="863"/>
      <c r="J3155" s="44"/>
    </row>
    <row r="3156" spans="3:10" ht="20.100000000000001" hidden="1" customHeight="1">
      <c r="C3156" s="878"/>
      <c r="D3156" s="889" t="s">
        <v>2947</v>
      </c>
      <c r="E3156" s="135">
        <f>SUM(E3157:E3158)</f>
        <v>600000000</v>
      </c>
      <c r="F3156" s="170">
        <f>SUM(F3157:F3158)</f>
        <v>600000000</v>
      </c>
      <c r="G3156" s="231">
        <f t="shared" si="146"/>
        <v>100</v>
      </c>
      <c r="H3156" s="887">
        <f t="shared" si="147"/>
        <v>100</v>
      </c>
      <c r="I3156" s="852"/>
      <c r="J3156" s="802"/>
    </row>
    <row r="3157" spans="3:10" ht="20.100000000000001" hidden="1" customHeight="1">
      <c r="C3157" s="878"/>
      <c r="D3157" s="888" t="s">
        <v>1888</v>
      </c>
      <c r="E3157" s="136">
        <v>350000000</v>
      </c>
      <c r="F3157" s="239">
        <v>350000000</v>
      </c>
      <c r="G3157" s="694">
        <f t="shared" si="146"/>
        <v>100</v>
      </c>
      <c r="H3157" s="887">
        <f t="shared" si="147"/>
        <v>100</v>
      </c>
      <c r="I3157" s="852"/>
      <c r="J3157" s="802"/>
    </row>
    <row r="3158" spans="3:10" ht="20.100000000000001" hidden="1" customHeight="1">
      <c r="C3158" s="878"/>
      <c r="D3158" s="888" t="s">
        <v>1889</v>
      </c>
      <c r="E3158" s="136">
        <v>250000000</v>
      </c>
      <c r="F3158" s="239">
        <v>250000000</v>
      </c>
      <c r="G3158" s="694">
        <f t="shared" si="146"/>
        <v>100</v>
      </c>
      <c r="H3158" s="887">
        <f t="shared" si="147"/>
        <v>100</v>
      </c>
      <c r="I3158" s="852"/>
      <c r="J3158" s="802"/>
    </row>
    <row r="3159" spans="3:10" ht="20.100000000000001" hidden="1" customHeight="1">
      <c r="C3159" s="878"/>
      <c r="D3159" s="889" t="s">
        <v>1635</v>
      </c>
      <c r="E3159" s="135">
        <f>SUM(E3160)</f>
        <v>600000000</v>
      </c>
      <c r="F3159" s="170">
        <f>SUM(F3160)</f>
        <v>600000000</v>
      </c>
      <c r="G3159" s="231">
        <f t="shared" si="146"/>
        <v>100</v>
      </c>
      <c r="H3159" s="887">
        <f t="shared" si="147"/>
        <v>100</v>
      </c>
      <c r="I3159" s="852"/>
      <c r="J3159" s="802"/>
    </row>
    <row r="3160" spans="3:10" s="656" customFormat="1" ht="20.100000000000001" hidden="1" customHeight="1">
      <c r="C3160" s="881"/>
      <c r="D3160" s="888" t="s">
        <v>1891</v>
      </c>
      <c r="E3160" s="136">
        <v>600000000</v>
      </c>
      <c r="F3160" s="239">
        <v>600000000</v>
      </c>
      <c r="G3160" s="694">
        <f t="shared" si="146"/>
        <v>100</v>
      </c>
      <c r="H3160" s="887">
        <f t="shared" si="147"/>
        <v>100</v>
      </c>
      <c r="I3160" s="863"/>
      <c r="J3160" s="44"/>
    </row>
    <row r="3161" spans="3:10" ht="15" hidden="1" customHeight="1">
      <c r="C3161" s="878"/>
      <c r="D3161" s="888"/>
      <c r="E3161" s="136"/>
      <c r="F3161" s="136"/>
      <c r="G3161" s="694"/>
      <c r="H3161" s="887"/>
      <c r="I3161" s="852"/>
      <c r="J3161" s="802"/>
    </row>
    <row r="3162" spans="3:10" s="656" customFormat="1" ht="20.100000000000001" hidden="1" customHeight="1">
      <c r="C3162" s="881"/>
      <c r="D3162" s="889" t="s">
        <v>624</v>
      </c>
      <c r="E3162" s="135">
        <f>E3163</f>
        <v>1200000000</v>
      </c>
      <c r="F3162" s="170">
        <f>F3163</f>
        <v>1182550000</v>
      </c>
      <c r="G3162" s="231">
        <f>F3162/E3162*100</f>
        <v>98.545833333333334</v>
      </c>
      <c r="H3162" s="887">
        <f>H3163</f>
        <v>65</v>
      </c>
      <c r="I3162" s="863"/>
      <c r="J3162" s="44"/>
    </row>
    <row r="3163" spans="3:10" s="656" customFormat="1" ht="20.100000000000001" hidden="1" customHeight="1">
      <c r="C3163" s="881"/>
      <c r="D3163" s="889" t="s">
        <v>1843</v>
      </c>
      <c r="E3163" s="135">
        <f>SUM(E3164:E3165)</f>
        <v>1200000000</v>
      </c>
      <c r="F3163" s="170">
        <f>SUM(F3164:F3165)</f>
        <v>1182550000</v>
      </c>
      <c r="G3163" s="231">
        <f>F3163/E3163*100</f>
        <v>98.545833333333334</v>
      </c>
      <c r="H3163" s="887">
        <f>130/2</f>
        <v>65</v>
      </c>
      <c r="I3163" s="863"/>
      <c r="J3163" s="44"/>
    </row>
    <row r="3164" spans="3:10" ht="20.100000000000001" hidden="1" customHeight="1">
      <c r="C3164" s="878"/>
      <c r="D3164" s="888" t="s">
        <v>2946</v>
      </c>
      <c r="E3164" s="136">
        <v>300000000</v>
      </c>
      <c r="F3164" s="239">
        <v>300000000</v>
      </c>
      <c r="G3164" s="694">
        <f>F3164/E3164*100</f>
        <v>100</v>
      </c>
      <c r="H3164" s="887">
        <f>+G3164</f>
        <v>100</v>
      </c>
      <c r="I3164" s="852"/>
      <c r="J3164" s="802"/>
    </row>
    <row r="3165" spans="3:10" ht="20.100000000000001" hidden="1" customHeight="1">
      <c r="C3165" s="878"/>
      <c r="D3165" s="888" t="s">
        <v>712</v>
      </c>
      <c r="E3165" s="136">
        <v>900000000</v>
      </c>
      <c r="F3165" s="239">
        <v>882550000</v>
      </c>
      <c r="G3165" s="694">
        <f>F3165/E3165*100</f>
        <v>98.061111111111103</v>
      </c>
      <c r="H3165" s="887">
        <v>30</v>
      </c>
      <c r="I3165" s="852"/>
      <c r="J3165" s="802"/>
    </row>
    <row r="3166" spans="3:10" ht="15" hidden="1" customHeight="1">
      <c r="C3166" s="878"/>
      <c r="D3166" s="888"/>
      <c r="E3166" s="136"/>
      <c r="F3166" s="136"/>
      <c r="G3166" s="694"/>
      <c r="H3166" s="887"/>
      <c r="I3166" s="852"/>
      <c r="J3166" s="802"/>
    </row>
    <row r="3167" spans="3:10" s="656" customFormat="1" ht="20.100000000000001" hidden="1" customHeight="1">
      <c r="C3167" s="881"/>
      <c r="D3167" s="889" t="s">
        <v>1186</v>
      </c>
      <c r="E3167" s="135">
        <f>E3168+E3172+E3175+E3178</f>
        <v>1714009180</v>
      </c>
      <c r="F3167" s="170">
        <f>F3168+F3172+F3175+F3178</f>
        <v>1713749180</v>
      </c>
      <c r="G3167" s="231">
        <f t="shared" ref="G3167:G3180" si="148">F3167/E3167*100</f>
        <v>99.984830886378333</v>
      </c>
      <c r="H3167" s="887">
        <f>(H3168+H3172+H3175+H3178)/4</f>
        <v>79.166666666666671</v>
      </c>
      <c r="I3167" s="863"/>
      <c r="J3167" s="44"/>
    </row>
    <row r="3168" spans="3:10" ht="20.100000000000001" hidden="1" customHeight="1">
      <c r="C3168" s="878"/>
      <c r="D3168" s="889" t="s">
        <v>1831</v>
      </c>
      <c r="E3168" s="135">
        <f>SUM(E3169:E3171)</f>
        <v>600000000</v>
      </c>
      <c r="F3168" s="170">
        <f>SUM(F3169:F3171)</f>
        <v>599910000</v>
      </c>
      <c r="G3168" s="231">
        <f t="shared" si="148"/>
        <v>99.984999999999999</v>
      </c>
      <c r="H3168" s="887">
        <f>200/3</f>
        <v>66.666666666666671</v>
      </c>
      <c r="I3168" s="852"/>
      <c r="J3168" s="802"/>
    </row>
    <row r="3169" spans="3:10" ht="20.100000000000001" hidden="1" customHeight="1">
      <c r="C3169" s="878"/>
      <c r="D3169" s="888" t="s">
        <v>708</v>
      </c>
      <c r="E3169" s="136">
        <v>200000000</v>
      </c>
      <c r="F3169" s="239">
        <v>199970000</v>
      </c>
      <c r="G3169" s="694">
        <f t="shared" si="148"/>
        <v>99.984999999999999</v>
      </c>
      <c r="H3169" s="887">
        <v>100</v>
      </c>
      <c r="I3169" s="852"/>
      <c r="J3169" s="802"/>
    </row>
    <row r="3170" spans="3:10" s="656" customFormat="1" ht="20.100000000000001" hidden="1" customHeight="1">
      <c r="C3170" s="881"/>
      <c r="D3170" s="888" t="s">
        <v>504</v>
      </c>
      <c r="E3170" s="136">
        <v>250000000</v>
      </c>
      <c r="F3170" s="239">
        <v>250000000</v>
      </c>
      <c r="G3170" s="694">
        <f t="shared" si="148"/>
        <v>100</v>
      </c>
      <c r="H3170" s="887">
        <f>+G3170</f>
        <v>100</v>
      </c>
      <c r="I3170" s="863"/>
      <c r="J3170" s="44"/>
    </row>
    <row r="3171" spans="3:10" ht="20.100000000000001" hidden="1" customHeight="1">
      <c r="C3171" s="878"/>
      <c r="D3171" s="888" t="s">
        <v>2945</v>
      </c>
      <c r="E3171" s="136">
        <v>150000000</v>
      </c>
      <c r="F3171" s="239">
        <v>149940000</v>
      </c>
      <c r="G3171" s="694">
        <f t="shared" si="148"/>
        <v>99.960000000000008</v>
      </c>
      <c r="H3171" s="887">
        <v>100</v>
      </c>
      <c r="I3171" s="852"/>
      <c r="J3171" s="802"/>
    </row>
    <row r="3172" spans="3:10" ht="20.100000000000001" hidden="1" customHeight="1">
      <c r="C3172" s="878"/>
      <c r="D3172" s="889" t="s">
        <v>1843</v>
      </c>
      <c r="E3172" s="135">
        <f>SUM(E3173:E3174)</f>
        <v>549954000</v>
      </c>
      <c r="F3172" s="170">
        <f>SUM(F3173:F3174)</f>
        <v>549954000</v>
      </c>
      <c r="G3172" s="231">
        <f t="shared" si="148"/>
        <v>100</v>
      </c>
      <c r="H3172" s="887">
        <f>+G3172</f>
        <v>100</v>
      </c>
      <c r="I3172" s="852"/>
      <c r="J3172" s="802"/>
    </row>
    <row r="3173" spans="3:10" ht="20.100000000000001" hidden="1" customHeight="1">
      <c r="C3173" s="878"/>
      <c r="D3173" s="888" t="s">
        <v>1514</v>
      </c>
      <c r="E3173" s="136">
        <v>400000000</v>
      </c>
      <c r="F3173" s="239">
        <v>400000000</v>
      </c>
      <c r="G3173" s="694">
        <f t="shared" si="148"/>
        <v>100</v>
      </c>
      <c r="H3173" s="887">
        <f>+G3173</f>
        <v>100</v>
      </c>
      <c r="I3173" s="852"/>
      <c r="J3173" s="802"/>
    </row>
    <row r="3174" spans="3:10" s="656" customFormat="1" ht="20.100000000000001" hidden="1" customHeight="1">
      <c r="C3174" s="881"/>
      <c r="D3174" s="888" t="s">
        <v>504</v>
      </c>
      <c r="E3174" s="136">
        <v>149954000</v>
      </c>
      <c r="F3174" s="239">
        <v>149954000</v>
      </c>
      <c r="G3174" s="694">
        <f t="shared" si="148"/>
        <v>100</v>
      </c>
      <c r="H3174" s="887">
        <f>+G3174</f>
        <v>100</v>
      </c>
      <c r="I3174" s="863"/>
      <c r="J3174" s="44"/>
    </row>
    <row r="3175" spans="3:10" s="656" customFormat="1" ht="20.100000000000001" hidden="1" customHeight="1">
      <c r="C3175" s="881"/>
      <c r="D3175" s="889" t="s">
        <v>506</v>
      </c>
      <c r="E3175" s="135">
        <f>SUM(E3176:E3177)</f>
        <v>214055180</v>
      </c>
      <c r="F3175" s="170">
        <f>SUM(F3176:F3177)</f>
        <v>214025180</v>
      </c>
      <c r="G3175" s="231">
        <f t="shared" si="148"/>
        <v>99.985984922205574</v>
      </c>
      <c r="H3175" s="887">
        <v>50</v>
      </c>
      <c r="I3175" s="863"/>
      <c r="J3175" s="44"/>
    </row>
    <row r="3176" spans="3:10" ht="20.100000000000001" hidden="1" customHeight="1">
      <c r="C3176" s="878"/>
      <c r="D3176" s="888" t="s">
        <v>2944</v>
      </c>
      <c r="E3176" s="136">
        <v>114055180</v>
      </c>
      <c r="F3176" s="239">
        <v>114055180</v>
      </c>
      <c r="G3176" s="694">
        <f t="shared" si="148"/>
        <v>100</v>
      </c>
      <c r="H3176" s="887">
        <f>+G3176</f>
        <v>100</v>
      </c>
      <c r="I3176" s="852"/>
      <c r="J3176" s="802"/>
    </row>
    <row r="3177" spans="3:10" s="656" customFormat="1" ht="35.1" hidden="1" customHeight="1">
      <c r="C3177" s="881"/>
      <c r="D3177" s="888" t="s">
        <v>2115</v>
      </c>
      <c r="E3177" s="136">
        <v>100000000</v>
      </c>
      <c r="F3177" s="239">
        <v>99970000</v>
      </c>
      <c r="G3177" s="694">
        <f t="shared" si="148"/>
        <v>99.97</v>
      </c>
      <c r="H3177" s="887">
        <v>100</v>
      </c>
      <c r="I3177" s="863"/>
      <c r="J3177" s="44"/>
    </row>
    <row r="3178" spans="3:10" ht="20.100000000000001" hidden="1" customHeight="1">
      <c r="C3178" s="878"/>
      <c r="D3178" s="889" t="s">
        <v>1839</v>
      </c>
      <c r="E3178" s="135">
        <f>SUM(E3179:E3180)</f>
        <v>350000000</v>
      </c>
      <c r="F3178" s="170">
        <f>SUM(F3179:F3180)</f>
        <v>349860000</v>
      </c>
      <c r="G3178" s="231">
        <f t="shared" si="148"/>
        <v>99.960000000000008</v>
      </c>
      <c r="H3178" s="887">
        <v>100</v>
      </c>
      <c r="I3178" s="852"/>
      <c r="J3178" s="802"/>
    </row>
    <row r="3179" spans="3:10" s="656" customFormat="1" ht="20.100000000000001" hidden="1" customHeight="1">
      <c r="C3179" s="881"/>
      <c r="D3179" s="888" t="s">
        <v>2943</v>
      </c>
      <c r="E3179" s="136">
        <v>150000000</v>
      </c>
      <c r="F3179" s="239">
        <v>149960000</v>
      </c>
      <c r="G3179" s="694">
        <f t="shared" si="148"/>
        <v>99.973333333333329</v>
      </c>
      <c r="H3179" s="887">
        <v>100</v>
      </c>
      <c r="I3179" s="863"/>
      <c r="J3179" s="44"/>
    </row>
    <row r="3180" spans="3:10" ht="20.100000000000001" hidden="1" customHeight="1">
      <c r="C3180" s="878"/>
      <c r="D3180" s="888" t="s">
        <v>2943</v>
      </c>
      <c r="E3180" s="136">
        <v>200000000</v>
      </c>
      <c r="F3180" s="239">
        <v>199900000</v>
      </c>
      <c r="G3180" s="694">
        <f t="shared" si="148"/>
        <v>99.95</v>
      </c>
      <c r="H3180" s="887">
        <v>100</v>
      </c>
      <c r="I3180" s="852"/>
      <c r="J3180" s="802"/>
    </row>
    <row r="3181" spans="3:10" ht="15" hidden="1" customHeight="1">
      <c r="C3181" s="878"/>
      <c r="D3181" s="890"/>
      <c r="E3181" s="136"/>
      <c r="F3181" s="136"/>
      <c r="G3181" s="136"/>
      <c r="H3181" s="887"/>
      <c r="I3181" s="852"/>
      <c r="J3181" s="802"/>
    </row>
    <row r="3182" spans="3:10" ht="20.100000000000001" hidden="1" customHeight="1">
      <c r="C3182" s="878"/>
      <c r="D3182" s="889" t="s">
        <v>1305</v>
      </c>
      <c r="E3182" s="135">
        <f>E3183+E3186+E3188+E3193+E3195</f>
        <v>2955500000.04</v>
      </c>
      <c r="F3182" s="170">
        <f>F3183+F3186+F3188+F3193+F3195</f>
        <v>2895500000</v>
      </c>
      <c r="G3182" s="231">
        <f t="shared" ref="G3182:G3199" si="149">F3182/E3182*100</f>
        <v>97.969886650678802</v>
      </c>
      <c r="H3182" s="887">
        <f>(H3183+H3186+H3188+H3193+H3195)/5</f>
        <v>81.999999999607851</v>
      </c>
      <c r="I3182" s="852"/>
      <c r="J3182" s="802"/>
    </row>
    <row r="3183" spans="3:10" ht="20.100000000000001" hidden="1" customHeight="1">
      <c r="C3183" s="878"/>
      <c r="D3183" s="889" t="s">
        <v>912</v>
      </c>
      <c r="E3183" s="135">
        <f>SUM(E3184:E3185)</f>
        <v>378000000</v>
      </c>
      <c r="F3183" s="170">
        <f>SUM(F3184:F3185)</f>
        <v>378000000</v>
      </c>
      <c r="G3183" s="231">
        <f t="shared" si="149"/>
        <v>100</v>
      </c>
      <c r="H3183" s="887">
        <v>50</v>
      </c>
      <c r="I3183" s="852"/>
      <c r="J3183" s="802"/>
    </row>
    <row r="3184" spans="3:10" ht="20.100000000000001" hidden="1" customHeight="1">
      <c r="C3184" s="878"/>
      <c r="D3184" s="888" t="s">
        <v>2942</v>
      </c>
      <c r="E3184" s="136">
        <v>270500000</v>
      </c>
      <c r="F3184" s="239">
        <v>270500000</v>
      </c>
      <c r="G3184" s="694">
        <f t="shared" si="149"/>
        <v>100</v>
      </c>
      <c r="H3184" s="887">
        <f>+G3184</f>
        <v>100</v>
      </c>
      <c r="I3184" s="852"/>
      <c r="J3184" s="802"/>
    </row>
    <row r="3185" spans="3:10" ht="20.100000000000001" hidden="1" customHeight="1">
      <c r="C3185" s="878"/>
      <c r="D3185" s="888" t="s">
        <v>1509</v>
      </c>
      <c r="E3185" s="136">
        <v>107500000</v>
      </c>
      <c r="F3185" s="239">
        <v>107500000</v>
      </c>
      <c r="G3185" s="694">
        <f t="shared" si="149"/>
        <v>100</v>
      </c>
      <c r="H3185" s="887">
        <f>+G3185</f>
        <v>100</v>
      </c>
      <c r="I3185" s="852"/>
      <c r="J3185" s="802"/>
    </row>
    <row r="3186" spans="3:10" s="656" customFormat="1" ht="20.100000000000001" hidden="1" customHeight="1">
      <c r="C3186" s="881"/>
      <c r="D3186" s="889" t="s">
        <v>308</v>
      </c>
      <c r="E3186" s="135">
        <f>SUM(E3187)</f>
        <v>390000000</v>
      </c>
      <c r="F3186" s="170">
        <f>SUM(F3187)</f>
        <v>390000000</v>
      </c>
      <c r="G3186" s="231">
        <f t="shared" si="149"/>
        <v>100</v>
      </c>
      <c r="H3186" s="887">
        <f>+G3186</f>
        <v>100</v>
      </c>
      <c r="I3186" s="863"/>
      <c r="J3186" s="44"/>
    </row>
    <row r="3187" spans="3:10" s="656" customFormat="1" ht="35.1" hidden="1" customHeight="1">
      <c r="C3187" s="881"/>
      <c r="D3187" s="888" t="s">
        <v>2941</v>
      </c>
      <c r="E3187" s="136">
        <v>390000000</v>
      </c>
      <c r="F3187" s="239">
        <v>390000000</v>
      </c>
      <c r="G3187" s="694">
        <f t="shared" si="149"/>
        <v>100</v>
      </c>
      <c r="H3187" s="887">
        <f>+G3187</f>
        <v>100</v>
      </c>
      <c r="I3187" s="863"/>
      <c r="J3187" s="44"/>
    </row>
    <row r="3188" spans="3:10" ht="20.100000000000001" hidden="1" customHeight="1">
      <c r="C3188" s="878"/>
      <c r="D3188" s="889" t="s">
        <v>312</v>
      </c>
      <c r="E3188" s="135">
        <f>SUM(E3189:E3192)</f>
        <v>1110800000.04</v>
      </c>
      <c r="F3188" s="170">
        <f>SUM(F3189:F3192)</f>
        <v>1110800000</v>
      </c>
      <c r="G3188" s="231">
        <f t="shared" si="149"/>
        <v>99.999999996398998</v>
      </c>
      <c r="H3188" s="887">
        <f>SUM((H3189:H3192))/4</f>
        <v>99.999999998039215</v>
      </c>
      <c r="I3188" s="852"/>
      <c r="J3188" s="802"/>
    </row>
    <row r="3189" spans="3:10" ht="20.100000000000001" hidden="1" customHeight="1">
      <c r="C3189" s="878"/>
      <c r="D3189" s="888" t="s">
        <v>2940</v>
      </c>
      <c r="E3189" s="136">
        <v>510000000.04000002</v>
      </c>
      <c r="F3189" s="239">
        <v>510000000</v>
      </c>
      <c r="G3189" s="694">
        <f t="shared" si="149"/>
        <v>99.999999992156859</v>
      </c>
      <c r="H3189" s="887">
        <f t="shared" ref="H3189:H3199" si="150">+G3189</f>
        <v>99.999999992156859</v>
      </c>
      <c r="I3189" s="852"/>
      <c r="J3189" s="802"/>
    </row>
    <row r="3190" spans="3:10" ht="20.100000000000001" hidden="1" customHeight="1">
      <c r="C3190" s="878"/>
      <c r="D3190" s="888" t="s">
        <v>2939</v>
      </c>
      <c r="E3190" s="136">
        <v>200000000</v>
      </c>
      <c r="F3190" s="239">
        <v>200000000</v>
      </c>
      <c r="G3190" s="694">
        <f t="shared" si="149"/>
        <v>100</v>
      </c>
      <c r="H3190" s="887">
        <f t="shared" si="150"/>
        <v>100</v>
      </c>
      <c r="I3190" s="852"/>
      <c r="J3190" s="802"/>
    </row>
    <row r="3191" spans="3:10" ht="20.100000000000001" hidden="1" customHeight="1">
      <c r="C3191" s="878"/>
      <c r="D3191" s="888" t="s">
        <v>2938</v>
      </c>
      <c r="E3191" s="136">
        <v>200800000</v>
      </c>
      <c r="F3191" s="239">
        <v>200800000</v>
      </c>
      <c r="G3191" s="694">
        <f t="shared" si="149"/>
        <v>100</v>
      </c>
      <c r="H3191" s="887">
        <f t="shared" si="150"/>
        <v>100</v>
      </c>
      <c r="I3191" s="852"/>
      <c r="J3191" s="802"/>
    </row>
    <row r="3192" spans="3:10" ht="20.100000000000001" hidden="1" customHeight="1">
      <c r="C3192" s="878"/>
      <c r="D3192" s="888" t="s">
        <v>315</v>
      </c>
      <c r="E3192" s="136">
        <v>200000000</v>
      </c>
      <c r="F3192" s="239">
        <v>200000000</v>
      </c>
      <c r="G3192" s="694">
        <f t="shared" si="149"/>
        <v>100</v>
      </c>
      <c r="H3192" s="887">
        <f t="shared" si="150"/>
        <v>100</v>
      </c>
      <c r="I3192" s="852"/>
      <c r="J3192" s="802"/>
    </row>
    <row r="3193" spans="3:10" s="656" customFormat="1" ht="20.100000000000001" hidden="1" customHeight="1">
      <c r="C3193" s="881"/>
      <c r="D3193" s="889" t="s">
        <v>317</v>
      </c>
      <c r="E3193" s="135">
        <f>SUM(E3194)</f>
        <v>150000000</v>
      </c>
      <c r="F3193" s="170">
        <f>SUM(F3194)</f>
        <v>90000000</v>
      </c>
      <c r="G3193" s="231">
        <f t="shared" si="149"/>
        <v>60</v>
      </c>
      <c r="H3193" s="887">
        <f t="shared" si="150"/>
        <v>60</v>
      </c>
      <c r="I3193" s="863"/>
      <c r="J3193" s="44"/>
    </row>
    <row r="3194" spans="3:10" s="656" customFormat="1" ht="20.100000000000001" hidden="1" customHeight="1">
      <c r="C3194" s="881"/>
      <c r="D3194" s="888" t="s">
        <v>318</v>
      </c>
      <c r="E3194" s="136">
        <v>150000000</v>
      </c>
      <c r="F3194" s="239">
        <v>90000000</v>
      </c>
      <c r="G3194" s="694">
        <f t="shared" si="149"/>
        <v>60</v>
      </c>
      <c r="H3194" s="887">
        <f t="shared" si="150"/>
        <v>60</v>
      </c>
      <c r="I3194" s="863"/>
      <c r="J3194" s="44"/>
    </row>
    <row r="3195" spans="3:10" ht="20.100000000000001" hidden="1" customHeight="1">
      <c r="C3195" s="878"/>
      <c r="D3195" s="889" t="s">
        <v>321</v>
      </c>
      <c r="E3195" s="135">
        <f>SUM(E3196:E3199)</f>
        <v>926700000</v>
      </c>
      <c r="F3195" s="170">
        <f>SUM(F3196:F3199)</f>
        <v>926700000</v>
      </c>
      <c r="G3195" s="231">
        <f t="shared" si="149"/>
        <v>100</v>
      </c>
      <c r="H3195" s="887">
        <f t="shared" si="150"/>
        <v>100</v>
      </c>
      <c r="I3195" s="852"/>
      <c r="J3195" s="802"/>
    </row>
    <row r="3196" spans="3:10" ht="20.100000000000001" hidden="1" customHeight="1">
      <c r="C3196" s="878"/>
      <c r="D3196" s="888" t="s">
        <v>322</v>
      </c>
      <c r="E3196" s="136">
        <v>150000000</v>
      </c>
      <c r="F3196" s="239">
        <v>150000000</v>
      </c>
      <c r="G3196" s="694">
        <f t="shared" si="149"/>
        <v>100</v>
      </c>
      <c r="H3196" s="887">
        <f t="shared" si="150"/>
        <v>100</v>
      </c>
      <c r="I3196" s="852"/>
      <c r="J3196" s="802"/>
    </row>
    <row r="3197" spans="3:10" s="656" customFormat="1" ht="20.100000000000001" hidden="1" customHeight="1">
      <c r="C3197" s="881"/>
      <c r="D3197" s="888" t="s">
        <v>472</v>
      </c>
      <c r="E3197" s="136">
        <v>501700000</v>
      </c>
      <c r="F3197" s="239">
        <v>501700000</v>
      </c>
      <c r="G3197" s="694">
        <f t="shared" si="149"/>
        <v>100</v>
      </c>
      <c r="H3197" s="887">
        <f t="shared" si="150"/>
        <v>100</v>
      </c>
      <c r="I3197" s="863"/>
      <c r="J3197" s="44"/>
    </row>
    <row r="3198" spans="3:10" s="656" customFormat="1" ht="20.100000000000001" hidden="1" customHeight="1">
      <c r="C3198" s="881"/>
      <c r="D3198" s="888" t="s">
        <v>473</v>
      </c>
      <c r="E3198" s="136">
        <v>150000000</v>
      </c>
      <c r="F3198" s="239">
        <v>150000000</v>
      </c>
      <c r="G3198" s="694">
        <f t="shared" si="149"/>
        <v>100</v>
      </c>
      <c r="H3198" s="887">
        <f t="shared" si="150"/>
        <v>100</v>
      </c>
      <c r="I3198" s="863"/>
      <c r="J3198" s="44"/>
    </row>
    <row r="3199" spans="3:10" ht="20.100000000000001" hidden="1" customHeight="1">
      <c r="C3199" s="878"/>
      <c r="D3199" s="888" t="s">
        <v>2338</v>
      </c>
      <c r="E3199" s="136">
        <v>125000000</v>
      </c>
      <c r="F3199" s="239">
        <v>125000000</v>
      </c>
      <c r="G3199" s="694">
        <f t="shared" si="149"/>
        <v>100</v>
      </c>
      <c r="H3199" s="887">
        <f t="shared" si="150"/>
        <v>100</v>
      </c>
      <c r="I3199" s="852"/>
      <c r="J3199" s="802"/>
    </row>
    <row r="3200" spans="3:10" ht="15" hidden="1" customHeight="1">
      <c r="C3200" s="878"/>
      <c r="D3200" s="888"/>
      <c r="E3200" s="136"/>
      <c r="F3200" s="136"/>
      <c r="G3200" s="694"/>
      <c r="H3200" s="887"/>
      <c r="I3200" s="852"/>
      <c r="J3200" s="802"/>
    </row>
    <row r="3201" spans="3:10" s="656" customFormat="1" ht="20.100000000000001" hidden="1" customHeight="1">
      <c r="C3201" s="881"/>
      <c r="D3201" s="889" t="s">
        <v>1159</v>
      </c>
      <c r="E3201" s="135">
        <f>E3202+E3205</f>
        <v>2200000000</v>
      </c>
      <c r="F3201" s="170">
        <f>F3202+F3205</f>
        <v>2185585000</v>
      </c>
      <c r="G3201" s="231">
        <f t="shared" ref="G3201:G3207" si="151">F3201/E3201*100</f>
        <v>99.344772727272726</v>
      </c>
      <c r="H3201" s="887">
        <f>(H3202+H3205)/2</f>
        <v>46.25</v>
      </c>
      <c r="I3201" s="863"/>
      <c r="J3201" s="44"/>
    </row>
    <row r="3202" spans="3:10" ht="20.100000000000001" hidden="1" customHeight="1">
      <c r="C3202" s="878"/>
      <c r="D3202" s="889" t="s">
        <v>1653</v>
      </c>
      <c r="E3202" s="135">
        <f>SUM(E3203:E3204)</f>
        <v>1180000000</v>
      </c>
      <c r="F3202" s="170">
        <f>SUM(F3203:F3204)</f>
        <v>1175350000</v>
      </c>
      <c r="G3202" s="231">
        <f t="shared" si="151"/>
        <v>99.605932203389841</v>
      </c>
      <c r="H3202" s="887">
        <v>50</v>
      </c>
      <c r="I3202" s="852"/>
      <c r="J3202" s="802"/>
    </row>
    <row r="3203" spans="3:10" ht="20.100000000000001" hidden="1" customHeight="1">
      <c r="C3203" s="878"/>
      <c r="D3203" s="888" t="s">
        <v>539</v>
      </c>
      <c r="E3203" s="136">
        <v>940000000</v>
      </c>
      <c r="F3203" s="239">
        <f>922350000+13000000</f>
        <v>935350000</v>
      </c>
      <c r="G3203" s="694">
        <f t="shared" si="151"/>
        <v>99.505319148936167</v>
      </c>
      <c r="H3203" s="887">
        <v>100</v>
      </c>
      <c r="I3203" s="852"/>
      <c r="J3203" s="802"/>
    </row>
    <row r="3204" spans="3:10" s="656" customFormat="1" ht="35.1" hidden="1" customHeight="1">
      <c r="C3204" s="881"/>
      <c r="D3204" s="888" t="s">
        <v>2937</v>
      </c>
      <c r="E3204" s="136">
        <v>240000000</v>
      </c>
      <c r="F3204" s="239">
        <v>240000000</v>
      </c>
      <c r="G3204" s="694">
        <f t="shared" si="151"/>
        <v>100</v>
      </c>
      <c r="H3204" s="887">
        <f>+G3204</f>
        <v>100</v>
      </c>
      <c r="I3204" s="863"/>
      <c r="J3204" s="44"/>
    </row>
    <row r="3205" spans="3:10" s="656" customFormat="1" ht="20.100000000000001" hidden="1" customHeight="1">
      <c r="C3205" s="881"/>
      <c r="D3205" s="889" t="s">
        <v>1859</v>
      </c>
      <c r="E3205" s="135">
        <f>SUM(E3206:E3207)</f>
        <v>1020000000</v>
      </c>
      <c r="F3205" s="170">
        <f>SUM(F3206:F3207)</f>
        <v>1010235000</v>
      </c>
      <c r="G3205" s="231">
        <f t="shared" si="151"/>
        <v>99.042647058823533</v>
      </c>
      <c r="H3205" s="887">
        <f>H3206/2</f>
        <v>42.5</v>
      </c>
      <c r="I3205" s="863"/>
      <c r="J3205" s="44"/>
    </row>
    <row r="3206" spans="3:10" ht="20.100000000000001" hidden="1" customHeight="1">
      <c r="C3206" s="878"/>
      <c r="D3206" s="888" t="s">
        <v>2339</v>
      </c>
      <c r="E3206" s="136">
        <v>818750000</v>
      </c>
      <c r="F3206" s="239">
        <f>677985000+131000000</f>
        <v>808985000</v>
      </c>
      <c r="G3206" s="694">
        <f t="shared" si="151"/>
        <v>98.8073282442748</v>
      </c>
      <c r="H3206" s="887">
        <v>85</v>
      </c>
      <c r="I3206" s="852"/>
      <c r="J3206" s="802"/>
    </row>
    <row r="3207" spans="3:10" s="656" customFormat="1" ht="20.100000000000001" hidden="1" customHeight="1">
      <c r="C3207" s="881"/>
      <c r="D3207" s="888" t="s">
        <v>2914</v>
      </c>
      <c r="E3207" s="136">
        <v>201250000</v>
      </c>
      <c r="F3207" s="239">
        <v>201250000</v>
      </c>
      <c r="G3207" s="694">
        <f t="shared" si="151"/>
        <v>100</v>
      </c>
      <c r="H3207" s="887">
        <f>+G3207</f>
        <v>100</v>
      </c>
      <c r="I3207" s="863"/>
      <c r="J3207" s="44"/>
    </row>
    <row r="3208" spans="3:10" ht="15" hidden="1" customHeight="1">
      <c r="C3208" s="878"/>
      <c r="D3208" s="888"/>
      <c r="E3208" s="136"/>
      <c r="F3208" s="136"/>
      <c r="G3208" s="694"/>
      <c r="H3208" s="887"/>
      <c r="I3208" s="852"/>
      <c r="J3208" s="802"/>
    </row>
    <row r="3209" spans="3:10" s="656" customFormat="1" ht="20.100000000000001" hidden="1" customHeight="1">
      <c r="C3209" s="881"/>
      <c r="D3209" s="889" t="s">
        <v>651</v>
      </c>
      <c r="E3209" s="135">
        <f>E3210+E3212+E3214</f>
        <v>2084713860</v>
      </c>
      <c r="F3209" s="170">
        <f>F3210+F3212+F3214</f>
        <v>2082350000</v>
      </c>
      <c r="G3209" s="231">
        <f t="shared" ref="G3209:G3215" si="152">F3209/E3209*100</f>
        <v>99.886609858294889</v>
      </c>
      <c r="H3209" s="887">
        <f>200/3</f>
        <v>66.666666666666671</v>
      </c>
      <c r="I3209" s="863"/>
      <c r="J3209" s="44"/>
    </row>
    <row r="3210" spans="3:10" s="656" customFormat="1" ht="20.100000000000001" hidden="1" customHeight="1">
      <c r="C3210" s="881"/>
      <c r="D3210" s="889" t="s">
        <v>2342</v>
      </c>
      <c r="E3210" s="135">
        <f>SUM(E3211)</f>
        <v>428500000</v>
      </c>
      <c r="F3210" s="170">
        <f>SUM(F3211)</f>
        <v>428500000</v>
      </c>
      <c r="G3210" s="231">
        <f t="shared" si="152"/>
        <v>100</v>
      </c>
      <c r="H3210" s="887">
        <f t="shared" ref="H3210:H3215" si="153">+G3210</f>
        <v>100</v>
      </c>
      <c r="I3210" s="863"/>
      <c r="J3210" s="44"/>
    </row>
    <row r="3211" spans="3:10" ht="35.1" hidden="1" customHeight="1">
      <c r="C3211" s="878"/>
      <c r="D3211" s="888" t="s">
        <v>1537</v>
      </c>
      <c r="E3211" s="136">
        <v>428500000</v>
      </c>
      <c r="F3211" s="239">
        <v>428500000</v>
      </c>
      <c r="G3211" s="694">
        <f t="shared" si="152"/>
        <v>100</v>
      </c>
      <c r="H3211" s="887">
        <f t="shared" si="153"/>
        <v>100</v>
      </c>
      <c r="I3211" s="852"/>
      <c r="J3211" s="802"/>
    </row>
    <row r="3212" spans="3:10" ht="20.100000000000001" hidden="1" customHeight="1">
      <c r="C3212" s="878"/>
      <c r="D3212" s="889" t="s">
        <v>1462</v>
      </c>
      <c r="E3212" s="135">
        <f>SUM(E3213)</f>
        <v>1320963860</v>
      </c>
      <c r="F3212" s="170">
        <f>SUM(F3213)</f>
        <v>1318600000</v>
      </c>
      <c r="G3212" s="231">
        <f t="shared" si="152"/>
        <v>99.821050365450574</v>
      </c>
      <c r="H3212" s="887">
        <f t="shared" si="153"/>
        <v>99.821050365450574</v>
      </c>
      <c r="I3212" s="852"/>
      <c r="J3212" s="802"/>
    </row>
    <row r="3213" spans="3:10" s="656" customFormat="1" ht="42.75" hidden="1" customHeight="1">
      <c r="C3213" s="881"/>
      <c r="D3213" s="888" t="s">
        <v>2343</v>
      </c>
      <c r="E3213" s="136">
        <v>1320963860</v>
      </c>
      <c r="F3213" s="239">
        <v>1318600000</v>
      </c>
      <c r="G3213" s="694">
        <f t="shared" si="152"/>
        <v>99.821050365450574</v>
      </c>
      <c r="H3213" s="887">
        <f t="shared" si="153"/>
        <v>99.821050365450574</v>
      </c>
      <c r="I3213" s="863"/>
      <c r="J3213" s="44"/>
    </row>
    <row r="3214" spans="3:10" s="656" customFormat="1" ht="20.100000000000001" hidden="1" customHeight="1">
      <c r="C3214" s="881"/>
      <c r="D3214" s="889" t="s">
        <v>1466</v>
      </c>
      <c r="E3214" s="135">
        <f>SUM(E3215)</f>
        <v>335250000</v>
      </c>
      <c r="F3214" s="170">
        <f>SUM(F3215)</f>
        <v>335250000</v>
      </c>
      <c r="G3214" s="231">
        <f t="shared" si="152"/>
        <v>100</v>
      </c>
      <c r="H3214" s="887">
        <f t="shared" si="153"/>
        <v>100</v>
      </c>
      <c r="I3214" s="863"/>
      <c r="J3214" s="44"/>
    </row>
    <row r="3215" spans="3:10" ht="46.5" hidden="1" customHeight="1">
      <c r="C3215" s="878"/>
      <c r="D3215" s="888" t="s">
        <v>2936</v>
      </c>
      <c r="E3215" s="136">
        <v>335250000</v>
      </c>
      <c r="F3215" s="239">
        <v>335250000</v>
      </c>
      <c r="G3215" s="694">
        <f t="shared" si="152"/>
        <v>100</v>
      </c>
      <c r="H3215" s="887">
        <f t="shared" si="153"/>
        <v>100</v>
      </c>
      <c r="I3215" s="852"/>
      <c r="J3215" s="802"/>
    </row>
    <row r="3216" spans="3:10" ht="15" hidden="1" customHeight="1">
      <c r="C3216" s="878"/>
      <c r="D3216" s="886"/>
      <c r="E3216" s="855">
        <v>0</v>
      </c>
      <c r="F3216" s="854"/>
      <c r="G3216" s="854"/>
      <c r="H3216" s="876"/>
      <c r="I3216" s="852"/>
      <c r="J3216" s="802"/>
    </row>
    <row r="3217" spans="3:10" s="656" customFormat="1" ht="15" customHeight="1">
      <c r="C3217" s="881" t="s">
        <v>2344</v>
      </c>
      <c r="D3217" s="856" t="s">
        <v>2935</v>
      </c>
      <c r="E3217" s="885">
        <f>+E3218+E3229+E3240+E3246+E3255+E3259+E3265+E3269+E3280+E3284+E3298+E3312+E3318</f>
        <v>31867021099</v>
      </c>
      <c r="F3217" s="885">
        <f>+F3218+F3229+F3240+F3246+F3255+F3259+F3265+F3269+F3280+F3284+F3298+F3312+F3318</f>
        <v>31463032418</v>
      </c>
      <c r="G3217" s="883">
        <f t="shared" ref="G3217:G3227" si="154">F3217/E3217*100</f>
        <v>98.732267193268726</v>
      </c>
      <c r="H3217" s="884">
        <f>(H3218+H3229+H3240+H3246+H3255+H3259+H3265+H3269+H3280+H3284+H3298+H3312+H3318)/13</f>
        <v>98.717948717948715</v>
      </c>
      <c r="I3217" s="863"/>
      <c r="J3217" s="44"/>
    </row>
    <row r="3218" spans="3:10" s="656" customFormat="1" ht="15" hidden="1" customHeight="1">
      <c r="C3218" s="881"/>
      <c r="D3218" s="856" t="s">
        <v>387</v>
      </c>
      <c r="E3218" s="342">
        <f>E3219+E3221+E3226</f>
        <v>3650553328</v>
      </c>
      <c r="F3218" s="342">
        <f>F3219+F3221+F3226</f>
        <v>3500045772</v>
      </c>
      <c r="G3218" s="883">
        <f t="shared" si="154"/>
        <v>95.877130328556049</v>
      </c>
      <c r="H3218" s="882">
        <f>(H3219+H3221+H3226)/3</f>
        <v>83.333333333333329</v>
      </c>
      <c r="I3218" s="863"/>
      <c r="J3218" s="44"/>
    </row>
    <row r="3219" spans="3:10" ht="15" hidden="1" customHeight="1">
      <c r="C3219" s="878"/>
      <c r="D3219" s="859" t="s">
        <v>388</v>
      </c>
      <c r="E3219" s="340">
        <f>SUM(E3220:E3220)</f>
        <v>2781380353</v>
      </c>
      <c r="F3219" s="340">
        <f>SUM(F3220:F3220)</f>
        <v>2710968000</v>
      </c>
      <c r="G3219" s="880">
        <f t="shared" si="154"/>
        <v>97.468438542608766</v>
      </c>
      <c r="H3219" s="879">
        <f>H3220</f>
        <v>100</v>
      </c>
      <c r="I3219" s="852"/>
      <c r="J3219" s="802"/>
    </row>
    <row r="3220" spans="3:10" s="656" customFormat="1" ht="15" hidden="1" customHeight="1">
      <c r="C3220" s="881"/>
      <c r="D3220" s="859" t="s">
        <v>2934</v>
      </c>
      <c r="E3220" s="340">
        <v>2781380353</v>
      </c>
      <c r="F3220" s="340">
        <v>2710968000</v>
      </c>
      <c r="G3220" s="880">
        <f t="shared" si="154"/>
        <v>97.468438542608766</v>
      </c>
      <c r="H3220" s="879">
        <v>100</v>
      </c>
      <c r="I3220" s="863"/>
      <c r="J3220" s="44"/>
    </row>
    <row r="3221" spans="3:10" ht="15" hidden="1" customHeight="1">
      <c r="C3221" s="878"/>
      <c r="D3221" s="859" t="s">
        <v>394</v>
      </c>
      <c r="E3221" s="340">
        <f>SUM(E3222:E3225)</f>
        <v>741957216</v>
      </c>
      <c r="F3221" s="340">
        <f>SUM(F3222:F3225)</f>
        <v>730577772</v>
      </c>
      <c r="G3221" s="880">
        <f t="shared" si="154"/>
        <v>98.466293776162956</v>
      </c>
      <c r="H3221" s="879">
        <f>SUM(H3222:H3225)/4</f>
        <v>100</v>
      </c>
      <c r="I3221" s="852"/>
      <c r="J3221" s="802"/>
    </row>
    <row r="3222" spans="3:10" ht="15" hidden="1" customHeight="1">
      <c r="C3222" s="878"/>
      <c r="D3222" s="859" t="s">
        <v>2020</v>
      </c>
      <c r="E3222" s="340">
        <v>82735284</v>
      </c>
      <c r="F3222" s="340">
        <v>82200000</v>
      </c>
      <c r="G3222" s="880">
        <f t="shared" si="154"/>
        <v>99.353016060233742</v>
      </c>
      <c r="H3222" s="879">
        <v>100</v>
      </c>
      <c r="I3222" s="852"/>
      <c r="J3222" s="802"/>
    </row>
    <row r="3223" spans="3:10" ht="15" hidden="1" customHeight="1">
      <c r="C3223" s="878"/>
      <c r="D3223" s="859" t="s">
        <v>2933</v>
      </c>
      <c r="E3223" s="340">
        <v>147214000</v>
      </c>
      <c r="F3223" s="340">
        <v>136370000</v>
      </c>
      <c r="G3223" s="880">
        <f t="shared" si="154"/>
        <v>92.633852758569162</v>
      </c>
      <c r="H3223" s="879">
        <v>100</v>
      </c>
      <c r="I3223" s="852"/>
      <c r="J3223" s="802"/>
    </row>
    <row r="3224" spans="3:10" s="656" customFormat="1" ht="15" hidden="1" customHeight="1">
      <c r="C3224" s="881"/>
      <c r="D3224" s="859" t="s">
        <v>2932</v>
      </c>
      <c r="E3224" s="340">
        <v>281149530</v>
      </c>
      <c r="F3224" s="340">
        <v>281149370</v>
      </c>
      <c r="G3224" s="880">
        <f t="shared" si="154"/>
        <v>99.999943090781613</v>
      </c>
      <c r="H3224" s="879">
        <v>100</v>
      </c>
      <c r="I3224" s="863"/>
      <c r="J3224" s="44"/>
    </row>
    <row r="3225" spans="3:10" ht="35.1" hidden="1" customHeight="1">
      <c r="C3225" s="878"/>
      <c r="D3225" s="859" t="s">
        <v>2931</v>
      </c>
      <c r="E3225" s="340">
        <v>230858402</v>
      </c>
      <c r="F3225" s="340">
        <v>230858402</v>
      </c>
      <c r="G3225" s="880">
        <f t="shared" si="154"/>
        <v>100</v>
      </c>
      <c r="H3225" s="879">
        <v>100</v>
      </c>
      <c r="I3225" s="852"/>
      <c r="J3225" s="802"/>
    </row>
    <row r="3226" spans="3:10" ht="15" hidden="1" customHeight="1">
      <c r="C3226" s="878"/>
      <c r="D3226" s="859" t="s">
        <v>2075</v>
      </c>
      <c r="E3226" s="340">
        <f>SUM(E3227:E3227)</f>
        <v>127215759</v>
      </c>
      <c r="F3226" s="340">
        <f>SUM(F3227:F3227)</f>
        <v>58500000</v>
      </c>
      <c r="G3226" s="880">
        <f t="shared" si="154"/>
        <v>45.98486890291634</v>
      </c>
      <c r="H3226" s="879">
        <f>H3227</f>
        <v>50</v>
      </c>
      <c r="I3226" s="852"/>
      <c r="J3226" s="802"/>
    </row>
    <row r="3227" spans="3:10" ht="35.1" hidden="1" customHeight="1">
      <c r="C3227" s="878"/>
      <c r="D3227" s="859" t="s">
        <v>2930</v>
      </c>
      <c r="E3227" s="340">
        <v>127215759</v>
      </c>
      <c r="F3227" s="340">
        <v>58500000</v>
      </c>
      <c r="G3227" s="880">
        <f t="shared" si="154"/>
        <v>45.98486890291634</v>
      </c>
      <c r="H3227" s="879">
        <v>50</v>
      </c>
      <c r="I3227" s="852"/>
      <c r="J3227" s="802"/>
    </row>
    <row r="3228" spans="3:10" s="656" customFormat="1" ht="15" hidden="1" customHeight="1">
      <c r="C3228" s="881"/>
      <c r="D3228" s="859"/>
      <c r="E3228" s="448"/>
      <c r="F3228" s="448"/>
      <c r="G3228" s="880"/>
      <c r="H3228" s="879"/>
      <c r="I3228" s="863"/>
      <c r="J3228" s="44"/>
    </row>
    <row r="3229" spans="3:10" ht="15" hidden="1" customHeight="1">
      <c r="C3229" s="878"/>
      <c r="D3229" s="856" t="s">
        <v>161</v>
      </c>
      <c r="E3229" s="447">
        <f>E3230+E3232+E3234+E3237</f>
        <v>3907915000</v>
      </c>
      <c r="F3229" s="447">
        <f>F3230+F3232+F3234+F3237</f>
        <v>3701317800</v>
      </c>
      <c r="G3229" s="883">
        <f t="shared" ref="G3229:G3238" si="155">F3229/E3229*100</f>
        <v>94.713365055278842</v>
      </c>
      <c r="H3229" s="882">
        <f>(H3230+H3232+H3234+H3237)/4</f>
        <v>100</v>
      </c>
      <c r="I3229" s="852"/>
      <c r="J3229" s="802"/>
    </row>
    <row r="3230" spans="3:10" s="656" customFormat="1" ht="15" hidden="1" customHeight="1">
      <c r="C3230" s="881"/>
      <c r="D3230" s="859" t="s">
        <v>173</v>
      </c>
      <c r="E3230" s="448">
        <f>SUM(E3231:E3231)</f>
        <v>802665000</v>
      </c>
      <c r="F3230" s="448">
        <f>SUM(F3231:F3231)</f>
        <v>765632800</v>
      </c>
      <c r="G3230" s="880">
        <f t="shared" si="155"/>
        <v>95.386344240748016</v>
      </c>
      <c r="H3230" s="879">
        <f>H3231</f>
        <v>100</v>
      </c>
      <c r="I3230" s="863"/>
      <c r="J3230" s="44"/>
    </row>
    <row r="3231" spans="3:10" ht="15" hidden="1" customHeight="1">
      <c r="C3231" s="878"/>
      <c r="D3231" s="859" t="s">
        <v>2929</v>
      </c>
      <c r="E3231" s="448">
        <v>802665000</v>
      </c>
      <c r="F3231" s="448">
        <v>765632800</v>
      </c>
      <c r="G3231" s="880">
        <f t="shared" si="155"/>
        <v>95.386344240748016</v>
      </c>
      <c r="H3231" s="879">
        <v>100</v>
      </c>
      <c r="I3231" s="852"/>
      <c r="J3231" s="802"/>
    </row>
    <row r="3232" spans="3:10" s="656" customFormat="1" ht="15" hidden="1" customHeight="1">
      <c r="C3232" s="881"/>
      <c r="D3232" s="859" t="s">
        <v>953</v>
      </c>
      <c r="E3232" s="448">
        <f>SUM(E3233:E3233)</f>
        <v>1600000000</v>
      </c>
      <c r="F3232" s="448">
        <f>SUM(F3233:F3233)</f>
        <v>1592050000</v>
      </c>
      <c r="G3232" s="880">
        <f t="shared" si="155"/>
        <v>99.503124999999997</v>
      </c>
      <c r="H3232" s="879">
        <f>H3233</f>
        <v>100</v>
      </c>
      <c r="I3232" s="863"/>
      <c r="J3232" s="44"/>
    </row>
    <row r="3233" spans="3:10" ht="35.1" hidden="1" customHeight="1">
      <c r="C3233" s="878"/>
      <c r="D3233" s="859" t="s">
        <v>2928</v>
      </c>
      <c r="E3233" s="448">
        <v>1600000000</v>
      </c>
      <c r="F3233" s="448">
        <v>1592050000</v>
      </c>
      <c r="G3233" s="880">
        <f t="shared" si="155"/>
        <v>99.503124999999997</v>
      </c>
      <c r="H3233" s="879">
        <v>100</v>
      </c>
      <c r="I3233" s="852"/>
      <c r="J3233" s="802"/>
    </row>
    <row r="3234" spans="3:10" s="656" customFormat="1" ht="15" hidden="1" customHeight="1">
      <c r="C3234" s="881"/>
      <c r="D3234" s="859" t="s">
        <v>1501</v>
      </c>
      <c r="E3234" s="448">
        <f>SUM(E3235:E3236)</f>
        <v>856750000</v>
      </c>
      <c r="F3234" s="448">
        <f>SUM(F3235:F3236)</f>
        <v>705135000</v>
      </c>
      <c r="G3234" s="880">
        <f t="shared" si="155"/>
        <v>82.303472424861397</v>
      </c>
      <c r="H3234" s="879">
        <f>(H3235+H3236)/2</f>
        <v>100</v>
      </c>
      <c r="I3234" s="863"/>
      <c r="J3234" s="44"/>
    </row>
    <row r="3235" spans="3:10" ht="15" hidden="1" customHeight="1">
      <c r="C3235" s="878"/>
      <c r="D3235" s="859" t="s">
        <v>2003</v>
      </c>
      <c r="E3235" s="448">
        <v>643700000</v>
      </c>
      <c r="F3235" s="448">
        <v>492085000</v>
      </c>
      <c r="G3235" s="880">
        <f t="shared" si="155"/>
        <v>76.446325928227438</v>
      </c>
      <c r="H3235" s="879">
        <v>100</v>
      </c>
      <c r="I3235" s="852"/>
      <c r="J3235" s="802"/>
    </row>
    <row r="3236" spans="3:10" ht="67.5" hidden="1" customHeight="1">
      <c r="C3236" s="878"/>
      <c r="D3236" s="859" t="s">
        <v>2036</v>
      </c>
      <c r="E3236" s="448">
        <v>213050000</v>
      </c>
      <c r="F3236" s="448">
        <v>213050000</v>
      </c>
      <c r="G3236" s="880">
        <f t="shared" si="155"/>
        <v>100</v>
      </c>
      <c r="H3236" s="879">
        <v>100</v>
      </c>
      <c r="I3236" s="852"/>
      <c r="J3236" s="802"/>
    </row>
    <row r="3237" spans="3:10" s="656" customFormat="1" ht="15" hidden="1" customHeight="1">
      <c r="C3237" s="881"/>
      <c r="D3237" s="859" t="s">
        <v>221</v>
      </c>
      <c r="E3237" s="448">
        <v>648500000</v>
      </c>
      <c r="F3237" s="448">
        <f>SUM(F3238:F3238)</f>
        <v>638500000</v>
      </c>
      <c r="G3237" s="880">
        <f t="shared" si="155"/>
        <v>98.457979953739397</v>
      </c>
      <c r="H3237" s="879">
        <f>(H3238)/1</f>
        <v>100</v>
      </c>
      <c r="I3237" s="863"/>
      <c r="J3237" s="44"/>
    </row>
    <row r="3238" spans="3:10" ht="35.1" hidden="1" customHeight="1">
      <c r="C3238" s="878"/>
      <c r="D3238" s="859" t="s">
        <v>2927</v>
      </c>
      <c r="E3238" s="448">
        <v>648500000</v>
      </c>
      <c r="F3238" s="448">
        <v>638500000</v>
      </c>
      <c r="G3238" s="880">
        <f t="shared" si="155"/>
        <v>98.457979953739397</v>
      </c>
      <c r="H3238" s="879">
        <v>100</v>
      </c>
      <c r="I3238" s="852"/>
      <c r="J3238" s="802"/>
    </row>
    <row r="3239" spans="3:10" ht="15" hidden="1" customHeight="1">
      <c r="C3239" s="878"/>
      <c r="D3239" s="859"/>
      <c r="E3239" s="448"/>
      <c r="F3239" s="448"/>
      <c r="G3239" s="880"/>
      <c r="H3239" s="879"/>
      <c r="I3239" s="852"/>
      <c r="J3239" s="802"/>
    </row>
    <row r="3240" spans="3:10" ht="15" hidden="1" customHeight="1">
      <c r="C3240" s="878"/>
      <c r="D3240" s="856" t="s">
        <v>2350</v>
      </c>
      <c r="E3240" s="447">
        <f>E3241+E3243</f>
        <v>2085000000</v>
      </c>
      <c r="F3240" s="447">
        <f>F3241+F3243</f>
        <v>2077954000</v>
      </c>
      <c r="G3240" s="883">
        <f>F3240/E3240*100</f>
        <v>99.662062350119911</v>
      </c>
      <c r="H3240" s="882">
        <f>(H3241+H3243)/2</f>
        <v>100</v>
      </c>
      <c r="I3240" s="852"/>
      <c r="J3240" s="802"/>
    </row>
    <row r="3241" spans="3:10" s="656" customFormat="1" ht="15" hidden="1" customHeight="1">
      <c r="C3241" s="881"/>
      <c r="D3241" s="859" t="s">
        <v>1529</v>
      </c>
      <c r="E3241" s="448">
        <f>SUM(E3242:E3242)</f>
        <v>1200000000</v>
      </c>
      <c r="F3241" s="448">
        <f>SUM(F3242:F3242)</f>
        <v>1196050000</v>
      </c>
      <c r="G3241" s="880">
        <f>F3241/E3241*100</f>
        <v>99.670833333333334</v>
      </c>
      <c r="H3241" s="879">
        <f>H3242</f>
        <v>100</v>
      </c>
      <c r="I3241" s="863"/>
      <c r="J3241" s="44"/>
    </row>
    <row r="3242" spans="3:10" ht="15" hidden="1" customHeight="1">
      <c r="C3242" s="878"/>
      <c r="D3242" s="859" t="s">
        <v>2926</v>
      </c>
      <c r="E3242" s="448">
        <v>1200000000</v>
      </c>
      <c r="F3242" s="448">
        <v>1196050000</v>
      </c>
      <c r="G3242" s="880">
        <f>F3242/E3242*100</f>
        <v>99.670833333333334</v>
      </c>
      <c r="H3242" s="879">
        <v>100</v>
      </c>
      <c r="I3242" s="852"/>
      <c r="J3242" s="802"/>
    </row>
    <row r="3243" spans="3:10" s="656" customFormat="1" ht="15" hidden="1" customHeight="1">
      <c r="C3243" s="881"/>
      <c r="D3243" s="859" t="s">
        <v>498</v>
      </c>
      <c r="E3243" s="448">
        <f>SUM(E3244:E3244)</f>
        <v>885000000</v>
      </c>
      <c r="F3243" s="448">
        <f>SUM(F3244:F3244)</f>
        <v>881904000</v>
      </c>
      <c r="G3243" s="880">
        <f>F3243/E3243*100</f>
        <v>99.650169491525418</v>
      </c>
      <c r="H3243" s="879">
        <f>H3244</f>
        <v>100</v>
      </c>
      <c r="I3243" s="863"/>
      <c r="J3243" s="44"/>
    </row>
    <row r="3244" spans="3:10" ht="15" hidden="1" customHeight="1">
      <c r="C3244" s="878"/>
      <c r="D3244" s="859" t="s">
        <v>966</v>
      </c>
      <c r="E3244" s="448">
        <v>885000000</v>
      </c>
      <c r="F3244" s="448">
        <v>881904000</v>
      </c>
      <c r="G3244" s="880">
        <f>F3244/E3244*100</f>
        <v>99.650169491525418</v>
      </c>
      <c r="H3244" s="879">
        <v>100</v>
      </c>
      <c r="I3244" s="852"/>
      <c r="J3244" s="802"/>
    </row>
    <row r="3245" spans="3:10" ht="15" hidden="1" customHeight="1">
      <c r="C3245" s="878"/>
      <c r="D3245" s="859"/>
      <c r="E3245" s="448"/>
      <c r="F3245" s="448"/>
      <c r="G3245" s="880"/>
      <c r="H3245" s="879"/>
      <c r="I3245" s="852"/>
      <c r="J3245" s="802"/>
    </row>
    <row r="3246" spans="3:10" ht="15" hidden="1" customHeight="1">
      <c r="C3246" s="878"/>
      <c r="D3246" s="856" t="s">
        <v>525</v>
      </c>
      <c r="E3246" s="447">
        <f>E3247+E3250+E3252</f>
        <v>900000000</v>
      </c>
      <c r="F3246" s="447">
        <f>F3247+F3250+F3252</f>
        <v>899598500</v>
      </c>
      <c r="G3246" s="883">
        <f t="shared" ref="G3246:G3253" si="156">F3246/E3246*100</f>
        <v>99.955388888888891</v>
      </c>
      <c r="H3246" s="882">
        <f>(H3247+H3250+H3252)/3</f>
        <v>100</v>
      </c>
      <c r="I3246" s="852"/>
      <c r="J3246" s="802"/>
    </row>
    <row r="3247" spans="3:10" s="656" customFormat="1" ht="35.1" hidden="1" customHeight="1">
      <c r="C3247" s="881"/>
      <c r="D3247" s="859" t="s">
        <v>890</v>
      </c>
      <c r="E3247" s="448">
        <f>SUM(E3248:E3249)</f>
        <v>400000000</v>
      </c>
      <c r="F3247" s="448">
        <f>SUM(F3248:F3249)</f>
        <v>399795500</v>
      </c>
      <c r="G3247" s="880">
        <f t="shared" si="156"/>
        <v>99.948875000000001</v>
      </c>
      <c r="H3247" s="879">
        <f>(H3248+H3249)/2</f>
        <v>100</v>
      </c>
      <c r="I3247" s="863"/>
      <c r="J3247" s="44"/>
    </row>
    <row r="3248" spans="3:10" ht="15" hidden="1" customHeight="1">
      <c r="C3248" s="878"/>
      <c r="D3248" s="859" t="s">
        <v>2925</v>
      </c>
      <c r="E3248" s="448">
        <v>200000000</v>
      </c>
      <c r="F3248" s="448">
        <v>199982500</v>
      </c>
      <c r="G3248" s="880">
        <f t="shared" si="156"/>
        <v>99.991249999999994</v>
      </c>
      <c r="H3248" s="879">
        <v>100</v>
      </c>
      <c r="I3248" s="852"/>
      <c r="J3248" s="802"/>
    </row>
    <row r="3249" spans="3:10" ht="15" hidden="1" customHeight="1">
      <c r="C3249" s="878"/>
      <c r="D3249" s="859" t="s">
        <v>2924</v>
      </c>
      <c r="E3249" s="448">
        <v>200000000</v>
      </c>
      <c r="F3249" s="448">
        <v>199813000</v>
      </c>
      <c r="G3249" s="880">
        <f t="shared" si="156"/>
        <v>99.906499999999994</v>
      </c>
      <c r="H3249" s="879">
        <v>100</v>
      </c>
      <c r="I3249" s="852"/>
      <c r="J3249" s="802"/>
    </row>
    <row r="3250" spans="3:10" s="656" customFormat="1" ht="15" hidden="1" customHeight="1">
      <c r="C3250" s="881"/>
      <c r="D3250" s="859" t="s">
        <v>528</v>
      </c>
      <c r="E3250" s="448">
        <f>E3251</f>
        <v>200000000</v>
      </c>
      <c r="F3250" s="448">
        <f>F3251</f>
        <v>199813000</v>
      </c>
      <c r="G3250" s="880">
        <f t="shared" si="156"/>
        <v>99.906499999999994</v>
      </c>
      <c r="H3250" s="879">
        <f>H3251</f>
        <v>100</v>
      </c>
      <c r="I3250" s="863"/>
      <c r="J3250" s="44"/>
    </row>
    <row r="3251" spans="3:10" ht="15" hidden="1" customHeight="1">
      <c r="C3251" s="878"/>
      <c r="D3251" s="859" t="s">
        <v>2923</v>
      </c>
      <c r="E3251" s="448">
        <v>200000000</v>
      </c>
      <c r="F3251" s="448">
        <v>199813000</v>
      </c>
      <c r="G3251" s="880">
        <f t="shared" si="156"/>
        <v>99.906499999999994</v>
      </c>
      <c r="H3251" s="879">
        <v>100</v>
      </c>
      <c r="I3251" s="852"/>
      <c r="J3251" s="802"/>
    </row>
    <row r="3252" spans="3:10" s="656" customFormat="1" ht="15" hidden="1" customHeight="1">
      <c r="C3252" s="881"/>
      <c r="D3252" s="859" t="s">
        <v>2352</v>
      </c>
      <c r="E3252" s="448">
        <f>SUM(E3253:E3253)</f>
        <v>300000000</v>
      </c>
      <c r="F3252" s="448">
        <f>SUM(F3253:F3253)</f>
        <v>299990000</v>
      </c>
      <c r="G3252" s="880">
        <f t="shared" si="156"/>
        <v>99.99666666666667</v>
      </c>
      <c r="H3252" s="879">
        <f>H3253</f>
        <v>100</v>
      </c>
      <c r="I3252" s="863"/>
      <c r="J3252" s="44"/>
    </row>
    <row r="3253" spans="3:10" ht="35.1" hidden="1" customHeight="1">
      <c r="C3253" s="878"/>
      <c r="D3253" s="859" t="s">
        <v>2922</v>
      </c>
      <c r="E3253" s="448">
        <v>300000000</v>
      </c>
      <c r="F3253" s="448">
        <v>299990000</v>
      </c>
      <c r="G3253" s="880">
        <f t="shared" si="156"/>
        <v>99.99666666666667</v>
      </c>
      <c r="H3253" s="879">
        <v>100</v>
      </c>
      <c r="I3253" s="852"/>
      <c r="J3253" s="802"/>
    </row>
    <row r="3254" spans="3:10" ht="15" hidden="1" customHeight="1">
      <c r="C3254" s="878"/>
      <c r="D3254" s="859"/>
      <c r="E3254" s="448"/>
      <c r="F3254" s="448"/>
      <c r="G3254" s="880"/>
      <c r="H3254" s="879"/>
      <c r="I3254" s="852"/>
      <c r="J3254" s="802"/>
    </row>
    <row r="3255" spans="3:10" ht="15" hidden="1" customHeight="1">
      <c r="C3255" s="878"/>
      <c r="D3255" s="856" t="s">
        <v>2043</v>
      </c>
      <c r="E3255" s="447">
        <f>E3256</f>
        <v>150000000</v>
      </c>
      <c r="F3255" s="447">
        <f>F3256</f>
        <v>150000000</v>
      </c>
      <c r="G3255" s="883">
        <f>F3255/E3255*100</f>
        <v>100</v>
      </c>
      <c r="H3255" s="882">
        <f>H3256</f>
        <v>100</v>
      </c>
      <c r="I3255" s="852"/>
      <c r="J3255" s="802"/>
    </row>
    <row r="3256" spans="3:10" s="656" customFormat="1" ht="15" hidden="1" customHeight="1">
      <c r="C3256" s="881"/>
      <c r="D3256" s="859" t="s">
        <v>536</v>
      </c>
      <c r="E3256" s="448">
        <f>E3257</f>
        <v>150000000</v>
      </c>
      <c r="F3256" s="448">
        <f>F3257</f>
        <v>150000000</v>
      </c>
      <c r="G3256" s="880">
        <f>F3256/E3256*100</f>
        <v>100</v>
      </c>
      <c r="H3256" s="879">
        <f>H3257</f>
        <v>100</v>
      </c>
      <c r="I3256" s="863"/>
      <c r="J3256" s="44"/>
    </row>
    <row r="3257" spans="3:10" ht="15" hidden="1" customHeight="1">
      <c r="C3257" s="878"/>
      <c r="D3257" s="859" t="s">
        <v>1476</v>
      </c>
      <c r="E3257" s="448">
        <v>150000000</v>
      </c>
      <c r="F3257" s="448">
        <v>150000000</v>
      </c>
      <c r="G3257" s="880">
        <f>F3257/E3257*100</f>
        <v>100</v>
      </c>
      <c r="H3257" s="879">
        <v>100</v>
      </c>
      <c r="I3257" s="852"/>
      <c r="J3257" s="802"/>
    </row>
    <row r="3258" spans="3:10" ht="15" hidden="1" customHeight="1">
      <c r="C3258" s="878"/>
      <c r="D3258" s="859"/>
      <c r="E3258" s="448"/>
      <c r="F3258" s="448"/>
      <c r="G3258" s="880"/>
      <c r="H3258" s="879"/>
      <c r="I3258" s="852"/>
      <c r="J3258" s="802"/>
    </row>
    <row r="3259" spans="3:10" s="656" customFormat="1" ht="15" hidden="1" customHeight="1">
      <c r="C3259" s="881"/>
      <c r="D3259" s="856" t="s">
        <v>2354</v>
      </c>
      <c r="E3259" s="447">
        <f>E3260+E3262</f>
        <v>448536000</v>
      </c>
      <c r="F3259" s="447">
        <f>F3260+F3262</f>
        <v>448536000</v>
      </c>
      <c r="G3259" s="883">
        <f>F3259/E3259*100</f>
        <v>100</v>
      </c>
      <c r="H3259" s="882">
        <f>(H3260+H3262)/2</f>
        <v>100</v>
      </c>
      <c r="I3259" s="863"/>
      <c r="J3259" s="44"/>
    </row>
    <row r="3260" spans="3:10" s="656" customFormat="1" ht="15" hidden="1" customHeight="1">
      <c r="C3260" s="881"/>
      <c r="D3260" s="859" t="s">
        <v>429</v>
      </c>
      <c r="E3260" s="448">
        <f>SUM(E3261)</f>
        <v>282800000</v>
      </c>
      <c r="F3260" s="448">
        <f>SUM(F3261)</f>
        <v>282800000</v>
      </c>
      <c r="G3260" s="880">
        <f>F3260/E3260*100</f>
        <v>100</v>
      </c>
      <c r="H3260" s="879">
        <f>H3261</f>
        <v>100</v>
      </c>
      <c r="I3260" s="863"/>
      <c r="J3260" s="44"/>
    </row>
    <row r="3261" spans="3:10" ht="15" hidden="1" customHeight="1">
      <c r="C3261" s="878"/>
      <c r="D3261" s="859" t="s">
        <v>2921</v>
      </c>
      <c r="E3261" s="448">
        <v>282800000</v>
      </c>
      <c r="F3261" s="448">
        <v>282800000</v>
      </c>
      <c r="G3261" s="880">
        <f>F3261/E3261*100</f>
        <v>100</v>
      </c>
      <c r="H3261" s="879">
        <v>100</v>
      </c>
      <c r="I3261" s="852"/>
      <c r="J3261" s="802"/>
    </row>
    <row r="3262" spans="3:10" s="656" customFormat="1" ht="15" hidden="1" customHeight="1">
      <c r="C3262" s="881"/>
      <c r="D3262" s="859" t="s">
        <v>973</v>
      </c>
      <c r="E3262" s="448">
        <f>SUM(E3263:E3263)</f>
        <v>165736000</v>
      </c>
      <c r="F3262" s="448">
        <f>SUM(F3263:F3263)</f>
        <v>165736000</v>
      </c>
      <c r="G3262" s="880">
        <f>F3262/E3262*100</f>
        <v>100</v>
      </c>
      <c r="H3262" s="879">
        <f>H3263</f>
        <v>100</v>
      </c>
      <c r="I3262" s="863"/>
      <c r="J3262" s="44"/>
    </row>
    <row r="3263" spans="3:10" ht="15" hidden="1" customHeight="1">
      <c r="C3263" s="878"/>
      <c r="D3263" s="859" t="s">
        <v>2355</v>
      </c>
      <c r="E3263" s="448">
        <v>165736000</v>
      </c>
      <c r="F3263" s="448">
        <v>165736000</v>
      </c>
      <c r="G3263" s="880">
        <f>F3263/E3263*100</f>
        <v>100</v>
      </c>
      <c r="H3263" s="879">
        <v>100</v>
      </c>
      <c r="I3263" s="852"/>
      <c r="J3263" s="802"/>
    </row>
    <row r="3264" spans="3:10" ht="15" hidden="1" customHeight="1">
      <c r="C3264" s="878"/>
      <c r="D3264" s="859"/>
      <c r="E3264" s="448"/>
      <c r="F3264" s="448"/>
      <c r="G3264" s="880"/>
      <c r="H3264" s="879"/>
      <c r="I3264" s="852"/>
      <c r="J3264" s="802"/>
    </row>
    <row r="3265" spans="3:10" s="656" customFormat="1" ht="15" hidden="1" customHeight="1">
      <c r="C3265" s="881"/>
      <c r="D3265" s="856" t="s">
        <v>1828</v>
      </c>
      <c r="E3265" s="447">
        <f>E3266</f>
        <v>446989428</v>
      </c>
      <c r="F3265" s="447">
        <f>F3266</f>
        <v>444852500</v>
      </c>
      <c r="G3265" s="883">
        <f>F3265/E3265*100</f>
        <v>99.521928737876095</v>
      </c>
      <c r="H3265" s="882">
        <f>H3266</f>
        <v>100</v>
      </c>
      <c r="I3265" s="863"/>
      <c r="J3265" s="44"/>
    </row>
    <row r="3266" spans="3:10" s="656" customFormat="1" ht="15" hidden="1" customHeight="1">
      <c r="C3266" s="881"/>
      <c r="D3266" s="859" t="s">
        <v>1205</v>
      </c>
      <c r="E3266" s="448">
        <f>E3267</f>
        <v>446989428</v>
      </c>
      <c r="F3266" s="448">
        <f>F3267</f>
        <v>444852500</v>
      </c>
      <c r="G3266" s="880">
        <f>F3266/E3266*100</f>
        <v>99.521928737876095</v>
      </c>
      <c r="H3266" s="879">
        <f>H3267</f>
        <v>100</v>
      </c>
      <c r="I3266" s="863"/>
      <c r="J3266" s="44"/>
    </row>
    <row r="3267" spans="3:10" ht="35.1" hidden="1" customHeight="1">
      <c r="C3267" s="878"/>
      <c r="D3267" s="859" t="s">
        <v>2920</v>
      </c>
      <c r="E3267" s="448">
        <v>446989428</v>
      </c>
      <c r="F3267" s="448">
        <v>444852500</v>
      </c>
      <c r="G3267" s="880">
        <f>F3267/E3267*100</f>
        <v>99.521928737876095</v>
      </c>
      <c r="H3267" s="879">
        <v>100</v>
      </c>
      <c r="I3267" s="852"/>
      <c r="J3267" s="802"/>
    </row>
    <row r="3268" spans="3:10" ht="15" hidden="1" customHeight="1">
      <c r="C3268" s="878"/>
      <c r="D3268" s="859"/>
      <c r="E3268" s="448"/>
      <c r="F3268" s="448"/>
      <c r="G3268" s="880"/>
      <c r="H3268" s="879"/>
      <c r="I3268" s="852"/>
      <c r="J3268" s="802"/>
    </row>
    <row r="3269" spans="3:10" s="656" customFormat="1" ht="15" hidden="1" customHeight="1">
      <c r="C3269" s="881"/>
      <c r="D3269" s="856" t="s">
        <v>503</v>
      </c>
      <c r="E3269" s="447">
        <f>E3270+E3272+E3275+E3277</f>
        <v>1500000000</v>
      </c>
      <c r="F3269" s="447">
        <f>F3270+F3272+F3275+F3277</f>
        <v>1490700100</v>
      </c>
      <c r="G3269" s="883">
        <f t="shared" ref="G3269:G3278" si="157">F3269/E3269*100</f>
        <v>99.380006666666659</v>
      </c>
      <c r="H3269" s="882">
        <f>(H3270+H3272+H3275+H3277)/4</f>
        <v>100</v>
      </c>
      <c r="I3269" s="863"/>
      <c r="J3269" s="44"/>
    </row>
    <row r="3270" spans="3:10" s="656" customFormat="1" ht="15" hidden="1" customHeight="1">
      <c r="C3270" s="881"/>
      <c r="D3270" s="859" t="s">
        <v>1831</v>
      </c>
      <c r="E3270" s="448">
        <f>SUM(E3271)</f>
        <v>375902800</v>
      </c>
      <c r="F3270" s="448">
        <f>SUM(F3271)</f>
        <v>374081800</v>
      </c>
      <c r="G3270" s="880">
        <f t="shared" si="157"/>
        <v>99.515566258085869</v>
      </c>
      <c r="H3270" s="879">
        <f>H3271</f>
        <v>100</v>
      </c>
      <c r="I3270" s="863"/>
      <c r="J3270" s="44"/>
    </row>
    <row r="3271" spans="3:10" ht="15" hidden="1" customHeight="1">
      <c r="C3271" s="878"/>
      <c r="D3271" s="859" t="s">
        <v>708</v>
      </c>
      <c r="E3271" s="448">
        <v>375902800</v>
      </c>
      <c r="F3271" s="448">
        <v>374081800</v>
      </c>
      <c r="G3271" s="880">
        <f t="shared" si="157"/>
        <v>99.515566258085869</v>
      </c>
      <c r="H3271" s="879">
        <v>100</v>
      </c>
      <c r="I3271" s="852"/>
      <c r="J3271" s="802"/>
    </row>
    <row r="3272" spans="3:10" s="656" customFormat="1" ht="15" hidden="1" customHeight="1">
      <c r="C3272" s="881"/>
      <c r="D3272" s="859" t="s">
        <v>286</v>
      </c>
      <c r="E3272" s="448">
        <f>SUM(E3273:E3274)</f>
        <v>213912700</v>
      </c>
      <c r="F3272" s="448">
        <f>SUM(F3273:F3274)</f>
        <v>209512700</v>
      </c>
      <c r="G3272" s="880">
        <f t="shared" si="157"/>
        <v>97.943086128126097</v>
      </c>
      <c r="H3272" s="879">
        <f>(H3273+H3274)/2</f>
        <v>100</v>
      </c>
      <c r="I3272" s="863"/>
      <c r="J3272" s="44"/>
    </row>
    <row r="3273" spans="3:10" ht="15" hidden="1" customHeight="1">
      <c r="C3273" s="878"/>
      <c r="D3273" s="859" t="s">
        <v>1429</v>
      </c>
      <c r="E3273" s="448">
        <v>165247700</v>
      </c>
      <c r="F3273" s="448">
        <v>160847700</v>
      </c>
      <c r="G3273" s="880">
        <f t="shared" si="157"/>
        <v>97.337330564963992</v>
      </c>
      <c r="H3273" s="879">
        <v>100</v>
      </c>
      <c r="I3273" s="852"/>
      <c r="J3273" s="802"/>
    </row>
    <row r="3274" spans="3:10" ht="15" hidden="1" customHeight="1">
      <c r="C3274" s="878"/>
      <c r="D3274" s="859" t="s">
        <v>2919</v>
      </c>
      <c r="E3274" s="448">
        <v>48665000</v>
      </c>
      <c r="F3274" s="448">
        <v>48665000</v>
      </c>
      <c r="G3274" s="880">
        <f t="shared" si="157"/>
        <v>100</v>
      </c>
      <c r="H3274" s="879">
        <v>100</v>
      </c>
      <c r="I3274" s="852"/>
      <c r="J3274" s="802"/>
    </row>
    <row r="3275" spans="3:10" s="656" customFormat="1" ht="15" hidden="1" customHeight="1">
      <c r="C3275" s="881"/>
      <c r="D3275" s="859" t="s">
        <v>506</v>
      </c>
      <c r="E3275" s="448">
        <f>SUM(E3276)</f>
        <v>612515600</v>
      </c>
      <c r="F3275" s="448">
        <f>SUM(F3276)</f>
        <v>610244600</v>
      </c>
      <c r="G3275" s="880">
        <f t="shared" si="157"/>
        <v>99.62923393298064</v>
      </c>
      <c r="H3275" s="879">
        <f>H3276</f>
        <v>100</v>
      </c>
      <c r="I3275" s="863"/>
      <c r="J3275" s="44"/>
    </row>
    <row r="3276" spans="3:10" ht="15" hidden="1" customHeight="1">
      <c r="C3276" s="878"/>
      <c r="D3276" s="859" t="s">
        <v>623</v>
      </c>
      <c r="E3276" s="448">
        <v>612515600</v>
      </c>
      <c r="F3276" s="448">
        <v>610244600</v>
      </c>
      <c r="G3276" s="880">
        <f t="shared" si="157"/>
        <v>99.62923393298064</v>
      </c>
      <c r="H3276" s="879">
        <v>100</v>
      </c>
      <c r="I3276" s="852"/>
      <c r="J3276" s="802"/>
    </row>
    <row r="3277" spans="3:10" s="656" customFormat="1" ht="15" hidden="1" customHeight="1">
      <c r="C3277" s="881"/>
      <c r="D3277" s="859" t="s">
        <v>1839</v>
      </c>
      <c r="E3277" s="448">
        <f>SUM(E3278)</f>
        <v>297668900</v>
      </c>
      <c r="F3277" s="448">
        <f>SUM(F3278)</f>
        <v>296861000</v>
      </c>
      <c r="G3277" s="880">
        <f t="shared" si="157"/>
        <v>99.728591062082742</v>
      </c>
      <c r="H3277" s="879">
        <f>H3278</f>
        <v>100</v>
      </c>
      <c r="I3277" s="863"/>
      <c r="J3277" s="44"/>
    </row>
    <row r="3278" spans="3:10" ht="15" hidden="1" customHeight="1">
      <c r="C3278" s="878"/>
      <c r="D3278" s="859" t="s">
        <v>1431</v>
      </c>
      <c r="E3278" s="448">
        <v>297668900</v>
      </c>
      <c r="F3278" s="448">
        <v>296861000</v>
      </c>
      <c r="G3278" s="880">
        <f t="shared" si="157"/>
        <v>99.728591062082742</v>
      </c>
      <c r="H3278" s="879">
        <v>100</v>
      </c>
      <c r="I3278" s="852"/>
      <c r="J3278" s="802"/>
    </row>
    <row r="3279" spans="3:10" ht="15" hidden="1" customHeight="1">
      <c r="C3279" s="878"/>
      <c r="D3279" s="859"/>
      <c r="E3279" s="448"/>
      <c r="F3279" s="448"/>
      <c r="G3279" s="880"/>
      <c r="H3279" s="879"/>
      <c r="I3279" s="852"/>
      <c r="J3279" s="802"/>
    </row>
    <row r="3280" spans="3:10" s="656" customFormat="1" ht="15" hidden="1" customHeight="1">
      <c r="C3280" s="881"/>
      <c r="D3280" s="856" t="s">
        <v>901</v>
      </c>
      <c r="E3280" s="447">
        <f>E3281</f>
        <v>250000000</v>
      </c>
      <c r="F3280" s="447">
        <f>F3281</f>
        <v>250000000</v>
      </c>
      <c r="G3280" s="883">
        <f>F3280/E3280*100</f>
        <v>100</v>
      </c>
      <c r="H3280" s="882">
        <f>H3281</f>
        <v>100</v>
      </c>
      <c r="I3280" s="863"/>
      <c r="J3280" s="44"/>
    </row>
    <row r="3281" spans="3:10" s="656" customFormat="1" ht="15" hidden="1" customHeight="1">
      <c r="C3281" s="881"/>
      <c r="D3281" s="859" t="s">
        <v>2918</v>
      </c>
      <c r="E3281" s="448">
        <f>E3282</f>
        <v>250000000</v>
      </c>
      <c r="F3281" s="448">
        <f>F3282</f>
        <v>250000000</v>
      </c>
      <c r="G3281" s="880">
        <f>F3281/E3281*100</f>
        <v>100</v>
      </c>
      <c r="H3281" s="879">
        <f>H3282</f>
        <v>100</v>
      </c>
      <c r="I3281" s="863"/>
      <c r="J3281" s="44"/>
    </row>
    <row r="3282" spans="3:10" ht="15" hidden="1" customHeight="1">
      <c r="C3282" s="878"/>
      <c r="D3282" s="859" t="s">
        <v>2917</v>
      </c>
      <c r="E3282" s="448">
        <v>250000000</v>
      </c>
      <c r="F3282" s="448">
        <v>250000000</v>
      </c>
      <c r="G3282" s="880">
        <f>F3282/E3282*100</f>
        <v>100</v>
      </c>
      <c r="H3282" s="879">
        <v>100</v>
      </c>
      <c r="I3282" s="852"/>
      <c r="J3282" s="802"/>
    </row>
    <row r="3283" spans="3:10" ht="15" hidden="1" customHeight="1">
      <c r="C3283" s="878"/>
      <c r="D3283" s="859"/>
      <c r="E3283" s="448"/>
      <c r="F3283" s="448"/>
      <c r="G3283" s="880"/>
      <c r="H3283" s="879"/>
      <c r="I3283" s="852"/>
      <c r="J3283" s="802"/>
    </row>
    <row r="3284" spans="3:10" s="656" customFormat="1" ht="15" hidden="1" customHeight="1">
      <c r="C3284" s="881"/>
      <c r="D3284" s="856" t="s">
        <v>2362</v>
      </c>
      <c r="E3284" s="447">
        <f>E3285+E3287+E3289+E3293+E3295</f>
        <v>1900000000</v>
      </c>
      <c r="F3284" s="447">
        <f>F3285+F3287+F3289+F3293+F3295</f>
        <v>1884698000</v>
      </c>
      <c r="G3284" s="883">
        <f t="shared" ref="G3284:G3296" si="158">F3284/E3284*100</f>
        <v>99.194631578947366</v>
      </c>
      <c r="H3284" s="882">
        <f>(H3285+H3287+H3289+H3293+H3295)/5</f>
        <v>100</v>
      </c>
      <c r="I3284" s="863"/>
      <c r="J3284" s="44"/>
    </row>
    <row r="3285" spans="3:10" s="656" customFormat="1" ht="15" hidden="1" customHeight="1">
      <c r="C3285" s="881"/>
      <c r="D3285" s="859" t="s">
        <v>912</v>
      </c>
      <c r="E3285" s="448">
        <f>SUM(E3286:E3286)</f>
        <v>322547000</v>
      </c>
      <c r="F3285" s="448">
        <f>SUM(F3286:F3286)</f>
        <v>319060000</v>
      </c>
      <c r="G3285" s="880">
        <f t="shared" si="158"/>
        <v>98.918917243068449</v>
      </c>
      <c r="H3285" s="879">
        <f>H3286</f>
        <v>100</v>
      </c>
      <c r="I3285" s="863"/>
      <c r="J3285" s="44"/>
    </row>
    <row r="3286" spans="3:10" ht="15" hidden="1" customHeight="1">
      <c r="C3286" s="878"/>
      <c r="D3286" s="859" t="s">
        <v>2916</v>
      </c>
      <c r="E3286" s="448">
        <v>322547000</v>
      </c>
      <c r="F3286" s="448">
        <v>319060000</v>
      </c>
      <c r="G3286" s="880">
        <f t="shared" si="158"/>
        <v>98.918917243068449</v>
      </c>
      <c r="H3286" s="879">
        <v>100</v>
      </c>
      <c r="I3286" s="852"/>
      <c r="J3286" s="802"/>
    </row>
    <row r="3287" spans="3:10" s="656" customFormat="1" ht="15" hidden="1" customHeight="1">
      <c r="C3287" s="881"/>
      <c r="D3287" s="859" t="s">
        <v>1849</v>
      </c>
      <c r="E3287" s="448">
        <f>SUM(E3288:E3288)</f>
        <v>460640000</v>
      </c>
      <c r="F3287" s="448">
        <f>SUM(F3288:F3288)</f>
        <v>455523000</v>
      </c>
      <c r="G3287" s="880">
        <f t="shared" si="158"/>
        <v>98.889154220215346</v>
      </c>
      <c r="H3287" s="879">
        <f>H3288</f>
        <v>100</v>
      </c>
      <c r="I3287" s="863"/>
      <c r="J3287" s="44"/>
    </row>
    <row r="3288" spans="3:10" ht="15" hidden="1" customHeight="1">
      <c r="C3288" s="878"/>
      <c r="D3288" s="859" t="s">
        <v>2053</v>
      </c>
      <c r="E3288" s="448">
        <v>460640000</v>
      </c>
      <c r="F3288" s="448">
        <v>455523000</v>
      </c>
      <c r="G3288" s="880">
        <f t="shared" si="158"/>
        <v>98.889154220215346</v>
      </c>
      <c r="H3288" s="879">
        <v>100</v>
      </c>
      <c r="I3288" s="852"/>
      <c r="J3288" s="802"/>
    </row>
    <row r="3289" spans="3:10" s="656" customFormat="1" ht="15" hidden="1" customHeight="1">
      <c r="C3289" s="881"/>
      <c r="D3289" s="859" t="s">
        <v>312</v>
      </c>
      <c r="E3289" s="448">
        <f>SUM(E3290:E3292)</f>
        <v>662280000</v>
      </c>
      <c r="F3289" s="448">
        <f>SUM(F3290:F3292)</f>
        <v>656187000</v>
      </c>
      <c r="G3289" s="880">
        <f t="shared" si="158"/>
        <v>99.079996376155094</v>
      </c>
      <c r="H3289" s="879">
        <f>(H3290+H3291+H3292)/3</f>
        <v>100</v>
      </c>
      <c r="I3289" s="863"/>
      <c r="J3289" s="44"/>
    </row>
    <row r="3290" spans="3:10" ht="15" hidden="1" customHeight="1">
      <c r="C3290" s="878"/>
      <c r="D3290" s="859" t="s">
        <v>637</v>
      </c>
      <c r="E3290" s="448">
        <v>185730000</v>
      </c>
      <c r="F3290" s="448">
        <v>184080000</v>
      </c>
      <c r="G3290" s="880">
        <f t="shared" si="158"/>
        <v>99.111613632692624</v>
      </c>
      <c r="H3290" s="879">
        <v>100</v>
      </c>
      <c r="I3290" s="852"/>
      <c r="J3290" s="802"/>
    </row>
    <row r="3291" spans="3:10" ht="15" hidden="1" customHeight="1">
      <c r="C3291" s="878"/>
      <c r="D3291" s="859" t="s">
        <v>314</v>
      </c>
      <c r="E3291" s="448">
        <v>146550000</v>
      </c>
      <c r="F3291" s="448">
        <v>145792000</v>
      </c>
      <c r="G3291" s="880">
        <f t="shared" si="158"/>
        <v>99.482770385533954</v>
      </c>
      <c r="H3291" s="879">
        <v>100</v>
      </c>
      <c r="I3291" s="852"/>
      <c r="J3291" s="802"/>
    </row>
    <row r="3292" spans="3:10" ht="15" hidden="1" customHeight="1">
      <c r="C3292" s="878"/>
      <c r="D3292" s="859" t="s">
        <v>2364</v>
      </c>
      <c r="E3292" s="448">
        <v>330000000</v>
      </c>
      <c r="F3292" s="448">
        <v>326315000</v>
      </c>
      <c r="G3292" s="880">
        <f t="shared" si="158"/>
        <v>98.88333333333334</v>
      </c>
      <c r="H3292" s="879">
        <v>100</v>
      </c>
      <c r="I3292" s="852"/>
      <c r="J3292" s="802"/>
    </row>
    <row r="3293" spans="3:10" s="656" customFormat="1" ht="15" hidden="1" customHeight="1">
      <c r="C3293" s="881"/>
      <c r="D3293" s="859" t="s">
        <v>317</v>
      </c>
      <c r="E3293" s="448">
        <f>SUM(E3294:E3294)</f>
        <v>250000000</v>
      </c>
      <c r="F3293" s="448">
        <f>SUM(F3294:F3294)</f>
        <v>250000000</v>
      </c>
      <c r="G3293" s="880">
        <f t="shared" si="158"/>
        <v>100</v>
      </c>
      <c r="H3293" s="879">
        <f>H3294</f>
        <v>100</v>
      </c>
      <c r="I3293" s="863"/>
      <c r="J3293" s="44"/>
    </row>
    <row r="3294" spans="3:10" ht="15" hidden="1" customHeight="1">
      <c r="C3294" s="878"/>
      <c r="D3294" s="859" t="s">
        <v>318</v>
      </c>
      <c r="E3294" s="448">
        <v>250000000</v>
      </c>
      <c r="F3294" s="448">
        <v>250000000</v>
      </c>
      <c r="G3294" s="880">
        <f t="shared" si="158"/>
        <v>100</v>
      </c>
      <c r="H3294" s="879">
        <v>100</v>
      </c>
      <c r="I3294" s="852"/>
      <c r="J3294" s="802"/>
    </row>
    <row r="3295" spans="3:10" s="656" customFormat="1" ht="15" hidden="1" customHeight="1">
      <c r="C3295" s="881"/>
      <c r="D3295" s="859" t="s">
        <v>321</v>
      </c>
      <c r="E3295" s="448">
        <f>SUM(E3296:E3296)</f>
        <v>204533000</v>
      </c>
      <c r="F3295" s="448">
        <f>SUM(F3296:F3296)</f>
        <v>203928000</v>
      </c>
      <c r="G3295" s="880">
        <f t="shared" si="158"/>
        <v>99.704204211545317</v>
      </c>
      <c r="H3295" s="879">
        <f>H3296</f>
        <v>100</v>
      </c>
      <c r="I3295" s="863"/>
      <c r="J3295" s="44"/>
    </row>
    <row r="3296" spans="3:10" ht="15" hidden="1" customHeight="1">
      <c r="C3296" s="878"/>
      <c r="D3296" s="859" t="s">
        <v>1662</v>
      </c>
      <c r="E3296" s="448">
        <v>204533000</v>
      </c>
      <c r="F3296" s="448">
        <v>203928000</v>
      </c>
      <c r="G3296" s="880">
        <f t="shared" si="158"/>
        <v>99.704204211545317</v>
      </c>
      <c r="H3296" s="879">
        <v>100</v>
      </c>
      <c r="I3296" s="852"/>
      <c r="J3296" s="802"/>
    </row>
    <row r="3297" spans="3:10" ht="15" hidden="1" customHeight="1">
      <c r="C3297" s="878"/>
      <c r="D3297" s="859"/>
      <c r="E3297" s="448"/>
      <c r="F3297" s="448"/>
      <c r="G3297" s="880"/>
      <c r="H3297" s="879"/>
      <c r="I3297" s="852"/>
      <c r="J3297" s="802"/>
    </row>
    <row r="3298" spans="3:10" s="656" customFormat="1" ht="15" hidden="1" customHeight="1">
      <c r="C3298" s="881"/>
      <c r="D3298" s="856" t="s">
        <v>2365</v>
      </c>
      <c r="E3298" s="447">
        <f>E3299+E3302+E3304+E3306+E3308</f>
        <v>1550000000</v>
      </c>
      <c r="F3298" s="447">
        <f>F3299+F3302+F3304+F3306+F3308</f>
        <v>1545895424</v>
      </c>
      <c r="G3298" s="883">
        <f t="shared" ref="G3298:G3310" si="159">F3298/E3298*100</f>
        <v>99.735188645161287</v>
      </c>
      <c r="H3298" s="882">
        <f>(H3299+H3302+H3304+H3306+H3308)/5</f>
        <v>100</v>
      </c>
      <c r="I3298" s="863"/>
      <c r="J3298" s="44"/>
    </row>
    <row r="3299" spans="3:10" s="656" customFormat="1" ht="35.1" hidden="1" customHeight="1">
      <c r="C3299" s="881"/>
      <c r="D3299" s="859" t="s">
        <v>546</v>
      </c>
      <c r="E3299" s="448">
        <f>SUM(E3300:E3301)</f>
        <v>310389000</v>
      </c>
      <c r="F3299" s="448">
        <f>SUM(F3300:F3301)</f>
        <v>310389000</v>
      </c>
      <c r="G3299" s="880">
        <f t="shared" si="159"/>
        <v>100</v>
      </c>
      <c r="H3299" s="879">
        <f>(H3300+H3301)/2</f>
        <v>100</v>
      </c>
      <c r="I3299" s="863"/>
      <c r="J3299" s="44"/>
    </row>
    <row r="3300" spans="3:10" ht="15" hidden="1" customHeight="1">
      <c r="C3300" s="878"/>
      <c r="D3300" s="859" t="s">
        <v>2367</v>
      </c>
      <c r="E3300" s="448">
        <v>80028800</v>
      </c>
      <c r="F3300" s="448">
        <v>80028800</v>
      </c>
      <c r="G3300" s="880">
        <f t="shared" si="159"/>
        <v>100</v>
      </c>
      <c r="H3300" s="879">
        <v>100</v>
      </c>
      <c r="I3300" s="852"/>
      <c r="J3300" s="802"/>
    </row>
    <row r="3301" spans="3:10" ht="15" hidden="1" customHeight="1">
      <c r="C3301" s="878"/>
      <c r="D3301" s="859" t="s">
        <v>2915</v>
      </c>
      <c r="E3301" s="448">
        <v>230360200</v>
      </c>
      <c r="F3301" s="448">
        <v>230360200</v>
      </c>
      <c r="G3301" s="880">
        <f t="shared" si="159"/>
        <v>100</v>
      </c>
      <c r="H3301" s="879">
        <v>100</v>
      </c>
      <c r="I3301" s="852"/>
      <c r="J3301" s="802"/>
    </row>
    <row r="3302" spans="3:10" s="656" customFormat="1" ht="15" hidden="1" customHeight="1">
      <c r="C3302" s="881"/>
      <c r="D3302" s="859" t="s">
        <v>548</v>
      </c>
      <c r="E3302" s="448">
        <f>SUM(E3303:E3303)</f>
        <v>402923100</v>
      </c>
      <c r="F3302" s="448">
        <f>SUM(F3303:F3303)</f>
        <v>401810100</v>
      </c>
      <c r="G3302" s="880">
        <f t="shared" si="159"/>
        <v>99.7237686297956</v>
      </c>
      <c r="H3302" s="879">
        <f>H3303</f>
        <v>100</v>
      </c>
      <c r="I3302" s="863"/>
      <c r="J3302" s="44"/>
    </row>
    <row r="3303" spans="3:10" ht="35.1" hidden="1" customHeight="1">
      <c r="C3303" s="878"/>
      <c r="D3303" s="859" t="s">
        <v>2368</v>
      </c>
      <c r="E3303" s="448">
        <v>402923100</v>
      </c>
      <c r="F3303" s="448">
        <v>401810100</v>
      </c>
      <c r="G3303" s="880">
        <f t="shared" si="159"/>
        <v>99.7237686297956</v>
      </c>
      <c r="H3303" s="879">
        <v>100</v>
      </c>
      <c r="I3303" s="852"/>
      <c r="J3303" s="802"/>
    </row>
    <row r="3304" spans="3:10" s="656" customFormat="1" ht="15" hidden="1" customHeight="1">
      <c r="C3304" s="881"/>
      <c r="D3304" s="859" t="s">
        <v>1433</v>
      </c>
      <c r="E3304" s="448">
        <f>E3305</f>
        <v>190613000</v>
      </c>
      <c r="F3304" s="448">
        <f>F3305</f>
        <v>190613000</v>
      </c>
      <c r="G3304" s="880">
        <f t="shared" si="159"/>
        <v>100</v>
      </c>
      <c r="H3304" s="879">
        <f>H3305</f>
        <v>100</v>
      </c>
      <c r="I3304" s="863"/>
      <c r="J3304" s="44"/>
    </row>
    <row r="3305" spans="3:10" ht="35.1" hidden="1" customHeight="1">
      <c r="C3305" s="878"/>
      <c r="D3305" s="859" t="s">
        <v>2369</v>
      </c>
      <c r="E3305" s="448">
        <v>190613000</v>
      </c>
      <c r="F3305" s="448">
        <v>190613000</v>
      </c>
      <c r="G3305" s="880">
        <f t="shared" si="159"/>
        <v>100</v>
      </c>
      <c r="H3305" s="879">
        <v>100</v>
      </c>
      <c r="I3305" s="852"/>
      <c r="J3305" s="802"/>
    </row>
    <row r="3306" spans="3:10" s="656" customFormat="1" ht="15" hidden="1" customHeight="1">
      <c r="C3306" s="881"/>
      <c r="D3306" s="859" t="s">
        <v>1859</v>
      </c>
      <c r="E3306" s="448">
        <f>SUM(E3307:E3307)</f>
        <v>111062300</v>
      </c>
      <c r="F3306" s="448">
        <f>SUM(F3307:F3307)</f>
        <v>111062300</v>
      </c>
      <c r="G3306" s="880">
        <f t="shared" si="159"/>
        <v>100</v>
      </c>
      <c r="H3306" s="879">
        <f>H3307</f>
        <v>100</v>
      </c>
      <c r="I3306" s="863"/>
      <c r="J3306" s="44"/>
    </row>
    <row r="3307" spans="3:10" ht="15" hidden="1" customHeight="1">
      <c r="C3307" s="878"/>
      <c r="D3307" s="859" t="s">
        <v>2914</v>
      </c>
      <c r="E3307" s="448">
        <v>111062300</v>
      </c>
      <c r="F3307" s="448">
        <v>111062300</v>
      </c>
      <c r="G3307" s="880">
        <f t="shared" si="159"/>
        <v>100</v>
      </c>
      <c r="H3307" s="879">
        <v>100</v>
      </c>
      <c r="I3307" s="852"/>
      <c r="J3307" s="802"/>
    </row>
    <row r="3308" spans="3:10" s="656" customFormat="1" ht="15" hidden="1" customHeight="1">
      <c r="C3308" s="881"/>
      <c r="D3308" s="859" t="s">
        <v>1653</v>
      </c>
      <c r="E3308" s="448">
        <f>SUM(E3309:E3310)</f>
        <v>535012600</v>
      </c>
      <c r="F3308" s="448">
        <f>SUM(F3309:F3310)</f>
        <v>532021024</v>
      </c>
      <c r="G3308" s="880">
        <f t="shared" si="159"/>
        <v>99.440840084887711</v>
      </c>
      <c r="H3308" s="879">
        <f>(H3309+H3310)/2</f>
        <v>100</v>
      </c>
      <c r="I3308" s="863"/>
      <c r="J3308" s="44"/>
    </row>
    <row r="3309" spans="3:10" ht="15" hidden="1" customHeight="1">
      <c r="C3309" s="878"/>
      <c r="D3309" s="859" t="s">
        <v>539</v>
      </c>
      <c r="E3309" s="448">
        <v>387777400</v>
      </c>
      <c r="F3309" s="448">
        <v>387129400</v>
      </c>
      <c r="G3309" s="880">
        <f t="shared" si="159"/>
        <v>99.832893820011165</v>
      </c>
      <c r="H3309" s="879">
        <v>100</v>
      </c>
      <c r="I3309" s="852"/>
      <c r="J3309" s="802"/>
    </row>
    <row r="3310" spans="3:10" ht="35.1" hidden="1" customHeight="1">
      <c r="C3310" s="878"/>
      <c r="D3310" s="859" t="s">
        <v>2371</v>
      </c>
      <c r="E3310" s="448">
        <v>147235200</v>
      </c>
      <c r="F3310" s="448">
        <v>144891624</v>
      </c>
      <c r="G3310" s="880">
        <f t="shared" si="159"/>
        <v>98.408277368455373</v>
      </c>
      <c r="H3310" s="879">
        <v>100</v>
      </c>
      <c r="I3310" s="852"/>
      <c r="J3310" s="802"/>
    </row>
    <row r="3311" spans="3:10" ht="15" hidden="1" customHeight="1">
      <c r="C3311" s="878"/>
      <c r="D3311" s="859"/>
      <c r="E3311" s="448"/>
      <c r="F3311" s="448"/>
      <c r="G3311" s="880"/>
      <c r="H3311" s="879"/>
      <c r="I3311" s="852"/>
      <c r="J3311" s="802"/>
    </row>
    <row r="3312" spans="3:10" s="656" customFormat="1" ht="15" hidden="1" customHeight="1">
      <c r="C3312" s="881"/>
      <c r="D3312" s="856" t="s">
        <v>366</v>
      </c>
      <c r="E3312" s="447">
        <f>E3313+E3315</f>
        <v>642902110</v>
      </c>
      <c r="F3312" s="447">
        <f>F3313+F3315</f>
        <v>634643232</v>
      </c>
      <c r="G3312" s="883">
        <f>F3312/E3312*100</f>
        <v>98.715375502500677</v>
      </c>
      <c r="H3312" s="882">
        <f>(H3313+H3315)/2</f>
        <v>100</v>
      </c>
      <c r="I3312" s="863"/>
      <c r="J3312" s="44"/>
    </row>
    <row r="3313" spans="3:10" s="656" customFormat="1" ht="15" hidden="1" customHeight="1">
      <c r="C3313" s="881"/>
      <c r="D3313" s="859" t="s">
        <v>439</v>
      </c>
      <c r="E3313" s="448">
        <f>SUM(E3314:E3314)</f>
        <v>475000000</v>
      </c>
      <c r="F3313" s="448">
        <f>SUM(F3314:F3314)</f>
        <v>467078122</v>
      </c>
      <c r="G3313" s="880">
        <f>F3313/E3313*100</f>
        <v>98.332236210526318</v>
      </c>
      <c r="H3313" s="879">
        <f>H3314</f>
        <v>100</v>
      </c>
      <c r="I3313" s="863"/>
      <c r="J3313" s="44"/>
    </row>
    <row r="3314" spans="3:10" ht="35.1" hidden="1" customHeight="1">
      <c r="C3314" s="878"/>
      <c r="D3314" s="859" t="s">
        <v>2913</v>
      </c>
      <c r="E3314" s="448">
        <v>475000000</v>
      </c>
      <c r="F3314" s="448">
        <v>467078122</v>
      </c>
      <c r="G3314" s="880">
        <f>F3314/E3314*100</f>
        <v>98.332236210526318</v>
      </c>
      <c r="H3314" s="879">
        <v>100</v>
      </c>
      <c r="I3314" s="852"/>
      <c r="J3314" s="802"/>
    </row>
    <row r="3315" spans="3:10" s="656" customFormat="1" ht="15" hidden="1" customHeight="1">
      <c r="C3315" s="881"/>
      <c r="D3315" s="859" t="s">
        <v>2372</v>
      </c>
      <c r="E3315" s="448">
        <f>SUM(E3316:E3316)</f>
        <v>167902110</v>
      </c>
      <c r="F3315" s="448">
        <f>SUM(F3316:F3316)</f>
        <v>167565110</v>
      </c>
      <c r="G3315" s="880">
        <f>F3315/E3315*100</f>
        <v>99.799287811213333</v>
      </c>
      <c r="H3315" s="879">
        <f>H3316</f>
        <v>100</v>
      </c>
      <c r="I3315" s="863"/>
      <c r="J3315" s="44"/>
    </row>
    <row r="3316" spans="3:10" ht="35.1" hidden="1" customHeight="1">
      <c r="C3316" s="878"/>
      <c r="D3316" s="859" t="s">
        <v>994</v>
      </c>
      <c r="E3316" s="448">
        <v>167902110</v>
      </c>
      <c r="F3316" s="448">
        <v>167565110</v>
      </c>
      <c r="G3316" s="880">
        <f>F3316/E3316*100</f>
        <v>99.799287811213333</v>
      </c>
      <c r="H3316" s="879">
        <v>100</v>
      </c>
      <c r="I3316" s="852"/>
      <c r="J3316" s="802"/>
    </row>
    <row r="3317" spans="3:10" ht="15" hidden="1" customHeight="1">
      <c r="C3317" s="878"/>
      <c r="D3317" s="859"/>
      <c r="E3317" s="448"/>
      <c r="F3317" s="448"/>
      <c r="G3317" s="880"/>
      <c r="H3317" s="879"/>
      <c r="I3317" s="852"/>
      <c r="J3317" s="802"/>
    </row>
    <row r="3318" spans="3:10" s="656" customFormat="1" ht="15" hidden="1" customHeight="1">
      <c r="C3318" s="881"/>
      <c r="D3318" s="856" t="s">
        <v>2374</v>
      </c>
      <c r="E3318" s="447">
        <f>SUM(E3319:E3321)</f>
        <v>14435125233</v>
      </c>
      <c r="F3318" s="447">
        <f>SUM(F3319:F3321)</f>
        <v>14434791090</v>
      </c>
      <c r="G3318" s="883">
        <f>F3318/E3318*100</f>
        <v>99.997685208859593</v>
      </c>
      <c r="H3318" s="882">
        <f>(H3319+H3321)/2</f>
        <v>100</v>
      </c>
      <c r="I3318" s="863"/>
      <c r="J3318" s="44"/>
    </row>
    <row r="3319" spans="3:10" s="656" customFormat="1" ht="15" hidden="1" customHeight="1">
      <c r="C3319" s="881"/>
      <c r="D3319" s="859" t="s">
        <v>2375</v>
      </c>
      <c r="E3319" s="448">
        <v>13772375233</v>
      </c>
      <c r="F3319" s="448">
        <v>13772041090</v>
      </c>
      <c r="G3319" s="880">
        <f>F3319/E3319*100</f>
        <v>99.997573817193128</v>
      </c>
      <c r="H3319" s="879">
        <v>100</v>
      </c>
      <c r="I3319" s="863"/>
      <c r="J3319" s="44"/>
    </row>
    <row r="3320" spans="3:10" ht="15" hidden="1" customHeight="1">
      <c r="C3320" s="878"/>
      <c r="D3320" s="859" t="s">
        <v>2912</v>
      </c>
      <c r="E3320" s="448">
        <v>462750000</v>
      </c>
      <c r="F3320" s="448">
        <v>462750000</v>
      </c>
      <c r="G3320" s="880">
        <f>F3320/E3320*100</f>
        <v>100</v>
      </c>
      <c r="H3320" s="879">
        <v>100</v>
      </c>
      <c r="I3320" s="852"/>
      <c r="J3320" s="802"/>
    </row>
    <row r="3321" spans="3:10" ht="15" hidden="1" customHeight="1">
      <c r="C3321" s="878"/>
      <c r="D3321" s="859" t="s">
        <v>2376</v>
      </c>
      <c r="E3321" s="448">
        <v>200000000</v>
      </c>
      <c r="F3321" s="448">
        <v>200000000</v>
      </c>
      <c r="G3321" s="880">
        <f>F3321/E3321*100</f>
        <v>100</v>
      </c>
      <c r="H3321" s="879">
        <v>100</v>
      </c>
      <c r="I3321" s="852"/>
      <c r="J3321" s="802"/>
    </row>
    <row r="3322" spans="3:10" ht="15" hidden="1" customHeight="1">
      <c r="C3322" s="878"/>
      <c r="D3322" s="877"/>
      <c r="E3322" s="855"/>
      <c r="F3322" s="854"/>
      <c r="G3322" s="854"/>
      <c r="H3322" s="876"/>
      <c r="I3322" s="852"/>
      <c r="J3322" s="802"/>
    </row>
    <row r="3323" spans="3:10" s="656" customFormat="1" ht="20.100000000000001" customHeight="1">
      <c r="C3323" s="866" t="s">
        <v>2377</v>
      </c>
      <c r="D3323" s="856" t="s">
        <v>63</v>
      </c>
      <c r="E3323" s="875">
        <v>3903473585000</v>
      </c>
      <c r="F3323" s="875">
        <f>+F3324+F3379+F3388+F3429+F3443+F3472+F3484+F3488+F3492+F3496+F3503+F3510+F3549+F3553+F3558+F3578+F3598+F3606+F3616+F3620+F3631+F3643+F3660+F3700+F3708</f>
        <v>3109205620283.3916</v>
      </c>
      <c r="G3323" s="120">
        <f t="shared" ref="G3323:G3354" si="160">+F3323/E3323*100</f>
        <v>79.652277710581501</v>
      </c>
      <c r="H3323" s="858">
        <f>(H3324+H3325+H3328+H3329+H3379+H3388+H3429+H3443+H3472+H3484+H3488+H3492+H3496+H3503+H3510+H3553+H3558+H3578+H3598+H3606+H3616+H3620+H3631+H3643+H3660+H3708+H3700)/28</f>
        <v>84.489338918526713</v>
      </c>
      <c r="I3323" s="863" t="s">
        <v>2911</v>
      </c>
      <c r="J3323" s="44"/>
    </row>
    <row r="3324" spans="3:10" s="656" customFormat="1" ht="20.100000000000001" hidden="1" customHeight="1">
      <c r="C3324" s="866"/>
      <c r="D3324" s="856" t="s">
        <v>444</v>
      </c>
      <c r="E3324" s="872">
        <v>1219391629900</v>
      </c>
      <c r="F3324" s="855">
        <f>+F3325+F3328</f>
        <v>815911107784</v>
      </c>
      <c r="G3324" s="120">
        <f t="shared" si="160"/>
        <v>66.911325924954184</v>
      </c>
      <c r="H3324" s="858">
        <f>(H3325+H3328)/2</f>
        <v>85</v>
      </c>
      <c r="I3324" s="863"/>
      <c r="J3324" s="44"/>
    </row>
    <row r="3325" spans="3:10" s="656" customFormat="1" ht="20.100000000000001" hidden="1" customHeight="1">
      <c r="C3325" s="866"/>
      <c r="D3325" s="856" t="s">
        <v>374</v>
      </c>
      <c r="E3325" s="872">
        <v>965181318900</v>
      </c>
      <c r="F3325" s="855">
        <f>+F3326</f>
        <v>716684609430</v>
      </c>
      <c r="G3325" s="120">
        <f t="shared" si="160"/>
        <v>74.253883223391924</v>
      </c>
      <c r="H3325" s="858">
        <v>75</v>
      </c>
      <c r="I3325" s="863"/>
      <c r="J3325" s="44"/>
    </row>
    <row r="3326" spans="3:10" ht="20.100000000000001" hidden="1" customHeight="1">
      <c r="C3326" s="857"/>
      <c r="D3326" s="859" t="s">
        <v>375</v>
      </c>
      <c r="E3326" s="874">
        <v>965181318900</v>
      </c>
      <c r="F3326" s="854">
        <f>+F3327</f>
        <v>716684609430</v>
      </c>
      <c r="G3326" s="120">
        <f t="shared" si="160"/>
        <v>74.253883223391924</v>
      </c>
      <c r="H3326" s="858">
        <v>75</v>
      </c>
      <c r="I3326" s="852"/>
      <c r="J3326" s="802"/>
    </row>
    <row r="3327" spans="3:10" ht="20.100000000000001" hidden="1" customHeight="1">
      <c r="C3327" s="857"/>
      <c r="D3327" s="859" t="s">
        <v>376</v>
      </c>
      <c r="E3327" s="874">
        <v>969955786900</v>
      </c>
      <c r="F3327" s="873">
        <v>716684609430</v>
      </c>
      <c r="G3327" s="120">
        <f t="shared" si="160"/>
        <v>73.888379151851836</v>
      </c>
      <c r="H3327" s="858">
        <v>75</v>
      </c>
      <c r="I3327" s="852"/>
      <c r="J3327" s="802"/>
    </row>
    <row r="3328" spans="3:10" s="656" customFormat="1" ht="20.100000000000001" hidden="1" customHeight="1">
      <c r="C3328" s="866"/>
      <c r="D3328" s="856" t="s">
        <v>2910</v>
      </c>
      <c r="E3328" s="872">
        <v>112905208000</v>
      </c>
      <c r="F3328" s="855">
        <f>+F3329</f>
        <v>99226498354</v>
      </c>
      <c r="G3328" s="120">
        <f t="shared" si="160"/>
        <v>87.884784158052298</v>
      </c>
      <c r="H3328" s="858">
        <f>H3329</f>
        <v>95</v>
      </c>
      <c r="I3328" s="863"/>
      <c r="J3328" s="44"/>
    </row>
    <row r="3329" spans="3:10" s="656" customFormat="1" ht="20.100000000000001" hidden="1" customHeight="1">
      <c r="C3329" s="866"/>
      <c r="D3329" s="867" t="s">
        <v>444</v>
      </c>
      <c r="E3329" s="864">
        <v>112905208000</v>
      </c>
      <c r="F3329" s="864">
        <v>99226498354</v>
      </c>
      <c r="G3329" s="120">
        <f t="shared" si="160"/>
        <v>87.884784158052298</v>
      </c>
      <c r="H3329" s="858">
        <f>H3330</f>
        <v>95</v>
      </c>
      <c r="I3329" s="863"/>
      <c r="J3329" s="44"/>
    </row>
    <row r="3330" spans="3:10" s="656" customFormat="1" ht="20.100000000000001" hidden="1" customHeight="1">
      <c r="C3330" s="866"/>
      <c r="D3330" s="865" t="s">
        <v>95</v>
      </c>
      <c r="E3330" s="864">
        <v>47176100000</v>
      </c>
      <c r="F3330" s="864">
        <v>39794550000</v>
      </c>
      <c r="G3330" s="120">
        <f t="shared" si="160"/>
        <v>84.353200031371827</v>
      </c>
      <c r="H3330" s="858">
        <f>SUM((H3331:H3334))/4</f>
        <v>95</v>
      </c>
      <c r="I3330" s="863"/>
      <c r="J3330" s="44"/>
    </row>
    <row r="3331" spans="3:10" s="656" customFormat="1" ht="20.100000000000001" hidden="1" customHeight="1">
      <c r="C3331" s="866"/>
      <c r="D3331" s="861" t="s">
        <v>96</v>
      </c>
      <c r="E3331" s="860">
        <v>11121250000</v>
      </c>
      <c r="F3331" s="860">
        <v>10763750000</v>
      </c>
      <c r="G3331" s="120">
        <f t="shared" si="160"/>
        <v>96.785433292120942</v>
      </c>
      <c r="H3331" s="858">
        <v>100</v>
      </c>
      <c r="I3331" s="863"/>
      <c r="J3331" s="44"/>
    </row>
    <row r="3332" spans="3:10" s="656" customFormat="1" ht="20.100000000000001" hidden="1" customHeight="1">
      <c r="C3332" s="866"/>
      <c r="D3332" s="861" t="s">
        <v>2379</v>
      </c>
      <c r="E3332" s="860">
        <v>34000000000</v>
      </c>
      <c r="F3332" s="860">
        <v>27000000000</v>
      </c>
      <c r="G3332" s="120">
        <f t="shared" si="160"/>
        <v>79.411764705882348</v>
      </c>
      <c r="H3332" s="858">
        <v>80</v>
      </c>
      <c r="I3332" s="863"/>
      <c r="J3332" s="44"/>
    </row>
    <row r="3333" spans="3:10" s="656" customFormat="1" ht="20.100000000000001" hidden="1" customHeight="1">
      <c r="C3333" s="866"/>
      <c r="D3333" s="861" t="s">
        <v>100</v>
      </c>
      <c r="E3333" s="860">
        <v>1663300000</v>
      </c>
      <c r="F3333" s="860">
        <v>1645800000</v>
      </c>
      <c r="G3333" s="120">
        <f t="shared" si="160"/>
        <v>98.947874706907953</v>
      </c>
      <c r="H3333" s="858">
        <v>100</v>
      </c>
      <c r="I3333" s="863"/>
      <c r="J3333" s="44"/>
    </row>
    <row r="3334" spans="3:10" s="656" customFormat="1" ht="20.100000000000001" hidden="1" customHeight="1">
      <c r="C3334" s="866"/>
      <c r="D3334" s="862" t="s">
        <v>105</v>
      </c>
      <c r="E3334" s="860">
        <v>391550000</v>
      </c>
      <c r="F3334" s="860">
        <v>385000000</v>
      </c>
      <c r="G3334" s="120">
        <f t="shared" si="160"/>
        <v>98.327161282084035</v>
      </c>
      <c r="H3334" s="858">
        <v>100</v>
      </c>
      <c r="I3334" s="863"/>
      <c r="J3334" s="44"/>
    </row>
    <row r="3335" spans="3:10" s="656" customFormat="1" ht="20.100000000000001" hidden="1" customHeight="1">
      <c r="C3335" s="866"/>
      <c r="D3335" s="865" t="s">
        <v>108</v>
      </c>
      <c r="E3335" s="864">
        <v>24639940500</v>
      </c>
      <c r="F3335" s="864">
        <v>20814230487</v>
      </c>
      <c r="G3335" s="120">
        <f t="shared" si="160"/>
        <v>84.473541999827475</v>
      </c>
      <c r="H3335" s="858">
        <f>SUM((H3336:H3346))/11</f>
        <v>90.454545454545453</v>
      </c>
      <c r="I3335" s="863"/>
      <c r="J3335" s="44"/>
    </row>
    <row r="3336" spans="3:10" s="656" customFormat="1" ht="20.100000000000001" hidden="1" customHeight="1">
      <c r="C3336" s="866"/>
      <c r="D3336" s="861" t="s">
        <v>109</v>
      </c>
      <c r="E3336" s="860">
        <v>219500000</v>
      </c>
      <c r="F3336" s="860">
        <v>218322500</v>
      </c>
      <c r="G3336" s="120">
        <f t="shared" si="160"/>
        <v>99.46355353075171</v>
      </c>
      <c r="H3336" s="858">
        <v>100</v>
      </c>
      <c r="I3336" s="863"/>
      <c r="J3336" s="44"/>
    </row>
    <row r="3337" spans="3:10" s="656" customFormat="1" ht="20.100000000000001" hidden="1" customHeight="1">
      <c r="C3337" s="866"/>
      <c r="D3337" s="861" t="s">
        <v>110</v>
      </c>
      <c r="E3337" s="860">
        <v>938500000</v>
      </c>
      <c r="F3337" s="860">
        <v>936421100</v>
      </c>
      <c r="G3337" s="120">
        <f t="shared" si="160"/>
        <v>99.778486947256255</v>
      </c>
      <c r="H3337" s="858">
        <v>100</v>
      </c>
      <c r="I3337" s="863"/>
      <c r="J3337" s="44"/>
    </row>
    <row r="3338" spans="3:10" s="656" customFormat="1" ht="20.100000000000001" hidden="1" customHeight="1">
      <c r="C3338" s="866"/>
      <c r="D3338" s="861" t="s">
        <v>111</v>
      </c>
      <c r="E3338" s="860">
        <v>1740750000</v>
      </c>
      <c r="F3338" s="860">
        <v>1740750000</v>
      </c>
      <c r="G3338" s="120">
        <f t="shared" si="160"/>
        <v>100</v>
      </c>
      <c r="H3338" s="858">
        <f>+G3338</f>
        <v>100</v>
      </c>
      <c r="I3338" s="863"/>
      <c r="J3338" s="44"/>
    </row>
    <row r="3339" spans="3:10" s="656" customFormat="1" ht="28.5" hidden="1" customHeight="1">
      <c r="C3339" s="866"/>
      <c r="D3339" s="862" t="s">
        <v>2909</v>
      </c>
      <c r="E3339" s="860">
        <v>704850000</v>
      </c>
      <c r="F3339" s="860">
        <v>704735400</v>
      </c>
      <c r="G3339" s="120">
        <f t="shared" si="160"/>
        <v>99.983741221536491</v>
      </c>
      <c r="H3339" s="858">
        <v>100</v>
      </c>
      <c r="I3339" s="863"/>
      <c r="J3339" s="44"/>
    </row>
    <row r="3340" spans="3:10" s="656" customFormat="1" ht="20.100000000000001" hidden="1" customHeight="1">
      <c r="C3340" s="866"/>
      <c r="D3340" s="861" t="s">
        <v>2908</v>
      </c>
      <c r="E3340" s="860">
        <v>2732600000</v>
      </c>
      <c r="F3340" s="860">
        <v>2577579600</v>
      </c>
      <c r="G3340" s="120">
        <f t="shared" si="160"/>
        <v>94.326999926809634</v>
      </c>
      <c r="H3340" s="858">
        <v>95</v>
      </c>
      <c r="I3340" s="863"/>
      <c r="J3340" s="44"/>
    </row>
    <row r="3341" spans="3:10" s="656" customFormat="1" ht="20.100000000000001" hidden="1" customHeight="1">
      <c r="C3341" s="866"/>
      <c r="D3341" s="861" t="s">
        <v>113</v>
      </c>
      <c r="E3341" s="860">
        <v>3883690000</v>
      </c>
      <c r="F3341" s="860">
        <v>2382059237</v>
      </c>
      <c r="G3341" s="120">
        <f t="shared" si="160"/>
        <v>61.334947871740532</v>
      </c>
      <c r="H3341" s="858">
        <v>65</v>
      </c>
      <c r="I3341" s="863"/>
      <c r="J3341" s="44"/>
    </row>
    <row r="3342" spans="3:10" s="656" customFormat="1" ht="20.100000000000001" hidden="1" customHeight="1">
      <c r="C3342" s="866"/>
      <c r="D3342" s="861" t="s">
        <v>2907</v>
      </c>
      <c r="E3342" s="860">
        <v>4911421000</v>
      </c>
      <c r="F3342" s="860">
        <v>3672306600</v>
      </c>
      <c r="G3342" s="120">
        <f t="shared" si="160"/>
        <v>74.770755754800902</v>
      </c>
      <c r="H3342" s="858">
        <v>75</v>
      </c>
      <c r="I3342" s="863"/>
      <c r="J3342" s="44"/>
    </row>
    <row r="3343" spans="3:10" s="656" customFormat="1" ht="20.100000000000001" hidden="1" customHeight="1">
      <c r="C3343" s="866"/>
      <c r="D3343" s="861" t="s">
        <v>114</v>
      </c>
      <c r="E3343" s="860">
        <v>1668400000</v>
      </c>
      <c r="F3343" s="860">
        <v>1319809200</v>
      </c>
      <c r="G3343" s="120">
        <f t="shared" si="160"/>
        <v>79.10628146727403</v>
      </c>
      <c r="H3343" s="858">
        <v>80</v>
      </c>
      <c r="I3343" s="863"/>
      <c r="J3343" s="44"/>
    </row>
    <row r="3344" spans="3:10" s="656" customFormat="1" ht="20.100000000000001" hidden="1" customHeight="1">
      <c r="C3344" s="866"/>
      <c r="D3344" s="861" t="s">
        <v>2906</v>
      </c>
      <c r="E3344" s="860">
        <v>3035400000</v>
      </c>
      <c r="F3344" s="860">
        <v>2991423800</v>
      </c>
      <c r="G3344" s="120">
        <f t="shared" si="160"/>
        <v>98.551222244185283</v>
      </c>
      <c r="H3344" s="858">
        <v>100</v>
      </c>
      <c r="I3344" s="863"/>
      <c r="J3344" s="44"/>
    </row>
    <row r="3345" spans="3:10" s="656" customFormat="1" ht="20.100000000000001" hidden="1" customHeight="1">
      <c r="C3345" s="866"/>
      <c r="D3345" s="861" t="s">
        <v>2905</v>
      </c>
      <c r="E3345" s="860">
        <v>3165380000</v>
      </c>
      <c r="F3345" s="860">
        <v>2837897750</v>
      </c>
      <c r="G3345" s="120">
        <f t="shared" si="160"/>
        <v>89.654251622238093</v>
      </c>
      <c r="H3345" s="858">
        <v>90</v>
      </c>
      <c r="I3345" s="863"/>
      <c r="J3345" s="44"/>
    </row>
    <row r="3346" spans="3:10" s="656" customFormat="1" ht="20.100000000000001" hidden="1" customHeight="1">
      <c r="C3346" s="866"/>
      <c r="D3346" s="861" t="s">
        <v>115</v>
      </c>
      <c r="E3346" s="860">
        <v>1639449500</v>
      </c>
      <c r="F3346" s="860">
        <v>1432925300</v>
      </c>
      <c r="G3346" s="120">
        <f t="shared" si="160"/>
        <v>87.402832475169262</v>
      </c>
      <c r="H3346" s="858">
        <v>90</v>
      </c>
      <c r="I3346" s="863"/>
      <c r="J3346" s="44"/>
    </row>
    <row r="3347" spans="3:10" s="656" customFormat="1" ht="20.100000000000001" hidden="1" customHeight="1">
      <c r="C3347" s="866"/>
      <c r="D3347" s="865" t="s">
        <v>116</v>
      </c>
      <c r="E3347" s="864">
        <v>12155000000</v>
      </c>
      <c r="F3347" s="864">
        <v>11165933560</v>
      </c>
      <c r="G3347" s="120">
        <f t="shared" si="160"/>
        <v>91.862884080625264</v>
      </c>
      <c r="H3347" s="858">
        <f>SUM((H3348:H3356))/9</f>
        <v>86.666666666666671</v>
      </c>
      <c r="I3347" s="863"/>
      <c r="J3347" s="44"/>
    </row>
    <row r="3348" spans="3:10" s="656" customFormat="1" ht="20.100000000000001" hidden="1" customHeight="1">
      <c r="C3348" s="866"/>
      <c r="D3348" s="861" t="s">
        <v>117</v>
      </c>
      <c r="E3348" s="860">
        <v>879200000</v>
      </c>
      <c r="F3348" s="860">
        <v>862029600</v>
      </c>
      <c r="G3348" s="120">
        <f t="shared" si="160"/>
        <v>98.047042766151051</v>
      </c>
      <c r="H3348" s="858">
        <v>100</v>
      </c>
      <c r="I3348" s="863"/>
      <c r="J3348" s="44"/>
    </row>
    <row r="3349" spans="3:10" s="656" customFormat="1" ht="20.100000000000001" hidden="1" customHeight="1">
      <c r="C3349" s="866"/>
      <c r="D3349" s="861" t="s">
        <v>118</v>
      </c>
      <c r="E3349" s="860">
        <v>2130000000</v>
      </c>
      <c r="F3349" s="860">
        <v>2126000000</v>
      </c>
      <c r="G3349" s="120">
        <f t="shared" si="160"/>
        <v>99.812206572769952</v>
      </c>
      <c r="H3349" s="858">
        <v>100</v>
      </c>
      <c r="I3349" s="863"/>
      <c r="J3349" s="44"/>
    </row>
    <row r="3350" spans="3:10" s="656" customFormat="1" ht="20.100000000000001" hidden="1" customHeight="1">
      <c r="C3350" s="866"/>
      <c r="D3350" s="861" t="s">
        <v>2904</v>
      </c>
      <c r="E3350" s="860">
        <v>431900000</v>
      </c>
      <c r="F3350" s="860">
        <v>399900000</v>
      </c>
      <c r="G3350" s="120">
        <f t="shared" si="160"/>
        <v>92.590877517943966</v>
      </c>
      <c r="H3350" s="858">
        <v>95</v>
      </c>
      <c r="I3350" s="863"/>
      <c r="J3350" s="44"/>
    </row>
    <row r="3351" spans="3:10" s="656" customFormat="1" ht="20.100000000000001" hidden="1" customHeight="1">
      <c r="C3351" s="866"/>
      <c r="D3351" s="861" t="s">
        <v>2903</v>
      </c>
      <c r="E3351" s="860">
        <v>5000000000</v>
      </c>
      <c r="F3351" s="860">
        <v>4356496200</v>
      </c>
      <c r="G3351" s="120">
        <f t="shared" si="160"/>
        <v>87.129924000000003</v>
      </c>
      <c r="H3351" s="858">
        <v>90</v>
      </c>
      <c r="I3351" s="863"/>
      <c r="J3351" s="44"/>
    </row>
    <row r="3352" spans="3:10" s="656" customFormat="1" ht="20.100000000000001" hidden="1" customHeight="1">
      <c r="C3352" s="866"/>
      <c r="D3352" s="862" t="s">
        <v>2902</v>
      </c>
      <c r="E3352" s="860">
        <v>1004700000</v>
      </c>
      <c r="F3352" s="860">
        <v>976916200</v>
      </c>
      <c r="G3352" s="120">
        <f t="shared" si="160"/>
        <v>97.234617298696122</v>
      </c>
      <c r="H3352" s="858">
        <v>100</v>
      </c>
      <c r="I3352" s="863"/>
      <c r="J3352" s="44"/>
    </row>
    <row r="3353" spans="3:10" s="656" customFormat="1" ht="20.100000000000001" hidden="1" customHeight="1">
      <c r="C3353" s="866"/>
      <c r="D3353" s="861" t="s">
        <v>2901</v>
      </c>
      <c r="E3353" s="860">
        <v>378000000</v>
      </c>
      <c r="F3353" s="860">
        <v>378000000</v>
      </c>
      <c r="G3353" s="120">
        <f t="shared" si="160"/>
        <v>100</v>
      </c>
      <c r="H3353" s="858">
        <f>+G3353</f>
        <v>100</v>
      </c>
      <c r="I3353" s="863"/>
      <c r="J3353" s="44"/>
    </row>
    <row r="3354" spans="3:10" s="656" customFormat="1" ht="20.100000000000001" hidden="1" customHeight="1">
      <c r="C3354" s="866"/>
      <c r="D3354" s="861" t="s">
        <v>122</v>
      </c>
      <c r="E3354" s="860">
        <v>780500000</v>
      </c>
      <c r="F3354" s="860">
        <v>780207000</v>
      </c>
      <c r="G3354" s="120">
        <f t="shared" si="160"/>
        <v>99.962459961563098</v>
      </c>
      <c r="H3354" s="858">
        <v>100</v>
      </c>
      <c r="I3354" s="863"/>
      <c r="J3354" s="44"/>
    </row>
    <row r="3355" spans="3:10" s="656" customFormat="1" ht="20.100000000000001" hidden="1" customHeight="1">
      <c r="C3355" s="866"/>
      <c r="D3355" s="861" t="s">
        <v>2900</v>
      </c>
      <c r="E3355" s="860">
        <v>153500000</v>
      </c>
      <c r="F3355" s="860">
        <v>0</v>
      </c>
      <c r="G3355" s="120">
        <f t="shared" ref="G3355:G3377" si="161">+F3355/E3355*100</f>
        <v>0</v>
      </c>
      <c r="H3355" s="858">
        <f>+G3355</f>
        <v>0</v>
      </c>
      <c r="I3355" s="863"/>
      <c r="J3355" s="44"/>
    </row>
    <row r="3356" spans="3:10" s="656" customFormat="1" ht="20.100000000000001" hidden="1" customHeight="1">
      <c r="C3356" s="866"/>
      <c r="D3356" s="862" t="s">
        <v>2899</v>
      </c>
      <c r="E3356" s="860">
        <v>1397200000</v>
      </c>
      <c r="F3356" s="860">
        <v>1286384560</v>
      </c>
      <c r="G3356" s="120">
        <f t="shared" si="161"/>
        <v>92.068748926424277</v>
      </c>
      <c r="H3356" s="858">
        <v>95</v>
      </c>
      <c r="I3356" s="863"/>
      <c r="J3356" s="44"/>
    </row>
    <row r="3357" spans="3:10" s="656" customFormat="1" ht="20.100000000000001" hidden="1" customHeight="1">
      <c r="C3357" s="866"/>
      <c r="D3357" s="865" t="s">
        <v>2308</v>
      </c>
      <c r="E3357" s="864">
        <v>800000000</v>
      </c>
      <c r="F3357" s="864">
        <v>520000000</v>
      </c>
      <c r="G3357" s="120">
        <f t="shared" si="161"/>
        <v>65</v>
      </c>
      <c r="H3357" s="858">
        <f>+G3357</f>
        <v>65</v>
      </c>
      <c r="I3357" s="863"/>
      <c r="J3357" s="44"/>
    </row>
    <row r="3358" spans="3:10" s="656" customFormat="1" ht="20.100000000000001" hidden="1" customHeight="1">
      <c r="C3358" s="866"/>
      <c r="D3358" s="861" t="s">
        <v>2898</v>
      </c>
      <c r="E3358" s="860">
        <v>800000000</v>
      </c>
      <c r="F3358" s="860">
        <v>520000000</v>
      </c>
      <c r="G3358" s="120">
        <f t="shared" si="161"/>
        <v>65</v>
      </c>
      <c r="H3358" s="858">
        <f>+G3358</f>
        <v>65</v>
      </c>
      <c r="I3358" s="863"/>
      <c r="J3358" s="44"/>
    </row>
    <row r="3359" spans="3:10" s="656" customFormat="1" ht="20.100000000000001" hidden="1" customHeight="1">
      <c r="C3359" s="866"/>
      <c r="D3359" s="865" t="s">
        <v>124</v>
      </c>
      <c r="E3359" s="864">
        <v>21283150000</v>
      </c>
      <c r="F3359" s="864">
        <v>20281686700</v>
      </c>
      <c r="G3359" s="120">
        <f t="shared" si="161"/>
        <v>95.294571997096284</v>
      </c>
      <c r="H3359" s="858">
        <f>SUM((H3360:H3369))/10</f>
        <v>97</v>
      </c>
      <c r="I3359" s="863"/>
      <c r="J3359" s="44"/>
    </row>
    <row r="3360" spans="3:10" s="656" customFormat="1" ht="20.100000000000001" hidden="1" customHeight="1">
      <c r="C3360" s="866"/>
      <c r="D3360" s="861" t="s">
        <v>125</v>
      </c>
      <c r="E3360" s="860">
        <v>3647900000</v>
      </c>
      <c r="F3360" s="860">
        <v>3123344900</v>
      </c>
      <c r="G3360" s="120">
        <f t="shared" si="161"/>
        <v>85.620354176375443</v>
      </c>
      <c r="H3360" s="858">
        <v>90</v>
      </c>
      <c r="I3360" s="863"/>
      <c r="J3360" s="44"/>
    </row>
    <row r="3361" spans="3:10" s="656" customFormat="1" ht="20.100000000000001" hidden="1" customHeight="1">
      <c r="C3361" s="866"/>
      <c r="D3361" s="861" t="s">
        <v>126</v>
      </c>
      <c r="E3361" s="860">
        <v>10991400000</v>
      </c>
      <c r="F3361" s="860">
        <v>10956610000</v>
      </c>
      <c r="G3361" s="120">
        <f t="shared" si="161"/>
        <v>99.683479811488979</v>
      </c>
      <c r="H3361" s="858">
        <v>100</v>
      </c>
      <c r="I3361" s="863"/>
      <c r="J3361" s="44"/>
    </row>
    <row r="3362" spans="3:10" s="656" customFormat="1" ht="20.100000000000001" hidden="1" customHeight="1">
      <c r="C3362" s="866"/>
      <c r="D3362" s="861" t="s">
        <v>2897</v>
      </c>
      <c r="E3362" s="860">
        <v>318000000</v>
      </c>
      <c r="F3362" s="860">
        <v>318000000</v>
      </c>
      <c r="G3362" s="120">
        <f t="shared" si="161"/>
        <v>100</v>
      </c>
      <c r="H3362" s="858">
        <f>+G3362</f>
        <v>100</v>
      </c>
      <c r="I3362" s="863"/>
      <c r="J3362" s="44"/>
    </row>
    <row r="3363" spans="3:10" s="656" customFormat="1" ht="20.100000000000001" hidden="1" customHeight="1">
      <c r="C3363" s="866"/>
      <c r="D3363" s="861" t="s">
        <v>128</v>
      </c>
      <c r="E3363" s="860">
        <v>350100000</v>
      </c>
      <c r="F3363" s="860">
        <v>350100000</v>
      </c>
      <c r="G3363" s="120">
        <f t="shared" si="161"/>
        <v>100</v>
      </c>
      <c r="H3363" s="858">
        <f>+G3363</f>
        <v>100</v>
      </c>
      <c r="I3363" s="863"/>
      <c r="J3363" s="44"/>
    </row>
    <row r="3364" spans="3:10" s="656" customFormat="1" ht="20.100000000000001" hidden="1" customHeight="1">
      <c r="C3364" s="866"/>
      <c r="D3364" s="861" t="s">
        <v>2896</v>
      </c>
      <c r="E3364" s="860">
        <v>638050000</v>
      </c>
      <c r="F3364" s="860">
        <v>638050000</v>
      </c>
      <c r="G3364" s="120">
        <f t="shared" si="161"/>
        <v>100</v>
      </c>
      <c r="H3364" s="858">
        <f>+G3364</f>
        <v>100</v>
      </c>
      <c r="I3364" s="863"/>
      <c r="J3364" s="44"/>
    </row>
    <row r="3365" spans="3:10" s="656" customFormat="1" ht="20.100000000000001" hidden="1" customHeight="1">
      <c r="C3365" s="866"/>
      <c r="D3365" s="861" t="s">
        <v>130</v>
      </c>
      <c r="E3365" s="860">
        <v>16000000</v>
      </c>
      <c r="F3365" s="860">
        <v>16000000</v>
      </c>
      <c r="G3365" s="120">
        <f t="shared" si="161"/>
        <v>100</v>
      </c>
      <c r="H3365" s="858">
        <f>+G3365</f>
        <v>100</v>
      </c>
      <c r="I3365" s="863"/>
      <c r="J3365" s="44"/>
    </row>
    <row r="3366" spans="3:10" s="656" customFormat="1" ht="20.100000000000001" hidden="1" customHeight="1">
      <c r="C3366" s="866"/>
      <c r="D3366" s="861" t="s">
        <v>2380</v>
      </c>
      <c r="E3366" s="860">
        <v>2857000000</v>
      </c>
      <c r="F3366" s="860">
        <v>2579042000</v>
      </c>
      <c r="G3366" s="120">
        <f t="shared" si="161"/>
        <v>90.270983549177458</v>
      </c>
      <c r="H3366" s="858">
        <v>90</v>
      </c>
      <c r="I3366" s="863"/>
      <c r="J3366" s="44"/>
    </row>
    <row r="3367" spans="3:10" s="656" customFormat="1" ht="20.100000000000001" hidden="1" customHeight="1">
      <c r="C3367" s="866"/>
      <c r="D3367" s="861" t="s">
        <v>2895</v>
      </c>
      <c r="E3367" s="860">
        <v>996900000</v>
      </c>
      <c r="F3367" s="860">
        <v>972596000</v>
      </c>
      <c r="G3367" s="120">
        <f t="shared" si="161"/>
        <v>97.562042331226806</v>
      </c>
      <c r="H3367" s="858">
        <v>100</v>
      </c>
      <c r="I3367" s="863"/>
      <c r="J3367" s="44"/>
    </row>
    <row r="3368" spans="3:10" s="656" customFormat="1" ht="20.100000000000001" hidden="1" customHeight="1">
      <c r="C3368" s="866"/>
      <c r="D3368" s="861" t="s">
        <v>2894</v>
      </c>
      <c r="E3368" s="860">
        <v>487100000</v>
      </c>
      <c r="F3368" s="860">
        <v>472100000</v>
      </c>
      <c r="G3368" s="120">
        <f t="shared" si="161"/>
        <v>96.920550195031822</v>
      </c>
      <c r="H3368" s="858">
        <v>100</v>
      </c>
      <c r="I3368" s="863"/>
      <c r="J3368" s="44"/>
    </row>
    <row r="3369" spans="3:10" s="656" customFormat="1" ht="20.100000000000001" hidden="1" customHeight="1">
      <c r="C3369" s="866"/>
      <c r="D3369" s="861" t="s">
        <v>2893</v>
      </c>
      <c r="E3369" s="860">
        <v>980700000</v>
      </c>
      <c r="F3369" s="860">
        <v>855843800</v>
      </c>
      <c r="G3369" s="120">
        <f t="shared" si="161"/>
        <v>87.268665239114924</v>
      </c>
      <c r="H3369" s="858">
        <v>90</v>
      </c>
      <c r="I3369" s="863"/>
      <c r="J3369" s="44"/>
    </row>
    <row r="3370" spans="3:10" s="656" customFormat="1" ht="20.100000000000001" hidden="1" customHeight="1">
      <c r="C3370" s="866"/>
      <c r="D3370" s="865" t="s">
        <v>131</v>
      </c>
      <c r="E3370" s="864">
        <v>6851017500</v>
      </c>
      <c r="F3370" s="864">
        <v>6650097607</v>
      </c>
      <c r="G3370" s="120">
        <f t="shared" si="161"/>
        <v>97.067298499821376</v>
      </c>
      <c r="H3370" s="858">
        <f>SUM((H3371:H3377))/7</f>
        <v>98.571428571428569</v>
      </c>
      <c r="I3370" s="863"/>
      <c r="J3370" s="44"/>
    </row>
    <row r="3371" spans="3:10" s="656" customFormat="1" ht="20.100000000000001" hidden="1" customHeight="1">
      <c r="C3371" s="866"/>
      <c r="D3371" s="861" t="s">
        <v>132</v>
      </c>
      <c r="E3371" s="860">
        <v>2718217500</v>
      </c>
      <c r="F3371" s="860">
        <v>2688901957</v>
      </c>
      <c r="G3371" s="120">
        <f t="shared" si="161"/>
        <v>98.921515919899718</v>
      </c>
      <c r="H3371" s="858">
        <v>100</v>
      </c>
      <c r="I3371" s="863"/>
      <c r="J3371" s="44"/>
    </row>
    <row r="3372" spans="3:10" s="656" customFormat="1" ht="20.100000000000001" hidden="1" customHeight="1">
      <c r="C3372" s="866"/>
      <c r="D3372" s="861" t="s">
        <v>133</v>
      </c>
      <c r="E3372" s="860">
        <v>446000000</v>
      </c>
      <c r="F3372" s="860">
        <v>445203400</v>
      </c>
      <c r="G3372" s="120">
        <f t="shared" si="161"/>
        <v>99.821390134529153</v>
      </c>
      <c r="H3372" s="858">
        <v>100</v>
      </c>
      <c r="I3372" s="863"/>
      <c r="J3372" s="44"/>
    </row>
    <row r="3373" spans="3:10" s="656" customFormat="1" ht="20.100000000000001" hidden="1" customHeight="1">
      <c r="C3373" s="866"/>
      <c r="D3373" s="861" t="s">
        <v>134</v>
      </c>
      <c r="E3373" s="860">
        <v>722800000</v>
      </c>
      <c r="F3373" s="860">
        <v>715920600</v>
      </c>
      <c r="G3373" s="120">
        <f t="shared" si="161"/>
        <v>99.048229109020482</v>
      </c>
      <c r="H3373" s="858">
        <v>100</v>
      </c>
      <c r="I3373" s="863"/>
      <c r="J3373" s="44"/>
    </row>
    <row r="3374" spans="3:10" s="656" customFormat="1" ht="20.100000000000001" hidden="1" customHeight="1">
      <c r="C3374" s="866"/>
      <c r="D3374" s="861" t="s">
        <v>2892</v>
      </c>
      <c r="E3374" s="860">
        <v>837700000</v>
      </c>
      <c r="F3374" s="860">
        <v>833385800</v>
      </c>
      <c r="G3374" s="120">
        <f t="shared" si="161"/>
        <v>99.484994628148499</v>
      </c>
      <c r="H3374" s="858">
        <v>100</v>
      </c>
      <c r="I3374" s="863"/>
      <c r="J3374" s="44"/>
    </row>
    <row r="3375" spans="3:10" s="656" customFormat="1" ht="20.100000000000001" hidden="1" customHeight="1">
      <c r="C3375" s="866"/>
      <c r="D3375" s="861" t="s">
        <v>2891</v>
      </c>
      <c r="E3375" s="860">
        <v>447600000</v>
      </c>
      <c r="F3375" s="860">
        <v>443620800</v>
      </c>
      <c r="G3375" s="120">
        <f t="shared" si="161"/>
        <v>99.110991957104559</v>
      </c>
      <c r="H3375" s="858">
        <v>100</v>
      </c>
      <c r="I3375" s="863"/>
      <c r="J3375" s="44"/>
    </row>
    <row r="3376" spans="3:10" s="656" customFormat="1" ht="20.100000000000001" hidden="1" customHeight="1">
      <c r="C3376" s="866"/>
      <c r="D3376" s="861" t="s">
        <v>141</v>
      </c>
      <c r="E3376" s="860">
        <v>713146000</v>
      </c>
      <c r="F3376" s="860">
        <v>706345050</v>
      </c>
      <c r="G3376" s="120">
        <f t="shared" si="161"/>
        <v>99.046345348638283</v>
      </c>
      <c r="H3376" s="858">
        <v>100</v>
      </c>
      <c r="I3376" s="863"/>
      <c r="J3376" s="44"/>
    </row>
    <row r="3377" spans="3:10" s="656" customFormat="1" ht="20.100000000000001" hidden="1" customHeight="1">
      <c r="C3377" s="866"/>
      <c r="D3377" s="861" t="s">
        <v>142</v>
      </c>
      <c r="E3377" s="860">
        <v>965554000</v>
      </c>
      <c r="F3377" s="860">
        <v>816720000</v>
      </c>
      <c r="G3377" s="120">
        <f t="shared" si="161"/>
        <v>84.585636846825764</v>
      </c>
      <c r="H3377" s="858">
        <v>90</v>
      </c>
      <c r="I3377" s="863"/>
      <c r="J3377" s="44"/>
    </row>
    <row r="3378" spans="3:10" s="656" customFormat="1" ht="20.100000000000001" hidden="1" customHeight="1">
      <c r="C3378" s="866" t="s">
        <v>2890</v>
      </c>
      <c r="D3378" s="869"/>
      <c r="E3378" s="871"/>
      <c r="F3378" s="868"/>
      <c r="G3378" s="120"/>
      <c r="H3378" s="858"/>
      <c r="I3378" s="863"/>
      <c r="J3378" s="44"/>
    </row>
    <row r="3379" spans="3:10" s="656" customFormat="1" ht="20.100000000000001" hidden="1" customHeight="1">
      <c r="C3379" s="866"/>
      <c r="D3379" s="867" t="s">
        <v>161</v>
      </c>
      <c r="E3379" s="864">
        <v>177991000000</v>
      </c>
      <c r="F3379" s="864">
        <v>123812930369.532</v>
      </c>
      <c r="G3379" s="120">
        <f t="shared" ref="G3379:G3386" si="162">+F3379/E3379*100</f>
        <v>69.56134319686501</v>
      </c>
      <c r="H3379" s="858">
        <f>(H3380+H3382+H3384)/3</f>
        <v>71.666666666666671</v>
      </c>
      <c r="I3379" s="863"/>
      <c r="J3379" s="44"/>
    </row>
    <row r="3380" spans="3:10" s="656" customFormat="1" ht="20.100000000000001" hidden="1" customHeight="1">
      <c r="C3380" s="866"/>
      <c r="D3380" s="865" t="s">
        <v>173</v>
      </c>
      <c r="E3380" s="864">
        <v>19373761123</v>
      </c>
      <c r="F3380" s="864">
        <v>10940995726</v>
      </c>
      <c r="G3380" s="120">
        <f t="shared" si="162"/>
        <v>56.473266375784661</v>
      </c>
      <c r="H3380" s="858">
        <v>60</v>
      </c>
      <c r="I3380" s="863"/>
      <c r="J3380" s="44"/>
    </row>
    <row r="3381" spans="3:10" s="656" customFormat="1" ht="20.100000000000001" hidden="1" customHeight="1">
      <c r="C3381" s="866"/>
      <c r="D3381" s="861" t="s">
        <v>682</v>
      </c>
      <c r="E3381" s="860">
        <v>19373761123</v>
      </c>
      <c r="F3381" s="860">
        <v>10940995726</v>
      </c>
      <c r="G3381" s="120">
        <f t="shared" si="162"/>
        <v>56.473266375784661</v>
      </c>
      <c r="H3381" s="858">
        <v>60</v>
      </c>
      <c r="I3381" s="863"/>
      <c r="J3381" s="44"/>
    </row>
    <row r="3382" spans="3:10" s="656" customFormat="1" ht="20.100000000000001" hidden="1" customHeight="1">
      <c r="C3382" s="866"/>
      <c r="D3382" s="865" t="s">
        <v>219</v>
      </c>
      <c r="E3382" s="864">
        <v>60619450000</v>
      </c>
      <c r="F3382" s="864">
        <v>43968344112.972</v>
      </c>
      <c r="G3382" s="120">
        <f t="shared" si="162"/>
        <v>72.531743710924474</v>
      </c>
      <c r="H3382" s="858">
        <v>75</v>
      </c>
      <c r="I3382" s="863"/>
      <c r="J3382" s="44"/>
    </row>
    <row r="3383" spans="3:10" s="656" customFormat="1" ht="20.100000000000001" hidden="1" customHeight="1">
      <c r="C3383" s="866"/>
      <c r="D3383" s="861" t="s">
        <v>2382</v>
      </c>
      <c r="E3383" s="860">
        <v>60619450000</v>
      </c>
      <c r="F3383" s="860">
        <v>43968344112.972</v>
      </c>
      <c r="G3383" s="120">
        <f t="shared" si="162"/>
        <v>72.531743710924474</v>
      </c>
      <c r="H3383" s="858">
        <v>75</v>
      </c>
      <c r="I3383" s="863"/>
      <c r="J3383" s="44"/>
    </row>
    <row r="3384" spans="3:10" s="656" customFormat="1" ht="20.100000000000001" hidden="1" customHeight="1">
      <c r="C3384" s="866"/>
      <c r="D3384" s="865" t="s">
        <v>245</v>
      </c>
      <c r="E3384" s="864">
        <v>97997788877</v>
      </c>
      <c r="F3384" s="864">
        <v>68903590530.559998</v>
      </c>
      <c r="G3384" s="120">
        <f t="shared" si="162"/>
        <v>70.311372654584062</v>
      </c>
      <c r="H3384" s="858">
        <v>80</v>
      </c>
      <c r="I3384" s="863"/>
      <c r="J3384" s="44"/>
    </row>
    <row r="3385" spans="3:10" s="656" customFormat="1" ht="20.100000000000001" hidden="1" customHeight="1">
      <c r="C3385" s="866"/>
      <c r="D3385" s="862" t="s">
        <v>2383</v>
      </c>
      <c r="E3385" s="860">
        <v>84999876877</v>
      </c>
      <c r="F3385" s="860">
        <v>57269454100.559998</v>
      </c>
      <c r="G3385" s="120">
        <f t="shared" si="162"/>
        <v>67.375925948025056</v>
      </c>
      <c r="H3385" s="858">
        <v>70</v>
      </c>
      <c r="I3385" s="863"/>
      <c r="J3385" s="44"/>
    </row>
    <row r="3386" spans="3:10" s="656" customFormat="1" ht="20.100000000000001" hidden="1" customHeight="1">
      <c r="C3386" s="866"/>
      <c r="D3386" s="861" t="s">
        <v>2889</v>
      </c>
      <c r="E3386" s="860">
        <v>12997912000</v>
      </c>
      <c r="F3386" s="860">
        <v>11634136430</v>
      </c>
      <c r="G3386" s="120">
        <f t="shared" si="162"/>
        <v>89.507733472883956</v>
      </c>
      <c r="H3386" s="858">
        <v>90</v>
      </c>
      <c r="I3386" s="863"/>
      <c r="J3386" s="44"/>
    </row>
    <row r="3387" spans="3:10" s="656" customFormat="1" ht="20.100000000000001" hidden="1" customHeight="1">
      <c r="C3387" s="866"/>
      <c r="D3387" s="869"/>
      <c r="E3387" s="868"/>
      <c r="F3387" s="868"/>
      <c r="G3387" s="120"/>
      <c r="H3387" s="858"/>
      <c r="I3387" s="863"/>
      <c r="J3387" s="44"/>
    </row>
    <row r="3388" spans="3:10" s="656" customFormat="1" ht="20.100000000000001" hidden="1" customHeight="1">
      <c r="C3388" s="866"/>
      <c r="D3388" s="867" t="s">
        <v>2384</v>
      </c>
      <c r="E3388" s="864">
        <v>333000000000</v>
      </c>
      <c r="F3388" s="864">
        <v>268463105493.89999</v>
      </c>
      <c r="G3388" s="120">
        <f t="shared" ref="G3388:G3427" si="163">+F3388/E3388*100</f>
        <v>80.619551199369369</v>
      </c>
      <c r="H3388" s="858">
        <f>(H3389+H3394+H3396+H3399+H3405+H3401+H3418+H3421+H3424+H3426)/10</f>
        <v>79.208333333333329</v>
      </c>
      <c r="I3388" s="863"/>
      <c r="J3388" s="44"/>
    </row>
    <row r="3389" spans="3:10" s="656" customFormat="1" ht="20.100000000000001" hidden="1" customHeight="1">
      <c r="C3389" s="866"/>
      <c r="D3389" s="865" t="s">
        <v>887</v>
      </c>
      <c r="E3389" s="864">
        <v>16397004603</v>
      </c>
      <c r="F3389" s="864">
        <v>14542843117</v>
      </c>
      <c r="G3389" s="120">
        <f t="shared" si="163"/>
        <v>88.692071930864969</v>
      </c>
      <c r="H3389" s="858">
        <f>SUM((H3390:H3393))/4</f>
        <v>88.75</v>
      </c>
      <c r="I3389" s="863"/>
      <c r="J3389" s="44"/>
    </row>
    <row r="3390" spans="3:10" ht="20.100000000000001" hidden="1" customHeight="1">
      <c r="C3390" s="857"/>
      <c r="D3390" s="861" t="s">
        <v>2385</v>
      </c>
      <c r="E3390" s="860">
        <v>5800717500</v>
      </c>
      <c r="F3390" s="860">
        <v>4649645329</v>
      </c>
      <c r="G3390" s="120">
        <f t="shared" si="163"/>
        <v>80.156382878497354</v>
      </c>
      <c r="H3390" s="858">
        <v>80</v>
      </c>
      <c r="I3390" s="852"/>
      <c r="J3390" s="802"/>
    </row>
    <row r="3391" spans="3:10" ht="20.100000000000001" hidden="1" customHeight="1">
      <c r="C3391" s="857"/>
      <c r="D3391" s="861" t="s">
        <v>2409</v>
      </c>
      <c r="E3391" s="860">
        <v>8000000000</v>
      </c>
      <c r="F3391" s="860">
        <v>7876594405</v>
      </c>
      <c r="G3391" s="120">
        <f t="shared" si="163"/>
        <v>98.457430062499995</v>
      </c>
      <c r="H3391" s="858">
        <v>100</v>
      </c>
      <c r="I3391" s="852"/>
      <c r="J3391" s="802"/>
    </row>
    <row r="3392" spans="3:10" s="656" customFormat="1" ht="20.100000000000001" hidden="1" customHeight="1">
      <c r="C3392" s="866"/>
      <c r="D3392" s="861" t="s">
        <v>2530</v>
      </c>
      <c r="E3392" s="860">
        <v>250000000</v>
      </c>
      <c r="F3392" s="860">
        <v>249603383</v>
      </c>
      <c r="G3392" s="120">
        <f t="shared" si="163"/>
        <v>99.8413532</v>
      </c>
      <c r="H3392" s="858">
        <v>100</v>
      </c>
      <c r="I3392" s="863"/>
      <c r="J3392" s="44"/>
    </row>
    <row r="3393" spans="3:10" ht="20.100000000000001" hidden="1" customHeight="1">
      <c r="C3393" s="857"/>
      <c r="D3393" s="861" t="s">
        <v>2797</v>
      </c>
      <c r="E3393" s="860">
        <v>2346287103</v>
      </c>
      <c r="F3393" s="860">
        <v>1767000000</v>
      </c>
      <c r="G3393" s="120">
        <f t="shared" si="163"/>
        <v>75.310476613909941</v>
      </c>
      <c r="H3393" s="858">
        <v>75</v>
      </c>
      <c r="I3393" s="852"/>
      <c r="J3393" s="802"/>
    </row>
    <row r="3394" spans="3:10" s="656" customFormat="1" ht="20.100000000000001" hidden="1" customHeight="1">
      <c r="C3394" s="866"/>
      <c r="D3394" s="865" t="s">
        <v>888</v>
      </c>
      <c r="E3394" s="864">
        <v>2777250000</v>
      </c>
      <c r="F3394" s="864">
        <v>2695275394</v>
      </c>
      <c r="G3394" s="120">
        <f t="shared" si="163"/>
        <v>97.048353371140522</v>
      </c>
      <c r="H3394" s="858">
        <v>100</v>
      </c>
      <c r="I3394" s="863"/>
      <c r="J3394" s="44"/>
    </row>
    <row r="3395" spans="3:10" ht="20.100000000000001" hidden="1" customHeight="1">
      <c r="C3395" s="857"/>
      <c r="D3395" s="861" t="s">
        <v>2535</v>
      </c>
      <c r="E3395" s="860">
        <v>2777250000</v>
      </c>
      <c r="F3395" s="860">
        <v>2695275394</v>
      </c>
      <c r="G3395" s="120">
        <f t="shared" si="163"/>
        <v>97.048353371140522</v>
      </c>
      <c r="H3395" s="858">
        <v>100</v>
      </c>
      <c r="I3395" s="852"/>
      <c r="J3395" s="802"/>
    </row>
    <row r="3396" spans="3:10" s="656" customFormat="1" ht="20.100000000000001" hidden="1" customHeight="1">
      <c r="C3396" s="866"/>
      <c r="D3396" s="865" t="s">
        <v>173</v>
      </c>
      <c r="E3396" s="864">
        <v>20438000000</v>
      </c>
      <c r="F3396" s="864">
        <v>13924539100</v>
      </c>
      <c r="G3396" s="120">
        <f t="shared" si="163"/>
        <v>68.130634602211572</v>
      </c>
      <c r="H3396" s="858">
        <f>SUM((H3397:H3398))/2</f>
        <v>77.5</v>
      </c>
      <c r="I3396" s="863"/>
      <c r="J3396" s="44"/>
    </row>
    <row r="3397" spans="3:10" s="656" customFormat="1" ht="20.100000000000001" hidden="1" customHeight="1">
      <c r="C3397" s="866"/>
      <c r="D3397" s="861" t="s">
        <v>2387</v>
      </c>
      <c r="E3397" s="860">
        <v>20088000000</v>
      </c>
      <c r="F3397" s="860">
        <v>13625000000</v>
      </c>
      <c r="G3397" s="120">
        <f t="shared" si="163"/>
        <v>67.826563122262058</v>
      </c>
      <c r="H3397" s="858">
        <v>70</v>
      </c>
      <c r="I3397" s="863"/>
      <c r="J3397" s="44"/>
    </row>
    <row r="3398" spans="3:10" ht="20.100000000000001" hidden="1" customHeight="1">
      <c r="C3398" s="857"/>
      <c r="D3398" s="861" t="s">
        <v>2388</v>
      </c>
      <c r="E3398" s="860">
        <v>350000000</v>
      </c>
      <c r="F3398" s="860">
        <v>299539100</v>
      </c>
      <c r="G3398" s="120">
        <f t="shared" si="163"/>
        <v>85.582599999999999</v>
      </c>
      <c r="H3398" s="858">
        <v>85</v>
      </c>
      <c r="I3398" s="852"/>
      <c r="J3398" s="802"/>
    </row>
    <row r="3399" spans="3:10" s="656" customFormat="1" ht="20.100000000000001" hidden="1" customHeight="1">
      <c r="C3399" s="866"/>
      <c r="D3399" s="865" t="s">
        <v>186</v>
      </c>
      <c r="E3399" s="864">
        <v>1050000000</v>
      </c>
      <c r="F3399" s="864">
        <v>1037831465</v>
      </c>
      <c r="G3399" s="120">
        <f t="shared" si="163"/>
        <v>98.841091904761896</v>
      </c>
      <c r="H3399" s="858">
        <v>100</v>
      </c>
      <c r="I3399" s="863"/>
      <c r="J3399" s="44"/>
    </row>
    <row r="3400" spans="3:10" s="656" customFormat="1" ht="20.100000000000001" hidden="1" customHeight="1">
      <c r="C3400" s="866"/>
      <c r="D3400" s="861" t="s">
        <v>2389</v>
      </c>
      <c r="E3400" s="860">
        <v>1050000000</v>
      </c>
      <c r="F3400" s="860">
        <v>1037831465</v>
      </c>
      <c r="G3400" s="120">
        <f t="shared" si="163"/>
        <v>98.841091904761896</v>
      </c>
      <c r="H3400" s="858">
        <v>100</v>
      </c>
      <c r="I3400" s="863"/>
      <c r="J3400" s="44"/>
    </row>
    <row r="3401" spans="3:10" s="656" customFormat="1" ht="20.100000000000001" hidden="1" customHeight="1">
      <c r="C3401" s="866"/>
      <c r="D3401" s="865" t="s">
        <v>2390</v>
      </c>
      <c r="E3401" s="864">
        <v>10934500000</v>
      </c>
      <c r="F3401" s="864">
        <v>8873963591</v>
      </c>
      <c r="G3401" s="120">
        <f t="shared" si="163"/>
        <v>81.15564123645342</v>
      </c>
      <c r="H3401" s="858">
        <f>SUM((H3402:H3404))/3</f>
        <v>80</v>
      </c>
      <c r="I3401" s="863"/>
      <c r="J3401" s="44"/>
    </row>
    <row r="3402" spans="3:10" ht="20.100000000000001" hidden="1" customHeight="1">
      <c r="C3402" s="857"/>
      <c r="D3402" s="861" t="s">
        <v>2888</v>
      </c>
      <c r="E3402" s="860">
        <v>50000000</v>
      </c>
      <c r="F3402" s="860">
        <v>40000000</v>
      </c>
      <c r="G3402" s="120">
        <f t="shared" si="163"/>
        <v>80</v>
      </c>
      <c r="H3402" s="858">
        <f>+G3402</f>
        <v>80</v>
      </c>
      <c r="I3402" s="852"/>
      <c r="J3402" s="802"/>
    </row>
    <row r="3403" spans="3:10" ht="20.100000000000001" hidden="1" customHeight="1">
      <c r="C3403" s="857"/>
      <c r="D3403" s="861" t="s">
        <v>2887</v>
      </c>
      <c r="E3403" s="860">
        <v>2500000000</v>
      </c>
      <c r="F3403" s="860">
        <v>1887446200</v>
      </c>
      <c r="G3403" s="120">
        <f t="shared" si="163"/>
        <v>75.497848000000005</v>
      </c>
      <c r="H3403" s="858">
        <v>75</v>
      </c>
      <c r="I3403" s="852"/>
      <c r="J3403" s="802"/>
    </row>
    <row r="3404" spans="3:10" ht="20.100000000000001" hidden="1" customHeight="1">
      <c r="C3404" s="857"/>
      <c r="D3404" s="861" t="s">
        <v>2391</v>
      </c>
      <c r="E3404" s="860">
        <v>8384500000</v>
      </c>
      <c r="F3404" s="860">
        <v>6946517391</v>
      </c>
      <c r="G3404" s="120">
        <f t="shared" si="163"/>
        <v>82.849512684119503</v>
      </c>
      <c r="H3404" s="858">
        <v>85</v>
      </c>
      <c r="I3404" s="852"/>
      <c r="J3404" s="802"/>
    </row>
    <row r="3405" spans="3:10" s="656" customFormat="1" ht="25.5" hidden="1" customHeight="1">
      <c r="C3405" s="866"/>
      <c r="D3405" s="865" t="s">
        <v>1414</v>
      </c>
      <c r="E3405" s="864">
        <v>193799014897</v>
      </c>
      <c r="F3405" s="864">
        <v>157062444760.89999</v>
      </c>
      <c r="G3405" s="120">
        <f t="shared" si="163"/>
        <v>81.043985101975508</v>
      </c>
      <c r="H3405" s="858">
        <f>SUM((H3406:H3417))/12</f>
        <v>80.833333333333329</v>
      </c>
      <c r="I3405" s="863"/>
      <c r="J3405" s="44"/>
    </row>
    <row r="3406" spans="3:10" ht="20.100000000000001" hidden="1" customHeight="1">
      <c r="C3406" s="857"/>
      <c r="D3406" s="861" t="s">
        <v>2082</v>
      </c>
      <c r="E3406" s="860">
        <v>37553159000</v>
      </c>
      <c r="F3406" s="860">
        <v>32552051381.510002</v>
      </c>
      <c r="G3406" s="120">
        <f t="shared" si="163"/>
        <v>86.682591420631226</v>
      </c>
      <c r="H3406" s="858">
        <v>90</v>
      </c>
      <c r="I3406" s="852"/>
      <c r="J3406" s="802"/>
    </row>
    <row r="3407" spans="3:10" ht="20.100000000000001" hidden="1" customHeight="1">
      <c r="C3407" s="857"/>
      <c r="D3407" s="861" t="s">
        <v>1417</v>
      </c>
      <c r="E3407" s="860">
        <v>50994463710</v>
      </c>
      <c r="F3407" s="860">
        <v>38488106599.32</v>
      </c>
      <c r="G3407" s="120">
        <f t="shared" si="163"/>
        <v>75.475068858842604</v>
      </c>
      <c r="H3407" s="858">
        <v>75</v>
      </c>
      <c r="I3407" s="852"/>
      <c r="J3407" s="802"/>
    </row>
    <row r="3408" spans="3:10" ht="20.100000000000001" hidden="1" customHeight="1">
      <c r="C3408" s="857"/>
      <c r="D3408" s="861" t="s">
        <v>478</v>
      </c>
      <c r="E3408" s="860">
        <v>22000000000</v>
      </c>
      <c r="F3408" s="860">
        <v>19732588702</v>
      </c>
      <c r="G3408" s="120">
        <f t="shared" si="163"/>
        <v>89.69358500909091</v>
      </c>
      <c r="H3408" s="858">
        <v>90</v>
      </c>
      <c r="I3408" s="852"/>
      <c r="J3408" s="802"/>
    </row>
    <row r="3409" spans="3:10" ht="20.100000000000001" hidden="1" customHeight="1">
      <c r="C3409" s="857"/>
      <c r="D3409" s="861" t="s">
        <v>2392</v>
      </c>
      <c r="E3409" s="860">
        <v>2810500000</v>
      </c>
      <c r="F3409" s="860">
        <v>2165614547</v>
      </c>
      <c r="G3409" s="120">
        <f t="shared" si="163"/>
        <v>77.054422593844507</v>
      </c>
      <c r="H3409" s="858">
        <v>80</v>
      </c>
      <c r="I3409" s="852"/>
      <c r="J3409" s="802"/>
    </row>
    <row r="3410" spans="3:10" s="656" customFormat="1" ht="34.5" hidden="1" customHeight="1">
      <c r="C3410" s="866"/>
      <c r="D3410" s="862" t="s">
        <v>2393</v>
      </c>
      <c r="E3410" s="860">
        <v>5965400000</v>
      </c>
      <c r="F3410" s="860">
        <v>4956740100</v>
      </c>
      <c r="G3410" s="120">
        <f t="shared" si="163"/>
        <v>83.091495960036212</v>
      </c>
      <c r="H3410" s="858">
        <v>85</v>
      </c>
      <c r="I3410" s="863"/>
      <c r="J3410" s="44"/>
    </row>
    <row r="3411" spans="3:10" ht="20.100000000000001" hidden="1" customHeight="1">
      <c r="C3411" s="857"/>
      <c r="D3411" s="861" t="s">
        <v>486</v>
      </c>
      <c r="E3411" s="860">
        <v>6919600000</v>
      </c>
      <c r="F3411" s="860">
        <v>6477546670</v>
      </c>
      <c r="G3411" s="120">
        <f t="shared" si="163"/>
        <v>93.611576825250012</v>
      </c>
      <c r="H3411" s="858">
        <v>95</v>
      </c>
      <c r="I3411" s="852"/>
      <c r="J3411" s="802"/>
    </row>
    <row r="3412" spans="3:10" s="656" customFormat="1" ht="20.100000000000001" hidden="1" customHeight="1">
      <c r="C3412" s="866"/>
      <c r="D3412" s="861" t="s">
        <v>2394</v>
      </c>
      <c r="E3412" s="860">
        <v>3284000000</v>
      </c>
      <c r="F3412" s="860">
        <v>2814610450</v>
      </c>
      <c r="G3412" s="120">
        <f t="shared" si="163"/>
        <v>85.706773751522533</v>
      </c>
      <c r="H3412" s="858">
        <v>90</v>
      </c>
      <c r="I3412" s="863"/>
      <c r="J3412" s="44"/>
    </row>
    <row r="3413" spans="3:10" s="656" customFormat="1" ht="20.100000000000001" hidden="1" customHeight="1">
      <c r="C3413" s="866"/>
      <c r="D3413" s="861" t="s">
        <v>2395</v>
      </c>
      <c r="E3413" s="860">
        <v>9900447700</v>
      </c>
      <c r="F3413" s="860">
        <v>3916251497.25</v>
      </c>
      <c r="G3413" s="120">
        <f t="shared" si="163"/>
        <v>39.556307107707866</v>
      </c>
      <c r="H3413" s="858">
        <v>40</v>
      </c>
      <c r="I3413" s="863"/>
      <c r="J3413" s="44"/>
    </row>
    <row r="3414" spans="3:10" s="656" customFormat="1" ht="20.100000000000001" hidden="1" customHeight="1">
      <c r="C3414" s="866"/>
      <c r="D3414" s="861" t="s">
        <v>2396</v>
      </c>
      <c r="E3414" s="860">
        <v>6689146325</v>
      </c>
      <c r="F3414" s="860">
        <v>3399970595</v>
      </c>
      <c r="G3414" s="120">
        <f t="shared" si="163"/>
        <v>50.828168944263595</v>
      </c>
      <c r="H3414" s="858">
        <v>50</v>
      </c>
      <c r="I3414" s="863"/>
      <c r="J3414" s="44"/>
    </row>
    <row r="3415" spans="3:10" s="656" customFormat="1" ht="20.100000000000001" hidden="1" customHeight="1">
      <c r="C3415" s="866"/>
      <c r="D3415" s="861" t="s">
        <v>2397</v>
      </c>
      <c r="E3415" s="860">
        <v>35290000000</v>
      </c>
      <c r="F3415" s="860">
        <v>32291436311.82</v>
      </c>
      <c r="G3415" s="120">
        <f t="shared" si="163"/>
        <v>91.503078242618301</v>
      </c>
      <c r="H3415" s="858">
        <v>95</v>
      </c>
      <c r="I3415" s="863"/>
      <c r="J3415" s="44"/>
    </row>
    <row r="3416" spans="3:10" ht="20.100000000000001" hidden="1" customHeight="1">
      <c r="C3416" s="857"/>
      <c r="D3416" s="861" t="s">
        <v>2398</v>
      </c>
      <c r="E3416" s="860">
        <v>9803332500</v>
      </c>
      <c r="F3416" s="860">
        <v>7696859245</v>
      </c>
      <c r="G3416" s="120">
        <f t="shared" si="163"/>
        <v>78.512681733481955</v>
      </c>
      <c r="H3416" s="858">
        <v>80</v>
      </c>
      <c r="I3416" s="852"/>
      <c r="J3416" s="802"/>
    </row>
    <row r="3417" spans="3:10" s="656" customFormat="1" ht="20.100000000000001" hidden="1" customHeight="1">
      <c r="C3417" s="866"/>
      <c r="D3417" s="861" t="s">
        <v>2886</v>
      </c>
      <c r="E3417" s="860">
        <v>2588965662</v>
      </c>
      <c r="F3417" s="860">
        <v>2570668662</v>
      </c>
      <c r="G3417" s="120">
        <f t="shared" si="163"/>
        <v>99.293269885014027</v>
      </c>
      <c r="H3417" s="858">
        <v>100</v>
      </c>
      <c r="I3417" s="863"/>
      <c r="J3417" s="44"/>
    </row>
    <row r="3418" spans="3:10" s="656" customFormat="1" ht="27.75" hidden="1" customHeight="1">
      <c r="C3418" s="866"/>
      <c r="D3418" s="865" t="s">
        <v>2399</v>
      </c>
      <c r="E3418" s="864">
        <v>25175830500</v>
      </c>
      <c r="F3418" s="864">
        <v>15657581689</v>
      </c>
      <c r="G3418" s="120">
        <f t="shared" si="163"/>
        <v>62.192910335172456</v>
      </c>
      <c r="H3418" s="858">
        <f>SUM((H3419:H3420))/2</f>
        <v>75</v>
      </c>
      <c r="I3418" s="863"/>
      <c r="J3418" s="44"/>
    </row>
    <row r="3419" spans="3:10" ht="20.100000000000001" hidden="1" customHeight="1">
      <c r="C3419" s="857"/>
      <c r="D3419" s="861" t="s">
        <v>2400</v>
      </c>
      <c r="E3419" s="860">
        <v>19637830500</v>
      </c>
      <c r="F3419" s="860">
        <v>10805128063</v>
      </c>
      <c r="G3419" s="120">
        <f t="shared" si="163"/>
        <v>55.022004915461508</v>
      </c>
      <c r="H3419" s="858">
        <v>60</v>
      </c>
      <c r="I3419" s="852"/>
      <c r="J3419" s="802"/>
    </row>
    <row r="3420" spans="3:10" s="656" customFormat="1" ht="20.100000000000001" hidden="1" customHeight="1">
      <c r="C3420" s="866"/>
      <c r="D3420" s="861" t="s">
        <v>2401</v>
      </c>
      <c r="E3420" s="860">
        <v>5538000000</v>
      </c>
      <c r="F3420" s="860">
        <v>4852453626</v>
      </c>
      <c r="G3420" s="120">
        <f t="shared" si="163"/>
        <v>87.621047778981591</v>
      </c>
      <c r="H3420" s="858">
        <v>90</v>
      </c>
      <c r="I3420" s="863"/>
      <c r="J3420" s="44"/>
    </row>
    <row r="3421" spans="3:10" s="656" customFormat="1" ht="20.100000000000001" hidden="1" customHeight="1">
      <c r="C3421" s="866"/>
      <c r="D3421" s="865" t="s">
        <v>215</v>
      </c>
      <c r="E3421" s="864">
        <v>328400000</v>
      </c>
      <c r="F3421" s="864">
        <v>328400000</v>
      </c>
      <c r="G3421" s="120">
        <f t="shared" si="163"/>
        <v>100</v>
      </c>
      <c r="H3421" s="858">
        <f>SUM((H3422:H3423))/2</f>
        <v>100</v>
      </c>
      <c r="I3421" s="863"/>
      <c r="J3421" s="44"/>
    </row>
    <row r="3422" spans="3:10" ht="20.100000000000001" hidden="1" customHeight="1">
      <c r="C3422" s="857"/>
      <c r="D3422" s="861" t="s">
        <v>216</v>
      </c>
      <c r="E3422" s="860">
        <v>164200000</v>
      </c>
      <c r="F3422" s="860">
        <v>164200000</v>
      </c>
      <c r="G3422" s="120">
        <f t="shared" si="163"/>
        <v>100</v>
      </c>
      <c r="H3422" s="858">
        <f>+G3422</f>
        <v>100</v>
      </c>
      <c r="I3422" s="852"/>
      <c r="J3422" s="802"/>
    </row>
    <row r="3423" spans="3:10" ht="20.100000000000001" hidden="1" customHeight="1">
      <c r="C3423" s="857"/>
      <c r="D3423" s="861" t="s">
        <v>2885</v>
      </c>
      <c r="E3423" s="860">
        <v>164200000</v>
      </c>
      <c r="F3423" s="860">
        <v>164200000</v>
      </c>
      <c r="G3423" s="120">
        <f t="shared" si="163"/>
        <v>100</v>
      </c>
      <c r="H3423" s="858">
        <f>+G3423</f>
        <v>100</v>
      </c>
      <c r="I3423" s="852"/>
      <c r="J3423" s="802"/>
    </row>
    <row r="3424" spans="3:10" s="656" customFormat="1" ht="20.100000000000001" hidden="1" customHeight="1">
      <c r="C3424" s="866"/>
      <c r="D3424" s="865" t="s">
        <v>219</v>
      </c>
      <c r="E3424" s="864">
        <v>61700000000</v>
      </c>
      <c r="F3424" s="864">
        <v>54340226377</v>
      </c>
      <c r="G3424" s="120">
        <f t="shared" si="163"/>
        <v>88.071679703403561</v>
      </c>
      <c r="H3424" s="858">
        <v>90</v>
      </c>
      <c r="I3424" s="863"/>
      <c r="J3424" s="44"/>
    </row>
    <row r="3425" spans="3:10" ht="20.100000000000001" hidden="1" customHeight="1">
      <c r="C3425" s="857"/>
      <c r="D3425" s="861" t="s">
        <v>2402</v>
      </c>
      <c r="E3425" s="860">
        <v>61700000000</v>
      </c>
      <c r="F3425" s="860">
        <v>54340226377</v>
      </c>
      <c r="G3425" s="120">
        <f t="shared" si="163"/>
        <v>88.071679703403561</v>
      </c>
      <c r="H3425" s="858">
        <v>90</v>
      </c>
      <c r="I3425" s="852"/>
      <c r="J3425" s="802"/>
    </row>
    <row r="3426" spans="3:10" s="656" customFormat="1" ht="20.100000000000001" hidden="1" customHeight="1">
      <c r="C3426" s="866"/>
      <c r="D3426" s="865" t="s">
        <v>221</v>
      </c>
      <c r="E3426" s="864">
        <v>400000000</v>
      </c>
      <c r="F3426" s="864">
        <v>0</v>
      </c>
      <c r="G3426" s="120">
        <f t="shared" si="163"/>
        <v>0</v>
      </c>
      <c r="H3426" s="858">
        <f>+G3426</f>
        <v>0</v>
      </c>
      <c r="I3426" s="863"/>
      <c r="J3426" s="44"/>
    </row>
    <row r="3427" spans="3:10" s="656" customFormat="1" ht="20.100000000000001" hidden="1" customHeight="1">
      <c r="C3427" s="866"/>
      <c r="D3427" s="861" t="s">
        <v>2403</v>
      </c>
      <c r="E3427" s="860">
        <v>400000000</v>
      </c>
      <c r="F3427" s="860">
        <v>0</v>
      </c>
      <c r="G3427" s="115">
        <f t="shared" si="163"/>
        <v>0</v>
      </c>
      <c r="H3427" s="853">
        <f>+G3427</f>
        <v>0</v>
      </c>
      <c r="I3427" s="863"/>
      <c r="J3427" s="44"/>
    </row>
    <row r="3428" spans="3:10" s="656" customFormat="1" ht="20.100000000000001" hidden="1" customHeight="1">
      <c r="C3428" s="866"/>
      <c r="D3428" s="870"/>
      <c r="E3428" s="860"/>
      <c r="F3428" s="860"/>
      <c r="G3428" s="120"/>
      <c r="H3428" s="858"/>
      <c r="I3428" s="863"/>
      <c r="J3428" s="44"/>
    </row>
    <row r="3429" spans="3:10" s="656" customFormat="1" ht="20.100000000000001" hidden="1" customHeight="1">
      <c r="C3429" s="866"/>
      <c r="D3429" s="867" t="s">
        <v>2404</v>
      </c>
      <c r="E3429" s="864">
        <v>141700000000</v>
      </c>
      <c r="F3429" s="864">
        <v>111034380283.53</v>
      </c>
      <c r="G3429" s="120">
        <f t="shared" ref="G3429:G3441" si="164">+F3429/E3429*100</f>
        <v>78.358772253726187</v>
      </c>
      <c r="H3429" s="858">
        <f>(H3430+H3433+H3439)/3</f>
        <v>85.333257055000004</v>
      </c>
      <c r="I3429" s="863"/>
      <c r="J3429" s="44"/>
    </row>
    <row r="3430" spans="3:10" s="656" customFormat="1" ht="20.100000000000001" hidden="1" customHeight="1">
      <c r="C3430" s="866"/>
      <c r="D3430" s="865" t="s">
        <v>173</v>
      </c>
      <c r="E3430" s="864">
        <v>73500000000</v>
      </c>
      <c r="F3430" s="864">
        <v>64276306275.25</v>
      </c>
      <c r="G3430" s="120">
        <f t="shared" si="164"/>
        <v>87.450756837074834</v>
      </c>
      <c r="H3430" s="858">
        <f>SUM((H3431:H3432))/2</f>
        <v>85</v>
      </c>
      <c r="I3430" s="863"/>
      <c r="J3430" s="44"/>
    </row>
    <row r="3431" spans="3:10" ht="20.100000000000001" hidden="1" customHeight="1">
      <c r="C3431" s="857"/>
      <c r="D3431" s="861" t="s">
        <v>682</v>
      </c>
      <c r="E3431" s="860">
        <v>20000000000</v>
      </c>
      <c r="F3431" s="860">
        <v>14138491452.25</v>
      </c>
      <c r="G3431" s="115">
        <f t="shared" si="164"/>
        <v>70.692457261249999</v>
      </c>
      <c r="H3431" s="853">
        <v>75</v>
      </c>
      <c r="I3431" s="852"/>
      <c r="J3431" s="802"/>
    </row>
    <row r="3432" spans="3:10" s="656" customFormat="1" ht="20.100000000000001" hidden="1" customHeight="1">
      <c r="C3432" s="866"/>
      <c r="D3432" s="861" t="s">
        <v>2405</v>
      </c>
      <c r="E3432" s="860">
        <v>53500000000</v>
      </c>
      <c r="F3432" s="860">
        <v>50137814823</v>
      </c>
      <c r="G3432" s="115">
        <f t="shared" si="164"/>
        <v>93.715541725233635</v>
      </c>
      <c r="H3432" s="853">
        <v>95</v>
      </c>
      <c r="I3432" s="863"/>
      <c r="J3432" s="44"/>
    </row>
    <row r="3433" spans="3:10" s="656" customFormat="1" ht="30" hidden="1" customHeight="1">
      <c r="C3433" s="866"/>
      <c r="D3433" s="865" t="s">
        <v>1414</v>
      </c>
      <c r="E3433" s="864">
        <v>62259338000</v>
      </c>
      <c r="F3433" s="864">
        <v>40997631550</v>
      </c>
      <c r="G3433" s="120">
        <f t="shared" si="164"/>
        <v>65.849771081729131</v>
      </c>
      <c r="H3433" s="858">
        <f>SUM((H3434:H3438))/5</f>
        <v>70.999771164999999</v>
      </c>
      <c r="I3433" s="863"/>
      <c r="J3433" s="44"/>
    </row>
    <row r="3434" spans="3:10" s="656" customFormat="1" ht="20.100000000000001" hidden="1" customHeight="1">
      <c r="C3434" s="866"/>
      <c r="D3434" s="861" t="s">
        <v>2082</v>
      </c>
      <c r="E3434" s="860">
        <v>18207500000</v>
      </c>
      <c r="F3434" s="860">
        <v>1732891650</v>
      </c>
      <c r="G3434" s="115">
        <f t="shared" si="164"/>
        <v>9.5174606618151856</v>
      </c>
      <c r="H3434" s="853">
        <v>10</v>
      </c>
      <c r="I3434" s="863"/>
      <c r="J3434" s="44"/>
    </row>
    <row r="3435" spans="3:10" s="656" customFormat="1" ht="20.100000000000001" hidden="1" customHeight="1">
      <c r="C3435" s="866"/>
      <c r="D3435" s="861" t="s">
        <v>1417</v>
      </c>
      <c r="E3435" s="860">
        <v>26690000500</v>
      </c>
      <c r="F3435" s="860">
        <v>24161971009</v>
      </c>
      <c r="G3435" s="115">
        <f t="shared" si="164"/>
        <v>90.528177431094463</v>
      </c>
      <c r="H3435" s="853">
        <v>95</v>
      </c>
      <c r="I3435" s="863"/>
      <c r="J3435" s="44"/>
    </row>
    <row r="3436" spans="3:10" s="656" customFormat="1" ht="20.100000000000001" hidden="1" customHeight="1">
      <c r="C3436" s="866"/>
      <c r="D3436" s="861" t="s">
        <v>478</v>
      </c>
      <c r="E3436" s="860">
        <v>8000000000</v>
      </c>
      <c r="F3436" s="860">
        <v>7954208027</v>
      </c>
      <c r="G3436" s="115">
        <f t="shared" si="164"/>
        <v>99.427600337499996</v>
      </c>
      <c r="H3436" s="853">
        <v>100</v>
      </c>
      <c r="I3436" s="863"/>
      <c r="J3436" s="44"/>
    </row>
    <row r="3437" spans="3:10" s="656" customFormat="1" ht="20.100000000000001" hidden="1" customHeight="1">
      <c r="C3437" s="866"/>
      <c r="D3437" s="862" t="s">
        <v>2393</v>
      </c>
      <c r="E3437" s="860">
        <v>5361837500</v>
      </c>
      <c r="F3437" s="860">
        <v>5148606631</v>
      </c>
      <c r="G3437" s="115">
        <f t="shared" si="164"/>
        <v>96.023175469230466</v>
      </c>
      <c r="H3437" s="853">
        <v>100</v>
      </c>
      <c r="I3437" s="863"/>
      <c r="J3437" s="44"/>
    </row>
    <row r="3438" spans="3:10" s="656" customFormat="1" ht="20.100000000000001" hidden="1" customHeight="1">
      <c r="C3438" s="866"/>
      <c r="D3438" s="861" t="s">
        <v>2396</v>
      </c>
      <c r="E3438" s="860">
        <v>4000000000</v>
      </c>
      <c r="F3438" s="860">
        <v>1999954233</v>
      </c>
      <c r="G3438" s="115">
        <f t="shared" si="164"/>
        <v>49.998855825</v>
      </c>
      <c r="H3438" s="853">
        <f>+G3438</f>
        <v>49.998855825</v>
      </c>
      <c r="I3438" s="863"/>
      <c r="J3438" s="44"/>
    </row>
    <row r="3439" spans="3:10" s="656" customFormat="1" ht="33" hidden="1" customHeight="1">
      <c r="C3439" s="866"/>
      <c r="D3439" s="865" t="s">
        <v>2399</v>
      </c>
      <c r="E3439" s="864">
        <v>5940662000</v>
      </c>
      <c r="F3439" s="864">
        <v>5760442458.2799997</v>
      </c>
      <c r="G3439" s="120">
        <f t="shared" si="164"/>
        <v>96.96633907601543</v>
      </c>
      <c r="H3439" s="858">
        <f>SUM((H3440:H3441))/2</f>
        <v>100</v>
      </c>
      <c r="I3439" s="863"/>
      <c r="J3439" s="44"/>
    </row>
    <row r="3440" spans="3:10" s="656" customFormat="1" ht="20.100000000000001" hidden="1" customHeight="1">
      <c r="C3440" s="866"/>
      <c r="D3440" s="862" t="s">
        <v>2406</v>
      </c>
      <c r="E3440" s="860">
        <v>5440662000</v>
      </c>
      <c r="F3440" s="860">
        <v>5273951755.2799997</v>
      </c>
      <c r="G3440" s="115">
        <f t="shared" si="164"/>
        <v>96.935846323112884</v>
      </c>
      <c r="H3440" s="853">
        <v>100</v>
      </c>
      <c r="I3440" s="863"/>
      <c r="J3440" s="44"/>
    </row>
    <row r="3441" spans="3:10" s="656" customFormat="1" ht="20.100000000000001" hidden="1" customHeight="1">
      <c r="C3441" s="866"/>
      <c r="D3441" s="861" t="s">
        <v>2407</v>
      </c>
      <c r="E3441" s="860">
        <v>500000000</v>
      </c>
      <c r="F3441" s="860">
        <v>486490703</v>
      </c>
      <c r="G3441" s="115">
        <f t="shared" si="164"/>
        <v>97.298140600000011</v>
      </c>
      <c r="H3441" s="853">
        <v>100</v>
      </c>
      <c r="I3441" s="863"/>
      <c r="J3441" s="44"/>
    </row>
    <row r="3442" spans="3:10" s="656" customFormat="1" ht="20.100000000000001" hidden="1" customHeight="1">
      <c r="C3442" s="866"/>
      <c r="D3442" s="869"/>
      <c r="E3442" s="868"/>
      <c r="F3442" s="868"/>
      <c r="G3442" s="120"/>
      <c r="H3442" s="858"/>
      <c r="I3442" s="863"/>
      <c r="J3442" s="44"/>
    </row>
    <row r="3443" spans="3:10" s="656" customFormat="1" ht="20.100000000000001" hidden="1" customHeight="1">
      <c r="C3443" s="866"/>
      <c r="D3443" s="867" t="s">
        <v>2408</v>
      </c>
      <c r="E3443" s="864">
        <v>56250000000</v>
      </c>
      <c r="F3443" s="864">
        <v>52666306464</v>
      </c>
      <c r="G3443" s="120">
        <f t="shared" ref="G3443:G3470" si="165">+F3443/E3443*100</f>
        <v>93.628989269333331</v>
      </c>
      <c r="H3443" s="858">
        <f>(H3444+H3447+H3449+H3461+H3463+H3465)/6</f>
        <v>91.25</v>
      </c>
      <c r="I3443" s="863"/>
      <c r="J3443" s="44"/>
    </row>
    <row r="3444" spans="3:10" s="656" customFormat="1" ht="20.100000000000001" hidden="1" customHeight="1">
      <c r="C3444" s="866"/>
      <c r="D3444" s="865" t="s">
        <v>887</v>
      </c>
      <c r="E3444" s="864">
        <v>3198020000</v>
      </c>
      <c r="F3444" s="864">
        <v>3076806330</v>
      </c>
      <c r="G3444" s="120">
        <f t="shared" si="165"/>
        <v>96.209727581441015</v>
      </c>
      <c r="H3444" s="858">
        <f>SUM((H3445:H3446))/2</f>
        <v>92.5</v>
      </c>
      <c r="I3444" s="863"/>
      <c r="J3444" s="44"/>
    </row>
    <row r="3445" spans="3:10" s="656" customFormat="1" ht="20.100000000000001" hidden="1" customHeight="1">
      <c r="C3445" s="866"/>
      <c r="D3445" s="861" t="s">
        <v>2385</v>
      </c>
      <c r="E3445" s="860">
        <v>664020000</v>
      </c>
      <c r="F3445" s="860">
        <v>548765247</v>
      </c>
      <c r="G3445" s="115">
        <f t="shared" si="165"/>
        <v>82.642879280744552</v>
      </c>
      <c r="H3445" s="853">
        <v>85</v>
      </c>
      <c r="I3445" s="863"/>
      <c r="J3445" s="44"/>
    </row>
    <row r="3446" spans="3:10" s="656" customFormat="1" ht="20.100000000000001" hidden="1" customHeight="1">
      <c r="C3446" s="866"/>
      <c r="D3446" s="861" t="s">
        <v>2409</v>
      </c>
      <c r="E3446" s="860">
        <v>2534000000</v>
      </c>
      <c r="F3446" s="860">
        <v>2528041083</v>
      </c>
      <c r="G3446" s="115">
        <f t="shared" si="165"/>
        <v>99.764841475927398</v>
      </c>
      <c r="H3446" s="853">
        <v>100</v>
      </c>
      <c r="I3446" s="863"/>
      <c r="J3446" s="44"/>
    </row>
    <row r="3447" spans="3:10" s="656" customFormat="1" ht="20.100000000000001" hidden="1" customHeight="1">
      <c r="C3447" s="866"/>
      <c r="D3447" s="865" t="s">
        <v>1507</v>
      </c>
      <c r="E3447" s="864">
        <v>72000000</v>
      </c>
      <c r="F3447" s="864">
        <v>70476600</v>
      </c>
      <c r="G3447" s="120">
        <f t="shared" si="165"/>
        <v>97.884166666666673</v>
      </c>
      <c r="H3447" s="858">
        <v>100</v>
      </c>
      <c r="I3447" s="863"/>
      <c r="J3447" s="44"/>
    </row>
    <row r="3448" spans="3:10" s="656" customFormat="1" ht="20.100000000000001" hidden="1" customHeight="1">
      <c r="C3448" s="866"/>
      <c r="D3448" s="861" t="s">
        <v>2410</v>
      </c>
      <c r="E3448" s="860">
        <v>72000000</v>
      </c>
      <c r="F3448" s="860">
        <v>70476600</v>
      </c>
      <c r="G3448" s="115">
        <f t="shared" si="165"/>
        <v>97.884166666666673</v>
      </c>
      <c r="H3448" s="853">
        <v>100</v>
      </c>
      <c r="I3448" s="863"/>
      <c r="J3448" s="44"/>
    </row>
    <row r="3449" spans="3:10" s="656" customFormat="1" ht="20.100000000000001" hidden="1" customHeight="1">
      <c r="C3449" s="866"/>
      <c r="D3449" s="865" t="s">
        <v>1414</v>
      </c>
      <c r="E3449" s="864">
        <v>32264352000</v>
      </c>
      <c r="F3449" s="864">
        <v>31072638986</v>
      </c>
      <c r="G3449" s="120">
        <f t="shared" si="165"/>
        <v>96.306409581695618</v>
      </c>
      <c r="H3449" s="858">
        <f>SUM((H3450:H3460))/11</f>
        <v>100</v>
      </c>
      <c r="I3449" s="863"/>
      <c r="J3449" s="44"/>
    </row>
    <row r="3450" spans="3:10" s="656" customFormat="1" ht="20.100000000000001" hidden="1" customHeight="1">
      <c r="C3450" s="866"/>
      <c r="D3450" s="861" t="s">
        <v>2411</v>
      </c>
      <c r="E3450" s="860">
        <v>9140540000</v>
      </c>
      <c r="F3450" s="860">
        <v>9083682838</v>
      </c>
      <c r="G3450" s="115">
        <f t="shared" si="165"/>
        <v>99.377967144173098</v>
      </c>
      <c r="H3450" s="853">
        <v>100</v>
      </c>
      <c r="I3450" s="863"/>
      <c r="J3450" s="44"/>
    </row>
    <row r="3451" spans="3:10" s="656" customFormat="1" ht="20.100000000000001" hidden="1" customHeight="1">
      <c r="C3451" s="866"/>
      <c r="D3451" s="861" t="s">
        <v>1417</v>
      </c>
      <c r="E3451" s="860">
        <v>5733283000</v>
      </c>
      <c r="F3451" s="860">
        <v>5658252507</v>
      </c>
      <c r="G3451" s="115">
        <f t="shared" si="165"/>
        <v>98.691317121446815</v>
      </c>
      <c r="H3451" s="853">
        <v>100</v>
      </c>
      <c r="I3451" s="863"/>
      <c r="J3451" s="44"/>
    </row>
    <row r="3452" spans="3:10" ht="20.100000000000001" hidden="1" customHeight="1">
      <c r="C3452" s="857"/>
      <c r="D3452" s="862" t="s">
        <v>2393</v>
      </c>
      <c r="E3452" s="860">
        <v>4613719000</v>
      </c>
      <c r="F3452" s="860">
        <v>4593277848</v>
      </c>
      <c r="G3452" s="115">
        <f t="shared" si="165"/>
        <v>99.556948483425188</v>
      </c>
      <c r="H3452" s="853">
        <v>100</v>
      </c>
      <c r="I3452" s="852"/>
      <c r="J3452" s="802"/>
    </row>
    <row r="3453" spans="3:10" ht="20.100000000000001" hidden="1" customHeight="1">
      <c r="C3453" s="857"/>
      <c r="D3453" s="861" t="s">
        <v>486</v>
      </c>
      <c r="E3453" s="860">
        <v>218000000</v>
      </c>
      <c r="F3453" s="860">
        <v>216826500</v>
      </c>
      <c r="G3453" s="115">
        <f t="shared" si="165"/>
        <v>99.461697247706425</v>
      </c>
      <c r="H3453" s="853">
        <v>100</v>
      </c>
      <c r="I3453" s="852"/>
      <c r="J3453" s="802"/>
    </row>
    <row r="3454" spans="3:10" ht="20.100000000000001" hidden="1" customHeight="1">
      <c r="C3454" s="857"/>
      <c r="D3454" s="861" t="s">
        <v>2396</v>
      </c>
      <c r="E3454" s="860">
        <v>3504000000</v>
      </c>
      <c r="F3454" s="860">
        <v>3487425907</v>
      </c>
      <c r="G3454" s="115">
        <f t="shared" si="165"/>
        <v>99.526995062785389</v>
      </c>
      <c r="H3454" s="853">
        <v>100</v>
      </c>
      <c r="I3454" s="852"/>
      <c r="J3454" s="802"/>
    </row>
    <row r="3455" spans="3:10" s="656" customFormat="1" ht="20.100000000000001" hidden="1" customHeight="1">
      <c r="C3455" s="866"/>
      <c r="D3455" s="861" t="s">
        <v>2884</v>
      </c>
      <c r="E3455" s="860">
        <v>6341320000</v>
      </c>
      <c r="F3455" s="860">
        <v>5344843286</v>
      </c>
      <c r="G3455" s="115">
        <f t="shared" si="165"/>
        <v>84.285973362012953</v>
      </c>
      <c r="H3455" s="853">
        <v>100</v>
      </c>
      <c r="I3455" s="863"/>
      <c r="J3455" s="44"/>
    </row>
    <row r="3456" spans="3:10" ht="20.100000000000001" hidden="1" customHeight="1">
      <c r="C3456" s="857"/>
      <c r="D3456" s="861" t="s">
        <v>2883</v>
      </c>
      <c r="E3456" s="860">
        <v>500000000</v>
      </c>
      <c r="F3456" s="860">
        <v>492493000</v>
      </c>
      <c r="G3456" s="115">
        <f t="shared" si="165"/>
        <v>98.498599999999996</v>
      </c>
      <c r="H3456" s="853">
        <v>100</v>
      </c>
      <c r="I3456" s="852"/>
      <c r="J3456" s="802"/>
    </row>
    <row r="3457" spans="3:10" s="656" customFormat="1" ht="20.100000000000001" hidden="1" customHeight="1">
      <c r="C3457" s="866"/>
      <c r="D3457" s="861" t="s">
        <v>2882</v>
      </c>
      <c r="E3457" s="860">
        <v>500000000</v>
      </c>
      <c r="F3457" s="860">
        <v>494991000</v>
      </c>
      <c r="G3457" s="115">
        <f t="shared" si="165"/>
        <v>98.998199999999997</v>
      </c>
      <c r="H3457" s="853">
        <v>100</v>
      </c>
      <c r="I3457" s="863"/>
      <c r="J3457" s="44"/>
    </row>
    <row r="3458" spans="3:10" s="656" customFormat="1" ht="20.100000000000001" hidden="1" customHeight="1">
      <c r="C3458" s="866"/>
      <c r="D3458" s="861" t="s">
        <v>2881</v>
      </c>
      <c r="E3458" s="860">
        <v>500000000</v>
      </c>
      <c r="F3458" s="860">
        <v>497490000</v>
      </c>
      <c r="G3458" s="115">
        <f t="shared" si="165"/>
        <v>99.49799999999999</v>
      </c>
      <c r="H3458" s="853">
        <v>100</v>
      </c>
      <c r="I3458" s="863"/>
      <c r="J3458" s="44"/>
    </row>
    <row r="3459" spans="3:10" s="656" customFormat="1" ht="20.100000000000001" hidden="1" customHeight="1">
      <c r="C3459" s="866"/>
      <c r="D3459" s="861" t="s">
        <v>2880</v>
      </c>
      <c r="E3459" s="860">
        <v>1095000000</v>
      </c>
      <c r="F3459" s="860">
        <v>1086155000</v>
      </c>
      <c r="G3459" s="115">
        <f t="shared" si="165"/>
        <v>99.192237442922377</v>
      </c>
      <c r="H3459" s="853">
        <v>100</v>
      </c>
      <c r="I3459" s="863"/>
      <c r="J3459" s="44"/>
    </row>
    <row r="3460" spans="3:10" s="656" customFormat="1" ht="20.100000000000001" hidden="1" customHeight="1">
      <c r="C3460" s="866"/>
      <c r="D3460" s="861" t="s">
        <v>2879</v>
      </c>
      <c r="E3460" s="860">
        <v>118490000</v>
      </c>
      <c r="F3460" s="860">
        <v>117201100</v>
      </c>
      <c r="G3460" s="115">
        <f t="shared" si="165"/>
        <v>98.912228880074267</v>
      </c>
      <c r="H3460" s="853">
        <v>100</v>
      </c>
      <c r="I3460" s="863"/>
      <c r="J3460" s="44"/>
    </row>
    <row r="3461" spans="3:10" s="656" customFormat="1" ht="20.100000000000001" hidden="1" customHeight="1">
      <c r="C3461" s="866"/>
      <c r="D3461" s="865" t="s">
        <v>2399</v>
      </c>
      <c r="E3461" s="864">
        <v>75000000</v>
      </c>
      <c r="F3461" s="864">
        <v>74378027</v>
      </c>
      <c r="G3461" s="120">
        <f t="shared" si="165"/>
        <v>99.170702666666671</v>
      </c>
      <c r="H3461" s="858">
        <v>100</v>
      </c>
      <c r="I3461" s="863"/>
      <c r="J3461" s="44"/>
    </row>
    <row r="3462" spans="3:10" s="656" customFormat="1" ht="20.100000000000001" hidden="1" customHeight="1">
      <c r="C3462" s="866"/>
      <c r="D3462" s="861" t="s">
        <v>2412</v>
      </c>
      <c r="E3462" s="860">
        <v>75000000</v>
      </c>
      <c r="F3462" s="860">
        <v>74378027</v>
      </c>
      <c r="G3462" s="115">
        <f t="shared" si="165"/>
        <v>99.170702666666671</v>
      </c>
      <c r="H3462" s="853">
        <v>100</v>
      </c>
      <c r="I3462" s="863"/>
      <c r="J3462" s="44"/>
    </row>
    <row r="3463" spans="3:10" s="656" customFormat="1" ht="20.100000000000001" hidden="1" customHeight="1">
      <c r="C3463" s="866"/>
      <c r="D3463" s="865" t="s">
        <v>219</v>
      </c>
      <c r="E3463" s="864">
        <v>8383500000</v>
      </c>
      <c r="F3463" s="864">
        <v>7713926023</v>
      </c>
      <c r="G3463" s="120">
        <f t="shared" si="165"/>
        <v>92.013192855012832</v>
      </c>
      <c r="H3463" s="858">
        <v>95</v>
      </c>
      <c r="I3463" s="863"/>
      <c r="J3463" s="44"/>
    </row>
    <row r="3464" spans="3:10" s="656" customFormat="1" ht="20.100000000000001" hidden="1" customHeight="1">
      <c r="C3464" s="866"/>
      <c r="D3464" s="861" t="s">
        <v>2381</v>
      </c>
      <c r="E3464" s="860">
        <v>8383500000</v>
      </c>
      <c r="F3464" s="860">
        <v>7713926023</v>
      </c>
      <c r="G3464" s="115">
        <f t="shared" si="165"/>
        <v>92.013192855012832</v>
      </c>
      <c r="H3464" s="853">
        <v>95</v>
      </c>
      <c r="I3464" s="863"/>
      <c r="J3464" s="44"/>
    </row>
    <row r="3465" spans="3:10" s="656" customFormat="1" ht="20.100000000000001" hidden="1" customHeight="1">
      <c r="C3465" s="866"/>
      <c r="D3465" s="865" t="s">
        <v>243</v>
      </c>
      <c r="E3465" s="864">
        <v>12257128000</v>
      </c>
      <c r="F3465" s="864">
        <v>10658080498</v>
      </c>
      <c r="G3465" s="120">
        <f t="shared" si="165"/>
        <v>86.954142095929811</v>
      </c>
      <c r="H3465" s="858">
        <f>SUM((H3466:H3470))/5</f>
        <v>60</v>
      </c>
      <c r="I3465" s="863"/>
      <c r="J3465" s="44"/>
    </row>
    <row r="3466" spans="3:10" s="656" customFormat="1" ht="20.100000000000001" hidden="1" customHeight="1">
      <c r="C3466" s="866"/>
      <c r="D3466" s="861" t="s">
        <v>244</v>
      </c>
      <c r="E3466" s="860">
        <v>680500000</v>
      </c>
      <c r="F3466" s="860">
        <v>87865000</v>
      </c>
      <c r="G3466" s="115">
        <f t="shared" si="165"/>
        <v>12.911829537105069</v>
      </c>
      <c r="H3466" s="853">
        <v>15</v>
      </c>
      <c r="I3466" s="863"/>
      <c r="J3466" s="44"/>
    </row>
    <row r="3467" spans="3:10" s="656" customFormat="1" ht="20.100000000000001" hidden="1" customHeight="1">
      <c r="C3467" s="866"/>
      <c r="D3467" s="861" t="s">
        <v>2413</v>
      </c>
      <c r="E3467" s="860">
        <v>4488150000</v>
      </c>
      <c r="F3467" s="860">
        <v>3944490000</v>
      </c>
      <c r="G3467" s="115">
        <f t="shared" si="165"/>
        <v>87.886768490357952</v>
      </c>
      <c r="H3467" s="853">
        <v>90</v>
      </c>
      <c r="I3467" s="863"/>
      <c r="J3467" s="44"/>
    </row>
    <row r="3468" spans="3:10" s="656" customFormat="1" ht="20.100000000000001" hidden="1" customHeight="1">
      <c r="C3468" s="866"/>
      <c r="D3468" s="861" t="s">
        <v>2414</v>
      </c>
      <c r="E3468" s="860">
        <v>100950000</v>
      </c>
      <c r="F3468" s="860">
        <v>10820100</v>
      </c>
      <c r="G3468" s="115">
        <f t="shared" si="165"/>
        <v>10.718276374442794</v>
      </c>
      <c r="H3468" s="853">
        <v>15</v>
      </c>
      <c r="I3468" s="863"/>
      <c r="J3468" s="44"/>
    </row>
    <row r="3469" spans="3:10" s="656" customFormat="1" ht="20.100000000000001" hidden="1" customHeight="1">
      <c r="C3469" s="866"/>
      <c r="D3469" s="861" t="s">
        <v>2415</v>
      </c>
      <c r="E3469" s="860">
        <v>1361656000</v>
      </c>
      <c r="F3469" s="860">
        <v>1039329131</v>
      </c>
      <c r="G3469" s="115">
        <f t="shared" si="165"/>
        <v>76.328318679607776</v>
      </c>
      <c r="H3469" s="853">
        <v>80</v>
      </c>
      <c r="I3469" s="863"/>
      <c r="J3469" s="44"/>
    </row>
    <row r="3470" spans="3:10" s="656" customFormat="1" ht="20.100000000000001" hidden="1" customHeight="1">
      <c r="C3470" s="866"/>
      <c r="D3470" s="861" t="s">
        <v>2416</v>
      </c>
      <c r="E3470" s="860">
        <v>5625872000</v>
      </c>
      <c r="F3470" s="860">
        <v>5575576267</v>
      </c>
      <c r="G3470" s="115">
        <f t="shared" si="165"/>
        <v>99.105992226627265</v>
      </c>
      <c r="H3470" s="853">
        <v>100</v>
      </c>
      <c r="I3470" s="863"/>
      <c r="J3470" s="44"/>
    </row>
    <row r="3471" spans="3:10" s="656" customFormat="1" ht="20.100000000000001" hidden="1" customHeight="1">
      <c r="C3471" s="866"/>
      <c r="D3471" s="869"/>
      <c r="E3471" s="868"/>
      <c r="F3471" s="868"/>
      <c r="G3471" s="120"/>
      <c r="H3471" s="858"/>
      <c r="I3471" s="863"/>
      <c r="J3471" s="44"/>
    </row>
    <row r="3472" spans="3:10" s="656" customFormat="1" ht="20.100000000000001" hidden="1" customHeight="1">
      <c r="C3472" s="866"/>
      <c r="D3472" s="867" t="s">
        <v>489</v>
      </c>
      <c r="E3472" s="864">
        <v>64885237500</v>
      </c>
      <c r="F3472" s="864">
        <v>41361551125.360001</v>
      </c>
      <c r="G3472" s="120">
        <f t="shared" ref="G3472:G3482" si="166">+F3472/E3472*100</f>
        <v>63.745703520558131</v>
      </c>
      <c r="H3472" s="858">
        <f>(H3473+H3475+H3478)/3</f>
        <v>52.5</v>
      </c>
      <c r="I3472" s="863"/>
      <c r="J3472" s="44"/>
    </row>
    <row r="3473" spans="3:10" s="656" customFormat="1" ht="20.100000000000001" hidden="1" customHeight="1">
      <c r="C3473" s="866"/>
      <c r="D3473" s="865" t="s">
        <v>888</v>
      </c>
      <c r="E3473" s="864">
        <v>11983056000</v>
      </c>
      <c r="F3473" s="864">
        <v>11719015000</v>
      </c>
      <c r="G3473" s="120">
        <f t="shared" si="166"/>
        <v>97.796547057778909</v>
      </c>
      <c r="H3473" s="858">
        <v>100</v>
      </c>
      <c r="I3473" s="863"/>
      <c r="J3473" s="44"/>
    </row>
    <row r="3474" spans="3:10" s="656" customFormat="1" ht="20.100000000000001" hidden="1" customHeight="1">
      <c r="C3474" s="866"/>
      <c r="D3474" s="861" t="s">
        <v>2878</v>
      </c>
      <c r="E3474" s="860">
        <v>11983056000</v>
      </c>
      <c r="F3474" s="860">
        <v>11719015000</v>
      </c>
      <c r="G3474" s="115">
        <f t="shared" si="166"/>
        <v>97.796547057778909</v>
      </c>
      <c r="H3474" s="853">
        <v>100</v>
      </c>
      <c r="I3474" s="863"/>
      <c r="J3474" s="44"/>
    </row>
    <row r="3475" spans="3:10" s="656" customFormat="1" ht="20.100000000000001" hidden="1" customHeight="1">
      <c r="C3475" s="866"/>
      <c r="D3475" s="865" t="s">
        <v>1560</v>
      </c>
      <c r="E3475" s="864">
        <v>13268016000</v>
      </c>
      <c r="F3475" s="864">
        <v>3431211525.3600001</v>
      </c>
      <c r="G3475" s="120">
        <f t="shared" si="166"/>
        <v>25.860773195932236</v>
      </c>
      <c r="H3475" s="858">
        <f>SUM((H3476:H3477))/2</f>
        <v>30</v>
      </c>
      <c r="I3475" s="863"/>
      <c r="J3475" s="44"/>
    </row>
    <row r="3476" spans="3:10" s="656" customFormat="1" ht="20.100000000000001" hidden="1" customHeight="1">
      <c r="C3476" s="866"/>
      <c r="D3476" s="861" t="s">
        <v>2877</v>
      </c>
      <c r="E3476" s="860">
        <v>7966944000</v>
      </c>
      <c r="F3476" s="860">
        <v>2049720750</v>
      </c>
      <c r="G3476" s="115">
        <f t="shared" si="166"/>
        <v>25.727816713660843</v>
      </c>
      <c r="H3476" s="853">
        <v>30</v>
      </c>
      <c r="I3476" s="863"/>
      <c r="J3476" s="44"/>
    </row>
    <row r="3477" spans="3:10" s="656" customFormat="1" ht="20.100000000000001" hidden="1" customHeight="1">
      <c r="C3477" s="866"/>
      <c r="D3477" s="861" t="s">
        <v>2647</v>
      </c>
      <c r="E3477" s="860">
        <v>5301072000</v>
      </c>
      <c r="F3477" s="860">
        <v>1381490775.3600001</v>
      </c>
      <c r="G3477" s="115">
        <f t="shared" si="166"/>
        <v>26.060592562410022</v>
      </c>
      <c r="H3477" s="853">
        <v>30</v>
      </c>
      <c r="I3477" s="863"/>
      <c r="J3477" s="44"/>
    </row>
    <row r="3478" spans="3:10" s="656" customFormat="1" ht="20.100000000000001" hidden="1" customHeight="1">
      <c r="C3478" s="866"/>
      <c r="D3478" s="865" t="s">
        <v>2675</v>
      </c>
      <c r="E3478" s="864">
        <v>39634165500</v>
      </c>
      <c r="F3478" s="864">
        <v>26211324600</v>
      </c>
      <c r="G3478" s="120">
        <f t="shared" si="166"/>
        <v>66.133156253788158</v>
      </c>
      <c r="H3478" s="858">
        <f>SUM((H3479:H3482))/4</f>
        <v>27.5</v>
      </c>
      <c r="I3478" s="863"/>
      <c r="J3478" s="44"/>
    </row>
    <row r="3479" spans="3:10" s="656" customFormat="1" ht="20.100000000000001" hidden="1" customHeight="1">
      <c r="C3479" s="866"/>
      <c r="D3479" s="861" t="s">
        <v>2876</v>
      </c>
      <c r="E3479" s="860">
        <v>26050000000</v>
      </c>
      <c r="F3479" s="860">
        <v>25800000000</v>
      </c>
      <c r="G3479" s="115">
        <f t="shared" si="166"/>
        <v>99.04030710172745</v>
      </c>
      <c r="H3479" s="853">
        <v>100</v>
      </c>
      <c r="I3479" s="863"/>
      <c r="J3479" s="44"/>
    </row>
    <row r="3480" spans="3:10" s="656" customFormat="1" ht="20.100000000000001" hidden="1" customHeight="1">
      <c r="C3480" s="866"/>
      <c r="D3480" s="861" t="s">
        <v>2685</v>
      </c>
      <c r="E3480" s="860">
        <v>5501072000</v>
      </c>
      <c r="F3480" s="860">
        <v>196817000</v>
      </c>
      <c r="G3480" s="115">
        <f t="shared" si="166"/>
        <v>3.5777935645997725</v>
      </c>
      <c r="H3480" s="853">
        <v>5</v>
      </c>
      <c r="I3480" s="863"/>
      <c r="J3480" s="44"/>
    </row>
    <row r="3481" spans="3:10" s="656" customFormat="1" ht="20.100000000000001" hidden="1" customHeight="1">
      <c r="C3481" s="866"/>
      <c r="D3481" s="861" t="s">
        <v>2875</v>
      </c>
      <c r="E3481" s="860">
        <v>1305000000</v>
      </c>
      <c r="F3481" s="860">
        <v>0</v>
      </c>
      <c r="G3481" s="115">
        <f t="shared" si="166"/>
        <v>0</v>
      </c>
      <c r="H3481" s="853">
        <f>+G3481</f>
        <v>0</v>
      </c>
      <c r="I3481" s="863"/>
      <c r="J3481" s="44"/>
    </row>
    <row r="3482" spans="3:10" s="656" customFormat="1" ht="20.100000000000001" hidden="1" customHeight="1">
      <c r="C3482" s="866"/>
      <c r="D3482" s="861" t="s">
        <v>2874</v>
      </c>
      <c r="E3482" s="860">
        <v>6778093500</v>
      </c>
      <c r="F3482" s="860">
        <v>214507600</v>
      </c>
      <c r="G3482" s="115">
        <f t="shared" si="166"/>
        <v>3.164718810680319</v>
      </c>
      <c r="H3482" s="853">
        <v>5</v>
      </c>
      <c r="I3482" s="863"/>
      <c r="J3482" s="44"/>
    </row>
    <row r="3483" spans="3:10" s="656" customFormat="1" ht="20.100000000000001" hidden="1" customHeight="1">
      <c r="C3483" s="866"/>
      <c r="D3483" s="869"/>
      <c r="E3483" s="868"/>
      <c r="F3483" s="868"/>
      <c r="G3483" s="120"/>
      <c r="H3483" s="858"/>
      <c r="I3483" s="863"/>
      <c r="J3483" s="44"/>
    </row>
    <row r="3484" spans="3:10" s="656" customFormat="1" ht="20.100000000000001" hidden="1" customHeight="1">
      <c r="C3484" s="866"/>
      <c r="D3484" s="867" t="s">
        <v>1564</v>
      </c>
      <c r="E3484" s="864">
        <v>10000000000</v>
      </c>
      <c r="F3484" s="864">
        <v>2646026917</v>
      </c>
      <c r="G3484" s="120">
        <f>+F3484/E3484*100</f>
        <v>26.46026917</v>
      </c>
      <c r="H3484" s="858">
        <v>30</v>
      </c>
      <c r="I3484" s="863"/>
      <c r="J3484" s="44"/>
    </row>
    <row r="3485" spans="3:10" s="656" customFormat="1" ht="20.100000000000001" hidden="1" customHeight="1">
      <c r="C3485" s="866"/>
      <c r="D3485" s="865" t="s">
        <v>2873</v>
      </c>
      <c r="E3485" s="864">
        <v>10000000000</v>
      </c>
      <c r="F3485" s="864">
        <v>2646026917</v>
      </c>
      <c r="G3485" s="120">
        <f>+F3485/E3485*100</f>
        <v>26.46026917</v>
      </c>
      <c r="H3485" s="858">
        <v>30</v>
      </c>
      <c r="I3485" s="863"/>
      <c r="J3485" s="44"/>
    </row>
    <row r="3486" spans="3:10" s="656" customFormat="1" ht="20.100000000000001" hidden="1" customHeight="1">
      <c r="C3486" s="866"/>
      <c r="D3486" s="861" t="s">
        <v>2872</v>
      </c>
      <c r="E3486" s="860">
        <v>10000000000</v>
      </c>
      <c r="F3486" s="860">
        <v>2646026917</v>
      </c>
      <c r="G3486" s="115">
        <f>+F3486/E3486*100</f>
        <v>26.46026917</v>
      </c>
      <c r="H3486" s="853">
        <v>30</v>
      </c>
      <c r="I3486" s="863"/>
      <c r="J3486" s="44"/>
    </row>
    <row r="3487" spans="3:10" s="656" customFormat="1" ht="20.100000000000001" hidden="1" customHeight="1">
      <c r="C3487" s="866"/>
      <c r="D3487" s="869"/>
      <c r="E3487" s="868"/>
      <c r="F3487" s="868"/>
      <c r="G3487" s="120"/>
      <c r="H3487" s="858"/>
      <c r="I3487" s="863"/>
      <c r="J3487" s="44"/>
    </row>
    <row r="3488" spans="3:10" s="656" customFormat="1" ht="20.100000000000001" hidden="1" customHeight="1">
      <c r="C3488" s="866"/>
      <c r="D3488" s="867" t="s">
        <v>2871</v>
      </c>
      <c r="E3488" s="864">
        <v>1000000000</v>
      </c>
      <c r="F3488" s="864">
        <v>995278800</v>
      </c>
      <c r="G3488" s="120">
        <f>+F3488/E3488*100</f>
        <v>99.527879999999996</v>
      </c>
      <c r="H3488" s="858">
        <v>100</v>
      </c>
      <c r="I3488" s="863"/>
      <c r="J3488" s="44"/>
    </row>
    <row r="3489" spans="3:10" s="656" customFormat="1" ht="20.100000000000001" hidden="1" customHeight="1">
      <c r="C3489" s="866"/>
      <c r="D3489" s="865" t="s">
        <v>2870</v>
      </c>
      <c r="E3489" s="864">
        <v>1000000000</v>
      </c>
      <c r="F3489" s="864">
        <v>995278800</v>
      </c>
      <c r="G3489" s="120">
        <f>+F3489/E3489*100</f>
        <v>99.527879999999996</v>
      </c>
      <c r="H3489" s="858">
        <v>100</v>
      </c>
      <c r="I3489" s="863"/>
      <c r="J3489" s="44"/>
    </row>
    <row r="3490" spans="3:10" s="656" customFormat="1" ht="20.100000000000001" hidden="1" customHeight="1">
      <c r="C3490" s="866"/>
      <c r="D3490" s="861" t="s">
        <v>2869</v>
      </c>
      <c r="E3490" s="860">
        <v>1000000000</v>
      </c>
      <c r="F3490" s="860">
        <v>995278800</v>
      </c>
      <c r="G3490" s="115">
        <f>+F3490/E3490*100</f>
        <v>99.527879999999996</v>
      </c>
      <c r="H3490" s="853">
        <v>100</v>
      </c>
      <c r="I3490" s="863"/>
      <c r="J3490" s="44"/>
    </row>
    <row r="3491" spans="3:10" s="656" customFormat="1" ht="20.100000000000001" hidden="1" customHeight="1">
      <c r="C3491" s="866"/>
      <c r="D3491" s="869"/>
      <c r="E3491" s="868"/>
      <c r="F3491" s="868"/>
      <c r="G3491" s="120"/>
      <c r="H3491" s="858"/>
      <c r="I3491" s="863"/>
      <c r="J3491" s="44"/>
    </row>
    <row r="3492" spans="3:10" s="656" customFormat="1" ht="20.100000000000001" hidden="1" customHeight="1">
      <c r="C3492" s="866"/>
      <c r="D3492" s="867" t="s">
        <v>967</v>
      </c>
      <c r="E3492" s="864">
        <v>2500000000</v>
      </c>
      <c r="F3492" s="864">
        <v>2496240534</v>
      </c>
      <c r="G3492" s="120">
        <f>+F3492/E3492*100</f>
        <v>99.84962136</v>
      </c>
      <c r="H3492" s="858">
        <v>100</v>
      </c>
      <c r="I3492" s="863"/>
      <c r="J3492" s="44"/>
    </row>
    <row r="3493" spans="3:10" s="656" customFormat="1" ht="20.100000000000001" hidden="1" customHeight="1">
      <c r="C3493" s="866"/>
      <c r="D3493" s="865" t="s">
        <v>304</v>
      </c>
      <c r="E3493" s="864">
        <v>2500000000</v>
      </c>
      <c r="F3493" s="864">
        <v>2496240534</v>
      </c>
      <c r="G3493" s="120">
        <f>+F3493/E3493*100</f>
        <v>99.84962136</v>
      </c>
      <c r="H3493" s="858">
        <v>100</v>
      </c>
      <c r="I3493" s="863"/>
      <c r="J3493" s="44"/>
    </row>
    <row r="3494" spans="3:10" s="656" customFormat="1" ht="20.100000000000001" hidden="1" customHeight="1">
      <c r="C3494" s="866"/>
      <c r="D3494" s="861" t="s">
        <v>2868</v>
      </c>
      <c r="E3494" s="860">
        <v>2500000000</v>
      </c>
      <c r="F3494" s="860">
        <v>2496240534</v>
      </c>
      <c r="G3494" s="115">
        <f>+F3494/E3494*100</f>
        <v>99.84962136</v>
      </c>
      <c r="H3494" s="853">
        <v>100</v>
      </c>
      <c r="I3494" s="863"/>
      <c r="J3494" s="44"/>
    </row>
    <row r="3495" spans="3:10" s="656" customFormat="1" ht="20.100000000000001" hidden="1" customHeight="1">
      <c r="C3495" s="866"/>
      <c r="D3495" s="869"/>
      <c r="E3495" s="868"/>
      <c r="F3495" s="868"/>
      <c r="G3495" s="120"/>
      <c r="H3495" s="858"/>
      <c r="I3495" s="863"/>
      <c r="J3495" s="44"/>
    </row>
    <row r="3496" spans="3:10" s="656" customFormat="1" ht="20.100000000000001" hidden="1" customHeight="1">
      <c r="C3496" s="866"/>
      <c r="D3496" s="867" t="s">
        <v>724</v>
      </c>
      <c r="E3496" s="864">
        <v>5897058000</v>
      </c>
      <c r="F3496" s="864">
        <v>5735784755</v>
      </c>
      <c r="G3496" s="120">
        <f t="shared" ref="G3496:G3501" si="167">+F3496/E3496*100</f>
        <v>97.265191473443195</v>
      </c>
      <c r="H3496" s="858">
        <v>100</v>
      </c>
      <c r="I3496" s="863"/>
      <c r="J3496" s="44"/>
    </row>
    <row r="3497" spans="3:10" s="656" customFormat="1" ht="20.100000000000001" hidden="1" customHeight="1">
      <c r="C3497" s="866"/>
      <c r="D3497" s="865" t="s">
        <v>2867</v>
      </c>
      <c r="E3497" s="864">
        <v>840050000</v>
      </c>
      <c r="F3497" s="864">
        <v>838376054</v>
      </c>
      <c r="G3497" s="120">
        <f t="shared" si="167"/>
        <v>99.800732575441941</v>
      </c>
      <c r="H3497" s="858">
        <v>100</v>
      </c>
      <c r="I3497" s="863"/>
      <c r="J3497" s="44"/>
    </row>
    <row r="3498" spans="3:10" s="656" customFormat="1" ht="20.100000000000001" hidden="1" customHeight="1">
      <c r="C3498" s="866"/>
      <c r="D3498" s="861" t="s">
        <v>2866</v>
      </c>
      <c r="E3498" s="860">
        <v>840050000</v>
      </c>
      <c r="F3498" s="860">
        <v>838376054</v>
      </c>
      <c r="G3498" s="115">
        <f t="shared" si="167"/>
        <v>99.800732575441941</v>
      </c>
      <c r="H3498" s="853">
        <v>100</v>
      </c>
      <c r="I3498" s="863"/>
      <c r="J3498" s="44"/>
    </row>
    <row r="3499" spans="3:10" s="656" customFormat="1" ht="20.100000000000001" hidden="1" customHeight="1">
      <c r="C3499" s="866"/>
      <c r="D3499" s="865" t="s">
        <v>2865</v>
      </c>
      <c r="E3499" s="864">
        <v>5057008000</v>
      </c>
      <c r="F3499" s="864">
        <v>4897408701</v>
      </c>
      <c r="G3499" s="120">
        <f t="shared" si="167"/>
        <v>96.843997498125376</v>
      </c>
      <c r="H3499" s="858">
        <v>100</v>
      </c>
      <c r="I3499" s="863"/>
      <c r="J3499" s="44"/>
    </row>
    <row r="3500" spans="3:10" s="656" customFormat="1" ht="20.100000000000001" hidden="1" customHeight="1">
      <c r="C3500" s="866"/>
      <c r="D3500" s="861" t="s">
        <v>2864</v>
      </c>
      <c r="E3500" s="860">
        <v>2853808650</v>
      </c>
      <c r="F3500" s="860">
        <v>2801099254</v>
      </c>
      <c r="G3500" s="115">
        <f t="shared" si="167"/>
        <v>98.153015760184203</v>
      </c>
      <c r="H3500" s="853">
        <v>100</v>
      </c>
      <c r="I3500" s="863"/>
      <c r="J3500" s="44"/>
    </row>
    <row r="3501" spans="3:10" s="656" customFormat="1" ht="20.100000000000001" hidden="1" customHeight="1">
      <c r="C3501" s="866"/>
      <c r="D3501" s="861" t="s">
        <v>2863</v>
      </c>
      <c r="E3501" s="860">
        <v>2203199350</v>
      </c>
      <c r="F3501" s="860">
        <v>2096309447</v>
      </c>
      <c r="G3501" s="115">
        <f t="shared" si="167"/>
        <v>95.148423450651435</v>
      </c>
      <c r="H3501" s="853">
        <v>100</v>
      </c>
      <c r="I3501" s="863"/>
      <c r="J3501" s="44"/>
    </row>
    <row r="3502" spans="3:10" s="656" customFormat="1" ht="15" hidden="1" customHeight="1">
      <c r="C3502" s="866"/>
      <c r="D3502" s="869"/>
      <c r="E3502" s="868"/>
      <c r="F3502" s="868"/>
      <c r="G3502" s="120"/>
      <c r="H3502" s="858"/>
      <c r="I3502" s="863"/>
      <c r="J3502" s="44"/>
    </row>
    <row r="3503" spans="3:10" s="656" customFormat="1" ht="15" hidden="1" customHeight="1">
      <c r="C3503" s="866"/>
      <c r="D3503" s="867" t="s">
        <v>2063</v>
      </c>
      <c r="E3503" s="864">
        <v>5000000000</v>
      </c>
      <c r="F3503" s="864">
        <v>4581780359</v>
      </c>
      <c r="G3503" s="120">
        <f t="shared" ref="G3503:G3508" si="168">+F3503/E3503*100</f>
        <v>91.635607179999994</v>
      </c>
      <c r="H3503" s="858">
        <f>(H3504+H3507)/2</f>
        <v>93.75</v>
      </c>
      <c r="I3503" s="863"/>
      <c r="J3503" s="44"/>
    </row>
    <row r="3504" spans="3:10" s="656" customFormat="1" ht="29.25" hidden="1" customHeight="1">
      <c r="C3504" s="866"/>
      <c r="D3504" s="865" t="s">
        <v>546</v>
      </c>
      <c r="E3504" s="864">
        <v>4044735600</v>
      </c>
      <c r="F3504" s="864">
        <v>3693135459</v>
      </c>
      <c r="G3504" s="120">
        <f t="shared" si="168"/>
        <v>91.307215705273791</v>
      </c>
      <c r="H3504" s="858">
        <f>185/2</f>
        <v>92.5</v>
      </c>
      <c r="I3504" s="863"/>
      <c r="J3504" s="44"/>
    </row>
    <row r="3505" spans="3:10" s="656" customFormat="1" ht="20.100000000000001" hidden="1" customHeight="1">
      <c r="C3505" s="866"/>
      <c r="D3505" s="861" t="s">
        <v>2862</v>
      </c>
      <c r="E3505" s="860">
        <v>1543558300</v>
      </c>
      <c r="F3505" s="860">
        <v>1268220383</v>
      </c>
      <c r="G3505" s="115">
        <f t="shared" si="168"/>
        <v>82.1621303840613</v>
      </c>
      <c r="H3505" s="853">
        <v>85</v>
      </c>
      <c r="I3505" s="863"/>
      <c r="J3505" s="44"/>
    </row>
    <row r="3506" spans="3:10" s="656" customFormat="1" ht="20.100000000000001" hidden="1" customHeight="1">
      <c r="C3506" s="866"/>
      <c r="D3506" s="862" t="s">
        <v>2861</v>
      </c>
      <c r="E3506" s="860">
        <v>2501177300</v>
      </c>
      <c r="F3506" s="860">
        <v>2424915076</v>
      </c>
      <c r="G3506" s="115">
        <f t="shared" si="168"/>
        <v>96.95094690008581</v>
      </c>
      <c r="H3506" s="853">
        <v>100</v>
      </c>
      <c r="I3506" s="863"/>
      <c r="J3506" s="44"/>
    </row>
    <row r="3507" spans="3:10" s="656" customFormat="1" ht="20.100000000000001" hidden="1" customHeight="1">
      <c r="C3507" s="866"/>
      <c r="D3507" s="865" t="s">
        <v>356</v>
      </c>
      <c r="E3507" s="864">
        <v>955264400</v>
      </c>
      <c r="F3507" s="864">
        <v>888644900</v>
      </c>
      <c r="G3507" s="120">
        <f t="shared" si="168"/>
        <v>93.026066919273859</v>
      </c>
      <c r="H3507" s="858">
        <v>95</v>
      </c>
      <c r="I3507" s="863"/>
      <c r="J3507" s="44"/>
    </row>
    <row r="3508" spans="3:10" s="656" customFormat="1" ht="20.100000000000001" hidden="1" customHeight="1">
      <c r="C3508" s="866"/>
      <c r="D3508" s="861" t="s">
        <v>2860</v>
      </c>
      <c r="E3508" s="860">
        <v>955264400</v>
      </c>
      <c r="F3508" s="860">
        <v>888644900</v>
      </c>
      <c r="G3508" s="115">
        <f t="shared" si="168"/>
        <v>93.026066919273859</v>
      </c>
      <c r="H3508" s="853">
        <v>95</v>
      </c>
      <c r="I3508" s="863"/>
      <c r="J3508" s="44"/>
    </row>
    <row r="3509" spans="3:10" s="656" customFormat="1" ht="20.100000000000001" hidden="1" customHeight="1">
      <c r="C3509" s="866"/>
      <c r="D3509" s="869"/>
      <c r="E3509" s="868"/>
      <c r="F3509" s="868"/>
      <c r="G3509" s="120"/>
      <c r="H3509" s="858"/>
      <c r="I3509" s="863"/>
      <c r="J3509" s="44"/>
    </row>
    <row r="3510" spans="3:10" s="656" customFormat="1" ht="20.100000000000001" hidden="1" customHeight="1">
      <c r="C3510" s="866"/>
      <c r="D3510" s="867" t="s">
        <v>2417</v>
      </c>
      <c r="E3510" s="864">
        <v>363891307010</v>
      </c>
      <c r="F3510" s="864">
        <v>303898588958</v>
      </c>
      <c r="G3510" s="120">
        <f t="shared" ref="G3510:G3547" si="169">+F3510/E3510*100</f>
        <v>83.513561083680585</v>
      </c>
      <c r="H3510" s="858">
        <f>(H3511+H3522+H3524+H3527+H3529+H3531+H3534+H3536+H3538+H3541+H3543+H3545)/12</f>
        <v>80.476190476190482</v>
      </c>
      <c r="I3510" s="863"/>
      <c r="J3510" s="44"/>
    </row>
    <row r="3511" spans="3:10" s="656" customFormat="1" ht="20.100000000000001" hidden="1" customHeight="1">
      <c r="C3511" s="866"/>
      <c r="D3511" s="865" t="s">
        <v>887</v>
      </c>
      <c r="E3511" s="864">
        <v>3446000000</v>
      </c>
      <c r="F3511" s="864">
        <v>3341983600</v>
      </c>
      <c r="G3511" s="120">
        <f t="shared" si="169"/>
        <v>96.981532211259434</v>
      </c>
      <c r="H3511" s="858">
        <f>SUM((H3512:H3518))/7</f>
        <v>85.714285714285708</v>
      </c>
      <c r="I3511" s="863"/>
      <c r="J3511" s="44"/>
    </row>
    <row r="3512" spans="3:10" s="656" customFormat="1" ht="20.100000000000001" hidden="1" customHeight="1">
      <c r="C3512" s="866"/>
      <c r="D3512" s="861" t="s">
        <v>2527</v>
      </c>
      <c r="E3512" s="860">
        <v>35000000</v>
      </c>
      <c r="F3512" s="860">
        <v>0</v>
      </c>
      <c r="G3512" s="115">
        <f t="shared" si="169"/>
        <v>0</v>
      </c>
      <c r="H3512" s="853">
        <f>+G3512</f>
        <v>0</v>
      </c>
      <c r="I3512" s="863"/>
      <c r="J3512" s="44"/>
    </row>
    <row r="3513" spans="3:10" s="656" customFormat="1" ht="20.100000000000001" hidden="1" customHeight="1">
      <c r="C3513" s="866"/>
      <c r="D3513" s="861" t="s">
        <v>2859</v>
      </c>
      <c r="E3513" s="860">
        <v>100000000</v>
      </c>
      <c r="F3513" s="860">
        <v>98500000</v>
      </c>
      <c r="G3513" s="115">
        <f t="shared" si="169"/>
        <v>98.5</v>
      </c>
      <c r="H3513" s="853">
        <v>100</v>
      </c>
      <c r="I3513" s="863"/>
      <c r="J3513" s="44"/>
    </row>
    <row r="3514" spans="3:10" s="656" customFormat="1" ht="20.100000000000001" hidden="1" customHeight="1">
      <c r="C3514" s="866"/>
      <c r="D3514" s="861" t="s">
        <v>2529</v>
      </c>
      <c r="E3514" s="860">
        <v>271400000</v>
      </c>
      <c r="F3514" s="860">
        <v>260000000</v>
      </c>
      <c r="G3514" s="115">
        <f t="shared" si="169"/>
        <v>95.799557848194553</v>
      </c>
      <c r="H3514" s="853">
        <v>100</v>
      </c>
      <c r="I3514" s="863"/>
      <c r="J3514" s="44"/>
    </row>
    <row r="3515" spans="3:10" ht="20.100000000000001" hidden="1" customHeight="1">
      <c r="C3515" s="857"/>
      <c r="D3515" s="861" t="s">
        <v>2799</v>
      </c>
      <c r="E3515" s="860">
        <v>300000000</v>
      </c>
      <c r="F3515" s="860">
        <v>299500000</v>
      </c>
      <c r="G3515" s="115">
        <f t="shared" si="169"/>
        <v>99.833333333333329</v>
      </c>
      <c r="H3515" s="853">
        <v>100</v>
      </c>
      <c r="I3515" s="852"/>
      <c r="J3515" s="802"/>
    </row>
    <row r="3516" spans="3:10" s="656" customFormat="1" ht="20.100000000000001" hidden="1" customHeight="1">
      <c r="C3516" s="866"/>
      <c r="D3516" s="861" t="s">
        <v>2532</v>
      </c>
      <c r="E3516" s="860">
        <v>800000000</v>
      </c>
      <c r="F3516" s="860">
        <v>785832000</v>
      </c>
      <c r="G3516" s="115">
        <f t="shared" si="169"/>
        <v>98.228999999999999</v>
      </c>
      <c r="H3516" s="853">
        <v>100</v>
      </c>
      <c r="I3516" s="863"/>
      <c r="J3516" s="44"/>
    </row>
    <row r="3517" spans="3:10" s="656" customFormat="1" ht="20.100000000000001" hidden="1" customHeight="1">
      <c r="C3517" s="866"/>
      <c r="D3517" s="861" t="s">
        <v>2798</v>
      </c>
      <c r="E3517" s="860">
        <v>1800000000</v>
      </c>
      <c r="F3517" s="860">
        <v>1759793600</v>
      </c>
      <c r="G3517" s="115">
        <f t="shared" si="169"/>
        <v>97.766311111111122</v>
      </c>
      <c r="H3517" s="853">
        <v>100</v>
      </c>
      <c r="I3517" s="863"/>
      <c r="J3517" s="44"/>
    </row>
    <row r="3518" spans="3:10" s="656" customFormat="1" ht="20.100000000000001" hidden="1" customHeight="1">
      <c r="C3518" s="866"/>
      <c r="D3518" s="861" t="s">
        <v>2797</v>
      </c>
      <c r="E3518" s="860">
        <v>139600000</v>
      </c>
      <c r="F3518" s="860">
        <v>138358000</v>
      </c>
      <c r="G3518" s="115">
        <f t="shared" si="169"/>
        <v>99.110315186246424</v>
      </c>
      <c r="H3518" s="853">
        <v>100</v>
      </c>
      <c r="I3518" s="863"/>
      <c r="J3518" s="44"/>
    </row>
    <row r="3519" spans="3:10" s="656" customFormat="1" ht="20.100000000000001" hidden="1" customHeight="1">
      <c r="C3519" s="866"/>
      <c r="D3519" s="865" t="s">
        <v>888</v>
      </c>
      <c r="E3519" s="864">
        <v>550000000</v>
      </c>
      <c r="F3519" s="864">
        <v>322000000</v>
      </c>
      <c r="G3519" s="120">
        <f t="shared" si="169"/>
        <v>58.545454545454547</v>
      </c>
      <c r="H3519" s="858">
        <f>SUM((H3520:H3521))/2</f>
        <v>67.5</v>
      </c>
      <c r="I3519" s="863"/>
      <c r="J3519" s="44"/>
    </row>
    <row r="3520" spans="3:10" s="656" customFormat="1" ht="20.100000000000001" hidden="1" customHeight="1">
      <c r="C3520" s="866"/>
      <c r="D3520" s="861" t="s">
        <v>889</v>
      </c>
      <c r="E3520" s="860">
        <v>200000000</v>
      </c>
      <c r="F3520" s="860">
        <v>200000000</v>
      </c>
      <c r="G3520" s="115">
        <f t="shared" si="169"/>
        <v>100</v>
      </c>
      <c r="H3520" s="853">
        <f>+G3520</f>
        <v>100</v>
      </c>
      <c r="I3520" s="863"/>
      <c r="J3520" s="44"/>
    </row>
    <row r="3521" spans="3:10" s="656" customFormat="1" ht="20.100000000000001" hidden="1" customHeight="1">
      <c r="C3521" s="866"/>
      <c r="D3521" s="861" t="s">
        <v>2535</v>
      </c>
      <c r="E3521" s="860">
        <v>350000000</v>
      </c>
      <c r="F3521" s="860">
        <v>122000000</v>
      </c>
      <c r="G3521" s="115">
        <f t="shared" si="169"/>
        <v>34.857142857142861</v>
      </c>
      <c r="H3521" s="853">
        <v>35</v>
      </c>
      <c r="I3521" s="863"/>
      <c r="J3521" s="44"/>
    </row>
    <row r="3522" spans="3:10" s="656" customFormat="1" ht="20.100000000000001" hidden="1" customHeight="1">
      <c r="C3522" s="866"/>
      <c r="D3522" s="865" t="s">
        <v>2791</v>
      </c>
      <c r="E3522" s="864">
        <v>200000000</v>
      </c>
      <c r="F3522" s="864">
        <v>61200000</v>
      </c>
      <c r="G3522" s="120">
        <f t="shared" si="169"/>
        <v>30.599999999999998</v>
      </c>
      <c r="H3522" s="858">
        <v>35</v>
      </c>
      <c r="I3522" s="863"/>
      <c r="J3522" s="44"/>
    </row>
    <row r="3523" spans="3:10" s="656" customFormat="1" ht="20.100000000000001" hidden="1" customHeight="1">
      <c r="C3523" s="866"/>
      <c r="D3523" s="861" t="s">
        <v>2790</v>
      </c>
      <c r="E3523" s="860">
        <v>200000000</v>
      </c>
      <c r="F3523" s="860">
        <v>61200000</v>
      </c>
      <c r="G3523" s="115">
        <f t="shared" si="169"/>
        <v>30.599999999999998</v>
      </c>
      <c r="H3523" s="853">
        <v>35</v>
      </c>
      <c r="I3523" s="863"/>
      <c r="J3523" s="44"/>
    </row>
    <row r="3524" spans="3:10" s="656" customFormat="1" ht="20.100000000000001" hidden="1" customHeight="1">
      <c r="C3524" s="866"/>
      <c r="D3524" s="865" t="s">
        <v>2418</v>
      </c>
      <c r="E3524" s="864">
        <v>1858900000</v>
      </c>
      <c r="F3524" s="864">
        <v>1466350100</v>
      </c>
      <c r="G3524" s="120">
        <f t="shared" si="169"/>
        <v>78.882677927806768</v>
      </c>
      <c r="H3524" s="858">
        <f>SUM((H3525:H3526))/2</f>
        <v>87.5</v>
      </c>
      <c r="I3524" s="863"/>
      <c r="J3524" s="44"/>
    </row>
    <row r="3525" spans="3:10" s="656" customFormat="1" ht="20.100000000000001" hidden="1" customHeight="1">
      <c r="C3525" s="866"/>
      <c r="D3525" s="861" t="s">
        <v>2419</v>
      </c>
      <c r="E3525" s="860">
        <v>497750000</v>
      </c>
      <c r="F3525" s="860">
        <v>497750000</v>
      </c>
      <c r="G3525" s="115">
        <f t="shared" si="169"/>
        <v>100</v>
      </c>
      <c r="H3525" s="853">
        <f>+G3525</f>
        <v>100</v>
      </c>
      <c r="I3525" s="852"/>
      <c r="J3525" s="44"/>
    </row>
    <row r="3526" spans="3:10" s="656" customFormat="1" ht="20.100000000000001" hidden="1" customHeight="1">
      <c r="C3526" s="866"/>
      <c r="D3526" s="861" t="s">
        <v>2420</v>
      </c>
      <c r="E3526" s="860">
        <v>1361150000</v>
      </c>
      <c r="F3526" s="860">
        <v>968600100</v>
      </c>
      <c r="G3526" s="115">
        <f t="shared" si="169"/>
        <v>71.160423171582849</v>
      </c>
      <c r="H3526" s="853">
        <v>75</v>
      </c>
      <c r="I3526" s="852"/>
      <c r="J3526" s="44"/>
    </row>
    <row r="3527" spans="3:10" s="656" customFormat="1" ht="20.100000000000001" hidden="1" customHeight="1">
      <c r="C3527" s="866"/>
      <c r="D3527" s="865" t="s">
        <v>2421</v>
      </c>
      <c r="E3527" s="864">
        <v>491999000</v>
      </c>
      <c r="F3527" s="864">
        <v>491999000</v>
      </c>
      <c r="G3527" s="120">
        <f t="shared" si="169"/>
        <v>100</v>
      </c>
      <c r="H3527" s="858">
        <f>+G3527</f>
        <v>100</v>
      </c>
      <c r="I3527" s="863"/>
      <c r="J3527" s="44"/>
    </row>
    <row r="3528" spans="3:10" s="656" customFormat="1" ht="20.100000000000001" hidden="1" customHeight="1">
      <c r="C3528" s="866"/>
      <c r="D3528" s="861" t="s">
        <v>2858</v>
      </c>
      <c r="E3528" s="860">
        <v>491999000</v>
      </c>
      <c r="F3528" s="860">
        <v>491999000</v>
      </c>
      <c r="G3528" s="115">
        <f t="shared" si="169"/>
        <v>100</v>
      </c>
      <c r="H3528" s="853">
        <f>+G3528</f>
        <v>100</v>
      </c>
      <c r="I3528" s="863"/>
      <c r="J3528" s="44"/>
    </row>
    <row r="3529" spans="3:10" s="656" customFormat="1" ht="20.100000000000001" hidden="1" customHeight="1">
      <c r="C3529" s="866"/>
      <c r="D3529" s="865" t="s">
        <v>2423</v>
      </c>
      <c r="E3529" s="864">
        <v>765250000</v>
      </c>
      <c r="F3529" s="864">
        <v>578517698</v>
      </c>
      <c r="G3529" s="120">
        <f t="shared" si="169"/>
        <v>75.598523097027112</v>
      </c>
      <c r="H3529" s="858">
        <v>75</v>
      </c>
      <c r="I3529" s="863"/>
      <c r="J3529" s="44"/>
    </row>
    <row r="3530" spans="3:10" s="656" customFormat="1" ht="20.100000000000001" hidden="1" customHeight="1">
      <c r="C3530" s="866"/>
      <c r="D3530" s="861" t="s">
        <v>2857</v>
      </c>
      <c r="E3530" s="860">
        <v>765250000</v>
      </c>
      <c r="F3530" s="860">
        <v>578517698</v>
      </c>
      <c r="G3530" s="115">
        <f t="shared" si="169"/>
        <v>75.598523097027112</v>
      </c>
      <c r="H3530" s="853">
        <v>75</v>
      </c>
      <c r="I3530" s="863"/>
      <c r="J3530" s="44"/>
    </row>
    <row r="3531" spans="3:10" s="656" customFormat="1" ht="20.100000000000001" hidden="1" customHeight="1">
      <c r="C3531" s="866"/>
      <c r="D3531" s="865" t="s">
        <v>556</v>
      </c>
      <c r="E3531" s="864">
        <v>16144032000</v>
      </c>
      <c r="F3531" s="864">
        <v>10869313944</v>
      </c>
      <c r="G3531" s="120">
        <f t="shared" si="169"/>
        <v>67.32713329606878</v>
      </c>
      <c r="H3531" s="858">
        <f>SUM((H3532:H3533))/2</f>
        <v>65</v>
      </c>
      <c r="I3531" s="863"/>
      <c r="J3531" s="44"/>
    </row>
    <row r="3532" spans="3:10" s="656" customFormat="1" ht="20.100000000000001" hidden="1" customHeight="1">
      <c r="C3532" s="866"/>
      <c r="D3532" s="861" t="s">
        <v>2426</v>
      </c>
      <c r="E3532" s="860">
        <v>15214432000</v>
      </c>
      <c r="F3532" s="860">
        <v>10317110900</v>
      </c>
      <c r="G3532" s="115">
        <f t="shared" si="169"/>
        <v>67.811344518152239</v>
      </c>
      <c r="H3532" s="853">
        <v>70</v>
      </c>
      <c r="I3532" s="863"/>
      <c r="J3532" s="44"/>
    </row>
    <row r="3533" spans="3:10" s="656" customFormat="1" ht="20.100000000000001" hidden="1" customHeight="1">
      <c r="C3533" s="866"/>
      <c r="D3533" s="861" t="s">
        <v>2856</v>
      </c>
      <c r="E3533" s="860">
        <v>929600000</v>
      </c>
      <c r="F3533" s="860">
        <v>552203044</v>
      </c>
      <c r="G3533" s="115">
        <f t="shared" si="169"/>
        <v>59.402220740103274</v>
      </c>
      <c r="H3533" s="853">
        <v>60</v>
      </c>
      <c r="I3533" s="863"/>
      <c r="J3533" s="44"/>
    </row>
    <row r="3534" spans="3:10" s="656" customFormat="1" ht="20.100000000000001" hidden="1" customHeight="1">
      <c r="C3534" s="866"/>
      <c r="D3534" s="865" t="s">
        <v>558</v>
      </c>
      <c r="E3534" s="864">
        <v>265704915000</v>
      </c>
      <c r="F3534" s="864">
        <v>221424656685</v>
      </c>
      <c r="G3534" s="120">
        <f t="shared" si="169"/>
        <v>83.334798938514183</v>
      </c>
      <c r="H3534" s="858">
        <v>85</v>
      </c>
      <c r="I3534" s="863"/>
      <c r="J3534" s="44"/>
    </row>
    <row r="3535" spans="3:10" s="656" customFormat="1" ht="20.100000000000001" hidden="1" customHeight="1">
      <c r="C3535" s="866"/>
      <c r="D3535" s="861" t="s">
        <v>2855</v>
      </c>
      <c r="E3535" s="860">
        <v>265704915000</v>
      </c>
      <c r="F3535" s="860">
        <v>221424656685</v>
      </c>
      <c r="G3535" s="115">
        <f t="shared" si="169"/>
        <v>83.334798938514183</v>
      </c>
      <c r="H3535" s="853">
        <v>85</v>
      </c>
      <c r="I3535" s="863"/>
      <c r="J3535" s="44"/>
    </row>
    <row r="3536" spans="3:10" s="656" customFormat="1" ht="20.100000000000001" hidden="1" customHeight="1">
      <c r="C3536" s="866"/>
      <c r="D3536" s="865" t="s">
        <v>2854</v>
      </c>
      <c r="E3536" s="864">
        <v>22796050000</v>
      </c>
      <c r="F3536" s="864">
        <v>19153586300</v>
      </c>
      <c r="G3536" s="120">
        <f t="shared" si="169"/>
        <v>84.021513814893368</v>
      </c>
      <c r="H3536" s="858">
        <v>85</v>
      </c>
      <c r="I3536" s="863"/>
      <c r="J3536" s="44"/>
    </row>
    <row r="3537" spans="3:10" s="656" customFormat="1" ht="20.100000000000001" hidden="1" customHeight="1">
      <c r="C3537" s="866"/>
      <c r="D3537" s="861" t="s">
        <v>2853</v>
      </c>
      <c r="E3537" s="860">
        <v>22796050000</v>
      </c>
      <c r="F3537" s="860">
        <v>19153586300</v>
      </c>
      <c r="G3537" s="115">
        <f t="shared" si="169"/>
        <v>84.021513814893368</v>
      </c>
      <c r="H3537" s="853">
        <v>85</v>
      </c>
      <c r="I3537" s="863"/>
      <c r="J3537" s="44"/>
    </row>
    <row r="3538" spans="3:10" s="656" customFormat="1" ht="20.100000000000001" hidden="1" customHeight="1">
      <c r="C3538" s="866"/>
      <c r="D3538" s="865" t="s">
        <v>2852</v>
      </c>
      <c r="E3538" s="864">
        <v>7468878510</v>
      </c>
      <c r="F3538" s="864">
        <v>7129707088</v>
      </c>
      <c r="G3538" s="120">
        <f t="shared" si="169"/>
        <v>95.458870812453483</v>
      </c>
      <c r="H3538" s="858">
        <f>SUM((H3539:H3540))/2</f>
        <v>95</v>
      </c>
      <c r="I3538" s="863"/>
      <c r="J3538" s="44"/>
    </row>
    <row r="3539" spans="3:10" s="656" customFormat="1" ht="20.100000000000001" hidden="1" customHeight="1">
      <c r="C3539" s="866"/>
      <c r="D3539" s="862" t="s">
        <v>2851</v>
      </c>
      <c r="E3539" s="860">
        <v>2483878510</v>
      </c>
      <c r="F3539" s="860">
        <v>2148032388</v>
      </c>
      <c r="G3539" s="115">
        <f t="shared" si="169"/>
        <v>86.47896341757874</v>
      </c>
      <c r="H3539" s="853">
        <v>90</v>
      </c>
      <c r="I3539" s="863"/>
      <c r="J3539" s="44"/>
    </row>
    <row r="3540" spans="3:10" s="656" customFormat="1" ht="20.100000000000001" hidden="1" customHeight="1">
      <c r="C3540" s="866"/>
      <c r="D3540" s="861" t="s">
        <v>2850</v>
      </c>
      <c r="E3540" s="860">
        <v>4985000000</v>
      </c>
      <c r="F3540" s="860">
        <v>4981674700</v>
      </c>
      <c r="G3540" s="115">
        <f t="shared" si="169"/>
        <v>99.933293881644943</v>
      </c>
      <c r="H3540" s="853">
        <v>100</v>
      </c>
      <c r="I3540" s="863"/>
      <c r="J3540" s="44"/>
    </row>
    <row r="3541" spans="3:10" s="656" customFormat="1" ht="29.25" hidden="1" customHeight="1">
      <c r="C3541" s="866"/>
      <c r="D3541" s="865" t="s">
        <v>2849</v>
      </c>
      <c r="E3541" s="864">
        <v>800000000</v>
      </c>
      <c r="F3541" s="864">
        <v>732890000</v>
      </c>
      <c r="G3541" s="120">
        <f t="shared" si="169"/>
        <v>91.611249999999998</v>
      </c>
      <c r="H3541" s="858">
        <v>95</v>
      </c>
      <c r="I3541" s="863"/>
      <c r="J3541" s="44"/>
    </row>
    <row r="3542" spans="3:10" s="656" customFormat="1" ht="29.25" hidden="1" customHeight="1">
      <c r="C3542" s="866"/>
      <c r="D3542" s="862" t="s">
        <v>2848</v>
      </c>
      <c r="E3542" s="860">
        <v>800000000</v>
      </c>
      <c r="F3542" s="860">
        <v>732890000</v>
      </c>
      <c r="G3542" s="115">
        <f t="shared" si="169"/>
        <v>91.611249999999998</v>
      </c>
      <c r="H3542" s="853">
        <v>95</v>
      </c>
      <c r="I3542" s="863"/>
      <c r="J3542" s="44"/>
    </row>
    <row r="3543" spans="3:10" s="656" customFormat="1" ht="20.100000000000001" hidden="1" customHeight="1">
      <c r="C3543" s="866"/>
      <c r="D3543" s="865" t="s">
        <v>2847</v>
      </c>
      <c r="E3543" s="864">
        <v>39190445000</v>
      </c>
      <c r="F3543" s="864">
        <v>34980077863</v>
      </c>
      <c r="G3543" s="120">
        <f t="shared" si="169"/>
        <v>89.25664881580191</v>
      </c>
      <c r="H3543" s="858">
        <v>90</v>
      </c>
      <c r="I3543" s="863"/>
      <c r="J3543" s="44"/>
    </row>
    <row r="3544" spans="3:10" s="656" customFormat="1" ht="20.100000000000001" hidden="1" customHeight="1">
      <c r="C3544" s="866"/>
      <c r="D3544" s="861" t="s">
        <v>2846</v>
      </c>
      <c r="E3544" s="860">
        <v>39190445000</v>
      </c>
      <c r="F3544" s="860">
        <v>34980077863</v>
      </c>
      <c r="G3544" s="115">
        <f t="shared" si="169"/>
        <v>89.25664881580191</v>
      </c>
      <c r="H3544" s="853">
        <v>90</v>
      </c>
      <c r="I3544" s="863"/>
      <c r="J3544" s="44"/>
    </row>
    <row r="3545" spans="3:10" s="656" customFormat="1" ht="20.100000000000001" hidden="1" customHeight="1">
      <c r="C3545" s="866"/>
      <c r="D3545" s="865" t="s">
        <v>2845</v>
      </c>
      <c r="E3545" s="864">
        <v>4474837500</v>
      </c>
      <c r="F3545" s="864">
        <v>3346306680</v>
      </c>
      <c r="G3545" s="120">
        <f t="shared" si="169"/>
        <v>74.7805183987128</v>
      </c>
      <c r="H3545" s="858">
        <f>SUM((H3546:H3547))/2</f>
        <v>67.5</v>
      </c>
      <c r="I3545" s="863"/>
      <c r="J3545" s="44"/>
    </row>
    <row r="3546" spans="3:10" s="656" customFormat="1" ht="20.100000000000001" hidden="1" customHeight="1">
      <c r="C3546" s="866"/>
      <c r="D3546" s="861" t="s">
        <v>2844</v>
      </c>
      <c r="E3546" s="860">
        <v>3646250000</v>
      </c>
      <c r="F3546" s="860">
        <v>2991496930</v>
      </c>
      <c r="G3546" s="115">
        <f t="shared" si="169"/>
        <v>82.043110867329446</v>
      </c>
      <c r="H3546" s="853">
        <v>85</v>
      </c>
      <c r="I3546" s="863"/>
      <c r="J3546" s="44"/>
    </row>
    <row r="3547" spans="3:10" s="656" customFormat="1" ht="20.100000000000001" hidden="1" customHeight="1">
      <c r="C3547" s="866"/>
      <c r="D3547" s="861" t="s">
        <v>2843</v>
      </c>
      <c r="E3547" s="860">
        <v>828587500</v>
      </c>
      <c r="F3547" s="860">
        <v>354809750</v>
      </c>
      <c r="G3547" s="115">
        <f t="shared" si="169"/>
        <v>42.82103579887459</v>
      </c>
      <c r="H3547" s="853">
        <v>50</v>
      </c>
      <c r="I3547" s="863"/>
      <c r="J3547" s="44"/>
    </row>
    <row r="3548" spans="3:10" s="656" customFormat="1" ht="15" hidden="1" customHeight="1">
      <c r="C3548" s="866"/>
      <c r="D3548" s="869"/>
      <c r="E3548" s="868"/>
      <c r="F3548" s="868"/>
      <c r="G3548" s="120"/>
      <c r="H3548" s="858"/>
      <c r="I3548" s="863"/>
      <c r="J3548" s="44"/>
    </row>
    <row r="3549" spans="3:10" s="656" customFormat="1" ht="20.100000000000001" hidden="1" customHeight="1">
      <c r="C3549" s="866"/>
      <c r="D3549" s="867" t="s">
        <v>724</v>
      </c>
      <c r="E3549" s="864">
        <v>431754000</v>
      </c>
      <c r="F3549" s="864">
        <v>427108500</v>
      </c>
      <c r="G3549" s="120">
        <f>+F3549/E3549*100</f>
        <v>98.924040078377956</v>
      </c>
      <c r="H3549" s="858">
        <v>100</v>
      </c>
      <c r="I3549" s="863"/>
      <c r="J3549" s="44"/>
    </row>
    <row r="3550" spans="3:10" s="656" customFormat="1" ht="20.100000000000001" hidden="1" customHeight="1">
      <c r="C3550" s="866"/>
      <c r="D3550" s="865" t="s">
        <v>2842</v>
      </c>
      <c r="E3550" s="864">
        <v>431754000</v>
      </c>
      <c r="F3550" s="864">
        <v>427108500</v>
      </c>
      <c r="G3550" s="120">
        <f>+F3550/E3550*100</f>
        <v>98.924040078377956</v>
      </c>
      <c r="H3550" s="858">
        <v>100</v>
      </c>
      <c r="I3550" s="863"/>
      <c r="J3550" s="44"/>
    </row>
    <row r="3551" spans="3:10" s="656" customFormat="1" ht="20.100000000000001" hidden="1" customHeight="1">
      <c r="C3551" s="866"/>
      <c r="D3551" s="861" t="s">
        <v>2841</v>
      </c>
      <c r="E3551" s="860">
        <v>431754000</v>
      </c>
      <c r="F3551" s="860">
        <v>427108500</v>
      </c>
      <c r="G3551" s="115">
        <f>+F3551/E3551*100</f>
        <v>98.924040078377956</v>
      </c>
      <c r="H3551" s="853">
        <v>100</v>
      </c>
      <c r="I3551" s="863"/>
      <c r="J3551" s="44"/>
    </row>
    <row r="3552" spans="3:10" s="656" customFormat="1" ht="20.100000000000001" hidden="1" customHeight="1">
      <c r="C3552" s="866"/>
      <c r="D3552" s="869"/>
      <c r="E3552" s="868"/>
      <c r="F3552" s="868"/>
      <c r="G3552" s="120"/>
      <c r="H3552" s="858"/>
      <c r="I3552" s="863"/>
      <c r="J3552" s="44"/>
    </row>
    <row r="3553" spans="3:10" s="656" customFormat="1" ht="20.100000000000001" hidden="1" customHeight="1">
      <c r="C3553" s="866"/>
      <c r="D3553" s="867" t="s">
        <v>2840</v>
      </c>
      <c r="E3553" s="864">
        <v>2500000000</v>
      </c>
      <c r="F3553" s="864">
        <v>2492923151</v>
      </c>
      <c r="G3553" s="120">
        <f>+F3553/E3553*100</f>
        <v>99.716926040000004</v>
      </c>
      <c r="H3553" s="858">
        <v>100</v>
      </c>
      <c r="I3553" s="863"/>
      <c r="J3553" s="44"/>
    </row>
    <row r="3554" spans="3:10" s="656" customFormat="1" ht="20.100000000000001" hidden="1" customHeight="1">
      <c r="C3554" s="866"/>
      <c r="D3554" s="865" t="s">
        <v>280</v>
      </c>
      <c r="E3554" s="864">
        <v>2500000000</v>
      </c>
      <c r="F3554" s="864">
        <v>2492923151</v>
      </c>
      <c r="G3554" s="120">
        <f>+F3554/E3554*100</f>
        <v>99.716926040000004</v>
      </c>
      <c r="H3554" s="858">
        <v>100</v>
      </c>
      <c r="I3554" s="863"/>
      <c r="J3554" s="44"/>
    </row>
    <row r="3555" spans="3:10" s="656" customFormat="1" ht="20.100000000000001" hidden="1" customHeight="1">
      <c r="C3555" s="866"/>
      <c r="D3555" s="861" t="s">
        <v>281</v>
      </c>
      <c r="E3555" s="860">
        <v>1580000000</v>
      </c>
      <c r="F3555" s="860">
        <v>1572923151</v>
      </c>
      <c r="G3555" s="115">
        <f>+F3555/E3555*100</f>
        <v>99.552098164556952</v>
      </c>
      <c r="H3555" s="853">
        <v>100</v>
      </c>
      <c r="I3555" s="863"/>
      <c r="J3555" s="44"/>
    </row>
    <row r="3556" spans="3:10" s="656" customFormat="1" ht="20.100000000000001" hidden="1" customHeight="1">
      <c r="C3556" s="866"/>
      <c r="D3556" s="861" t="s">
        <v>282</v>
      </c>
      <c r="E3556" s="860">
        <v>920000000</v>
      </c>
      <c r="F3556" s="860">
        <v>920000000</v>
      </c>
      <c r="G3556" s="115">
        <f>+F3556/E3556*100</f>
        <v>100</v>
      </c>
      <c r="H3556" s="853">
        <f>+G3556</f>
        <v>100</v>
      </c>
      <c r="I3556" s="863"/>
      <c r="J3556" s="44"/>
    </row>
    <row r="3557" spans="3:10" s="656" customFormat="1" ht="20.100000000000001" hidden="1" customHeight="1">
      <c r="C3557" s="866"/>
      <c r="D3557" s="869"/>
      <c r="E3557" s="868"/>
      <c r="F3557" s="868"/>
      <c r="G3557" s="120"/>
      <c r="H3557" s="858"/>
      <c r="I3557" s="863"/>
      <c r="J3557" s="44"/>
    </row>
    <row r="3558" spans="3:10" s="656" customFormat="1" ht="20.100000000000001" hidden="1" customHeight="1">
      <c r="C3558" s="866"/>
      <c r="D3558" s="867" t="s">
        <v>70</v>
      </c>
      <c r="E3558" s="864">
        <v>18085000000</v>
      </c>
      <c r="F3558" s="864">
        <v>17928978462</v>
      </c>
      <c r="G3558" s="120">
        <f t="shared" ref="G3558:G3576" si="170">+F3558/E3558*100</f>
        <v>99.137287597456464</v>
      </c>
      <c r="H3558" s="858">
        <v>100</v>
      </c>
      <c r="I3558" s="863"/>
      <c r="J3558" s="44"/>
    </row>
    <row r="3559" spans="3:10" s="656" customFormat="1" ht="20.100000000000001" hidden="1" customHeight="1">
      <c r="C3559" s="866"/>
      <c r="D3559" s="865" t="s">
        <v>1831</v>
      </c>
      <c r="E3559" s="864">
        <v>300000000</v>
      </c>
      <c r="F3559" s="864">
        <v>299450000</v>
      </c>
      <c r="G3559" s="120">
        <f t="shared" si="170"/>
        <v>99.816666666666663</v>
      </c>
      <c r="H3559" s="858">
        <v>100</v>
      </c>
      <c r="I3559" s="863"/>
      <c r="J3559" s="44"/>
    </row>
    <row r="3560" spans="3:10" s="656" customFormat="1" ht="20.100000000000001" hidden="1" customHeight="1">
      <c r="C3560" s="866"/>
      <c r="D3560" s="861" t="s">
        <v>708</v>
      </c>
      <c r="E3560" s="860">
        <v>300000000</v>
      </c>
      <c r="F3560" s="860">
        <v>299450000</v>
      </c>
      <c r="G3560" s="115">
        <f t="shared" si="170"/>
        <v>99.816666666666663</v>
      </c>
      <c r="H3560" s="853">
        <v>100</v>
      </c>
      <c r="I3560" s="863"/>
      <c r="J3560" s="44"/>
    </row>
    <row r="3561" spans="3:10" s="656" customFormat="1" ht="20.100000000000001" hidden="1" customHeight="1">
      <c r="C3561" s="866"/>
      <c r="D3561" s="865" t="s">
        <v>286</v>
      </c>
      <c r="E3561" s="864">
        <v>3500000000</v>
      </c>
      <c r="F3561" s="864">
        <v>3498339000</v>
      </c>
      <c r="G3561" s="120">
        <f t="shared" si="170"/>
        <v>99.952542857142859</v>
      </c>
      <c r="H3561" s="858">
        <v>100</v>
      </c>
      <c r="I3561" s="863"/>
      <c r="J3561" s="44"/>
    </row>
    <row r="3562" spans="3:10" s="656" customFormat="1" ht="20.100000000000001" hidden="1" customHeight="1">
      <c r="C3562" s="866"/>
      <c r="D3562" s="861" t="s">
        <v>2839</v>
      </c>
      <c r="E3562" s="860">
        <v>3500000000</v>
      </c>
      <c r="F3562" s="860">
        <v>3498339000</v>
      </c>
      <c r="G3562" s="115">
        <f t="shared" si="170"/>
        <v>99.952542857142859</v>
      </c>
      <c r="H3562" s="853">
        <v>100</v>
      </c>
      <c r="I3562" s="863"/>
      <c r="J3562" s="44"/>
    </row>
    <row r="3563" spans="3:10" s="656" customFormat="1" ht="20.100000000000001" hidden="1" customHeight="1">
      <c r="C3563" s="866"/>
      <c r="D3563" s="865" t="s">
        <v>289</v>
      </c>
      <c r="E3563" s="864">
        <v>3493000000</v>
      </c>
      <c r="F3563" s="864">
        <v>3491300000</v>
      </c>
      <c r="G3563" s="120">
        <f t="shared" si="170"/>
        <v>99.951331233896369</v>
      </c>
      <c r="H3563" s="858">
        <v>100</v>
      </c>
      <c r="I3563" s="863"/>
      <c r="J3563" s="44"/>
    </row>
    <row r="3564" spans="3:10" s="656" customFormat="1" ht="20.100000000000001" hidden="1" customHeight="1">
      <c r="C3564" s="866"/>
      <c r="D3564" s="861" t="s">
        <v>292</v>
      </c>
      <c r="E3564" s="860">
        <v>3493000000</v>
      </c>
      <c r="F3564" s="860">
        <v>3491300000</v>
      </c>
      <c r="G3564" s="115">
        <f t="shared" si="170"/>
        <v>99.951331233896369</v>
      </c>
      <c r="H3564" s="853">
        <v>100</v>
      </c>
      <c r="I3564" s="863"/>
      <c r="J3564" s="44"/>
    </row>
    <row r="3565" spans="3:10" s="656" customFormat="1" ht="20.100000000000001" hidden="1" customHeight="1">
      <c r="C3565" s="866"/>
      <c r="D3565" s="865" t="s">
        <v>2838</v>
      </c>
      <c r="E3565" s="864">
        <v>1006798000</v>
      </c>
      <c r="F3565" s="864">
        <v>1006798000</v>
      </c>
      <c r="G3565" s="120">
        <f t="shared" si="170"/>
        <v>100</v>
      </c>
      <c r="H3565" s="858">
        <f>+G3565</f>
        <v>100</v>
      </c>
      <c r="I3565" s="863"/>
      <c r="J3565" s="44"/>
    </row>
    <row r="3566" spans="3:10" s="656" customFormat="1" ht="20.100000000000001" hidden="1" customHeight="1">
      <c r="C3566" s="866"/>
      <c r="D3566" s="861" t="s">
        <v>2837</v>
      </c>
      <c r="E3566" s="860">
        <v>1006798000</v>
      </c>
      <c r="F3566" s="860">
        <v>1006798000</v>
      </c>
      <c r="G3566" s="115">
        <f t="shared" si="170"/>
        <v>100</v>
      </c>
      <c r="H3566" s="853">
        <f>+G3566</f>
        <v>100</v>
      </c>
      <c r="I3566" s="863"/>
      <c r="J3566" s="44"/>
    </row>
    <row r="3567" spans="3:10" s="656" customFormat="1" ht="20.100000000000001" hidden="1" customHeight="1">
      <c r="C3567" s="866"/>
      <c r="D3567" s="865" t="s">
        <v>294</v>
      </c>
      <c r="E3567" s="864">
        <v>3160800000</v>
      </c>
      <c r="F3567" s="864">
        <v>3157898000</v>
      </c>
      <c r="G3567" s="120">
        <f t="shared" si="170"/>
        <v>99.908187800556831</v>
      </c>
      <c r="H3567" s="858">
        <v>100</v>
      </c>
      <c r="I3567" s="863"/>
      <c r="J3567" s="44"/>
    </row>
    <row r="3568" spans="3:10" s="656" customFormat="1" ht="20.100000000000001" hidden="1" customHeight="1">
      <c r="C3568" s="866"/>
      <c r="D3568" s="861" t="s">
        <v>2836</v>
      </c>
      <c r="E3568" s="860">
        <v>1792800000</v>
      </c>
      <c r="F3568" s="860">
        <v>1790395000</v>
      </c>
      <c r="G3568" s="115">
        <f t="shared" si="170"/>
        <v>99.865852298081208</v>
      </c>
      <c r="H3568" s="853">
        <v>100</v>
      </c>
      <c r="I3568" s="863"/>
      <c r="J3568" s="44"/>
    </row>
    <row r="3569" spans="3:10" s="656" customFormat="1" ht="20.100000000000001" hidden="1" customHeight="1">
      <c r="C3569" s="866"/>
      <c r="D3569" s="861" t="s">
        <v>2455</v>
      </c>
      <c r="E3569" s="860">
        <v>168000000</v>
      </c>
      <c r="F3569" s="860">
        <v>168000000</v>
      </c>
      <c r="G3569" s="115">
        <f t="shared" si="170"/>
        <v>100</v>
      </c>
      <c r="H3569" s="853">
        <f>+G3569</f>
        <v>100</v>
      </c>
      <c r="I3569" s="863"/>
      <c r="J3569" s="44"/>
    </row>
    <row r="3570" spans="3:10" s="656" customFormat="1" ht="20.100000000000001" hidden="1" customHeight="1">
      <c r="C3570" s="866"/>
      <c r="D3570" s="861" t="s">
        <v>2835</v>
      </c>
      <c r="E3570" s="860">
        <v>200000000</v>
      </c>
      <c r="F3570" s="860">
        <v>200000000</v>
      </c>
      <c r="G3570" s="115">
        <f t="shared" si="170"/>
        <v>100</v>
      </c>
      <c r="H3570" s="853">
        <f>+G3570</f>
        <v>100</v>
      </c>
      <c r="I3570" s="863"/>
      <c r="J3570" s="44"/>
    </row>
    <row r="3571" spans="3:10" s="656" customFormat="1" ht="20.100000000000001" hidden="1" customHeight="1">
      <c r="C3571" s="866"/>
      <c r="D3571" s="861" t="s">
        <v>296</v>
      </c>
      <c r="E3571" s="860">
        <v>1000000000</v>
      </c>
      <c r="F3571" s="860">
        <v>999503000</v>
      </c>
      <c r="G3571" s="115">
        <f t="shared" si="170"/>
        <v>99.950299999999999</v>
      </c>
      <c r="H3571" s="853">
        <v>100</v>
      </c>
      <c r="I3571" s="863"/>
      <c r="J3571" s="44"/>
    </row>
    <row r="3572" spans="3:10" s="656" customFormat="1" ht="20.100000000000001" hidden="1" customHeight="1">
      <c r="C3572" s="866"/>
      <c r="D3572" s="865" t="s">
        <v>297</v>
      </c>
      <c r="E3572" s="864">
        <v>6414402000</v>
      </c>
      <c r="F3572" s="864">
        <v>6271027347</v>
      </c>
      <c r="G3572" s="120">
        <f t="shared" si="170"/>
        <v>97.764800943252382</v>
      </c>
      <c r="H3572" s="858">
        <v>100</v>
      </c>
      <c r="I3572" s="863"/>
      <c r="J3572" s="44"/>
    </row>
    <row r="3573" spans="3:10" s="656" customFormat="1" ht="20.100000000000001" hidden="1" customHeight="1">
      <c r="C3573" s="866"/>
      <c r="D3573" s="861" t="s">
        <v>300</v>
      </c>
      <c r="E3573" s="860">
        <v>45000000</v>
      </c>
      <c r="F3573" s="860">
        <v>44946000</v>
      </c>
      <c r="G3573" s="115">
        <f t="shared" si="170"/>
        <v>99.88</v>
      </c>
      <c r="H3573" s="853">
        <v>100</v>
      </c>
      <c r="I3573" s="863"/>
      <c r="J3573" s="44"/>
    </row>
    <row r="3574" spans="3:10" s="656" customFormat="1" ht="20.100000000000001" hidden="1" customHeight="1">
      <c r="C3574" s="866"/>
      <c r="D3574" s="861" t="s">
        <v>2834</v>
      </c>
      <c r="E3574" s="860">
        <v>6369402000</v>
      </c>
      <c r="F3574" s="860">
        <v>6226081347</v>
      </c>
      <c r="G3574" s="115">
        <f t="shared" si="170"/>
        <v>97.749857003844326</v>
      </c>
      <c r="H3574" s="853">
        <v>100</v>
      </c>
      <c r="I3574" s="863"/>
      <c r="J3574" s="44"/>
    </row>
    <row r="3575" spans="3:10" s="656" customFormat="1" ht="20.100000000000001" hidden="1" customHeight="1">
      <c r="C3575" s="866"/>
      <c r="D3575" s="865" t="s">
        <v>302</v>
      </c>
      <c r="E3575" s="864">
        <v>210000000</v>
      </c>
      <c r="F3575" s="864">
        <v>204166115</v>
      </c>
      <c r="G3575" s="120">
        <f t="shared" si="170"/>
        <v>97.221959523809517</v>
      </c>
      <c r="H3575" s="858">
        <v>100</v>
      </c>
      <c r="I3575" s="863"/>
      <c r="J3575" s="44"/>
    </row>
    <row r="3576" spans="3:10" s="656" customFormat="1" ht="20.100000000000001" hidden="1" customHeight="1">
      <c r="C3576" s="866"/>
      <c r="D3576" s="861" t="s">
        <v>2458</v>
      </c>
      <c r="E3576" s="860">
        <v>210000000</v>
      </c>
      <c r="F3576" s="860">
        <v>204166115</v>
      </c>
      <c r="G3576" s="120">
        <f t="shared" si="170"/>
        <v>97.221959523809517</v>
      </c>
      <c r="H3576" s="858">
        <v>100</v>
      </c>
      <c r="I3576" s="863"/>
      <c r="J3576" s="44"/>
    </row>
    <row r="3577" spans="3:10" s="656" customFormat="1" ht="20.100000000000001" hidden="1" customHeight="1">
      <c r="C3577" s="866"/>
      <c r="D3577" s="869"/>
      <c r="E3577" s="868"/>
      <c r="F3577" s="868"/>
      <c r="G3577" s="120"/>
      <c r="H3577" s="858"/>
      <c r="I3577" s="863"/>
      <c r="J3577" s="44"/>
    </row>
    <row r="3578" spans="3:10" s="656" customFormat="1" ht="20.100000000000001" hidden="1" customHeight="1">
      <c r="C3578" s="866"/>
      <c r="D3578" s="867" t="s">
        <v>901</v>
      </c>
      <c r="E3578" s="864">
        <v>5000000000</v>
      </c>
      <c r="F3578" s="864">
        <v>4884370350</v>
      </c>
      <c r="G3578" s="120">
        <f t="shared" ref="G3578:G3596" si="171">+F3578/E3578*100</f>
        <v>97.687407000000007</v>
      </c>
      <c r="H3578" s="858">
        <v>100</v>
      </c>
      <c r="I3578" s="863"/>
      <c r="J3578" s="44"/>
    </row>
    <row r="3579" spans="3:10" s="656" customFormat="1" ht="20.100000000000001" hidden="1" customHeight="1">
      <c r="C3579" s="866"/>
      <c r="D3579" s="865" t="s">
        <v>902</v>
      </c>
      <c r="E3579" s="864">
        <v>1529039900</v>
      </c>
      <c r="F3579" s="864">
        <v>1512748500</v>
      </c>
      <c r="G3579" s="120">
        <f t="shared" si="171"/>
        <v>98.934534017065218</v>
      </c>
      <c r="H3579" s="858">
        <v>100</v>
      </c>
      <c r="I3579" s="863"/>
      <c r="J3579" s="44"/>
    </row>
    <row r="3580" spans="3:10" s="656" customFormat="1" ht="20.100000000000001" hidden="1" customHeight="1">
      <c r="C3580" s="866"/>
      <c r="D3580" s="861" t="s">
        <v>2833</v>
      </c>
      <c r="E3580" s="860">
        <v>400000000</v>
      </c>
      <c r="F3580" s="860">
        <v>390385500</v>
      </c>
      <c r="G3580" s="115">
        <f t="shared" si="171"/>
        <v>97.596374999999995</v>
      </c>
      <c r="H3580" s="853">
        <v>100</v>
      </c>
      <c r="I3580" s="863"/>
      <c r="J3580" s="44"/>
    </row>
    <row r="3581" spans="3:10" s="656" customFormat="1" ht="20.100000000000001" hidden="1" customHeight="1">
      <c r="C3581" s="866"/>
      <c r="D3581" s="861" t="s">
        <v>2436</v>
      </c>
      <c r="E3581" s="860">
        <v>400000000</v>
      </c>
      <c r="F3581" s="860">
        <v>398960000</v>
      </c>
      <c r="G3581" s="115">
        <f t="shared" si="171"/>
        <v>99.74</v>
      </c>
      <c r="H3581" s="853">
        <v>100</v>
      </c>
      <c r="I3581" s="863"/>
      <c r="J3581" s="44"/>
    </row>
    <row r="3582" spans="3:10" s="656" customFormat="1" ht="20.100000000000001" hidden="1" customHeight="1">
      <c r="C3582" s="866"/>
      <c r="D3582" s="861" t="s">
        <v>2437</v>
      </c>
      <c r="E3582" s="860">
        <v>250000000</v>
      </c>
      <c r="F3582" s="860">
        <v>249489000</v>
      </c>
      <c r="G3582" s="115">
        <f t="shared" si="171"/>
        <v>99.795599999999993</v>
      </c>
      <c r="H3582" s="853">
        <v>100</v>
      </c>
      <c r="I3582" s="863"/>
      <c r="J3582" s="44"/>
    </row>
    <row r="3583" spans="3:10" s="656" customFormat="1" ht="20.100000000000001" hidden="1" customHeight="1">
      <c r="C3583" s="866"/>
      <c r="D3583" s="861" t="s">
        <v>2832</v>
      </c>
      <c r="E3583" s="860">
        <v>150000000</v>
      </c>
      <c r="F3583" s="860">
        <v>149987300</v>
      </c>
      <c r="G3583" s="115">
        <f t="shared" si="171"/>
        <v>99.991533333333336</v>
      </c>
      <c r="H3583" s="853">
        <v>100</v>
      </c>
      <c r="I3583" s="863"/>
      <c r="J3583" s="44"/>
    </row>
    <row r="3584" spans="3:10" s="656" customFormat="1" ht="20.100000000000001" hidden="1" customHeight="1">
      <c r="C3584" s="866"/>
      <c r="D3584" s="861" t="s">
        <v>2831</v>
      </c>
      <c r="E3584" s="860">
        <v>329039900</v>
      </c>
      <c r="F3584" s="860">
        <v>323926700</v>
      </c>
      <c r="G3584" s="115">
        <f t="shared" si="171"/>
        <v>98.446024327140861</v>
      </c>
      <c r="H3584" s="853">
        <v>100</v>
      </c>
      <c r="I3584" s="863"/>
      <c r="J3584" s="44"/>
    </row>
    <row r="3585" spans="3:10" s="656" customFormat="1" ht="20.100000000000001" hidden="1" customHeight="1">
      <c r="C3585" s="866"/>
      <c r="D3585" s="865" t="s">
        <v>904</v>
      </c>
      <c r="E3585" s="864">
        <v>1514560100</v>
      </c>
      <c r="F3585" s="864">
        <v>1485226650</v>
      </c>
      <c r="G3585" s="120">
        <f t="shared" si="171"/>
        <v>98.063236315283888</v>
      </c>
      <c r="H3585" s="858">
        <v>100</v>
      </c>
      <c r="I3585" s="863"/>
      <c r="J3585" s="44"/>
    </row>
    <row r="3586" spans="3:10" s="656" customFormat="1" ht="20.100000000000001" hidden="1" customHeight="1">
      <c r="C3586" s="866"/>
      <c r="D3586" s="861" t="s">
        <v>2830</v>
      </c>
      <c r="E3586" s="860">
        <v>521560100</v>
      </c>
      <c r="F3586" s="860">
        <v>520440550</v>
      </c>
      <c r="G3586" s="115">
        <f t="shared" si="171"/>
        <v>99.785345926576824</v>
      </c>
      <c r="H3586" s="853">
        <v>100</v>
      </c>
      <c r="I3586" s="863"/>
      <c r="J3586" s="44"/>
    </row>
    <row r="3587" spans="3:10" s="656" customFormat="1" ht="20.100000000000001" hidden="1" customHeight="1">
      <c r="C3587" s="866"/>
      <c r="D3587" s="861" t="s">
        <v>2438</v>
      </c>
      <c r="E3587" s="860">
        <v>555000000</v>
      </c>
      <c r="F3587" s="860">
        <v>540605000</v>
      </c>
      <c r="G3587" s="115">
        <f t="shared" si="171"/>
        <v>97.406306306306305</v>
      </c>
      <c r="H3587" s="853">
        <v>100</v>
      </c>
      <c r="I3587" s="863"/>
      <c r="J3587" s="44"/>
    </row>
    <row r="3588" spans="3:10" s="656" customFormat="1" ht="20.100000000000001" hidden="1" customHeight="1">
      <c r="C3588" s="866"/>
      <c r="D3588" s="861" t="s">
        <v>2439</v>
      </c>
      <c r="E3588" s="860">
        <v>438000000</v>
      </c>
      <c r="F3588" s="860">
        <v>424181100</v>
      </c>
      <c r="G3588" s="115">
        <f t="shared" si="171"/>
        <v>96.844999999999999</v>
      </c>
      <c r="H3588" s="853">
        <v>100</v>
      </c>
      <c r="I3588" s="863"/>
      <c r="J3588" s="44"/>
    </row>
    <row r="3589" spans="3:10" s="656" customFormat="1" ht="20.100000000000001" hidden="1" customHeight="1">
      <c r="C3589" s="866"/>
      <c r="D3589" s="865" t="s">
        <v>908</v>
      </c>
      <c r="E3589" s="864">
        <v>1150000000</v>
      </c>
      <c r="F3589" s="864">
        <v>1088692900</v>
      </c>
      <c r="G3589" s="120">
        <f t="shared" si="171"/>
        <v>94.668947826086963</v>
      </c>
      <c r="H3589" s="858">
        <v>100</v>
      </c>
      <c r="I3589" s="863"/>
      <c r="J3589" s="44"/>
    </row>
    <row r="3590" spans="3:10" s="656" customFormat="1" ht="20.100000000000001" hidden="1" customHeight="1">
      <c r="C3590" s="866"/>
      <c r="D3590" s="861" t="s">
        <v>2442</v>
      </c>
      <c r="E3590" s="860">
        <v>300000000</v>
      </c>
      <c r="F3590" s="860">
        <v>284906400</v>
      </c>
      <c r="G3590" s="115">
        <f t="shared" si="171"/>
        <v>94.968800000000002</v>
      </c>
      <c r="H3590" s="853">
        <v>100</v>
      </c>
      <c r="I3590" s="863"/>
      <c r="J3590" s="44"/>
    </row>
    <row r="3591" spans="3:10" s="656" customFormat="1" ht="20.100000000000001" hidden="1" customHeight="1">
      <c r="C3591" s="866"/>
      <c r="D3591" s="861" t="s">
        <v>2829</v>
      </c>
      <c r="E3591" s="860">
        <v>350000000</v>
      </c>
      <c r="F3591" s="860">
        <v>348600000</v>
      </c>
      <c r="G3591" s="115">
        <f t="shared" si="171"/>
        <v>99.6</v>
      </c>
      <c r="H3591" s="853">
        <v>100</v>
      </c>
      <c r="I3591" s="863"/>
      <c r="J3591" s="44"/>
    </row>
    <row r="3592" spans="3:10" s="656" customFormat="1" ht="20.100000000000001" hidden="1" customHeight="1">
      <c r="C3592" s="866"/>
      <c r="D3592" s="861" t="s">
        <v>2828</v>
      </c>
      <c r="E3592" s="860">
        <v>500000000</v>
      </c>
      <c r="F3592" s="860">
        <v>455186500</v>
      </c>
      <c r="G3592" s="120">
        <f t="shared" si="171"/>
        <v>91.037300000000002</v>
      </c>
      <c r="H3592" s="858">
        <v>100</v>
      </c>
      <c r="I3592" s="863"/>
      <c r="J3592" s="44"/>
    </row>
    <row r="3593" spans="3:10" s="656" customFormat="1" ht="20.100000000000001" hidden="1" customHeight="1">
      <c r="C3593" s="866"/>
      <c r="D3593" s="865" t="s">
        <v>2445</v>
      </c>
      <c r="E3593" s="864">
        <v>806400000</v>
      </c>
      <c r="F3593" s="864">
        <v>797702300</v>
      </c>
      <c r="G3593" s="120">
        <f t="shared" si="171"/>
        <v>98.921416170634927</v>
      </c>
      <c r="H3593" s="858">
        <v>100</v>
      </c>
      <c r="I3593" s="863"/>
      <c r="J3593" s="44"/>
    </row>
    <row r="3594" spans="3:10" s="656" customFormat="1" ht="20.100000000000001" hidden="1" customHeight="1">
      <c r="C3594" s="866"/>
      <c r="D3594" s="861" t="s">
        <v>2827</v>
      </c>
      <c r="E3594" s="860">
        <v>200000000</v>
      </c>
      <c r="F3594" s="860">
        <v>199739600</v>
      </c>
      <c r="G3594" s="115">
        <f t="shared" si="171"/>
        <v>99.869799999999998</v>
      </c>
      <c r="H3594" s="853">
        <v>100</v>
      </c>
      <c r="I3594" s="863"/>
      <c r="J3594" s="44"/>
    </row>
    <row r="3595" spans="3:10" s="656" customFormat="1" ht="20.100000000000001" hidden="1" customHeight="1">
      <c r="C3595" s="866"/>
      <c r="D3595" s="861" t="s">
        <v>2446</v>
      </c>
      <c r="E3595" s="860">
        <v>206400000</v>
      </c>
      <c r="F3595" s="860">
        <v>206332700</v>
      </c>
      <c r="G3595" s="115">
        <f t="shared" si="171"/>
        <v>99.967393410852708</v>
      </c>
      <c r="H3595" s="853">
        <v>100</v>
      </c>
      <c r="I3595" s="863"/>
      <c r="J3595" s="44"/>
    </row>
    <row r="3596" spans="3:10" s="656" customFormat="1" ht="20.100000000000001" hidden="1" customHeight="1">
      <c r="C3596" s="866"/>
      <c r="D3596" s="861" t="s">
        <v>2447</v>
      </c>
      <c r="E3596" s="860">
        <v>400000000</v>
      </c>
      <c r="F3596" s="860">
        <v>391630000</v>
      </c>
      <c r="G3596" s="115">
        <f t="shared" si="171"/>
        <v>97.907499999999999</v>
      </c>
      <c r="H3596" s="853">
        <v>100</v>
      </c>
      <c r="I3596" s="863"/>
      <c r="J3596" s="44"/>
    </row>
    <row r="3597" spans="3:10" s="656" customFormat="1" ht="20.100000000000001" hidden="1" customHeight="1">
      <c r="C3597" s="866"/>
      <c r="D3597" s="869"/>
      <c r="E3597" s="868"/>
      <c r="F3597" s="868"/>
      <c r="G3597" s="120"/>
      <c r="H3597" s="858"/>
      <c r="I3597" s="863"/>
      <c r="J3597" s="44"/>
    </row>
    <row r="3598" spans="3:10" s="656" customFormat="1" ht="20.100000000000001" hidden="1" customHeight="1">
      <c r="C3598" s="866"/>
      <c r="D3598" s="867" t="s">
        <v>2826</v>
      </c>
      <c r="E3598" s="864">
        <v>10000000000</v>
      </c>
      <c r="F3598" s="864">
        <v>9916303237.9200001</v>
      </c>
      <c r="G3598" s="120">
        <f t="shared" ref="G3598:G3604" si="172">+F3598/E3598*100</f>
        <v>99.163032379200004</v>
      </c>
      <c r="H3598" s="858">
        <v>100</v>
      </c>
      <c r="I3598" s="863"/>
      <c r="J3598" s="44"/>
    </row>
    <row r="3599" spans="3:10" s="656" customFormat="1" ht="20.100000000000001" hidden="1" customHeight="1">
      <c r="C3599" s="866"/>
      <c r="D3599" s="865" t="s">
        <v>2479</v>
      </c>
      <c r="E3599" s="864">
        <v>9477720227</v>
      </c>
      <c r="F3599" s="864">
        <v>9395393937.9200001</v>
      </c>
      <c r="G3599" s="120">
        <f t="shared" si="172"/>
        <v>99.131370338982265</v>
      </c>
      <c r="H3599" s="858">
        <v>100</v>
      </c>
      <c r="I3599" s="863"/>
      <c r="J3599" s="44"/>
    </row>
    <row r="3600" spans="3:10" s="656" customFormat="1" ht="20.100000000000001" hidden="1" customHeight="1">
      <c r="C3600" s="866"/>
      <c r="D3600" s="861" t="s">
        <v>2825</v>
      </c>
      <c r="E3600" s="860">
        <v>3714900000</v>
      </c>
      <c r="F3600" s="860">
        <v>3636899810.9200001</v>
      </c>
      <c r="G3600" s="115">
        <f t="shared" si="172"/>
        <v>97.900342160488833</v>
      </c>
      <c r="H3600" s="853">
        <v>100</v>
      </c>
      <c r="I3600" s="852"/>
      <c r="J3600" s="44"/>
    </row>
    <row r="3601" spans="3:10" s="656" customFormat="1" ht="20.100000000000001" hidden="1" customHeight="1">
      <c r="C3601" s="866"/>
      <c r="D3601" s="861" t="s">
        <v>2480</v>
      </c>
      <c r="E3601" s="860">
        <v>4532620000</v>
      </c>
      <c r="F3601" s="860">
        <v>4528293900</v>
      </c>
      <c r="G3601" s="115">
        <f t="shared" si="172"/>
        <v>99.904556305183306</v>
      </c>
      <c r="H3601" s="853">
        <v>100</v>
      </c>
      <c r="I3601" s="852"/>
      <c r="J3601" s="44"/>
    </row>
    <row r="3602" spans="3:10" s="656" customFormat="1" ht="20.100000000000001" hidden="1" customHeight="1">
      <c r="C3602" s="866"/>
      <c r="D3602" s="861" t="s">
        <v>2824</v>
      </c>
      <c r="E3602" s="860">
        <v>1230200227</v>
      </c>
      <c r="F3602" s="860">
        <v>1230200227</v>
      </c>
      <c r="G3602" s="115">
        <f t="shared" si="172"/>
        <v>100</v>
      </c>
      <c r="H3602" s="853">
        <v>100</v>
      </c>
      <c r="I3602" s="852"/>
      <c r="J3602" s="44"/>
    </row>
    <row r="3603" spans="3:10" s="656" customFormat="1" ht="20.100000000000001" hidden="1" customHeight="1">
      <c r="C3603" s="866"/>
      <c r="D3603" s="865" t="s">
        <v>2482</v>
      </c>
      <c r="E3603" s="864">
        <v>522279773</v>
      </c>
      <c r="F3603" s="864">
        <v>520909300</v>
      </c>
      <c r="G3603" s="120">
        <f t="shared" si="172"/>
        <v>99.737597917658576</v>
      </c>
      <c r="H3603" s="858">
        <v>100</v>
      </c>
      <c r="I3603" s="863"/>
      <c r="J3603" s="44"/>
    </row>
    <row r="3604" spans="3:10" s="656" customFormat="1" ht="20.100000000000001" hidden="1" customHeight="1">
      <c r="C3604" s="866"/>
      <c r="D3604" s="862" t="s">
        <v>2823</v>
      </c>
      <c r="E3604" s="860">
        <v>522279773</v>
      </c>
      <c r="F3604" s="860">
        <v>520909300</v>
      </c>
      <c r="G3604" s="115">
        <f t="shared" si="172"/>
        <v>99.737597917658576</v>
      </c>
      <c r="H3604" s="853">
        <v>100</v>
      </c>
      <c r="I3604" s="852"/>
      <c r="J3604" s="44"/>
    </row>
    <row r="3605" spans="3:10" s="656" customFormat="1" ht="20.100000000000001" hidden="1" customHeight="1">
      <c r="C3605" s="866"/>
      <c r="D3605" s="862"/>
      <c r="E3605" s="868"/>
      <c r="F3605" s="868"/>
      <c r="G3605" s="120"/>
      <c r="H3605" s="858"/>
      <c r="I3605" s="852"/>
      <c r="J3605" s="44"/>
    </row>
    <row r="3606" spans="3:10" s="656" customFormat="1" ht="20.100000000000001" hidden="1" customHeight="1">
      <c r="C3606" s="866"/>
      <c r="D3606" s="867" t="s">
        <v>2822</v>
      </c>
      <c r="E3606" s="864">
        <v>6000000000</v>
      </c>
      <c r="F3606" s="864">
        <v>5669537950</v>
      </c>
      <c r="G3606" s="120">
        <f t="shared" ref="G3606:G3614" si="173">+F3606/E3606*100</f>
        <v>94.492299166666669</v>
      </c>
      <c r="H3606" s="858">
        <f>290/3</f>
        <v>96.666666666666671</v>
      </c>
      <c r="I3606" s="863"/>
      <c r="J3606" s="44"/>
    </row>
    <row r="3607" spans="3:10" s="656" customFormat="1" ht="20.100000000000001" hidden="1" customHeight="1">
      <c r="C3607" s="866"/>
      <c r="D3607" s="865" t="s">
        <v>308</v>
      </c>
      <c r="E3607" s="864">
        <v>2550500000</v>
      </c>
      <c r="F3607" s="864">
        <v>2222551000</v>
      </c>
      <c r="G3607" s="120">
        <f t="shared" si="173"/>
        <v>87.141776122328949</v>
      </c>
      <c r="H3607" s="858">
        <v>90</v>
      </c>
      <c r="I3607" s="863"/>
      <c r="J3607" s="44"/>
    </row>
    <row r="3608" spans="3:10" s="656" customFormat="1" ht="20.100000000000001" hidden="1" customHeight="1">
      <c r="C3608" s="866"/>
      <c r="D3608" s="861" t="s">
        <v>309</v>
      </c>
      <c r="E3608" s="860">
        <v>2550500000</v>
      </c>
      <c r="F3608" s="860">
        <v>2222551000</v>
      </c>
      <c r="G3608" s="115">
        <f t="shared" si="173"/>
        <v>87.141776122328949</v>
      </c>
      <c r="H3608" s="853">
        <v>90</v>
      </c>
      <c r="I3608" s="863"/>
      <c r="J3608" s="44"/>
    </row>
    <row r="3609" spans="3:10" s="656" customFormat="1" ht="20.100000000000001" hidden="1" customHeight="1">
      <c r="C3609" s="866"/>
      <c r="D3609" s="865" t="s">
        <v>312</v>
      </c>
      <c r="E3609" s="864">
        <v>2950000000</v>
      </c>
      <c r="F3609" s="864">
        <v>2947486950</v>
      </c>
      <c r="G3609" s="120">
        <f t="shared" si="173"/>
        <v>99.914811864406786</v>
      </c>
      <c r="H3609" s="858">
        <v>100</v>
      </c>
      <c r="I3609" s="863"/>
      <c r="J3609" s="44"/>
    </row>
    <row r="3610" spans="3:10" s="656" customFormat="1" ht="20.100000000000001" hidden="1" customHeight="1">
      <c r="C3610" s="866"/>
      <c r="D3610" s="861" t="s">
        <v>2821</v>
      </c>
      <c r="E3610" s="860">
        <v>857500000</v>
      </c>
      <c r="F3610" s="860">
        <v>856829450</v>
      </c>
      <c r="G3610" s="115">
        <f t="shared" si="173"/>
        <v>99.92180174927114</v>
      </c>
      <c r="H3610" s="853">
        <v>100</v>
      </c>
      <c r="I3610" s="863"/>
      <c r="J3610" s="44"/>
    </row>
    <row r="3611" spans="3:10" s="656" customFormat="1" ht="20.100000000000001" hidden="1" customHeight="1">
      <c r="C3611" s="866"/>
      <c r="D3611" s="861" t="s">
        <v>2820</v>
      </c>
      <c r="E3611" s="860">
        <v>1119000000</v>
      </c>
      <c r="F3611" s="860">
        <v>1117550000</v>
      </c>
      <c r="G3611" s="115">
        <f t="shared" si="173"/>
        <v>99.870420017873101</v>
      </c>
      <c r="H3611" s="853">
        <v>100</v>
      </c>
      <c r="I3611" s="863"/>
      <c r="J3611" s="44"/>
    </row>
    <row r="3612" spans="3:10" s="656" customFormat="1" ht="20.100000000000001" hidden="1" customHeight="1">
      <c r="C3612" s="866"/>
      <c r="D3612" s="861" t="s">
        <v>313</v>
      </c>
      <c r="E3612" s="860">
        <v>973500000</v>
      </c>
      <c r="F3612" s="860">
        <v>973107500</v>
      </c>
      <c r="G3612" s="115">
        <f t="shared" si="173"/>
        <v>99.959681561376485</v>
      </c>
      <c r="H3612" s="853">
        <v>100</v>
      </c>
      <c r="I3612" s="863"/>
      <c r="J3612" s="44"/>
    </row>
    <row r="3613" spans="3:10" s="656" customFormat="1" ht="20.100000000000001" hidden="1" customHeight="1">
      <c r="C3613" s="866"/>
      <c r="D3613" s="865" t="s">
        <v>328</v>
      </c>
      <c r="E3613" s="864">
        <v>499500000</v>
      </c>
      <c r="F3613" s="864">
        <v>499500000</v>
      </c>
      <c r="G3613" s="120">
        <f t="shared" si="173"/>
        <v>100</v>
      </c>
      <c r="H3613" s="858">
        <f>+G3613</f>
        <v>100</v>
      </c>
      <c r="I3613" s="863"/>
      <c r="J3613" s="44"/>
    </row>
    <row r="3614" spans="3:10" s="656" customFormat="1" ht="20.100000000000001" hidden="1" customHeight="1">
      <c r="C3614" s="866"/>
      <c r="D3614" s="861" t="s">
        <v>1748</v>
      </c>
      <c r="E3614" s="860">
        <v>499500000</v>
      </c>
      <c r="F3614" s="860">
        <v>499500000</v>
      </c>
      <c r="G3614" s="115">
        <f t="shared" si="173"/>
        <v>100</v>
      </c>
      <c r="H3614" s="853">
        <f>+G3614</f>
        <v>100</v>
      </c>
      <c r="I3614" s="863"/>
      <c r="J3614" s="44"/>
    </row>
    <row r="3615" spans="3:10" s="656" customFormat="1" ht="20.100000000000001" hidden="1" customHeight="1">
      <c r="C3615" s="866"/>
      <c r="D3615" s="869"/>
      <c r="E3615" s="868"/>
      <c r="F3615" s="868"/>
      <c r="G3615" s="120"/>
      <c r="H3615" s="858"/>
      <c r="I3615" s="863"/>
      <c r="J3615" s="44"/>
    </row>
    <row r="3616" spans="3:10" s="656" customFormat="1" ht="20.100000000000001" hidden="1" customHeight="1">
      <c r="C3616" s="866"/>
      <c r="D3616" s="867" t="s">
        <v>2819</v>
      </c>
      <c r="E3616" s="864">
        <v>6000000000</v>
      </c>
      <c r="F3616" s="864">
        <v>5534005200</v>
      </c>
      <c r="G3616" s="120">
        <f>+F3616/E3616*100</f>
        <v>92.233419999999995</v>
      </c>
      <c r="H3616" s="858">
        <v>95</v>
      </c>
      <c r="I3616" s="863"/>
      <c r="J3616" s="44"/>
    </row>
    <row r="3617" spans="3:10" s="656" customFormat="1" ht="20.100000000000001" hidden="1" customHeight="1">
      <c r="C3617" s="866"/>
      <c r="D3617" s="865" t="s">
        <v>321</v>
      </c>
      <c r="E3617" s="864">
        <v>6000000000</v>
      </c>
      <c r="F3617" s="864">
        <v>5534005200</v>
      </c>
      <c r="G3617" s="120">
        <f>+F3617/E3617*100</f>
        <v>92.233419999999995</v>
      </c>
      <c r="H3617" s="858">
        <v>95</v>
      </c>
      <c r="I3617" s="863"/>
      <c r="J3617" s="44"/>
    </row>
    <row r="3618" spans="3:10" s="656" customFormat="1" ht="20.100000000000001" hidden="1" customHeight="1">
      <c r="C3618" s="866"/>
      <c r="D3618" s="861" t="s">
        <v>323</v>
      </c>
      <c r="E3618" s="860">
        <v>6000000000</v>
      </c>
      <c r="F3618" s="860">
        <v>5534005200</v>
      </c>
      <c r="G3618" s="115">
        <f>+F3618/E3618*100</f>
        <v>92.233419999999995</v>
      </c>
      <c r="H3618" s="853">
        <v>95</v>
      </c>
      <c r="I3618" s="863"/>
      <c r="J3618" s="44"/>
    </row>
    <row r="3619" spans="3:10" s="656" customFormat="1" ht="20.100000000000001" hidden="1" customHeight="1">
      <c r="C3619" s="866"/>
      <c r="D3619" s="869"/>
      <c r="E3619" s="868"/>
      <c r="F3619" s="868"/>
      <c r="G3619" s="120"/>
      <c r="H3619" s="858"/>
      <c r="I3619" s="863"/>
      <c r="J3619" s="44"/>
    </row>
    <row r="3620" spans="3:10" s="656" customFormat="1" ht="20.100000000000001" hidden="1" customHeight="1">
      <c r="C3620" s="866"/>
      <c r="D3620" s="867" t="s">
        <v>2818</v>
      </c>
      <c r="E3620" s="864">
        <v>8000000000</v>
      </c>
      <c r="F3620" s="864">
        <v>7773218000</v>
      </c>
      <c r="G3620" s="120">
        <f t="shared" ref="G3620:G3629" si="174">+F3620/E3620*100</f>
        <v>97.165224999999992</v>
      </c>
      <c r="H3620" s="858">
        <f>(H3621+H3624+H3626)/3</f>
        <v>94.444444444444443</v>
      </c>
      <c r="I3620" s="863"/>
      <c r="J3620" s="44"/>
    </row>
    <row r="3621" spans="3:10" s="656" customFormat="1" ht="20.100000000000001" hidden="1" customHeight="1">
      <c r="C3621" s="866"/>
      <c r="D3621" s="865" t="s">
        <v>337</v>
      </c>
      <c r="E3621" s="864">
        <v>1750000000</v>
      </c>
      <c r="F3621" s="864">
        <v>1746994000</v>
      </c>
      <c r="G3621" s="120">
        <f t="shared" si="174"/>
        <v>99.828228571428568</v>
      </c>
      <c r="H3621" s="858">
        <v>100</v>
      </c>
      <c r="I3621" s="863"/>
      <c r="J3621" s="44"/>
    </row>
    <row r="3622" spans="3:10" s="656" customFormat="1" ht="20.100000000000001" hidden="1" customHeight="1">
      <c r="C3622" s="866"/>
      <c r="D3622" s="861" t="s">
        <v>2817</v>
      </c>
      <c r="E3622" s="860">
        <v>1000000000</v>
      </c>
      <c r="F3622" s="860">
        <v>1000000000</v>
      </c>
      <c r="G3622" s="115">
        <f t="shared" si="174"/>
        <v>100</v>
      </c>
      <c r="H3622" s="853">
        <f>+G3622</f>
        <v>100</v>
      </c>
      <c r="I3622" s="863"/>
      <c r="J3622" s="44"/>
    </row>
    <row r="3623" spans="3:10" s="656" customFormat="1" ht="20.100000000000001" hidden="1" customHeight="1">
      <c r="C3623" s="866"/>
      <c r="D3623" s="861" t="s">
        <v>340</v>
      </c>
      <c r="E3623" s="860">
        <v>750000000</v>
      </c>
      <c r="F3623" s="860">
        <v>746994000</v>
      </c>
      <c r="G3623" s="115">
        <f t="shared" si="174"/>
        <v>99.599199999999996</v>
      </c>
      <c r="H3623" s="853">
        <v>100</v>
      </c>
      <c r="I3623" s="863"/>
      <c r="J3623" s="44"/>
    </row>
    <row r="3624" spans="3:10" s="656" customFormat="1" ht="20.100000000000001" hidden="1" customHeight="1">
      <c r="C3624" s="866"/>
      <c r="D3624" s="865" t="s">
        <v>341</v>
      </c>
      <c r="E3624" s="864">
        <v>2800000000</v>
      </c>
      <c r="F3624" s="864">
        <v>2717025000</v>
      </c>
      <c r="G3624" s="120">
        <f t="shared" si="174"/>
        <v>97.03660714285715</v>
      </c>
      <c r="H3624" s="858">
        <v>100</v>
      </c>
      <c r="I3624" s="863"/>
      <c r="J3624" s="44"/>
    </row>
    <row r="3625" spans="3:10" s="656" customFormat="1" ht="20.100000000000001" hidden="1" customHeight="1">
      <c r="C3625" s="866"/>
      <c r="D3625" s="861" t="s">
        <v>2816</v>
      </c>
      <c r="E3625" s="860">
        <v>2800000000</v>
      </c>
      <c r="F3625" s="860">
        <v>2717025000</v>
      </c>
      <c r="G3625" s="115">
        <f t="shared" si="174"/>
        <v>97.03660714285715</v>
      </c>
      <c r="H3625" s="853">
        <v>100</v>
      </c>
      <c r="I3625" s="863"/>
      <c r="J3625" s="44"/>
    </row>
    <row r="3626" spans="3:10" s="656" customFormat="1" ht="20.100000000000001" hidden="1" customHeight="1">
      <c r="C3626" s="866"/>
      <c r="D3626" s="865" t="s">
        <v>343</v>
      </c>
      <c r="E3626" s="864">
        <v>3450000000</v>
      </c>
      <c r="F3626" s="864">
        <v>3309199000</v>
      </c>
      <c r="G3626" s="120">
        <f t="shared" si="174"/>
        <v>95.918811594202907</v>
      </c>
      <c r="H3626" s="858">
        <f>250/3</f>
        <v>83.333333333333329</v>
      </c>
      <c r="I3626" s="863"/>
      <c r="J3626" s="44"/>
    </row>
    <row r="3627" spans="3:10" s="656" customFormat="1" ht="20.100000000000001" hidden="1" customHeight="1">
      <c r="C3627" s="866"/>
      <c r="D3627" s="861" t="s">
        <v>2815</v>
      </c>
      <c r="E3627" s="860">
        <v>500000000</v>
      </c>
      <c r="F3627" s="860">
        <v>498700000</v>
      </c>
      <c r="G3627" s="115">
        <f t="shared" si="174"/>
        <v>99.74</v>
      </c>
      <c r="H3627" s="853">
        <v>100</v>
      </c>
      <c r="I3627" s="863"/>
      <c r="J3627" s="44"/>
    </row>
    <row r="3628" spans="3:10" s="656" customFormat="1" ht="20.100000000000001" hidden="1" customHeight="1">
      <c r="C3628" s="866"/>
      <c r="D3628" s="861" t="s">
        <v>345</v>
      </c>
      <c r="E3628" s="860">
        <v>2750000000</v>
      </c>
      <c r="F3628" s="860">
        <v>2708575000</v>
      </c>
      <c r="G3628" s="115">
        <f t="shared" si="174"/>
        <v>98.493636363636355</v>
      </c>
      <c r="H3628" s="853">
        <v>100</v>
      </c>
      <c r="I3628" s="863"/>
      <c r="J3628" s="44"/>
    </row>
    <row r="3629" spans="3:10" s="656" customFormat="1" ht="20.100000000000001" hidden="1" customHeight="1">
      <c r="C3629" s="866"/>
      <c r="D3629" s="861" t="s">
        <v>2814</v>
      </c>
      <c r="E3629" s="860">
        <v>200000000</v>
      </c>
      <c r="F3629" s="860">
        <v>101924000</v>
      </c>
      <c r="G3629" s="115">
        <f t="shared" si="174"/>
        <v>50.961999999999996</v>
      </c>
      <c r="H3629" s="853">
        <v>50</v>
      </c>
      <c r="I3629" s="863"/>
      <c r="J3629" s="44"/>
    </row>
    <row r="3630" spans="3:10" s="656" customFormat="1" ht="20.100000000000001" hidden="1" customHeight="1">
      <c r="C3630" s="866"/>
      <c r="D3630" s="869"/>
      <c r="E3630" s="868"/>
      <c r="F3630" s="868"/>
      <c r="G3630" s="120"/>
      <c r="H3630" s="858"/>
      <c r="I3630" s="863"/>
      <c r="J3630" s="44"/>
    </row>
    <row r="3631" spans="3:10" s="656" customFormat="1" ht="20.100000000000001" hidden="1" customHeight="1">
      <c r="C3631" s="866"/>
      <c r="D3631" s="867" t="s">
        <v>987</v>
      </c>
      <c r="E3631" s="864">
        <v>5000000000</v>
      </c>
      <c r="F3631" s="864">
        <v>4368057750</v>
      </c>
      <c r="G3631" s="120">
        <f t="shared" ref="G3631:G3641" si="175">+F3631/E3631*100</f>
        <v>87.361154999999997</v>
      </c>
      <c r="H3631" s="858">
        <f>(H3632+H3634+H3636+H3639)/4</f>
        <v>91.25</v>
      </c>
      <c r="I3631" s="863"/>
      <c r="J3631" s="44"/>
    </row>
    <row r="3632" spans="3:10" s="656" customFormat="1" ht="20.100000000000001" hidden="1" customHeight="1">
      <c r="C3632" s="866"/>
      <c r="D3632" s="865" t="s">
        <v>888</v>
      </c>
      <c r="E3632" s="864">
        <v>2252927085</v>
      </c>
      <c r="F3632" s="864">
        <v>1699868400</v>
      </c>
      <c r="G3632" s="120">
        <f t="shared" si="175"/>
        <v>75.451549733576925</v>
      </c>
      <c r="H3632" s="858">
        <v>75</v>
      </c>
      <c r="I3632" s="863"/>
      <c r="J3632" s="44"/>
    </row>
    <row r="3633" spans="3:10" s="656" customFormat="1" ht="20.100000000000001" hidden="1" customHeight="1">
      <c r="C3633" s="866"/>
      <c r="D3633" s="861" t="s">
        <v>2813</v>
      </c>
      <c r="E3633" s="860">
        <v>2252927085</v>
      </c>
      <c r="F3633" s="860">
        <v>1699868400</v>
      </c>
      <c r="G3633" s="115">
        <f t="shared" si="175"/>
        <v>75.451549733576925</v>
      </c>
      <c r="H3633" s="853">
        <v>75</v>
      </c>
      <c r="I3633" s="863"/>
      <c r="J3633" s="44"/>
    </row>
    <row r="3634" spans="3:10" s="656" customFormat="1" ht="20.100000000000001" hidden="1" customHeight="1">
      <c r="C3634" s="866"/>
      <c r="D3634" s="865" t="s">
        <v>2503</v>
      </c>
      <c r="E3634" s="864">
        <v>439860000</v>
      </c>
      <c r="F3634" s="864">
        <v>411758200</v>
      </c>
      <c r="G3634" s="120">
        <f t="shared" si="175"/>
        <v>93.611194470968044</v>
      </c>
      <c r="H3634" s="858">
        <v>95</v>
      </c>
      <c r="I3634" s="863"/>
      <c r="J3634" s="44"/>
    </row>
    <row r="3635" spans="3:10" s="656" customFormat="1" ht="20.100000000000001" hidden="1" customHeight="1">
      <c r="C3635" s="866"/>
      <c r="D3635" s="861" t="s">
        <v>2812</v>
      </c>
      <c r="E3635" s="860">
        <v>439860000</v>
      </c>
      <c r="F3635" s="860">
        <v>411758200</v>
      </c>
      <c r="G3635" s="115">
        <f t="shared" si="175"/>
        <v>93.611194470968044</v>
      </c>
      <c r="H3635" s="853">
        <v>95</v>
      </c>
      <c r="I3635" s="863"/>
      <c r="J3635" s="44"/>
    </row>
    <row r="3636" spans="3:10" s="656" customFormat="1" ht="20.100000000000001" hidden="1" customHeight="1">
      <c r="C3636" s="866"/>
      <c r="D3636" s="865" t="s">
        <v>2510</v>
      </c>
      <c r="E3636" s="864">
        <v>1400000000</v>
      </c>
      <c r="F3636" s="864">
        <v>1379877250</v>
      </c>
      <c r="G3636" s="120">
        <f t="shared" si="175"/>
        <v>98.562660714285713</v>
      </c>
      <c r="H3636" s="858">
        <v>100</v>
      </c>
      <c r="I3636" s="863"/>
      <c r="J3636" s="44"/>
    </row>
    <row r="3637" spans="3:10" s="656" customFormat="1" ht="20.100000000000001" hidden="1" customHeight="1">
      <c r="C3637" s="866"/>
      <c r="D3637" s="861" t="s">
        <v>2515</v>
      </c>
      <c r="E3637" s="860">
        <v>650000000</v>
      </c>
      <c r="F3637" s="860">
        <v>647039750</v>
      </c>
      <c r="G3637" s="115">
        <f t="shared" si="175"/>
        <v>99.544576923076917</v>
      </c>
      <c r="H3637" s="853">
        <v>100</v>
      </c>
      <c r="I3637" s="863"/>
      <c r="J3637" s="44"/>
    </row>
    <row r="3638" spans="3:10" s="656" customFormat="1" ht="20.100000000000001" hidden="1" customHeight="1">
      <c r="C3638" s="866"/>
      <c r="D3638" s="861" t="s">
        <v>2516</v>
      </c>
      <c r="E3638" s="860">
        <v>750000000</v>
      </c>
      <c r="F3638" s="860">
        <v>732837500</v>
      </c>
      <c r="G3638" s="115">
        <f t="shared" si="175"/>
        <v>97.711666666666659</v>
      </c>
      <c r="H3638" s="853">
        <v>100</v>
      </c>
      <c r="I3638" s="863"/>
      <c r="J3638" s="44"/>
    </row>
    <row r="3639" spans="3:10" s="656" customFormat="1" ht="20.100000000000001" hidden="1" customHeight="1">
      <c r="C3639" s="866"/>
      <c r="D3639" s="865" t="s">
        <v>358</v>
      </c>
      <c r="E3639" s="864">
        <v>907212915</v>
      </c>
      <c r="F3639" s="864">
        <v>876553900</v>
      </c>
      <c r="G3639" s="120">
        <f t="shared" si="175"/>
        <v>96.620527056760437</v>
      </c>
      <c r="H3639" s="858">
        <f>190/2</f>
        <v>95</v>
      </c>
      <c r="I3639" s="863"/>
      <c r="J3639" s="44"/>
    </row>
    <row r="3640" spans="3:10" s="656" customFormat="1" ht="20.100000000000001" hidden="1" customHeight="1">
      <c r="C3640" s="866"/>
      <c r="D3640" s="861" t="s">
        <v>2811</v>
      </c>
      <c r="E3640" s="860">
        <v>606840000</v>
      </c>
      <c r="F3640" s="860">
        <v>606383900</v>
      </c>
      <c r="G3640" s="115">
        <f t="shared" si="175"/>
        <v>99.924840155559949</v>
      </c>
      <c r="H3640" s="853">
        <v>100</v>
      </c>
      <c r="I3640" s="863"/>
      <c r="J3640" s="44"/>
    </row>
    <row r="3641" spans="3:10" s="656" customFormat="1" ht="20.100000000000001" hidden="1" customHeight="1">
      <c r="C3641" s="866"/>
      <c r="D3641" s="861" t="s">
        <v>2520</v>
      </c>
      <c r="E3641" s="860">
        <v>300372915</v>
      </c>
      <c r="F3641" s="860">
        <v>270170000</v>
      </c>
      <c r="G3641" s="115">
        <f t="shared" si="175"/>
        <v>89.944860707564132</v>
      </c>
      <c r="H3641" s="853">
        <v>90</v>
      </c>
      <c r="I3641" s="863"/>
      <c r="J3641" s="44"/>
    </row>
    <row r="3642" spans="3:10" s="656" customFormat="1" ht="20.100000000000001" hidden="1" customHeight="1">
      <c r="C3642" s="866"/>
      <c r="D3642" s="869"/>
      <c r="E3642" s="868"/>
      <c r="F3642" s="868"/>
      <c r="G3642" s="120"/>
      <c r="H3642" s="858"/>
      <c r="I3642" s="863"/>
      <c r="J3642" s="44"/>
    </row>
    <row r="3643" spans="3:10" s="656" customFormat="1" ht="20.100000000000001" hidden="1" customHeight="1">
      <c r="C3643" s="866"/>
      <c r="D3643" s="867" t="s">
        <v>434</v>
      </c>
      <c r="E3643" s="864">
        <v>41857936000</v>
      </c>
      <c r="F3643" s="864">
        <v>19490010898.150002</v>
      </c>
      <c r="G3643" s="120">
        <f>+F3643/E3643*100</f>
        <v>46.562283668621404</v>
      </c>
      <c r="H3643" s="858">
        <f>(H3644+H3648+H3656)/3</f>
        <v>76.860622218637261</v>
      </c>
      <c r="I3643" s="863"/>
      <c r="J3643" s="44"/>
    </row>
    <row r="3644" spans="3:10" s="656" customFormat="1" ht="20.100000000000001" hidden="1" customHeight="1">
      <c r="C3644" s="866"/>
      <c r="D3644" s="867" t="s">
        <v>2810</v>
      </c>
      <c r="E3644" s="864">
        <v>36589100000</v>
      </c>
      <c r="F3644" s="864">
        <v>14613063368.15</v>
      </c>
      <c r="G3644" s="120">
        <f>+F3644/E3644*100</f>
        <v>39.938296837446124</v>
      </c>
      <c r="H3644" s="858">
        <v>40</v>
      </c>
      <c r="I3644" s="863"/>
      <c r="J3644" s="44"/>
    </row>
    <row r="3645" spans="3:10" s="656" customFormat="1" ht="20.100000000000001" hidden="1" customHeight="1">
      <c r="C3645" s="866"/>
      <c r="D3645" s="865" t="s">
        <v>888</v>
      </c>
      <c r="E3645" s="864">
        <v>36589100000</v>
      </c>
      <c r="F3645" s="864">
        <v>14613063368.15</v>
      </c>
      <c r="G3645" s="120">
        <f>+F3645/E3645*100</f>
        <v>39.938296837446124</v>
      </c>
      <c r="H3645" s="858">
        <v>40</v>
      </c>
      <c r="I3645" s="863"/>
      <c r="J3645" s="44"/>
    </row>
    <row r="3646" spans="3:10" s="656" customFormat="1" ht="20.100000000000001" hidden="1" customHeight="1">
      <c r="C3646" s="866"/>
      <c r="D3646" s="861" t="s">
        <v>2809</v>
      </c>
      <c r="E3646" s="860">
        <v>36589100000</v>
      </c>
      <c r="F3646" s="860">
        <v>14613063368.15</v>
      </c>
      <c r="G3646" s="115">
        <f>+F3646/E3646*100</f>
        <v>39.938296837446124</v>
      </c>
      <c r="H3646" s="853">
        <v>40</v>
      </c>
      <c r="I3646" s="863"/>
      <c r="J3646" s="44"/>
    </row>
    <row r="3647" spans="3:10" s="656" customFormat="1" ht="20.100000000000001" hidden="1" customHeight="1">
      <c r="C3647" s="866"/>
      <c r="D3647" s="869"/>
      <c r="E3647" s="868"/>
      <c r="F3647" s="868"/>
      <c r="G3647" s="120"/>
      <c r="H3647" s="858"/>
      <c r="I3647" s="863"/>
      <c r="J3647" s="44"/>
    </row>
    <row r="3648" spans="3:10" s="656" customFormat="1" ht="20.100000000000001" hidden="1" customHeight="1">
      <c r="C3648" s="866"/>
      <c r="D3648" s="867" t="s">
        <v>2808</v>
      </c>
      <c r="E3648" s="864">
        <v>3768836000</v>
      </c>
      <c r="F3648" s="864">
        <v>3413882000</v>
      </c>
      <c r="G3648" s="120">
        <f t="shared" ref="G3648:G3654" si="176">+F3648/E3648*100</f>
        <v>90.581866655911796</v>
      </c>
      <c r="H3648" s="858">
        <f>+G3648</f>
        <v>90.581866655911796</v>
      </c>
      <c r="I3648" s="863"/>
      <c r="J3648" s="44"/>
    </row>
    <row r="3649" spans="3:10" s="656" customFormat="1" ht="20.100000000000001" hidden="1" customHeight="1">
      <c r="C3649" s="866"/>
      <c r="D3649" s="865" t="s">
        <v>2807</v>
      </c>
      <c r="E3649" s="864">
        <v>3768836000</v>
      </c>
      <c r="F3649" s="864">
        <v>3413882000</v>
      </c>
      <c r="G3649" s="120">
        <f t="shared" si="176"/>
        <v>90.581866655911796</v>
      </c>
      <c r="H3649" s="858">
        <f>SUM((H3650:H3654))/5</f>
        <v>93</v>
      </c>
      <c r="I3649" s="863"/>
      <c r="J3649" s="44"/>
    </row>
    <row r="3650" spans="3:10" ht="29.25" hidden="1" customHeight="1">
      <c r="C3650" s="857"/>
      <c r="D3650" s="862" t="s">
        <v>2806</v>
      </c>
      <c r="E3650" s="860">
        <v>1118989000</v>
      </c>
      <c r="F3650" s="860">
        <v>799000000</v>
      </c>
      <c r="G3650" s="115">
        <f t="shared" si="176"/>
        <v>71.403740340611037</v>
      </c>
      <c r="H3650" s="853">
        <v>75</v>
      </c>
      <c r="I3650" s="852"/>
      <c r="J3650" s="802"/>
    </row>
    <row r="3651" spans="3:10" ht="29.25" hidden="1" customHeight="1">
      <c r="C3651" s="857"/>
      <c r="D3651" s="862" t="s">
        <v>2805</v>
      </c>
      <c r="E3651" s="860">
        <v>287772000</v>
      </c>
      <c r="F3651" s="860">
        <v>287772000</v>
      </c>
      <c r="G3651" s="115">
        <f t="shared" si="176"/>
        <v>100</v>
      </c>
      <c r="H3651" s="853">
        <f>+G3651</f>
        <v>100</v>
      </c>
      <c r="I3651" s="852"/>
      <c r="J3651" s="802"/>
    </row>
    <row r="3652" spans="3:10" ht="29.25" hidden="1" customHeight="1">
      <c r="C3652" s="857"/>
      <c r="D3652" s="862" t="s">
        <v>2804</v>
      </c>
      <c r="E3652" s="860">
        <v>2064110000</v>
      </c>
      <c r="F3652" s="860">
        <v>2064110000</v>
      </c>
      <c r="G3652" s="115">
        <f t="shared" si="176"/>
        <v>100</v>
      </c>
      <c r="H3652" s="853">
        <f>+G3652</f>
        <v>100</v>
      </c>
      <c r="I3652" s="852"/>
      <c r="J3652" s="802"/>
    </row>
    <row r="3653" spans="3:10" ht="29.25" hidden="1" customHeight="1">
      <c r="C3653" s="857"/>
      <c r="D3653" s="862" t="s">
        <v>2803</v>
      </c>
      <c r="E3653" s="860">
        <v>284965000</v>
      </c>
      <c r="F3653" s="860">
        <v>250000000</v>
      </c>
      <c r="G3653" s="115">
        <f t="shared" si="176"/>
        <v>87.730072114119267</v>
      </c>
      <c r="H3653" s="853">
        <v>90</v>
      </c>
      <c r="I3653" s="852"/>
      <c r="J3653" s="802"/>
    </row>
    <row r="3654" spans="3:10" ht="29.25" hidden="1" customHeight="1">
      <c r="C3654" s="857"/>
      <c r="D3654" s="862" t="s">
        <v>2802</v>
      </c>
      <c r="E3654" s="860">
        <v>13000000</v>
      </c>
      <c r="F3654" s="860">
        <v>13000000</v>
      </c>
      <c r="G3654" s="115">
        <f t="shared" si="176"/>
        <v>100</v>
      </c>
      <c r="H3654" s="853">
        <f>+G3654</f>
        <v>100</v>
      </c>
      <c r="I3654" s="852"/>
      <c r="J3654" s="802"/>
    </row>
    <row r="3655" spans="3:10" ht="15" hidden="1" customHeight="1">
      <c r="C3655" s="857"/>
      <c r="D3655" s="862"/>
      <c r="E3655" s="868"/>
      <c r="F3655" s="868"/>
      <c r="G3655" s="120"/>
      <c r="H3655" s="858"/>
      <c r="I3655" s="852"/>
      <c r="J3655" s="802"/>
    </row>
    <row r="3656" spans="3:10" s="656" customFormat="1" ht="20.100000000000001" hidden="1" customHeight="1">
      <c r="C3656" s="866"/>
      <c r="D3656" s="867" t="s">
        <v>2801</v>
      </c>
      <c r="E3656" s="864">
        <v>1500000000</v>
      </c>
      <c r="F3656" s="864">
        <v>1463065530</v>
      </c>
      <c r="G3656" s="120">
        <f>+F3656/E3656*100</f>
        <v>97.53770200000001</v>
      </c>
      <c r="H3656" s="858">
        <v>100</v>
      </c>
      <c r="I3656" s="863"/>
      <c r="J3656" s="44"/>
    </row>
    <row r="3657" spans="3:10" s="656" customFormat="1" ht="20.100000000000001" hidden="1" customHeight="1">
      <c r="C3657" s="866"/>
      <c r="D3657" s="865" t="s">
        <v>2791</v>
      </c>
      <c r="E3657" s="864">
        <v>1500000000</v>
      </c>
      <c r="F3657" s="864">
        <v>1463065530</v>
      </c>
      <c r="G3657" s="120">
        <f>+F3657/E3657*100</f>
        <v>97.53770200000001</v>
      </c>
      <c r="H3657" s="858">
        <v>100</v>
      </c>
      <c r="I3657" s="863"/>
      <c r="J3657" s="44"/>
    </row>
    <row r="3658" spans="3:10" ht="20.100000000000001" hidden="1" customHeight="1">
      <c r="C3658" s="857"/>
      <c r="D3658" s="861" t="s">
        <v>2800</v>
      </c>
      <c r="E3658" s="860">
        <v>1500000000</v>
      </c>
      <c r="F3658" s="860">
        <v>1463065530</v>
      </c>
      <c r="G3658" s="115">
        <f>+F3658/E3658*100</f>
        <v>97.53770200000001</v>
      </c>
      <c r="H3658" s="853">
        <v>100</v>
      </c>
      <c r="I3658" s="852"/>
      <c r="J3658" s="802"/>
    </row>
    <row r="3659" spans="3:10" ht="20.100000000000001" hidden="1" customHeight="1">
      <c r="C3659" s="857"/>
      <c r="D3659" s="869"/>
      <c r="E3659" s="868"/>
      <c r="F3659" s="868"/>
      <c r="G3659" s="120"/>
      <c r="H3659" s="858"/>
      <c r="I3659" s="852"/>
      <c r="J3659" s="802"/>
    </row>
    <row r="3660" spans="3:10" s="656" customFormat="1" ht="20.100000000000001" hidden="1" customHeight="1">
      <c r="C3660" s="866"/>
      <c r="D3660" s="867" t="s">
        <v>2526</v>
      </c>
      <c r="E3660" s="864">
        <v>237650740000</v>
      </c>
      <c r="F3660" s="864">
        <v>159194823727</v>
      </c>
      <c r="G3660" s="120">
        <f t="shared" ref="G3660:G3698" si="177">+F3660/E3660*100</f>
        <v>66.986883241768993</v>
      </c>
      <c r="H3660" s="858">
        <f>(H3661+H3673+H3682+H3685)/4</f>
        <v>78.96197552447552</v>
      </c>
      <c r="I3660" s="863"/>
      <c r="J3660" s="44"/>
    </row>
    <row r="3661" spans="3:10" s="656" customFormat="1" ht="20.100000000000001" hidden="1" customHeight="1">
      <c r="C3661" s="866"/>
      <c r="D3661" s="865" t="s">
        <v>887</v>
      </c>
      <c r="E3661" s="864">
        <v>10779294625</v>
      </c>
      <c r="F3661" s="864">
        <v>6171770288</v>
      </c>
      <c r="G3661" s="120">
        <f t="shared" si="177"/>
        <v>57.255789944604096</v>
      </c>
      <c r="H3661" s="858">
        <f>SUM((H3662:H3672))/11</f>
        <v>63.636363636363633</v>
      </c>
      <c r="I3661" s="863"/>
      <c r="J3661" s="44"/>
    </row>
    <row r="3662" spans="3:10" ht="20.100000000000001" hidden="1" customHeight="1">
      <c r="C3662" s="857"/>
      <c r="D3662" s="861" t="s">
        <v>2527</v>
      </c>
      <c r="E3662" s="860">
        <v>835400000</v>
      </c>
      <c r="F3662" s="860">
        <v>492700000</v>
      </c>
      <c r="G3662" s="115">
        <f t="shared" si="177"/>
        <v>58.977735216662673</v>
      </c>
      <c r="H3662" s="853">
        <v>60</v>
      </c>
      <c r="I3662" s="852"/>
      <c r="J3662" s="802"/>
    </row>
    <row r="3663" spans="3:10" ht="20.100000000000001" hidden="1" customHeight="1">
      <c r="C3663" s="857"/>
      <c r="D3663" s="861" t="s">
        <v>2385</v>
      </c>
      <c r="E3663" s="860">
        <v>804000000</v>
      </c>
      <c r="F3663" s="860">
        <v>436755788</v>
      </c>
      <c r="G3663" s="115">
        <f t="shared" si="177"/>
        <v>54.322859203980101</v>
      </c>
      <c r="H3663" s="853">
        <v>60</v>
      </c>
      <c r="I3663" s="852"/>
      <c r="J3663" s="802"/>
    </row>
    <row r="3664" spans="3:10" ht="20.100000000000001" hidden="1" customHeight="1">
      <c r="C3664" s="857"/>
      <c r="D3664" s="861" t="s">
        <v>2528</v>
      </c>
      <c r="E3664" s="860">
        <v>32002500</v>
      </c>
      <c r="F3664" s="860">
        <v>0</v>
      </c>
      <c r="G3664" s="115">
        <f t="shared" si="177"/>
        <v>0</v>
      </c>
      <c r="H3664" s="853">
        <f>+G3664</f>
        <v>0</v>
      </c>
      <c r="I3664" s="852"/>
      <c r="J3664" s="802"/>
    </row>
    <row r="3665" spans="3:10" ht="20.100000000000001" hidden="1" customHeight="1">
      <c r="C3665" s="857"/>
      <c r="D3665" s="861" t="s">
        <v>2409</v>
      </c>
      <c r="E3665" s="860">
        <v>1415500000</v>
      </c>
      <c r="F3665" s="860">
        <v>1362600000</v>
      </c>
      <c r="G3665" s="115">
        <f t="shared" si="177"/>
        <v>96.26280466266337</v>
      </c>
      <c r="H3665" s="853">
        <v>100</v>
      </c>
      <c r="I3665" s="852"/>
      <c r="J3665" s="802"/>
    </row>
    <row r="3666" spans="3:10" ht="20.100000000000001" hidden="1" customHeight="1">
      <c r="C3666" s="857"/>
      <c r="D3666" s="861" t="s">
        <v>2529</v>
      </c>
      <c r="E3666" s="860">
        <v>739792125</v>
      </c>
      <c r="F3666" s="860">
        <v>739167000</v>
      </c>
      <c r="G3666" s="115">
        <f t="shared" si="177"/>
        <v>99.915499911546107</v>
      </c>
      <c r="H3666" s="853">
        <v>100</v>
      </c>
      <c r="I3666" s="852"/>
      <c r="J3666" s="802"/>
    </row>
    <row r="3667" spans="3:10" ht="20.100000000000001" hidden="1" customHeight="1">
      <c r="C3667" s="857"/>
      <c r="D3667" s="861" t="s">
        <v>2799</v>
      </c>
      <c r="E3667" s="860">
        <v>918750000</v>
      </c>
      <c r="F3667" s="860">
        <v>917427500</v>
      </c>
      <c r="G3667" s="115">
        <f t="shared" si="177"/>
        <v>99.856054421768704</v>
      </c>
      <c r="H3667" s="853">
        <v>100</v>
      </c>
      <c r="I3667" s="852"/>
      <c r="J3667" s="802"/>
    </row>
    <row r="3668" spans="3:10" ht="20.100000000000001" hidden="1" customHeight="1">
      <c r="C3668" s="857"/>
      <c r="D3668" s="861" t="s">
        <v>2530</v>
      </c>
      <c r="E3668" s="860">
        <v>40750000</v>
      </c>
      <c r="F3668" s="860">
        <v>40700000</v>
      </c>
      <c r="G3668" s="115">
        <f t="shared" si="177"/>
        <v>99.877300613496928</v>
      </c>
      <c r="H3668" s="853">
        <v>100</v>
      </c>
      <c r="I3668" s="852"/>
      <c r="J3668" s="802"/>
    </row>
    <row r="3669" spans="3:10" ht="20.100000000000001" hidden="1" customHeight="1">
      <c r="C3669" s="857"/>
      <c r="D3669" s="861" t="s">
        <v>2531</v>
      </c>
      <c r="E3669" s="860">
        <v>500000000</v>
      </c>
      <c r="F3669" s="860">
        <v>56500000</v>
      </c>
      <c r="G3669" s="115">
        <f t="shared" si="177"/>
        <v>11.3</v>
      </c>
      <c r="H3669" s="853">
        <v>20</v>
      </c>
      <c r="I3669" s="852"/>
      <c r="J3669" s="802"/>
    </row>
    <row r="3670" spans="3:10" ht="20.100000000000001" hidden="1" customHeight="1">
      <c r="C3670" s="857"/>
      <c r="D3670" s="861" t="s">
        <v>2532</v>
      </c>
      <c r="E3670" s="860">
        <v>1512500000</v>
      </c>
      <c r="F3670" s="860">
        <v>1508770000</v>
      </c>
      <c r="G3670" s="115">
        <f t="shared" si="177"/>
        <v>99.753388429752064</v>
      </c>
      <c r="H3670" s="853">
        <v>100</v>
      </c>
      <c r="I3670" s="852"/>
      <c r="J3670" s="802"/>
    </row>
    <row r="3671" spans="3:10" ht="20.100000000000001" hidden="1" customHeight="1">
      <c r="C3671" s="857"/>
      <c r="D3671" s="861" t="s">
        <v>2798</v>
      </c>
      <c r="E3671" s="860">
        <v>2907000000</v>
      </c>
      <c r="F3671" s="860">
        <v>0</v>
      </c>
      <c r="G3671" s="115">
        <f t="shared" si="177"/>
        <v>0</v>
      </c>
      <c r="H3671" s="853">
        <f>+G3671</f>
        <v>0</v>
      </c>
      <c r="I3671" s="852"/>
      <c r="J3671" s="802"/>
    </row>
    <row r="3672" spans="3:10" ht="20.100000000000001" hidden="1" customHeight="1">
      <c r="C3672" s="857"/>
      <c r="D3672" s="861" t="s">
        <v>2797</v>
      </c>
      <c r="E3672" s="860">
        <v>1073600000</v>
      </c>
      <c r="F3672" s="860">
        <v>617150000</v>
      </c>
      <c r="G3672" s="115">
        <f t="shared" si="177"/>
        <v>57.484165424739196</v>
      </c>
      <c r="H3672" s="853">
        <v>60</v>
      </c>
      <c r="I3672" s="852"/>
      <c r="J3672" s="802"/>
    </row>
    <row r="3673" spans="3:10" s="656" customFormat="1" ht="20.100000000000001" hidden="1" customHeight="1">
      <c r="C3673" s="866"/>
      <c r="D3673" s="865" t="s">
        <v>888</v>
      </c>
      <c r="E3673" s="864">
        <v>9898904500</v>
      </c>
      <c r="F3673" s="864">
        <v>8392274092</v>
      </c>
      <c r="G3673" s="120">
        <f t="shared" si="177"/>
        <v>84.77982681821004</v>
      </c>
      <c r="H3673" s="858">
        <f>SUM((H3674:H3681))/8</f>
        <v>88.75</v>
      </c>
      <c r="I3673" s="863"/>
      <c r="J3673" s="44"/>
    </row>
    <row r="3674" spans="3:10" ht="20.100000000000001" hidden="1" customHeight="1">
      <c r="C3674" s="857"/>
      <c r="D3674" s="861" t="s">
        <v>2796</v>
      </c>
      <c r="E3674" s="860">
        <v>2866900000</v>
      </c>
      <c r="F3674" s="860">
        <v>2812000000</v>
      </c>
      <c r="G3674" s="115">
        <f t="shared" si="177"/>
        <v>98.085039589800829</v>
      </c>
      <c r="H3674" s="853">
        <v>100</v>
      </c>
      <c r="I3674" s="852"/>
      <c r="J3674" s="802"/>
    </row>
    <row r="3675" spans="3:10" ht="20.100000000000001" hidden="1" customHeight="1">
      <c r="C3675" s="857"/>
      <c r="D3675" s="861" t="s">
        <v>2534</v>
      </c>
      <c r="E3675" s="860">
        <v>1672224500</v>
      </c>
      <c r="F3675" s="860">
        <v>1659460000</v>
      </c>
      <c r="G3675" s="115">
        <f t="shared" si="177"/>
        <v>99.23667545834904</v>
      </c>
      <c r="H3675" s="853">
        <v>100</v>
      </c>
      <c r="I3675" s="852"/>
      <c r="J3675" s="802"/>
    </row>
    <row r="3676" spans="3:10" ht="20.100000000000001" hidden="1" customHeight="1">
      <c r="C3676" s="857"/>
      <c r="D3676" s="861" t="s">
        <v>889</v>
      </c>
      <c r="E3676" s="860">
        <v>150000000</v>
      </c>
      <c r="F3676" s="860">
        <v>149490000</v>
      </c>
      <c r="G3676" s="115">
        <f t="shared" si="177"/>
        <v>99.660000000000011</v>
      </c>
      <c r="H3676" s="853">
        <v>100</v>
      </c>
      <c r="I3676" s="852"/>
      <c r="J3676" s="802"/>
    </row>
    <row r="3677" spans="3:10" ht="20.100000000000001" hidden="1" customHeight="1">
      <c r="C3677" s="857"/>
      <c r="D3677" s="861" t="s">
        <v>2795</v>
      </c>
      <c r="E3677" s="860">
        <v>1500000000</v>
      </c>
      <c r="F3677" s="860">
        <v>1487448000</v>
      </c>
      <c r="G3677" s="115">
        <f t="shared" si="177"/>
        <v>99.163199999999989</v>
      </c>
      <c r="H3677" s="853">
        <v>100</v>
      </c>
      <c r="I3677" s="852"/>
      <c r="J3677" s="802"/>
    </row>
    <row r="3678" spans="3:10" ht="20.100000000000001" hidden="1" customHeight="1">
      <c r="C3678" s="857"/>
      <c r="D3678" s="861" t="s">
        <v>2794</v>
      </c>
      <c r="E3678" s="860">
        <v>1145000000</v>
      </c>
      <c r="F3678" s="860">
        <v>648460000</v>
      </c>
      <c r="G3678" s="115">
        <f t="shared" si="177"/>
        <v>56.634061135371184</v>
      </c>
      <c r="H3678" s="853">
        <v>60</v>
      </c>
      <c r="I3678" s="852"/>
      <c r="J3678" s="802"/>
    </row>
    <row r="3679" spans="3:10" ht="20.100000000000001" hidden="1" customHeight="1">
      <c r="C3679" s="857"/>
      <c r="D3679" s="861" t="s">
        <v>2535</v>
      </c>
      <c r="E3679" s="860">
        <v>1839780000</v>
      </c>
      <c r="F3679" s="860">
        <v>912584092</v>
      </c>
      <c r="G3679" s="115">
        <f t="shared" si="177"/>
        <v>49.602892302340493</v>
      </c>
      <c r="H3679" s="853">
        <v>50</v>
      </c>
      <c r="I3679" s="852"/>
      <c r="J3679" s="802"/>
    </row>
    <row r="3680" spans="3:10" ht="20.100000000000001" hidden="1" customHeight="1">
      <c r="C3680" s="857"/>
      <c r="D3680" s="861" t="s">
        <v>2793</v>
      </c>
      <c r="E3680" s="860">
        <v>475000000</v>
      </c>
      <c r="F3680" s="860">
        <v>473715000</v>
      </c>
      <c r="G3680" s="115">
        <f t="shared" si="177"/>
        <v>99.729473684210518</v>
      </c>
      <c r="H3680" s="853">
        <v>100</v>
      </c>
      <c r="I3680" s="852"/>
      <c r="J3680" s="802"/>
    </row>
    <row r="3681" spans="3:10" ht="20.100000000000001" hidden="1" customHeight="1">
      <c r="C3681" s="857"/>
      <c r="D3681" s="861" t="s">
        <v>2792</v>
      </c>
      <c r="E3681" s="860">
        <v>250000000</v>
      </c>
      <c r="F3681" s="860">
        <v>249117000</v>
      </c>
      <c r="G3681" s="115">
        <f t="shared" si="177"/>
        <v>99.646799999999999</v>
      </c>
      <c r="H3681" s="853">
        <v>100</v>
      </c>
      <c r="I3681" s="852"/>
      <c r="J3681" s="802"/>
    </row>
    <row r="3682" spans="3:10" s="656" customFormat="1" ht="20.100000000000001" hidden="1" customHeight="1">
      <c r="C3682" s="866"/>
      <c r="D3682" s="865" t="s">
        <v>2536</v>
      </c>
      <c r="E3682" s="864">
        <v>1151000000</v>
      </c>
      <c r="F3682" s="864">
        <v>1148943000</v>
      </c>
      <c r="G3682" s="120">
        <f t="shared" si="177"/>
        <v>99.82128583840138</v>
      </c>
      <c r="H3682" s="858">
        <v>100</v>
      </c>
      <c r="I3682" s="863"/>
      <c r="J3682" s="44"/>
    </row>
    <row r="3683" spans="3:10" ht="20.100000000000001" hidden="1" customHeight="1">
      <c r="C3683" s="857"/>
      <c r="D3683" s="861" t="s">
        <v>2537</v>
      </c>
      <c r="E3683" s="860">
        <v>629000000</v>
      </c>
      <c r="F3683" s="860">
        <v>627820000</v>
      </c>
      <c r="G3683" s="115">
        <f t="shared" si="177"/>
        <v>99.812400635930047</v>
      </c>
      <c r="H3683" s="853">
        <v>100</v>
      </c>
      <c r="I3683" s="852"/>
      <c r="J3683" s="802"/>
    </row>
    <row r="3684" spans="3:10" ht="20.100000000000001" hidden="1" customHeight="1">
      <c r="C3684" s="857"/>
      <c r="D3684" s="861" t="s">
        <v>2538</v>
      </c>
      <c r="E3684" s="860">
        <v>522000000</v>
      </c>
      <c r="F3684" s="860">
        <v>521123000</v>
      </c>
      <c r="G3684" s="115">
        <f t="shared" si="177"/>
        <v>99.831992337164749</v>
      </c>
      <c r="H3684" s="853">
        <v>100</v>
      </c>
      <c r="I3684" s="852"/>
      <c r="J3684" s="802"/>
    </row>
    <row r="3685" spans="3:10" s="656" customFormat="1" ht="20.100000000000001" hidden="1" customHeight="1">
      <c r="C3685" s="866"/>
      <c r="D3685" s="865" t="s">
        <v>2791</v>
      </c>
      <c r="E3685" s="864">
        <v>9926347275</v>
      </c>
      <c r="F3685" s="864">
        <v>2807833400</v>
      </c>
      <c r="G3685" s="120">
        <f t="shared" si="177"/>
        <v>28.286673055169732</v>
      </c>
      <c r="H3685" s="858">
        <f>SUM((H3686:H3698))/13</f>
        <v>63.46153846153846</v>
      </c>
      <c r="I3685" s="863"/>
      <c r="J3685" s="44"/>
    </row>
    <row r="3686" spans="3:10" ht="20.100000000000001" hidden="1" customHeight="1">
      <c r="C3686" s="857"/>
      <c r="D3686" s="861" t="s">
        <v>2790</v>
      </c>
      <c r="E3686" s="860">
        <v>505000000</v>
      </c>
      <c r="F3686" s="860">
        <v>0</v>
      </c>
      <c r="G3686" s="115">
        <f t="shared" si="177"/>
        <v>0</v>
      </c>
      <c r="H3686" s="853">
        <f>+G3686</f>
        <v>0</v>
      </c>
      <c r="I3686" s="852"/>
      <c r="J3686" s="802"/>
    </row>
    <row r="3687" spans="3:10" ht="20.100000000000001" hidden="1" customHeight="1">
      <c r="C3687" s="857"/>
      <c r="D3687" s="861" t="s">
        <v>2789</v>
      </c>
      <c r="E3687" s="860">
        <v>9421347275</v>
      </c>
      <c r="F3687" s="860">
        <v>2807833400</v>
      </c>
      <c r="G3687" s="115">
        <f t="shared" si="177"/>
        <v>29.802886127026877</v>
      </c>
      <c r="H3687" s="853">
        <v>30</v>
      </c>
      <c r="I3687" s="852"/>
      <c r="J3687" s="802"/>
    </row>
    <row r="3688" spans="3:10" s="656" customFormat="1" ht="20.100000000000001" hidden="1" customHeight="1">
      <c r="C3688" s="866"/>
      <c r="D3688" s="865" t="s">
        <v>2539</v>
      </c>
      <c r="E3688" s="864">
        <v>205895193600</v>
      </c>
      <c r="F3688" s="864">
        <v>140674002947</v>
      </c>
      <c r="G3688" s="120">
        <f t="shared" si="177"/>
        <v>68.323111621678962</v>
      </c>
      <c r="H3688" s="858">
        <v>70</v>
      </c>
      <c r="I3688" s="863"/>
      <c r="J3688" s="44"/>
    </row>
    <row r="3689" spans="3:10" ht="20.100000000000001" hidden="1" customHeight="1">
      <c r="C3689" s="857"/>
      <c r="D3689" s="861" t="s">
        <v>2540</v>
      </c>
      <c r="E3689" s="860">
        <v>18572000000</v>
      </c>
      <c r="F3689" s="860">
        <v>15491935400</v>
      </c>
      <c r="G3689" s="115">
        <f t="shared" si="177"/>
        <v>83.415547060090461</v>
      </c>
      <c r="H3689" s="853">
        <v>85</v>
      </c>
      <c r="I3689" s="852"/>
      <c r="J3689" s="802"/>
    </row>
    <row r="3690" spans="3:10" ht="20.100000000000001" hidden="1" customHeight="1">
      <c r="C3690" s="857"/>
      <c r="D3690" s="861" t="s">
        <v>2541</v>
      </c>
      <c r="E3690" s="860">
        <v>11700000000</v>
      </c>
      <c r="F3690" s="860">
        <v>8589697700</v>
      </c>
      <c r="G3690" s="115">
        <f t="shared" si="177"/>
        <v>73.416219658119658</v>
      </c>
      <c r="H3690" s="853">
        <v>75</v>
      </c>
      <c r="I3690" s="852"/>
      <c r="J3690" s="802"/>
    </row>
    <row r="3691" spans="3:10" ht="20.100000000000001" hidden="1" customHeight="1">
      <c r="C3691" s="857"/>
      <c r="D3691" s="861" t="s">
        <v>2542</v>
      </c>
      <c r="E3691" s="860">
        <v>7659000000</v>
      </c>
      <c r="F3691" s="860">
        <v>3127500000</v>
      </c>
      <c r="G3691" s="115">
        <f t="shared" si="177"/>
        <v>40.834312573443007</v>
      </c>
      <c r="H3691" s="853">
        <v>45</v>
      </c>
      <c r="I3691" s="852"/>
      <c r="J3691" s="802"/>
    </row>
    <row r="3692" spans="3:10" ht="20.100000000000001" hidden="1" customHeight="1">
      <c r="C3692" s="857"/>
      <c r="D3692" s="861" t="s">
        <v>2543</v>
      </c>
      <c r="E3692" s="860">
        <v>29339200000</v>
      </c>
      <c r="F3692" s="860">
        <v>27621800520</v>
      </c>
      <c r="G3692" s="115">
        <f t="shared" si="177"/>
        <v>94.146399765501442</v>
      </c>
      <c r="H3692" s="853">
        <v>95</v>
      </c>
      <c r="I3692" s="852"/>
      <c r="J3692" s="802"/>
    </row>
    <row r="3693" spans="3:10" ht="20.100000000000001" hidden="1" customHeight="1">
      <c r="C3693" s="857"/>
      <c r="D3693" s="862" t="s">
        <v>2544</v>
      </c>
      <c r="E3693" s="860">
        <v>33480000000</v>
      </c>
      <c r="F3693" s="860">
        <v>33278000000</v>
      </c>
      <c r="G3693" s="115">
        <f t="shared" si="177"/>
        <v>99.396654719235372</v>
      </c>
      <c r="H3693" s="853">
        <v>100</v>
      </c>
      <c r="I3693" s="852"/>
      <c r="J3693" s="802"/>
    </row>
    <row r="3694" spans="3:10" ht="20.100000000000001" hidden="1" customHeight="1">
      <c r="C3694" s="857"/>
      <c r="D3694" s="861" t="s">
        <v>2545</v>
      </c>
      <c r="E3694" s="860">
        <v>62024500000</v>
      </c>
      <c r="F3694" s="860">
        <v>23426840707</v>
      </c>
      <c r="G3694" s="115">
        <f t="shared" si="177"/>
        <v>37.770301585663731</v>
      </c>
      <c r="H3694" s="853">
        <v>40</v>
      </c>
      <c r="I3694" s="852"/>
      <c r="J3694" s="802"/>
    </row>
    <row r="3695" spans="3:10" ht="20.100000000000001" hidden="1" customHeight="1">
      <c r="C3695" s="857"/>
      <c r="D3695" s="861" t="s">
        <v>2546</v>
      </c>
      <c r="E3695" s="860">
        <v>12332000000</v>
      </c>
      <c r="F3695" s="860">
        <v>6984100000</v>
      </c>
      <c r="G3695" s="115">
        <f t="shared" si="177"/>
        <v>56.633960428154396</v>
      </c>
      <c r="H3695" s="853">
        <v>60</v>
      </c>
      <c r="I3695" s="852"/>
      <c r="J3695" s="802"/>
    </row>
    <row r="3696" spans="3:10" ht="20.100000000000001" hidden="1" customHeight="1">
      <c r="C3696" s="857"/>
      <c r="D3696" s="861" t="s">
        <v>2788</v>
      </c>
      <c r="E3696" s="860">
        <v>8947395500</v>
      </c>
      <c r="F3696" s="860">
        <v>6506284800</v>
      </c>
      <c r="G3696" s="115">
        <f t="shared" si="177"/>
        <v>72.717080629776561</v>
      </c>
      <c r="H3696" s="853">
        <v>75</v>
      </c>
      <c r="I3696" s="852"/>
      <c r="J3696" s="802"/>
    </row>
    <row r="3697" spans="3:10" ht="20.100000000000001" hidden="1" customHeight="1">
      <c r="C3697" s="857"/>
      <c r="D3697" s="861" t="s">
        <v>2547</v>
      </c>
      <c r="E3697" s="860">
        <v>9841098100</v>
      </c>
      <c r="F3697" s="860">
        <v>7505200000</v>
      </c>
      <c r="G3697" s="115">
        <f t="shared" si="177"/>
        <v>76.263847019267089</v>
      </c>
      <c r="H3697" s="853">
        <v>80</v>
      </c>
      <c r="I3697" s="852"/>
      <c r="J3697" s="802"/>
    </row>
    <row r="3698" spans="3:10" ht="20.100000000000001" hidden="1" customHeight="1">
      <c r="C3698" s="857"/>
      <c r="D3698" s="861" t="s">
        <v>2548</v>
      </c>
      <c r="E3698" s="860">
        <v>12000000000</v>
      </c>
      <c r="F3698" s="860">
        <v>8142643820</v>
      </c>
      <c r="G3698" s="115">
        <f t="shared" si="177"/>
        <v>67.855365166666672</v>
      </c>
      <c r="H3698" s="853">
        <v>70</v>
      </c>
      <c r="I3698" s="852"/>
      <c r="J3698" s="802"/>
    </row>
    <row r="3699" spans="3:10" ht="20.100000000000001" hidden="1" customHeight="1">
      <c r="C3699" s="857"/>
      <c r="D3699" s="869"/>
      <c r="E3699" s="868"/>
      <c r="F3699" s="868"/>
      <c r="G3699" s="120"/>
      <c r="H3699" s="858"/>
      <c r="I3699" s="852"/>
      <c r="J3699" s="802"/>
    </row>
    <row r="3700" spans="3:10" s="656" customFormat="1" ht="20.100000000000001" hidden="1" customHeight="1">
      <c r="C3700" s="866"/>
      <c r="D3700" s="867" t="s">
        <v>366</v>
      </c>
      <c r="E3700" s="864">
        <v>9500000000</v>
      </c>
      <c r="F3700" s="864">
        <v>8719666624</v>
      </c>
      <c r="G3700" s="120">
        <f t="shared" ref="G3700:G3706" si="178">+F3700/E3700*100</f>
        <v>91.785964463157896</v>
      </c>
      <c r="H3700" s="858">
        <f>(H3701+H3703)/2</f>
        <v>98.333333333333343</v>
      </c>
      <c r="I3700" s="863"/>
      <c r="J3700" s="44"/>
    </row>
    <row r="3701" spans="3:10" s="656" customFormat="1" ht="20.100000000000001" hidden="1" customHeight="1">
      <c r="C3701" s="866"/>
      <c r="D3701" s="865" t="s">
        <v>250</v>
      </c>
      <c r="E3701" s="864">
        <v>500000000</v>
      </c>
      <c r="F3701" s="864">
        <v>498468031</v>
      </c>
      <c r="G3701" s="120">
        <f t="shared" si="178"/>
        <v>99.693606199999991</v>
      </c>
      <c r="H3701" s="858">
        <v>100</v>
      </c>
      <c r="I3701" s="863"/>
      <c r="J3701" s="44"/>
    </row>
    <row r="3702" spans="3:10" ht="20.100000000000001" hidden="1" customHeight="1">
      <c r="C3702" s="857"/>
      <c r="D3702" s="861" t="s">
        <v>2787</v>
      </c>
      <c r="E3702" s="860">
        <v>500000000</v>
      </c>
      <c r="F3702" s="860">
        <v>498468031</v>
      </c>
      <c r="G3702" s="115">
        <f t="shared" si="178"/>
        <v>99.693606199999991</v>
      </c>
      <c r="H3702" s="853">
        <v>100</v>
      </c>
      <c r="I3702" s="852"/>
      <c r="J3702" s="802"/>
    </row>
    <row r="3703" spans="3:10" s="656" customFormat="1" ht="20.100000000000001" hidden="1" customHeight="1">
      <c r="C3703" s="866"/>
      <c r="D3703" s="865" t="s">
        <v>367</v>
      </c>
      <c r="E3703" s="864">
        <v>8000000000</v>
      </c>
      <c r="F3703" s="864">
        <v>7230608535</v>
      </c>
      <c r="G3703" s="120">
        <f t="shared" si="178"/>
        <v>90.382606687500001</v>
      </c>
      <c r="H3703" s="858">
        <f>290/3</f>
        <v>96.666666666666671</v>
      </c>
      <c r="I3703" s="863"/>
      <c r="J3703" s="44"/>
    </row>
    <row r="3704" spans="3:10" ht="20.100000000000001" hidden="1" customHeight="1">
      <c r="C3704" s="857"/>
      <c r="D3704" s="862" t="s">
        <v>2786</v>
      </c>
      <c r="E3704" s="860">
        <v>7000000000</v>
      </c>
      <c r="F3704" s="860">
        <v>6249632335</v>
      </c>
      <c r="G3704" s="115">
        <f t="shared" si="178"/>
        <v>89.280461928571427</v>
      </c>
      <c r="H3704" s="853">
        <v>90</v>
      </c>
      <c r="I3704" s="852"/>
      <c r="J3704" s="802"/>
    </row>
    <row r="3705" spans="3:10" ht="20.100000000000001" hidden="1" customHeight="1">
      <c r="C3705" s="857"/>
      <c r="D3705" s="861" t="s">
        <v>2785</v>
      </c>
      <c r="E3705" s="860">
        <v>1000000000</v>
      </c>
      <c r="F3705" s="860">
        <v>980976200</v>
      </c>
      <c r="G3705" s="115">
        <f t="shared" si="178"/>
        <v>98.097619999999992</v>
      </c>
      <c r="H3705" s="853">
        <v>100</v>
      </c>
      <c r="I3705" s="852"/>
      <c r="J3705" s="802"/>
    </row>
    <row r="3706" spans="3:10" ht="20.100000000000001" hidden="1" customHeight="1">
      <c r="C3706" s="857"/>
      <c r="D3706" s="861" t="s">
        <v>2784</v>
      </c>
      <c r="E3706" s="860">
        <v>1000000000</v>
      </c>
      <c r="F3706" s="860">
        <v>990590058</v>
      </c>
      <c r="G3706" s="115">
        <f t="shared" si="178"/>
        <v>99.059005799999994</v>
      </c>
      <c r="H3706" s="853">
        <v>100</v>
      </c>
      <c r="I3706" s="852"/>
      <c r="J3706" s="802"/>
    </row>
    <row r="3707" spans="3:10" ht="10.5" hidden="1" customHeight="1">
      <c r="C3707" s="857"/>
      <c r="D3707" s="859"/>
      <c r="E3707" s="854"/>
      <c r="F3707" s="854"/>
      <c r="G3707" s="120"/>
      <c r="H3707" s="858"/>
      <c r="I3707" s="852"/>
      <c r="J3707" s="802"/>
    </row>
    <row r="3708" spans="3:10" ht="20.100000000000001" hidden="1" customHeight="1">
      <c r="C3708" s="857"/>
      <c r="D3708" s="856" t="s">
        <v>2783</v>
      </c>
      <c r="E3708" s="855">
        <v>1129203534590</v>
      </c>
      <c r="F3708" s="855">
        <f>+F3709</f>
        <v>1129203534590</v>
      </c>
      <c r="G3708" s="120">
        <f>+F3708/E3708*100</f>
        <v>100</v>
      </c>
      <c r="H3708" s="858">
        <f>+G3708</f>
        <v>100</v>
      </c>
      <c r="I3708" s="852"/>
      <c r="J3708" s="802"/>
    </row>
    <row r="3709" spans="3:10" ht="20.100000000000001" hidden="1" customHeight="1">
      <c r="C3709" s="857"/>
      <c r="D3709" s="856" t="s">
        <v>374</v>
      </c>
      <c r="E3709" s="855">
        <v>1129203534590</v>
      </c>
      <c r="F3709" s="855">
        <f>+F3710</f>
        <v>1129203534590</v>
      </c>
      <c r="G3709" s="120">
        <f>+F3709/E3709*100</f>
        <v>100</v>
      </c>
      <c r="H3709" s="858">
        <f>+G3709</f>
        <v>100</v>
      </c>
      <c r="I3709" s="852"/>
      <c r="J3709" s="802"/>
    </row>
    <row r="3710" spans="3:10" ht="20.100000000000001" hidden="1" customHeight="1">
      <c r="C3710" s="857"/>
      <c r="D3710" s="856" t="s">
        <v>375</v>
      </c>
      <c r="E3710" s="855">
        <v>1129203534590</v>
      </c>
      <c r="F3710" s="854">
        <f>+F3711</f>
        <v>1129203534590</v>
      </c>
      <c r="G3710" s="115">
        <f>+F3710/E3710*100</f>
        <v>100</v>
      </c>
      <c r="H3710" s="853">
        <f>+G3710</f>
        <v>100</v>
      </c>
      <c r="I3710" s="852"/>
      <c r="J3710" s="802"/>
    </row>
    <row r="3711" spans="3:10" ht="20.100000000000001" hidden="1" customHeight="1">
      <c r="C3711" s="851"/>
      <c r="D3711" s="850" t="s">
        <v>376</v>
      </c>
      <c r="E3711" s="849">
        <v>1129203534590</v>
      </c>
      <c r="F3711" s="848">
        <f>+E3711</f>
        <v>1129203534590</v>
      </c>
      <c r="G3711" s="847">
        <f>+F3711/E3711*100</f>
        <v>100</v>
      </c>
      <c r="H3711" s="846">
        <f>+G3711</f>
        <v>100</v>
      </c>
      <c r="I3711" s="845"/>
      <c r="J3711" s="802"/>
    </row>
    <row r="3712" spans="3:10" s="656" customFormat="1" ht="20.100000000000001" customHeight="1">
      <c r="C3712" s="844"/>
      <c r="D3712" s="843" t="s">
        <v>76</v>
      </c>
      <c r="E3712" s="841">
        <v>5850230158000</v>
      </c>
      <c r="F3712" s="842">
        <f>F3323+F350+F15</f>
        <v>4795765614838.2695</v>
      </c>
      <c r="G3712" s="841">
        <f>F3712/E3712*100</f>
        <v>81.975674209675589</v>
      </c>
      <c r="H3712" s="840">
        <f>(H3323+H350+H15)/3</f>
        <v>87.93953763836744</v>
      </c>
      <c r="I3712" s="839"/>
      <c r="J3712" s="44"/>
    </row>
    <row r="3713" spans="3:8">
      <c r="E3713" s="838"/>
    </row>
    <row r="3715" spans="3:8">
      <c r="C3715" s="18"/>
      <c r="E3715" s="18"/>
      <c r="F3715" s="18"/>
      <c r="G3715" s="18"/>
      <c r="H3715" s="18"/>
    </row>
    <row r="3716" spans="3:8" ht="29.25" customHeight="1">
      <c r="C3716" s="18"/>
      <c r="D3716" s="837"/>
      <c r="E3716" s="18"/>
      <c r="F3716" s="18"/>
      <c r="G3716" s="18"/>
      <c r="H3716" s="18"/>
    </row>
    <row r="3717" spans="3:8">
      <c r="C3717" s="18"/>
      <c r="D3717" s="834"/>
      <c r="E3717" s="836"/>
      <c r="F3717" s="18"/>
      <c r="G3717" s="18"/>
      <c r="H3717" s="18"/>
    </row>
    <row r="3718" spans="3:8">
      <c r="C3718" s="18"/>
      <c r="D3718" s="835"/>
      <c r="E3718" s="18"/>
      <c r="F3718" s="18"/>
      <c r="G3718" s="18"/>
      <c r="H3718" s="18"/>
    </row>
    <row r="3719" spans="3:8">
      <c r="C3719" s="18"/>
      <c r="E3719" s="18"/>
      <c r="F3719" s="18"/>
      <c r="G3719" s="18"/>
      <c r="H3719" s="18"/>
    </row>
    <row r="3720" spans="3:8">
      <c r="C3720" s="18"/>
      <c r="D3720" s="835"/>
      <c r="E3720" s="18"/>
      <c r="F3720" s="18"/>
      <c r="G3720" s="18"/>
      <c r="H3720" s="18"/>
    </row>
    <row r="3721" spans="3:8">
      <c r="C3721" s="18"/>
      <c r="D3721" s="834"/>
      <c r="E3721" s="18"/>
      <c r="F3721" s="18"/>
      <c r="G3721" s="18"/>
      <c r="H3721" s="18"/>
    </row>
    <row r="3722" spans="3:8">
      <c r="C3722" s="18"/>
      <c r="D3722" s="833"/>
      <c r="E3722" s="18"/>
      <c r="F3722" s="18"/>
      <c r="G3722" s="18"/>
      <c r="H3722" s="18"/>
    </row>
  </sheetData>
  <mergeCells count="9">
    <mergeCell ref="I10:I11"/>
    <mergeCell ref="C2:I2"/>
    <mergeCell ref="C3:I3"/>
    <mergeCell ref="C4:I4"/>
    <mergeCell ref="C5:I5"/>
    <mergeCell ref="H7:I8"/>
    <mergeCell ref="C10:C11"/>
    <mergeCell ref="D10:D11"/>
    <mergeCell ref="E10:H10"/>
  </mergeCells>
  <printOptions horizontalCentered="1"/>
  <pageMargins left="0.51181102362204722" right="0" top="0.55118110236220474" bottom="0.35433070866141736" header="0.31496062992125984" footer="0.31496062992125984"/>
  <pageSetup paperSize="258" scale="74" fitToHeight="0" orientation="landscape" r:id="rId1"/>
  <rowBreaks count="2" manualBreakCount="2">
    <brk id="3679" max="8" man="1"/>
    <brk id="3707" max="8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3801"/>
  <sheetViews>
    <sheetView view="pageBreakPreview" topLeftCell="A13" zoomScale="70" zoomScaleNormal="90" zoomScaleSheetLayoutView="70" workbookViewId="0">
      <selection activeCell="E3534" sqref="E3534"/>
    </sheetView>
  </sheetViews>
  <sheetFormatPr defaultColWidth="8.85546875" defaultRowHeight="15"/>
  <cols>
    <col min="1" max="1" width="3.28515625" style="2" customWidth="1"/>
    <col min="2" max="2" width="2.85546875" style="2" customWidth="1"/>
    <col min="3" max="3" width="6.5703125" style="99" customWidth="1"/>
    <col min="4" max="4" width="71.28515625" style="271" customWidth="1"/>
    <col min="5" max="5" width="33.85546875" style="1653" bestFit="1" customWidth="1"/>
    <col min="6" max="6" width="25.28515625" style="277" hidden="1" customWidth="1"/>
    <col min="7" max="7" width="9.42578125" style="82" customWidth="1"/>
    <col min="8" max="8" width="17.140625" style="82" customWidth="1"/>
    <col min="9" max="9" width="15.85546875" style="82" customWidth="1"/>
    <col min="10" max="10" width="11" style="82" customWidth="1"/>
    <col min="11" max="11" width="8.85546875" style="82" customWidth="1"/>
    <col min="12" max="13" width="10.85546875" style="82" customWidth="1"/>
    <col min="14" max="14" width="12.85546875" style="82" customWidth="1"/>
    <col min="15" max="15" width="8.5703125" style="82" customWidth="1"/>
    <col min="16" max="16" width="12" style="2" customWidth="1"/>
    <col min="17" max="17" width="2.140625" style="2" customWidth="1"/>
    <col min="18" max="256" width="8.85546875" style="2"/>
    <col min="257" max="257" width="3.28515625" style="2" customWidth="1"/>
    <col min="258" max="258" width="2.85546875" style="2" customWidth="1"/>
    <col min="259" max="259" width="6.5703125" style="2" customWidth="1"/>
    <col min="260" max="260" width="137.28515625" style="2" customWidth="1"/>
    <col min="261" max="261" width="21.28515625" style="2" customWidth="1"/>
    <col min="262" max="262" width="25.28515625" style="2" customWidth="1"/>
    <col min="263" max="263" width="11.7109375" style="2" customWidth="1"/>
    <col min="264" max="267" width="11" style="2" customWidth="1"/>
    <col min="268" max="271" width="12.85546875" style="2" customWidth="1"/>
    <col min="272" max="272" width="17.85546875" style="2" customWidth="1"/>
    <col min="273" max="273" width="2.140625" style="2" customWidth="1"/>
    <col min="274" max="512" width="8.85546875" style="2"/>
    <col min="513" max="513" width="3.28515625" style="2" customWidth="1"/>
    <col min="514" max="514" width="2.85546875" style="2" customWidth="1"/>
    <col min="515" max="515" width="6.5703125" style="2" customWidth="1"/>
    <col min="516" max="516" width="137.28515625" style="2" customWidth="1"/>
    <col min="517" max="517" width="21.28515625" style="2" customWidth="1"/>
    <col min="518" max="518" width="25.28515625" style="2" customWidth="1"/>
    <col min="519" max="519" width="11.7109375" style="2" customWidth="1"/>
    <col min="520" max="523" width="11" style="2" customWidth="1"/>
    <col min="524" max="527" width="12.85546875" style="2" customWidth="1"/>
    <col min="528" max="528" width="17.85546875" style="2" customWidth="1"/>
    <col min="529" max="529" width="2.140625" style="2" customWidth="1"/>
    <col min="530" max="768" width="8.85546875" style="2"/>
    <col min="769" max="769" width="3.28515625" style="2" customWidth="1"/>
    <col min="770" max="770" width="2.85546875" style="2" customWidth="1"/>
    <col min="771" max="771" width="6.5703125" style="2" customWidth="1"/>
    <col min="772" max="772" width="137.28515625" style="2" customWidth="1"/>
    <col min="773" max="773" width="21.28515625" style="2" customWidth="1"/>
    <col min="774" max="774" width="25.28515625" style="2" customWidth="1"/>
    <col min="775" max="775" width="11.7109375" style="2" customWidth="1"/>
    <col min="776" max="779" width="11" style="2" customWidth="1"/>
    <col min="780" max="783" width="12.85546875" style="2" customWidth="1"/>
    <col min="784" max="784" width="17.85546875" style="2" customWidth="1"/>
    <col min="785" max="785" width="2.140625" style="2" customWidth="1"/>
    <col min="786" max="1024" width="8.85546875" style="2"/>
    <col min="1025" max="1025" width="3.28515625" style="2" customWidth="1"/>
    <col min="1026" max="1026" width="2.85546875" style="2" customWidth="1"/>
    <col min="1027" max="1027" width="6.5703125" style="2" customWidth="1"/>
    <col min="1028" max="1028" width="137.28515625" style="2" customWidth="1"/>
    <col min="1029" max="1029" width="21.28515625" style="2" customWidth="1"/>
    <col min="1030" max="1030" width="25.28515625" style="2" customWidth="1"/>
    <col min="1031" max="1031" width="11.7109375" style="2" customWidth="1"/>
    <col min="1032" max="1035" width="11" style="2" customWidth="1"/>
    <col min="1036" max="1039" width="12.85546875" style="2" customWidth="1"/>
    <col min="1040" max="1040" width="17.85546875" style="2" customWidth="1"/>
    <col min="1041" max="1041" width="2.140625" style="2" customWidth="1"/>
    <col min="1042" max="1280" width="8.85546875" style="2"/>
    <col min="1281" max="1281" width="3.28515625" style="2" customWidth="1"/>
    <col min="1282" max="1282" width="2.85546875" style="2" customWidth="1"/>
    <col min="1283" max="1283" width="6.5703125" style="2" customWidth="1"/>
    <col min="1284" max="1284" width="137.28515625" style="2" customWidth="1"/>
    <col min="1285" max="1285" width="21.28515625" style="2" customWidth="1"/>
    <col min="1286" max="1286" width="25.28515625" style="2" customWidth="1"/>
    <col min="1287" max="1287" width="11.7109375" style="2" customWidth="1"/>
    <col min="1288" max="1291" width="11" style="2" customWidth="1"/>
    <col min="1292" max="1295" width="12.85546875" style="2" customWidth="1"/>
    <col min="1296" max="1296" width="17.85546875" style="2" customWidth="1"/>
    <col min="1297" max="1297" width="2.140625" style="2" customWidth="1"/>
    <col min="1298" max="1536" width="8.85546875" style="2"/>
    <col min="1537" max="1537" width="3.28515625" style="2" customWidth="1"/>
    <col min="1538" max="1538" width="2.85546875" style="2" customWidth="1"/>
    <col min="1539" max="1539" width="6.5703125" style="2" customWidth="1"/>
    <col min="1540" max="1540" width="137.28515625" style="2" customWidth="1"/>
    <col min="1541" max="1541" width="21.28515625" style="2" customWidth="1"/>
    <col min="1542" max="1542" width="25.28515625" style="2" customWidth="1"/>
    <col min="1543" max="1543" width="11.7109375" style="2" customWidth="1"/>
    <col min="1544" max="1547" width="11" style="2" customWidth="1"/>
    <col min="1548" max="1551" width="12.85546875" style="2" customWidth="1"/>
    <col min="1552" max="1552" width="17.85546875" style="2" customWidth="1"/>
    <col min="1553" max="1553" width="2.140625" style="2" customWidth="1"/>
    <col min="1554" max="1792" width="8.85546875" style="2"/>
    <col min="1793" max="1793" width="3.28515625" style="2" customWidth="1"/>
    <col min="1794" max="1794" width="2.85546875" style="2" customWidth="1"/>
    <col min="1795" max="1795" width="6.5703125" style="2" customWidth="1"/>
    <col min="1796" max="1796" width="137.28515625" style="2" customWidth="1"/>
    <col min="1797" max="1797" width="21.28515625" style="2" customWidth="1"/>
    <col min="1798" max="1798" width="25.28515625" style="2" customWidth="1"/>
    <col min="1799" max="1799" width="11.7109375" style="2" customWidth="1"/>
    <col min="1800" max="1803" width="11" style="2" customWidth="1"/>
    <col min="1804" max="1807" width="12.85546875" style="2" customWidth="1"/>
    <col min="1808" max="1808" width="17.85546875" style="2" customWidth="1"/>
    <col min="1809" max="1809" width="2.140625" style="2" customWidth="1"/>
    <col min="1810" max="2048" width="8.85546875" style="2"/>
    <col min="2049" max="2049" width="3.28515625" style="2" customWidth="1"/>
    <col min="2050" max="2050" width="2.85546875" style="2" customWidth="1"/>
    <col min="2051" max="2051" width="6.5703125" style="2" customWidth="1"/>
    <col min="2052" max="2052" width="137.28515625" style="2" customWidth="1"/>
    <col min="2053" max="2053" width="21.28515625" style="2" customWidth="1"/>
    <col min="2054" max="2054" width="25.28515625" style="2" customWidth="1"/>
    <col min="2055" max="2055" width="11.7109375" style="2" customWidth="1"/>
    <col min="2056" max="2059" width="11" style="2" customWidth="1"/>
    <col min="2060" max="2063" width="12.85546875" style="2" customWidth="1"/>
    <col min="2064" max="2064" width="17.85546875" style="2" customWidth="1"/>
    <col min="2065" max="2065" width="2.140625" style="2" customWidth="1"/>
    <col min="2066" max="2304" width="8.85546875" style="2"/>
    <col min="2305" max="2305" width="3.28515625" style="2" customWidth="1"/>
    <col min="2306" max="2306" width="2.85546875" style="2" customWidth="1"/>
    <col min="2307" max="2307" width="6.5703125" style="2" customWidth="1"/>
    <col min="2308" max="2308" width="137.28515625" style="2" customWidth="1"/>
    <col min="2309" max="2309" width="21.28515625" style="2" customWidth="1"/>
    <col min="2310" max="2310" width="25.28515625" style="2" customWidth="1"/>
    <col min="2311" max="2311" width="11.7109375" style="2" customWidth="1"/>
    <col min="2312" max="2315" width="11" style="2" customWidth="1"/>
    <col min="2316" max="2319" width="12.85546875" style="2" customWidth="1"/>
    <col min="2320" max="2320" width="17.85546875" style="2" customWidth="1"/>
    <col min="2321" max="2321" width="2.140625" style="2" customWidth="1"/>
    <col min="2322" max="2560" width="8.85546875" style="2"/>
    <col min="2561" max="2561" width="3.28515625" style="2" customWidth="1"/>
    <col min="2562" max="2562" width="2.85546875" style="2" customWidth="1"/>
    <col min="2563" max="2563" width="6.5703125" style="2" customWidth="1"/>
    <col min="2564" max="2564" width="137.28515625" style="2" customWidth="1"/>
    <col min="2565" max="2565" width="21.28515625" style="2" customWidth="1"/>
    <col min="2566" max="2566" width="25.28515625" style="2" customWidth="1"/>
    <col min="2567" max="2567" width="11.7109375" style="2" customWidth="1"/>
    <col min="2568" max="2571" width="11" style="2" customWidth="1"/>
    <col min="2572" max="2575" width="12.85546875" style="2" customWidth="1"/>
    <col min="2576" max="2576" width="17.85546875" style="2" customWidth="1"/>
    <col min="2577" max="2577" width="2.140625" style="2" customWidth="1"/>
    <col min="2578" max="2816" width="8.85546875" style="2"/>
    <col min="2817" max="2817" width="3.28515625" style="2" customWidth="1"/>
    <col min="2818" max="2818" width="2.85546875" style="2" customWidth="1"/>
    <col min="2819" max="2819" width="6.5703125" style="2" customWidth="1"/>
    <col min="2820" max="2820" width="137.28515625" style="2" customWidth="1"/>
    <col min="2821" max="2821" width="21.28515625" style="2" customWidth="1"/>
    <col min="2822" max="2822" width="25.28515625" style="2" customWidth="1"/>
    <col min="2823" max="2823" width="11.7109375" style="2" customWidth="1"/>
    <col min="2824" max="2827" width="11" style="2" customWidth="1"/>
    <col min="2828" max="2831" width="12.85546875" style="2" customWidth="1"/>
    <col min="2832" max="2832" width="17.85546875" style="2" customWidth="1"/>
    <col min="2833" max="2833" width="2.140625" style="2" customWidth="1"/>
    <col min="2834" max="3072" width="8.85546875" style="2"/>
    <col min="3073" max="3073" width="3.28515625" style="2" customWidth="1"/>
    <col min="3074" max="3074" width="2.85546875" style="2" customWidth="1"/>
    <col min="3075" max="3075" width="6.5703125" style="2" customWidth="1"/>
    <col min="3076" max="3076" width="137.28515625" style="2" customWidth="1"/>
    <col min="3077" max="3077" width="21.28515625" style="2" customWidth="1"/>
    <col min="3078" max="3078" width="25.28515625" style="2" customWidth="1"/>
    <col min="3079" max="3079" width="11.7109375" style="2" customWidth="1"/>
    <col min="3080" max="3083" width="11" style="2" customWidth="1"/>
    <col min="3084" max="3087" width="12.85546875" style="2" customWidth="1"/>
    <col min="3088" max="3088" width="17.85546875" style="2" customWidth="1"/>
    <col min="3089" max="3089" width="2.140625" style="2" customWidth="1"/>
    <col min="3090" max="3328" width="8.85546875" style="2"/>
    <col min="3329" max="3329" width="3.28515625" style="2" customWidth="1"/>
    <col min="3330" max="3330" width="2.85546875" style="2" customWidth="1"/>
    <col min="3331" max="3331" width="6.5703125" style="2" customWidth="1"/>
    <col min="3332" max="3332" width="137.28515625" style="2" customWidth="1"/>
    <col min="3333" max="3333" width="21.28515625" style="2" customWidth="1"/>
    <col min="3334" max="3334" width="25.28515625" style="2" customWidth="1"/>
    <col min="3335" max="3335" width="11.7109375" style="2" customWidth="1"/>
    <col min="3336" max="3339" width="11" style="2" customWidth="1"/>
    <col min="3340" max="3343" width="12.85546875" style="2" customWidth="1"/>
    <col min="3344" max="3344" width="17.85546875" style="2" customWidth="1"/>
    <col min="3345" max="3345" width="2.140625" style="2" customWidth="1"/>
    <col min="3346" max="3584" width="8.85546875" style="2"/>
    <col min="3585" max="3585" width="3.28515625" style="2" customWidth="1"/>
    <col min="3586" max="3586" width="2.85546875" style="2" customWidth="1"/>
    <col min="3587" max="3587" width="6.5703125" style="2" customWidth="1"/>
    <col min="3588" max="3588" width="137.28515625" style="2" customWidth="1"/>
    <col min="3589" max="3589" width="21.28515625" style="2" customWidth="1"/>
    <col min="3590" max="3590" width="25.28515625" style="2" customWidth="1"/>
    <col min="3591" max="3591" width="11.7109375" style="2" customWidth="1"/>
    <col min="3592" max="3595" width="11" style="2" customWidth="1"/>
    <col min="3596" max="3599" width="12.85546875" style="2" customWidth="1"/>
    <col min="3600" max="3600" width="17.85546875" style="2" customWidth="1"/>
    <col min="3601" max="3601" width="2.140625" style="2" customWidth="1"/>
    <col min="3602" max="3840" width="8.85546875" style="2"/>
    <col min="3841" max="3841" width="3.28515625" style="2" customWidth="1"/>
    <col min="3842" max="3842" width="2.85546875" style="2" customWidth="1"/>
    <col min="3843" max="3843" width="6.5703125" style="2" customWidth="1"/>
    <col min="3844" max="3844" width="137.28515625" style="2" customWidth="1"/>
    <col min="3845" max="3845" width="21.28515625" style="2" customWidth="1"/>
    <col min="3846" max="3846" width="25.28515625" style="2" customWidth="1"/>
    <col min="3847" max="3847" width="11.7109375" style="2" customWidth="1"/>
    <col min="3848" max="3851" width="11" style="2" customWidth="1"/>
    <col min="3852" max="3855" width="12.85546875" style="2" customWidth="1"/>
    <col min="3856" max="3856" width="17.85546875" style="2" customWidth="1"/>
    <col min="3857" max="3857" width="2.140625" style="2" customWidth="1"/>
    <col min="3858" max="4096" width="8.85546875" style="2"/>
    <col min="4097" max="4097" width="3.28515625" style="2" customWidth="1"/>
    <col min="4098" max="4098" width="2.85546875" style="2" customWidth="1"/>
    <col min="4099" max="4099" width="6.5703125" style="2" customWidth="1"/>
    <col min="4100" max="4100" width="137.28515625" style="2" customWidth="1"/>
    <col min="4101" max="4101" width="21.28515625" style="2" customWidth="1"/>
    <col min="4102" max="4102" width="25.28515625" style="2" customWidth="1"/>
    <col min="4103" max="4103" width="11.7109375" style="2" customWidth="1"/>
    <col min="4104" max="4107" width="11" style="2" customWidth="1"/>
    <col min="4108" max="4111" width="12.85546875" style="2" customWidth="1"/>
    <col min="4112" max="4112" width="17.85546875" style="2" customWidth="1"/>
    <col min="4113" max="4113" width="2.140625" style="2" customWidth="1"/>
    <col min="4114" max="4352" width="8.85546875" style="2"/>
    <col min="4353" max="4353" width="3.28515625" style="2" customWidth="1"/>
    <col min="4354" max="4354" width="2.85546875" style="2" customWidth="1"/>
    <col min="4355" max="4355" width="6.5703125" style="2" customWidth="1"/>
    <col min="4356" max="4356" width="137.28515625" style="2" customWidth="1"/>
    <col min="4357" max="4357" width="21.28515625" style="2" customWidth="1"/>
    <col min="4358" max="4358" width="25.28515625" style="2" customWidth="1"/>
    <col min="4359" max="4359" width="11.7109375" style="2" customWidth="1"/>
    <col min="4360" max="4363" width="11" style="2" customWidth="1"/>
    <col min="4364" max="4367" width="12.85546875" style="2" customWidth="1"/>
    <col min="4368" max="4368" width="17.85546875" style="2" customWidth="1"/>
    <col min="4369" max="4369" width="2.140625" style="2" customWidth="1"/>
    <col min="4370" max="4608" width="8.85546875" style="2"/>
    <col min="4609" max="4609" width="3.28515625" style="2" customWidth="1"/>
    <col min="4610" max="4610" width="2.85546875" style="2" customWidth="1"/>
    <col min="4611" max="4611" width="6.5703125" style="2" customWidth="1"/>
    <col min="4612" max="4612" width="137.28515625" style="2" customWidth="1"/>
    <col min="4613" max="4613" width="21.28515625" style="2" customWidth="1"/>
    <col min="4614" max="4614" width="25.28515625" style="2" customWidth="1"/>
    <col min="4615" max="4615" width="11.7109375" style="2" customWidth="1"/>
    <col min="4616" max="4619" width="11" style="2" customWidth="1"/>
    <col min="4620" max="4623" width="12.85546875" style="2" customWidth="1"/>
    <col min="4624" max="4624" width="17.85546875" style="2" customWidth="1"/>
    <col min="4625" max="4625" width="2.140625" style="2" customWidth="1"/>
    <col min="4626" max="4864" width="8.85546875" style="2"/>
    <col min="4865" max="4865" width="3.28515625" style="2" customWidth="1"/>
    <col min="4866" max="4866" width="2.85546875" style="2" customWidth="1"/>
    <col min="4867" max="4867" width="6.5703125" style="2" customWidth="1"/>
    <col min="4868" max="4868" width="137.28515625" style="2" customWidth="1"/>
    <col min="4869" max="4869" width="21.28515625" style="2" customWidth="1"/>
    <col min="4870" max="4870" width="25.28515625" style="2" customWidth="1"/>
    <col min="4871" max="4871" width="11.7109375" style="2" customWidth="1"/>
    <col min="4872" max="4875" width="11" style="2" customWidth="1"/>
    <col min="4876" max="4879" width="12.85546875" style="2" customWidth="1"/>
    <col min="4880" max="4880" width="17.85546875" style="2" customWidth="1"/>
    <col min="4881" max="4881" width="2.140625" style="2" customWidth="1"/>
    <col min="4882" max="5120" width="8.85546875" style="2"/>
    <col min="5121" max="5121" width="3.28515625" style="2" customWidth="1"/>
    <col min="5122" max="5122" width="2.85546875" style="2" customWidth="1"/>
    <col min="5123" max="5123" width="6.5703125" style="2" customWidth="1"/>
    <col min="5124" max="5124" width="137.28515625" style="2" customWidth="1"/>
    <col min="5125" max="5125" width="21.28515625" style="2" customWidth="1"/>
    <col min="5126" max="5126" width="25.28515625" style="2" customWidth="1"/>
    <col min="5127" max="5127" width="11.7109375" style="2" customWidth="1"/>
    <col min="5128" max="5131" width="11" style="2" customWidth="1"/>
    <col min="5132" max="5135" width="12.85546875" style="2" customWidth="1"/>
    <col min="5136" max="5136" width="17.85546875" style="2" customWidth="1"/>
    <col min="5137" max="5137" width="2.140625" style="2" customWidth="1"/>
    <col min="5138" max="5376" width="8.85546875" style="2"/>
    <col min="5377" max="5377" width="3.28515625" style="2" customWidth="1"/>
    <col min="5378" max="5378" width="2.85546875" style="2" customWidth="1"/>
    <col min="5379" max="5379" width="6.5703125" style="2" customWidth="1"/>
    <col min="5380" max="5380" width="137.28515625" style="2" customWidth="1"/>
    <col min="5381" max="5381" width="21.28515625" style="2" customWidth="1"/>
    <col min="5382" max="5382" width="25.28515625" style="2" customWidth="1"/>
    <col min="5383" max="5383" width="11.7109375" style="2" customWidth="1"/>
    <col min="5384" max="5387" width="11" style="2" customWidth="1"/>
    <col min="5388" max="5391" width="12.85546875" style="2" customWidth="1"/>
    <col min="5392" max="5392" width="17.85546875" style="2" customWidth="1"/>
    <col min="5393" max="5393" width="2.140625" style="2" customWidth="1"/>
    <col min="5394" max="5632" width="8.85546875" style="2"/>
    <col min="5633" max="5633" width="3.28515625" style="2" customWidth="1"/>
    <col min="5634" max="5634" width="2.85546875" style="2" customWidth="1"/>
    <col min="5635" max="5635" width="6.5703125" style="2" customWidth="1"/>
    <col min="5636" max="5636" width="137.28515625" style="2" customWidth="1"/>
    <col min="5637" max="5637" width="21.28515625" style="2" customWidth="1"/>
    <col min="5638" max="5638" width="25.28515625" style="2" customWidth="1"/>
    <col min="5639" max="5639" width="11.7109375" style="2" customWidth="1"/>
    <col min="5640" max="5643" width="11" style="2" customWidth="1"/>
    <col min="5644" max="5647" width="12.85546875" style="2" customWidth="1"/>
    <col min="5648" max="5648" width="17.85546875" style="2" customWidth="1"/>
    <col min="5649" max="5649" width="2.140625" style="2" customWidth="1"/>
    <col min="5650" max="5888" width="8.85546875" style="2"/>
    <col min="5889" max="5889" width="3.28515625" style="2" customWidth="1"/>
    <col min="5890" max="5890" width="2.85546875" style="2" customWidth="1"/>
    <col min="5891" max="5891" width="6.5703125" style="2" customWidth="1"/>
    <col min="5892" max="5892" width="137.28515625" style="2" customWidth="1"/>
    <col min="5893" max="5893" width="21.28515625" style="2" customWidth="1"/>
    <col min="5894" max="5894" width="25.28515625" style="2" customWidth="1"/>
    <col min="5895" max="5895" width="11.7109375" style="2" customWidth="1"/>
    <col min="5896" max="5899" width="11" style="2" customWidth="1"/>
    <col min="5900" max="5903" width="12.85546875" style="2" customWidth="1"/>
    <col min="5904" max="5904" width="17.85546875" style="2" customWidth="1"/>
    <col min="5905" max="5905" width="2.140625" style="2" customWidth="1"/>
    <col min="5906" max="6144" width="8.85546875" style="2"/>
    <col min="6145" max="6145" width="3.28515625" style="2" customWidth="1"/>
    <col min="6146" max="6146" width="2.85546875" style="2" customWidth="1"/>
    <col min="6147" max="6147" width="6.5703125" style="2" customWidth="1"/>
    <col min="6148" max="6148" width="137.28515625" style="2" customWidth="1"/>
    <col min="6149" max="6149" width="21.28515625" style="2" customWidth="1"/>
    <col min="6150" max="6150" width="25.28515625" style="2" customWidth="1"/>
    <col min="6151" max="6151" width="11.7109375" style="2" customWidth="1"/>
    <col min="6152" max="6155" width="11" style="2" customWidth="1"/>
    <col min="6156" max="6159" width="12.85546875" style="2" customWidth="1"/>
    <col min="6160" max="6160" width="17.85546875" style="2" customWidth="1"/>
    <col min="6161" max="6161" width="2.140625" style="2" customWidth="1"/>
    <col min="6162" max="6400" width="8.85546875" style="2"/>
    <col min="6401" max="6401" width="3.28515625" style="2" customWidth="1"/>
    <col min="6402" max="6402" width="2.85546875" style="2" customWidth="1"/>
    <col min="6403" max="6403" width="6.5703125" style="2" customWidth="1"/>
    <col min="6404" max="6404" width="137.28515625" style="2" customWidth="1"/>
    <col min="6405" max="6405" width="21.28515625" style="2" customWidth="1"/>
    <col min="6406" max="6406" width="25.28515625" style="2" customWidth="1"/>
    <col min="6407" max="6407" width="11.7109375" style="2" customWidth="1"/>
    <col min="6408" max="6411" width="11" style="2" customWidth="1"/>
    <col min="6412" max="6415" width="12.85546875" style="2" customWidth="1"/>
    <col min="6416" max="6416" width="17.85546875" style="2" customWidth="1"/>
    <col min="6417" max="6417" width="2.140625" style="2" customWidth="1"/>
    <col min="6418" max="6656" width="8.85546875" style="2"/>
    <col min="6657" max="6657" width="3.28515625" style="2" customWidth="1"/>
    <col min="6658" max="6658" width="2.85546875" style="2" customWidth="1"/>
    <col min="6659" max="6659" width="6.5703125" style="2" customWidth="1"/>
    <col min="6660" max="6660" width="137.28515625" style="2" customWidth="1"/>
    <col min="6661" max="6661" width="21.28515625" style="2" customWidth="1"/>
    <col min="6662" max="6662" width="25.28515625" style="2" customWidth="1"/>
    <col min="6663" max="6663" width="11.7109375" style="2" customWidth="1"/>
    <col min="6664" max="6667" width="11" style="2" customWidth="1"/>
    <col min="6668" max="6671" width="12.85546875" style="2" customWidth="1"/>
    <col min="6672" max="6672" width="17.85546875" style="2" customWidth="1"/>
    <col min="6673" max="6673" width="2.140625" style="2" customWidth="1"/>
    <col min="6674" max="6912" width="8.85546875" style="2"/>
    <col min="6913" max="6913" width="3.28515625" style="2" customWidth="1"/>
    <col min="6914" max="6914" width="2.85546875" style="2" customWidth="1"/>
    <col min="6915" max="6915" width="6.5703125" style="2" customWidth="1"/>
    <col min="6916" max="6916" width="137.28515625" style="2" customWidth="1"/>
    <col min="6917" max="6917" width="21.28515625" style="2" customWidth="1"/>
    <col min="6918" max="6918" width="25.28515625" style="2" customWidth="1"/>
    <col min="6919" max="6919" width="11.7109375" style="2" customWidth="1"/>
    <col min="6920" max="6923" width="11" style="2" customWidth="1"/>
    <col min="6924" max="6927" width="12.85546875" style="2" customWidth="1"/>
    <col min="6928" max="6928" width="17.85546875" style="2" customWidth="1"/>
    <col min="6929" max="6929" width="2.140625" style="2" customWidth="1"/>
    <col min="6930" max="7168" width="8.85546875" style="2"/>
    <col min="7169" max="7169" width="3.28515625" style="2" customWidth="1"/>
    <col min="7170" max="7170" width="2.85546875" style="2" customWidth="1"/>
    <col min="7171" max="7171" width="6.5703125" style="2" customWidth="1"/>
    <col min="7172" max="7172" width="137.28515625" style="2" customWidth="1"/>
    <col min="7173" max="7173" width="21.28515625" style="2" customWidth="1"/>
    <col min="7174" max="7174" width="25.28515625" style="2" customWidth="1"/>
    <col min="7175" max="7175" width="11.7109375" style="2" customWidth="1"/>
    <col min="7176" max="7179" width="11" style="2" customWidth="1"/>
    <col min="7180" max="7183" width="12.85546875" style="2" customWidth="1"/>
    <col min="7184" max="7184" width="17.85546875" style="2" customWidth="1"/>
    <col min="7185" max="7185" width="2.140625" style="2" customWidth="1"/>
    <col min="7186" max="7424" width="8.85546875" style="2"/>
    <col min="7425" max="7425" width="3.28515625" style="2" customWidth="1"/>
    <col min="7426" max="7426" width="2.85546875" style="2" customWidth="1"/>
    <col min="7427" max="7427" width="6.5703125" style="2" customWidth="1"/>
    <col min="7428" max="7428" width="137.28515625" style="2" customWidth="1"/>
    <col min="7429" max="7429" width="21.28515625" style="2" customWidth="1"/>
    <col min="7430" max="7430" width="25.28515625" style="2" customWidth="1"/>
    <col min="7431" max="7431" width="11.7109375" style="2" customWidth="1"/>
    <col min="7432" max="7435" width="11" style="2" customWidth="1"/>
    <col min="7436" max="7439" width="12.85546875" style="2" customWidth="1"/>
    <col min="7440" max="7440" width="17.85546875" style="2" customWidth="1"/>
    <col min="7441" max="7441" width="2.140625" style="2" customWidth="1"/>
    <col min="7442" max="7680" width="8.85546875" style="2"/>
    <col min="7681" max="7681" width="3.28515625" style="2" customWidth="1"/>
    <col min="7682" max="7682" width="2.85546875" style="2" customWidth="1"/>
    <col min="7683" max="7683" width="6.5703125" style="2" customWidth="1"/>
    <col min="7684" max="7684" width="137.28515625" style="2" customWidth="1"/>
    <col min="7685" max="7685" width="21.28515625" style="2" customWidth="1"/>
    <col min="7686" max="7686" width="25.28515625" style="2" customWidth="1"/>
    <col min="7687" max="7687" width="11.7109375" style="2" customWidth="1"/>
    <col min="7688" max="7691" width="11" style="2" customWidth="1"/>
    <col min="7692" max="7695" width="12.85546875" style="2" customWidth="1"/>
    <col min="7696" max="7696" width="17.85546875" style="2" customWidth="1"/>
    <col min="7697" max="7697" width="2.140625" style="2" customWidth="1"/>
    <col min="7698" max="7936" width="8.85546875" style="2"/>
    <col min="7937" max="7937" width="3.28515625" style="2" customWidth="1"/>
    <col min="7938" max="7938" width="2.85546875" style="2" customWidth="1"/>
    <col min="7939" max="7939" width="6.5703125" style="2" customWidth="1"/>
    <col min="7940" max="7940" width="137.28515625" style="2" customWidth="1"/>
    <col min="7941" max="7941" width="21.28515625" style="2" customWidth="1"/>
    <col min="7942" max="7942" width="25.28515625" style="2" customWidth="1"/>
    <col min="7943" max="7943" width="11.7109375" style="2" customWidth="1"/>
    <col min="7944" max="7947" width="11" style="2" customWidth="1"/>
    <col min="7948" max="7951" width="12.85546875" style="2" customWidth="1"/>
    <col min="7952" max="7952" width="17.85546875" style="2" customWidth="1"/>
    <col min="7953" max="7953" width="2.140625" style="2" customWidth="1"/>
    <col min="7954" max="8192" width="8.85546875" style="2"/>
    <col min="8193" max="8193" width="3.28515625" style="2" customWidth="1"/>
    <col min="8194" max="8194" width="2.85546875" style="2" customWidth="1"/>
    <col min="8195" max="8195" width="6.5703125" style="2" customWidth="1"/>
    <col min="8196" max="8196" width="137.28515625" style="2" customWidth="1"/>
    <col min="8197" max="8197" width="21.28515625" style="2" customWidth="1"/>
    <col min="8198" max="8198" width="25.28515625" style="2" customWidth="1"/>
    <col min="8199" max="8199" width="11.7109375" style="2" customWidth="1"/>
    <col min="8200" max="8203" width="11" style="2" customWidth="1"/>
    <col min="8204" max="8207" width="12.85546875" style="2" customWidth="1"/>
    <col min="8208" max="8208" width="17.85546875" style="2" customWidth="1"/>
    <col min="8209" max="8209" width="2.140625" style="2" customWidth="1"/>
    <col min="8210" max="8448" width="8.85546875" style="2"/>
    <col min="8449" max="8449" width="3.28515625" style="2" customWidth="1"/>
    <col min="8450" max="8450" width="2.85546875" style="2" customWidth="1"/>
    <col min="8451" max="8451" width="6.5703125" style="2" customWidth="1"/>
    <col min="8452" max="8452" width="137.28515625" style="2" customWidth="1"/>
    <col min="8453" max="8453" width="21.28515625" style="2" customWidth="1"/>
    <col min="8454" max="8454" width="25.28515625" style="2" customWidth="1"/>
    <col min="8455" max="8455" width="11.7109375" style="2" customWidth="1"/>
    <col min="8456" max="8459" width="11" style="2" customWidth="1"/>
    <col min="8460" max="8463" width="12.85546875" style="2" customWidth="1"/>
    <col min="8464" max="8464" width="17.85546875" style="2" customWidth="1"/>
    <col min="8465" max="8465" width="2.140625" style="2" customWidth="1"/>
    <col min="8466" max="8704" width="8.85546875" style="2"/>
    <col min="8705" max="8705" width="3.28515625" style="2" customWidth="1"/>
    <col min="8706" max="8706" width="2.85546875" style="2" customWidth="1"/>
    <col min="8707" max="8707" width="6.5703125" style="2" customWidth="1"/>
    <col min="8708" max="8708" width="137.28515625" style="2" customWidth="1"/>
    <col min="8709" max="8709" width="21.28515625" style="2" customWidth="1"/>
    <col min="8710" max="8710" width="25.28515625" style="2" customWidth="1"/>
    <col min="8711" max="8711" width="11.7109375" style="2" customWidth="1"/>
    <col min="8712" max="8715" width="11" style="2" customWidth="1"/>
    <col min="8716" max="8719" width="12.85546875" style="2" customWidth="1"/>
    <col min="8720" max="8720" width="17.85546875" style="2" customWidth="1"/>
    <col min="8721" max="8721" width="2.140625" style="2" customWidth="1"/>
    <col min="8722" max="8960" width="8.85546875" style="2"/>
    <col min="8961" max="8961" width="3.28515625" style="2" customWidth="1"/>
    <col min="8962" max="8962" width="2.85546875" style="2" customWidth="1"/>
    <col min="8963" max="8963" width="6.5703125" style="2" customWidth="1"/>
    <col min="8964" max="8964" width="137.28515625" style="2" customWidth="1"/>
    <col min="8965" max="8965" width="21.28515625" style="2" customWidth="1"/>
    <col min="8966" max="8966" width="25.28515625" style="2" customWidth="1"/>
    <col min="8967" max="8967" width="11.7109375" style="2" customWidth="1"/>
    <col min="8968" max="8971" width="11" style="2" customWidth="1"/>
    <col min="8972" max="8975" width="12.85546875" style="2" customWidth="1"/>
    <col min="8976" max="8976" width="17.85546875" style="2" customWidth="1"/>
    <col min="8977" max="8977" width="2.140625" style="2" customWidth="1"/>
    <col min="8978" max="9216" width="8.85546875" style="2"/>
    <col min="9217" max="9217" width="3.28515625" style="2" customWidth="1"/>
    <col min="9218" max="9218" width="2.85546875" style="2" customWidth="1"/>
    <col min="9219" max="9219" width="6.5703125" style="2" customWidth="1"/>
    <col min="9220" max="9220" width="137.28515625" style="2" customWidth="1"/>
    <col min="9221" max="9221" width="21.28515625" style="2" customWidth="1"/>
    <col min="9222" max="9222" width="25.28515625" style="2" customWidth="1"/>
    <col min="9223" max="9223" width="11.7109375" style="2" customWidth="1"/>
    <col min="9224" max="9227" width="11" style="2" customWidth="1"/>
    <col min="9228" max="9231" width="12.85546875" style="2" customWidth="1"/>
    <col min="9232" max="9232" width="17.85546875" style="2" customWidth="1"/>
    <col min="9233" max="9233" width="2.140625" style="2" customWidth="1"/>
    <col min="9234" max="9472" width="8.85546875" style="2"/>
    <col min="9473" max="9473" width="3.28515625" style="2" customWidth="1"/>
    <col min="9474" max="9474" width="2.85546875" style="2" customWidth="1"/>
    <col min="9475" max="9475" width="6.5703125" style="2" customWidth="1"/>
    <col min="9476" max="9476" width="137.28515625" style="2" customWidth="1"/>
    <col min="9477" max="9477" width="21.28515625" style="2" customWidth="1"/>
    <col min="9478" max="9478" width="25.28515625" style="2" customWidth="1"/>
    <col min="9479" max="9479" width="11.7109375" style="2" customWidth="1"/>
    <col min="9480" max="9483" width="11" style="2" customWidth="1"/>
    <col min="9484" max="9487" width="12.85546875" style="2" customWidth="1"/>
    <col min="9488" max="9488" width="17.85546875" style="2" customWidth="1"/>
    <col min="9489" max="9489" width="2.140625" style="2" customWidth="1"/>
    <col min="9490" max="9728" width="8.85546875" style="2"/>
    <col min="9729" max="9729" width="3.28515625" style="2" customWidth="1"/>
    <col min="9730" max="9730" width="2.85546875" style="2" customWidth="1"/>
    <col min="9731" max="9731" width="6.5703125" style="2" customWidth="1"/>
    <col min="9732" max="9732" width="137.28515625" style="2" customWidth="1"/>
    <col min="9733" max="9733" width="21.28515625" style="2" customWidth="1"/>
    <col min="9734" max="9734" width="25.28515625" style="2" customWidth="1"/>
    <col min="9735" max="9735" width="11.7109375" style="2" customWidth="1"/>
    <col min="9736" max="9739" width="11" style="2" customWidth="1"/>
    <col min="9740" max="9743" width="12.85546875" style="2" customWidth="1"/>
    <col min="9744" max="9744" width="17.85546875" style="2" customWidth="1"/>
    <col min="9745" max="9745" width="2.140625" style="2" customWidth="1"/>
    <col min="9746" max="9984" width="8.85546875" style="2"/>
    <col min="9985" max="9985" width="3.28515625" style="2" customWidth="1"/>
    <col min="9986" max="9986" width="2.85546875" style="2" customWidth="1"/>
    <col min="9987" max="9987" width="6.5703125" style="2" customWidth="1"/>
    <col min="9988" max="9988" width="137.28515625" style="2" customWidth="1"/>
    <col min="9989" max="9989" width="21.28515625" style="2" customWidth="1"/>
    <col min="9990" max="9990" width="25.28515625" style="2" customWidth="1"/>
    <col min="9991" max="9991" width="11.7109375" style="2" customWidth="1"/>
    <col min="9992" max="9995" width="11" style="2" customWidth="1"/>
    <col min="9996" max="9999" width="12.85546875" style="2" customWidth="1"/>
    <col min="10000" max="10000" width="17.85546875" style="2" customWidth="1"/>
    <col min="10001" max="10001" width="2.140625" style="2" customWidth="1"/>
    <col min="10002" max="10240" width="8.85546875" style="2"/>
    <col min="10241" max="10241" width="3.28515625" style="2" customWidth="1"/>
    <col min="10242" max="10242" width="2.85546875" style="2" customWidth="1"/>
    <col min="10243" max="10243" width="6.5703125" style="2" customWidth="1"/>
    <col min="10244" max="10244" width="137.28515625" style="2" customWidth="1"/>
    <col min="10245" max="10245" width="21.28515625" style="2" customWidth="1"/>
    <col min="10246" max="10246" width="25.28515625" style="2" customWidth="1"/>
    <col min="10247" max="10247" width="11.7109375" style="2" customWidth="1"/>
    <col min="10248" max="10251" width="11" style="2" customWidth="1"/>
    <col min="10252" max="10255" width="12.85546875" style="2" customWidth="1"/>
    <col min="10256" max="10256" width="17.85546875" style="2" customWidth="1"/>
    <col min="10257" max="10257" width="2.140625" style="2" customWidth="1"/>
    <col min="10258" max="10496" width="8.85546875" style="2"/>
    <col min="10497" max="10497" width="3.28515625" style="2" customWidth="1"/>
    <col min="10498" max="10498" width="2.85546875" style="2" customWidth="1"/>
    <col min="10499" max="10499" width="6.5703125" style="2" customWidth="1"/>
    <col min="10500" max="10500" width="137.28515625" style="2" customWidth="1"/>
    <col min="10501" max="10501" width="21.28515625" style="2" customWidth="1"/>
    <col min="10502" max="10502" width="25.28515625" style="2" customWidth="1"/>
    <col min="10503" max="10503" width="11.7109375" style="2" customWidth="1"/>
    <col min="10504" max="10507" width="11" style="2" customWidth="1"/>
    <col min="10508" max="10511" width="12.85546875" style="2" customWidth="1"/>
    <col min="10512" max="10512" width="17.85546875" style="2" customWidth="1"/>
    <col min="10513" max="10513" width="2.140625" style="2" customWidth="1"/>
    <col min="10514" max="10752" width="8.85546875" style="2"/>
    <col min="10753" max="10753" width="3.28515625" style="2" customWidth="1"/>
    <col min="10754" max="10754" width="2.85546875" style="2" customWidth="1"/>
    <col min="10755" max="10755" width="6.5703125" style="2" customWidth="1"/>
    <col min="10756" max="10756" width="137.28515625" style="2" customWidth="1"/>
    <col min="10757" max="10757" width="21.28515625" style="2" customWidth="1"/>
    <col min="10758" max="10758" width="25.28515625" style="2" customWidth="1"/>
    <col min="10759" max="10759" width="11.7109375" style="2" customWidth="1"/>
    <col min="10760" max="10763" width="11" style="2" customWidth="1"/>
    <col min="10764" max="10767" width="12.85546875" style="2" customWidth="1"/>
    <col min="10768" max="10768" width="17.85546875" style="2" customWidth="1"/>
    <col min="10769" max="10769" width="2.140625" style="2" customWidth="1"/>
    <col min="10770" max="11008" width="8.85546875" style="2"/>
    <col min="11009" max="11009" width="3.28515625" style="2" customWidth="1"/>
    <col min="11010" max="11010" width="2.85546875" style="2" customWidth="1"/>
    <col min="11011" max="11011" width="6.5703125" style="2" customWidth="1"/>
    <col min="11012" max="11012" width="137.28515625" style="2" customWidth="1"/>
    <col min="11013" max="11013" width="21.28515625" style="2" customWidth="1"/>
    <col min="11014" max="11014" width="25.28515625" style="2" customWidth="1"/>
    <col min="11015" max="11015" width="11.7109375" style="2" customWidth="1"/>
    <col min="11016" max="11019" width="11" style="2" customWidth="1"/>
    <col min="11020" max="11023" width="12.85546875" style="2" customWidth="1"/>
    <col min="11024" max="11024" width="17.85546875" style="2" customWidth="1"/>
    <col min="11025" max="11025" width="2.140625" style="2" customWidth="1"/>
    <col min="11026" max="11264" width="8.85546875" style="2"/>
    <col min="11265" max="11265" width="3.28515625" style="2" customWidth="1"/>
    <col min="11266" max="11266" width="2.85546875" style="2" customWidth="1"/>
    <col min="11267" max="11267" width="6.5703125" style="2" customWidth="1"/>
    <col min="11268" max="11268" width="137.28515625" style="2" customWidth="1"/>
    <col min="11269" max="11269" width="21.28515625" style="2" customWidth="1"/>
    <col min="11270" max="11270" width="25.28515625" style="2" customWidth="1"/>
    <col min="11271" max="11271" width="11.7109375" style="2" customWidth="1"/>
    <col min="11272" max="11275" width="11" style="2" customWidth="1"/>
    <col min="11276" max="11279" width="12.85546875" style="2" customWidth="1"/>
    <col min="11280" max="11280" width="17.85546875" style="2" customWidth="1"/>
    <col min="11281" max="11281" width="2.140625" style="2" customWidth="1"/>
    <col min="11282" max="11520" width="8.85546875" style="2"/>
    <col min="11521" max="11521" width="3.28515625" style="2" customWidth="1"/>
    <col min="11522" max="11522" width="2.85546875" style="2" customWidth="1"/>
    <col min="11523" max="11523" width="6.5703125" style="2" customWidth="1"/>
    <col min="11524" max="11524" width="137.28515625" style="2" customWidth="1"/>
    <col min="11525" max="11525" width="21.28515625" style="2" customWidth="1"/>
    <col min="11526" max="11526" width="25.28515625" style="2" customWidth="1"/>
    <col min="11527" max="11527" width="11.7109375" style="2" customWidth="1"/>
    <col min="11528" max="11531" width="11" style="2" customWidth="1"/>
    <col min="11532" max="11535" width="12.85546875" style="2" customWidth="1"/>
    <col min="11536" max="11536" width="17.85546875" style="2" customWidth="1"/>
    <col min="11537" max="11537" width="2.140625" style="2" customWidth="1"/>
    <col min="11538" max="11776" width="8.85546875" style="2"/>
    <col min="11777" max="11777" width="3.28515625" style="2" customWidth="1"/>
    <col min="11778" max="11778" width="2.85546875" style="2" customWidth="1"/>
    <col min="11779" max="11779" width="6.5703125" style="2" customWidth="1"/>
    <col min="11780" max="11780" width="137.28515625" style="2" customWidth="1"/>
    <col min="11781" max="11781" width="21.28515625" style="2" customWidth="1"/>
    <col min="11782" max="11782" width="25.28515625" style="2" customWidth="1"/>
    <col min="11783" max="11783" width="11.7109375" style="2" customWidth="1"/>
    <col min="11784" max="11787" width="11" style="2" customWidth="1"/>
    <col min="11788" max="11791" width="12.85546875" style="2" customWidth="1"/>
    <col min="11792" max="11792" width="17.85546875" style="2" customWidth="1"/>
    <col min="11793" max="11793" width="2.140625" style="2" customWidth="1"/>
    <col min="11794" max="12032" width="8.85546875" style="2"/>
    <col min="12033" max="12033" width="3.28515625" style="2" customWidth="1"/>
    <col min="12034" max="12034" width="2.85546875" style="2" customWidth="1"/>
    <col min="12035" max="12035" width="6.5703125" style="2" customWidth="1"/>
    <col min="12036" max="12036" width="137.28515625" style="2" customWidth="1"/>
    <col min="12037" max="12037" width="21.28515625" style="2" customWidth="1"/>
    <col min="12038" max="12038" width="25.28515625" style="2" customWidth="1"/>
    <col min="12039" max="12039" width="11.7109375" style="2" customWidth="1"/>
    <col min="12040" max="12043" width="11" style="2" customWidth="1"/>
    <col min="12044" max="12047" width="12.85546875" style="2" customWidth="1"/>
    <col min="12048" max="12048" width="17.85546875" style="2" customWidth="1"/>
    <col min="12049" max="12049" width="2.140625" style="2" customWidth="1"/>
    <col min="12050" max="12288" width="8.85546875" style="2"/>
    <col min="12289" max="12289" width="3.28515625" style="2" customWidth="1"/>
    <col min="12290" max="12290" width="2.85546875" style="2" customWidth="1"/>
    <col min="12291" max="12291" width="6.5703125" style="2" customWidth="1"/>
    <col min="12292" max="12292" width="137.28515625" style="2" customWidth="1"/>
    <col min="12293" max="12293" width="21.28515625" style="2" customWidth="1"/>
    <col min="12294" max="12294" width="25.28515625" style="2" customWidth="1"/>
    <col min="12295" max="12295" width="11.7109375" style="2" customWidth="1"/>
    <col min="12296" max="12299" width="11" style="2" customWidth="1"/>
    <col min="12300" max="12303" width="12.85546875" style="2" customWidth="1"/>
    <col min="12304" max="12304" width="17.85546875" style="2" customWidth="1"/>
    <col min="12305" max="12305" width="2.140625" style="2" customWidth="1"/>
    <col min="12306" max="12544" width="8.85546875" style="2"/>
    <col min="12545" max="12545" width="3.28515625" style="2" customWidth="1"/>
    <col min="12546" max="12546" width="2.85546875" style="2" customWidth="1"/>
    <col min="12547" max="12547" width="6.5703125" style="2" customWidth="1"/>
    <col min="12548" max="12548" width="137.28515625" style="2" customWidth="1"/>
    <col min="12549" max="12549" width="21.28515625" style="2" customWidth="1"/>
    <col min="12550" max="12550" width="25.28515625" style="2" customWidth="1"/>
    <col min="12551" max="12551" width="11.7109375" style="2" customWidth="1"/>
    <col min="12552" max="12555" width="11" style="2" customWidth="1"/>
    <col min="12556" max="12559" width="12.85546875" style="2" customWidth="1"/>
    <col min="12560" max="12560" width="17.85546875" style="2" customWidth="1"/>
    <col min="12561" max="12561" width="2.140625" style="2" customWidth="1"/>
    <col min="12562" max="12800" width="8.85546875" style="2"/>
    <col min="12801" max="12801" width="3.28515625" style="2" customWidth="1"/>
    <col min="12802" max="12802" width="2.85546875" style="2" customWidth="1"/>
    <col min="12803" max="12803" width="6.5703125" style="2" customWidth="1"/>
    <col min="12804" max="12804" width="137.28515625" style="2" customWidth="1"/>
    <col min="12805" max="12805" width="21.28515625" style="2" customWidth="1"/>
    <col min="12806" max="12806" width="25.28515625" style="2" customWidth="1"/>
    <col min="12807" max="12807" width="11.7109375" style="2" customWidth="1"/>
    <col min="12808" max="12811" width="11" style="2" customWidth="1"/>
    <col min="12812" max="12815" width="12.85546875" style="2" customWidth="1"/>
    <col min="12816" max="12816" width="17.85546875" style="2" customWidth="1"/>
    <col min="12817" max="12817" width="2.140625" style="2" customWidth="1"/>
    <col min="12818" max="13056" width="8.85546875" style="2"/>
    <col min="13057" max="13057" width="3.28515625" style="2" customWidth="1"/>
    <col min="13058" max="13058" width="2.85546875" style="2" customWidth="1"/>
    <col min="13059" max="13059" width="6.5703125" style="2" customWidth="1"/>
    <col min="13060" max="13060" width="137.28515625" style="2" customWidth="1"/>
    <col min="13061" max="13061" width="21.28515625" style="2" customWidth="1"/>
    <col min="13062" max="13062" width="25.28515625" style="2" customWidth="1"/>
    <col min="13063" max="13063" width="11.7109375" style="2" customWidth="1"/>
    <col min="13064" max="13067" width="11" style="2" customWidth="1"/>
    <col min="13068" max="13071" width="12.85546875" style="2" customWidth="1"/>
    <col min="13072" max="13072" width="17.85546875" style="2" customWidth="1"/>
    <col min="13073" max="13073" width="2.140625" style="2" customWidth="1"/>
    <col min="13074" max="13312" width="8.85546875" style="2"/>
    <col min="13313" max="13313" width="3.28515625" style="2" customWidth="1"/>
    <col min="13314" max="13314" width="2.85546875" style="2" customWidth="1"/>
    <col min="13315" max="13315" width="6.5703125" style="2" customWidth="1"/>
    <col min="13316" max="13316" width="137.28515625" style="2" customWidth="1"/>
    <col min="13317" max="13317" width="21.28515625" style="2" customWidth="1"/>
    <col min="13318" max="13318" width="25.28515625" style="2" customWidth="1"/>
    <col min="13319" max="13319" width="11.7109375" style="2" customWidth="1"/>
    <col min="13320" max="13323" width="11" style="2" customWidth="1"/>
    <col min="13324" max="13327" width="12.85546875" style="2" customWidth="1"/>
    <col min="13328" max="13328" width="17.85546875" style="2" customWidth="1"/>
    <col min="13329" max="13329" width="2.140625" style="2" customWidth="1"/>
    <col min="13330" max="13568" width="8.85546875" style="2"/>
    <col min="13569" max="13569" width="3.28515625" style="2" customWidth="1"/>
    <col min="13570" max="13570" width="2.85546875" style="2" customWidth="1"/>
    <col min="13571" max="13571" width="6.5703125" style="2" customWidth="1"/>
    <col min="13572" max="13572" width="137.28515625" style="2" customWidth="1"/>
    <col min="13573" max="13573" width="21.28515625" style="2" customWidth="1"/>
    <col min="13574" max="13574" width="25.28515625" style="2" customWidth="1"/>
    <col min="13575" max="13575" width="11.7109375" style="2" customWidth="1"/>
    <col min="13576" max="13579" width="11" style="2" customWidth="1"/>
    <col min="13580" max="13583" width="12.85546875" style="2" customWidth="1"/>
    <col min="13584" max="13584" width="17.85546875" style="2" customWidth="1"/>
    <col min="13585" max="13585" width="2.140625" style="2" customWidth="1"/>
    <col min="13586" max="13824" width="8.85546875" style="2"/>
    <col min="13825" max="13825" width="3.28515625" style="2" customWidth="1"/>
    <col min="13826" max="13826" width="2.85546875" style="2" customWidth="1"/>
    <col min="13827" max="13827" width="6.5703125" style="2" customWidth="1"/>
    <col min="13828" max="13828" width="137.28515625" style="2" customWidth="1"/>
    <col min="13829" max="13829" width="21.28515625" style="2" customWidth="1"/>
    <col min="13830" max="13830" width="25.28515625" style="2" customWidth="1"/>
    <col min="13831" max="13831" width="11.7109375" style="2" customWidth="1"/>
    <col min="13832" max="13835" width="11" style="2" customWidth="1"/>
    <col min="13836" max="13839" width="12.85546875" style="2" customWidth="1"/>
    <col min="13840" max="13840" width="17.85546875" style="2" customWidth="1"/>
    <col min="13841" max="13841" width="2.140625" style="2" customWidth="1"/>
    <col min="13842" max="14080" width="8.85546875" style="2"/>
    <col min="14081" max="14081" width="3.28515625" style="2" customWidth="1"/>
    <col min="14082" max="14082" width="2.85546875" style="2" customWidth="1"/>
    <col min="14083" max="14083" width="6.5703125" style="2" customWidth="1"/>
    <col min="14084" max="14084" width="137.28515625" style="2" customWidth="1"/>
    <col min="14085" max="14085" width="21.28515625" style="2" customWidth="1"/>
    <col min="14086" max="14086" width="25.28515625" style="2" customWidth="1"/>
    <col min="14087" max="14087" width="11.7109375" style="2" customWidth="1"/>
    <col min="14088" max="14091" width="11" style="2" customWidth="1"/>
    <col min="14092" max="14095" width="12.85546875" style="2" customWidth="1"/>
    <col min="14096" max="14096" width="17.85546875" style="2" customWidth="1"/>
    <col min="14097" max="14097" width="2.140625" style="2" customWidth="1"/>
    <col min="14098" max="14336" width="8.85546875" style="2"/>
    <col min="14337" max="14337" width="3.28515625" style="2" customWidth="1"/>
    <col min="14338" max="14338" width="2.85546875" style="2" customWidth="1"/>
    <col min="14339" max="14339" width="6.5703125" style="2" customWidth="1"/>
    <col min="14340" max="14340" width="137.28515625" style="2" customWidth="1"/>
    <col min="14341" max="14341" width="21.28515625" style="2" customWidth="1"/>
    <col min="14342" max="14342" width="25.28515625" style="2" customWidth="1"/>
    <col min="14343" max="14343" width="11.7109375" style="2" customWidth="1"/>
    <col min="14344" max="14347" width="11" style="2" customWidth="1"/>
    <col min="14348" max="14351" width="12.85546875" style="2" customWidth="1"/>
    <col min="14352" max="14352" width="17.85546875" style="2" customWidth="1"/>
    <col min="14353" max="14353" width="2.140625" style="2" customWidth="1"/>
    <col min="14354" max="14592" width="8.85546875" style="2"/>
    <col min="14593" max="14593" width="3.28515625" style="2" customWidth="1"/>
    <col min="14594" max="14594" width="2.85546875" style="2" customWidth="1"/>
    <col min="14595" max="14595" width="6.5703125" style="2" customWidth="1"/>
    <col min="14596" max="14596" width="137.28515625" style="2" customWidth="1"/>
    <col min="14597" max="14597" width="21.28515625" style="2" customWidth="1"/>
    <col min="14598" max="14598" width="25.28515625" style="2" customWidth="1"/>
    <col min="14599" max="14599" width="11.7109375" style="2" customWidth="1"/>
    <col min="14600" max="14603" width="11" style="2" customWidth="1"/>
    <col min="14604" max="14607" width="12.85546875" style="2" customWidth="1"/>
    <col min="14608" max="14608" width="17.85546875" style="2" customWidth="1"/>
    <col min="14609" max="14609" width="2.140625" style="2" customWidth="1"/>
    <col min="14610" max="14848" width="8.85546875" style="2"/>
    <col min="14849" max="14849" width="3.28515625" style="2" customWidth="1"/>
    <col min="14850" max="14850" width="2.85546875" style="2" customWidth="1"/>
    <col min="14851" max="14851" width="6.5703125" style="2" customWidth="1"/>
    <col min="14852" max="14852" width="137.28515625" style="2" customWidth="1"/>
    <col min="14853" max="14853" width="21.28515625" style="2" customWidth="1"/>
    <col min="14854" max="14854" width="25.28515625" style="2" customWidth="1"/>
    <col min="14855" max="14855" width="11.7109375" style="2" customWidth="1"/>
    <col min="14856" max="14859" width="11" style="2" customWidth="1"/>
    <col min="14860" max="14863" width="12.85546875" style="2" customWidth="1"/>
    <col min="14864" max="14864" width="17.85546875" style="2" customWidth="1"/>
    <col min="14865" max="14865" width="2.140625" style="2" customWidth="1"/>
    <col min="14866" max="15104" width="8.85546875" style="2"/>
    <col min="15105" max="15105" width="3.28515625" style="2" customWidth="1"/>
    <col min="15106" max="15106" width="2.85546875" style="2" customWidth="1"/>
    <col min="15107" max="15107" width="6.5703125" style="2" customWidth="1"/>
    <col min="15108" max="15108" width="137.28515625" style="2" customWidth="1"/>
    <col min="15109" max="15109" width="21.28515625" style="2" customWidth="1"/>
    <col min="15110" max="15110" width="25.28515625" style="2" customWidth="1"/>
    <col min="15111" max="15111" width="11.7109375" style="2" customWidth="1"/>
    <col min="15112" max="15115" width="11" style="2" customWidth="1"/>
    <col min="15116" max="15119" width="12.85546875" style="2" customWidth="1"/>
    <col min="15120" max="15120" width="17.85546875" style="2" customWidth="1"/>
    <col min="15121" max="15121" width="2.140625" style="2" customWidth="1"/>
    <col min="15122" max="15360" width="8.85546875" style="2"/>
    <col min="15361" max="15361" width="3.28515625" style="2" customWidth="1"/>
    <col min="15362" max="15362" width="2.85546875" style="2" customWidth="1"/>
    <col min="15363" max="15363" width="6.5703125" style="2" customWidth="1"/>
    <col min="15364" max="15364" width="137.28515625" style="2" customWidth="1"/>
    <col min="15365" max="15365" width="21.28515625" style="2" customWidth="1"/>
    <col min="15366" max="15366" width="25.28515625" style="2" customWidth="1"/>
    <col min="15367" max="15367" width="11.7109375" style="2" customWidth="1"/>
    <col min="15368" max="15371" width="11" style="2" customWidth="1"/>
    <col min="15372" max="15375" width="12.85546875" style="2" customWidth="1"/>
    <col min="15376" max="15376" width="17.85546875" style="2" customWidth="1"/>
    <col min="15377" max="15377" width="2.140625" style="2" customWidth="1"/>
    <col min="15378" max="15616" width="8.85546875" style="2"/>
    <col min="15617" max="15617" width="3.28515625" style="2" customWidth="1"/>
    <col min="15618" max="15618" width="2.85546875" style="2" customWidth="1"/>
    <col min="15619" max="15619" width="6.5703125" style="2" customWidth="1"/>
    <col min="15620" max="15620" width="137.28515625" style="2" customWidth="1"/>
    <col min="15621" max="15621" width="21.28515625" style="2" customWidth="1"/>
    <col min="15622" max="15622" width="25.28515625" style="2" customWidth="1"/>
    <col min="15623" max="15623" width="11.7109375" style="2" customWidth="1"/>
    <col min="15624" max="15627" width="11" style="2" customWidth="1"/>
    <col min="15628" max="15631" width="12.85546875" style="2" customWidth="1"/>
    <col min="15632" max="15632" width="17.85546875" style="2" customWidth="1"/>
    <col min="15633" max="15633" width="2.140625" style="2" customWidth="1"/>
    <col min="15634" max="15872" width="8.85546875" style="2"/>
    <col min="15873" max="15873" width="3.28515625" style="2" customWidth="1"/>
    <col min="15874" max="15874" width="2.85546875" style="2" customWidth="1"/>
    <col min="15875" max="15875" width="6.5703125" style="2" customWidth="1"/>
    <col min="15876" max="15876" width="137.28515625" style="2" customWidth="1"/>
    <col min="15877" max="15877" width="21.28515625" style="2" customWidth="1"/>
    <col min="15878" max="15878" width="25.28515625" style="2" customWidth="1"/>
    <col min="15879" max="15879" width="11.7109375" style="2" customWidth="1"/>
    <col min="15880" max="15883" width="11" style="2" customWidth="1"/>
    <col min="15884" max="15887" width="12.85546875" style="2" customWidth="1"/>
    <col min="15888" max="15888" width="17.85546875" style="2" customWidth="1"/>
    <col min="15889" max="15889" width="2.140625" style="2" customWidth="1"/>
    <col min="15890" max="16128" width="8.85546875" style="2"/>
    <col min="16129" max="16129" width="3.28515625" style="2" customWidth="1"/>
    <col min="16130" max="16130" width="2.85546875" style="2" customWidth="1"/>
    <col min="16131" max="16131" width="6.5703125" style="2" customWidth="1"/>
    <col min="16132" max="16132" width="137.28515625" style="2" customWidth="1"/>
    <col min="16133" max="16133" width="21.28515625" style="2" customWidth="1"/>
    <col min="16134" max="16134" width="25.28515625" style="2" customWidth="1"/>
    <col min="16135" max="16135" width="11.7109375" style="2" customWidth="1"/>
    <col min="16136" max="16139" width="11" style="2" customWidth="1"/>
    <col min="16140" max="16143" width="12.85546875" style="2" customWidth="1"/>
    <col min="16144" max="16144" width="17.85546875" style="2" customWidth="1"/>
    <col min="16145" max="16145" width="2.140625" style="2" customWidth="1"/>
    <col min="16146" max="16384" width="8.85546875" style="2"/>
  </cols>
  <sheetData>
    <row r="1" spans="1:16">
      <c r="A1" s="86"/>
      <c r="B1" s="86"/>
      <c r="C1" s="86"/>
      <c r="D1" s="87"/>
      <c r="E1" s="1642"/>
      <c r="F1" s="89"/>
      <c r="G1" s="90"/>
      <c r="H1" s="90"/>
      <c r="I1" s="90"/>
      <c r="J1" s="90"/>
      <c r="K1" s="90"/>
      <c r="L1" s="90"/>
      <c r="M1" s="90"/>
      <c r="N1" s="90"/>
      <c r="O1" s="90"/>
      <c r="P1" s="91"/>
    </row>
    <row r="2" spans="1:16" ht="14.1" customHeight="1">
      <c r="A2" s="86"/>
      <c r="B2" s="86"/>
      <c r="C2" s="1732"/>
      <c r="D2" s="1732"/>
      <c r="E2" s="1732"/>
      <c r="F2" s="1732"/>
      <c r="G2" s="1732"/>
      <c r="H2" s="1732"/>
      <c r="I2" s="1732"/>
      <c r="J2" s="1732"/>
      <c r="K2" s="1732"/>
      <c r="L2" s="1732"/>
      <c r="M2" s="1732"/>
      <c r="N2" s="1732"/>
      <c r="O2" s="1732"/>
      <c r="P2" s="1732"/>
    </row>
    <row r="3" spans="1:16" ht="20.100000000000001" customHeight="1">
      <c r="A3" s="86"/>
      <c r="B3" s="86"/>
      <c r="C3" s="1714" t="s">
        <v>77</v>
      </c>
      <c r="D3" s="1714"/>
      <c r="E3" s="1714"/>
      <c r="F3" s="1714"/>
      <c r="G3" s="1714"/>
      <c r="H3" s="1714"/>
      <c r="I3" s="1714"/>
      <c r="J3" s="1714"/>
      <c r="K3" s="1714"/>
      <c r="L3" s="1714"/>
      <c r="M3" s="1714"/>
      <c r="N3" s="1714"/>
      <c r="O3" s="1714"/>
      <c r="P3" s="1714"/>
    </row>
    <row r="4" spans="1:16" ht="20.100000000000001" customHeight="1">
      <c r="A4" s="86"/>
      <c r="B4" s="86"/>
      <c r="C4" s="1714" t="s">
        <v>78</v>
      </c>
      <c r="D4" s="1714"/>
      <c r="E4" s="1714"/>
      <c r="F4" s="1714"/>
      <c r="G4" s="1714"/>
      <c r="H4" s="1714"/>
      <c r="I4" s="1714"/>
      <c r="J4" s="1714"/>
      <c r="K4" s="1714"/>
      <c r="L4" s="1714"/>
      <c r="M4" s="1714"/>
      <c r="N4" s="1714"/>
      <c r="O4" s="1714"/>
      <c r="P4" s="1714"/>
    </row>
    <row r="5" spans="1:16" ht="20.100000000000001" customHeight="1">
      <c r="A5" s="86"/>
      <c r="B5" s="86"/>
      <c r="C5" s="1714" t="s">
        <v>79</v>
      </c>
      <c r="D5" s="1714"/>
      <c r="E5" s="1714"/>
      <c r="F5" s="1714"/>
      <c r="G5" s="1714"/>
      <c r="H5" s="1714"/>
      <c r="I5" s="1714"/>
      <c r="J5" s="1714"/>
      <c r="K5" s="1714"/>
      <c r="L5" s="1714"/>
      <c r="M5" s="1714"/>
      <c r="N5" s="1714"/>
      <c r="O5" s="1714"/>
      <c r="P5" s="1714"/>
    </row>
    <row r="6" spans="1:16" ht="14.1" customHeight="1">
      <c r="A6" s="86"/>
      <c r="B6" s="86"/>
      <c r="C6" s="92"/>
      <c r="D6" s="87"/>
      <c r="E6" s="1642"/>
      <c r="F6" s="88"/>
      <c r="G6" s="92"/>
      <c r="H6" s="92"/>
      <c r="I6" s="92"/>
      <c r="J6" s="92"/>
      <c r="K6" s="92"/>
      <c r="L6" s="92"/>
      <c r="M6" s="92"/>
      <c r="N6" s="92"/>
      <c r="O6" s="92"/>
      <c r="P6" s="92"/>
    </row>
    <row r="7" spans="1:16" ht="14.1" customHeight="1">
      <c r="A7" s="86"/>
      <c r="B7" s="86"/>
      <c r="C7" s="4" t="s">
        <v>80</v>
      </c>
      <c r="D7" s="93"/>
      <c r="E7" s="1642"/>
      <c r="F7" s="94"/>
      <c r="G7" s="86"/>
      <c r="H7" s="86"/>
      <c r="I7" s="86"/>
      <c r="J7" s="86"/>
      <c r="K7" s="86"/>
      <c r="L7" s="86"/>
      <c r="M7" s="86"/>
      <c r="N7" s="86"/>
      <c r="O7" s="86"/>
      <c r="P7" s="1733" t="s">
        <v>81</v>
      </c>
    </row>
    <row r="8" spans="1:16" ht="18.75" customHeight="1">
      <c r="A8" s="86"/>
      <c r="B8" s="86"/>
      <c r="C8" s="3" t="s">
        <v>4</v>
      </c>
      <c r="D8" s="93"/>
      <c r="E8" s="1643"/>
      <c r="F8" s="94"/>
      <c r="G8" s="86"/>
      <c r="H8" s="86"/>
      <c r="I8" s="86"/>
      <c r="J8" s="86"/>
      <c r="K8" s="86"/>
      <c r="L8" s="86"/>
      <c r="M8" s="95"/>
      <c r="N8" s="95"/>
      <c r="O8" s="95"/>
      <c r="P8" s="1733"/>
    </row>
    <row r="9" spans="1:16" ht="14.1" customHeight="1">
      <c r="A9" s="86"/>
      <c r="B9" s="86"/>
      <c r="C9" s="95"/>
      <c r="D9" s="87"/>
      <c r="E9" s="1642"/>
      <c r="F9" s="96"/>
      <c r="G9" s="95"/>
      <c r="H9" s="95"/>
      <c r="I9" s="95"/>
      <c r="J9" s="95"/>
      <c r="K9" s="95"/>
      <c r="L9" s="95"/>
      <c r="M9" s="95"/>
      <c r="N9" s="95"/>
      <c r="O9" s="95"/>
      <c r="P9" s="95"/>
    </row>
    <row r="10" spans="1:16" ht="35.25" customHeight="1">
      <c r="B10" s="86"/>
      <c r="C10" s="1734" t="s">
        <v>6</v>
      </c>
      <c r="D10" s="1735" t="s">
        <v>7</v>
      </c>
      <c r="E10" s="1737" t="s">
        <v>8</v>
      </c>
      <c r="F10" s="1738"/>
      <c r="G10" s="1739"/>
      <c r="H10" s="1740" t="s">
        <v>9</v>
      </c>
      <c r="I10" s="1740"/>
      <c r="J10" s="1740"/>
      <c r="K10" s="1740"/>
      <c r="L10" s="1740" t="s">
        <v>10</v>
      </c>
      <c r="M10" s="1740"/>
      <c r="N10" s="1740"/>
      <c r="O10" s="1740"/>
      <c r="P10" s="1731" t="s">
        <v>11</v>
      </c>
    </row>
    <row r="11" spans="1:16" ht="117" customHeight="1">
      <c r="B11" s="86"/>
      <c r="C11" s="1734"/>
      <c r="D11" s="1736"/>
      <c r="E11" s="1644" t="s">
        <v>14</v>
      </c>
      <c r="F11" s="97"/>
      <c r="G11" s="98" t="s">
        <v>82</v>
      </c>
      <c r="H11" s="98" t="s">
        <v>83</v>
      </c>
      <c r="I11" s="98" t="s">
        <v>84</v>
      </c>
      <c r="J11" s="98" t="s">
        <v>85</v>
      </c>
      <c r="K11" s="98" t="s">
        <v>86</v>
      </c>
      <c r="L11" s="98" t="s">
        <v>14</v>
      </c>
      <c r="M11" s="98" t="s">
        <v>87</v>
      </c>
      <c r="N11" s="98" t="s">
        <v>88</v>
      </c>
      <c r="O11" s="98" t="s">
        <v>89</v>
      </c>
      <c r="P11" s="1731"/>
    </row>
    <row r="12" spans="1:16" s="99" customFormat="1" ht="20.100000000000001" customHeight="1">
      <c r="B12" s="92"/>
      <c r="C12" s="100" t="s">
        <v>18</v>
      </c>
      <c r="D12" s="101" t="s">
        <v>19</v>
      </c>
      <c r="E12" s="307" t="s">
        <v>20</v>
      </c>
      <c r="F12" s="102"/>
      <c r="G12" s="103" t="s">
        <v>21</v>
      </c>
      <c r="H12" s="103" t="s">
        <v>22</v>
      </c>
      <c r="I12" s="103" t="s">
        <v>23</v>
      </c>
      <c r="J12" s="103" t="s">
        <v>24</v>
      </c>
      <c r="K12" s="103" t="s">
        <v>25</v>
      </c>
      <c r="L12" s="103" t="s">
        <v>26</v>
      </c>
      <c r="M12" s="100" t="s">
        <v>27</v>
      </c>
      <c r="N12" s="103" t="s">
        <v>28</v>
      </c>
      <c r="O12" s="100" t="s">
        <v>90</v>
      </c>
      <c r="P12" s="100" t="s">
        <v>91</v>
      </c>
    </row>
    <row r="13" spans="1:16" ht="4.5" customHeight="1">
      <c r="B13" s="86"/>
      <c r="C13" s="104"/>
      <c r="D13" s="105"/>
      <c r="E13" s="1645"/>
      <c r="F13" s="106"/>
      <c r="G13" s="107"/>
      <c r="H13" s="107"/>
      <c r="I13" s="107"/>
      <c r="J13" s="107"/>
      <c r="K13" s="107"/>
      <c r="L13" s="107"/>
      <c r="M13" s="107"/>
      <c r="N13" s="107"/>
      <c r="O13" s="107"/>
      <c r="P13" s="104"/>
    </row>
    <row r="14" spans="1:16" s="108" customFormat="1" ht="21.75" customHeight="1">
      <c r="B14" s="109"/>
      <c r="C14" s="110" t="s">
        <v>92</v>
      </c>
      <c r="D14" s="111" t="s">
        <v>93</v>
      </c>
      <c r="E14" s="707">
        <f>+E15+E83+E172+E185+E201+E213+E233+E269+E285+E291+E297+E301+E305+E320+E312</f>
        <v>389351314600</v>
      </c>
      <c r="F14" s="113">
        <v>5861910600000</v>
      </c>
      <c r="G14" s="114">
        <f>+E14/F14*100</f>
        <v>6.6420548037699518</v>
      </c>
      <c r="H14" s="115"/>
      <c r="I14" s="115"/>
      <c r="J14" s="116"/>
      <c r="K14" s="116"/>
      <c r="L14" s="116"/>
      <c r="M14" s="116"/>
      <c r="N14" s="116"/>
      <c r="O14" s="116"/>
      <c r="P14" s="116"/>
    </row>
    <row r="15" spans="1:16" s="117" customFormat="1" ht="20.100000000000001" hidden="1" customHeight="1">
      <c r="B15" s="118"/>
      <c r="C15" s="110"/>
      <c r="D15" s="111" t="s">
        <v>94</v>
      </c>
      <c r="E15" s="120">
        <f>E16+E27+E29+E37+E45+E52+E66+E70+E72</f>
        <v>97405000000</v>
      </c>
      <c r="F15" s="119">
        <v>389351314600</v>
      </c>
      <c r="G15" s="114">
        <f>+E15/F15*100</f>
        <v>25.01725211845477</v>
      </c>
      <c r="H15" s="120"/>
      <c r="I15" s="120"/>
      <c r="J15" s="121"/>
      <c r="K15" s="121"/>
      <c r="L15" s="121"/>
      <c r="M15" s="121"/>
      <c r="N15" s="121"/>
      <c r="O15" s="121"/>
      <c r="P15" s="121"/>
    </row>
    <row r="16" spans="1:16" s="117" customFormat="1" ht="20.100000000000001" hidden="1" customHeight="1">
      <c r="B16" s="118"/>
      <c r="C16" s="110"/>
      <c r="D16" s="111" t="s">
        <v>95</v>
      </c>
      <c r="E16" s="120">
        <f>E17+E18+E19+E20+E21+E22+E23+E24+E25+E26</f>
        <v>16069685465</v>
      </c>
      <c r="F16" s="119">
        <v>389351314600</v>
      </c>
      <c r="G16" s="114">
        <f t="shared" ref="G16:G79" si="0">+E16/F16*100</f>
        <v>4.1272970868248358</v>
      </c>
      <c r="H16" s="120"/>
      <c r="I16" s="120"/>
      <c r="J16" s="121"/>
      <c r="K16" s="121"/>
      <c r="L16" s="121"/>
      <c r="M16" s="121"/>
      <c r="N16" s="121"/>
      <c r="O16" s="121"/>
      <c r="P16" s="121"/>
    </row>
    <row r="17" spans="2:16" s="108" customFormat="1" ht="20.100000000000001" hidden="1" customHeight="1">
      <c r="B17" s="109"/>
      <c r="C17" s="122"/>
      <c r="D17" s="123" t="s">
        <v>96</v>
      </c>
      <c r="E17" s="115">
        <v>7110290000</v>
      </c>
      <c r="F17" s="113">
        <v>389351314600</v>
      </c>
      <c r="G17" s="114">
        <f t="shared" si="0"/>
        <v>1.826188774347598</v>
      </c>
      <c r="H17" s="115"/>
      <c r="I17" s="115"/>
      <c r="J17" s="116"/>
      <c r="K17" s="116"/>
      <c r="L17" s="116"/>
      <c r="M17" s="116"/>
      <c r="N17" s="116"/>
      <c r="O17" s="116"/>
      <c r="P17" s="116"/>
    </row>
    <row r="18" spans="2:16" s="108" customFormat="1" ht="20.100000000000001" hidden="1" customHeight="1">
      <c r="B18" s="109"/>
      <c r="C18" s="122"/>
      <c r="D18" s="123" t="s">
        <v>97</v>
      </c>
      <c r="E18" s="115">
        <v>1053466400</v>
      </c>
      <c r="F18" s="113">
        <v>389351314600</v>
      </c>
      <c r="G18" s="114">
        <f t="shared" si="0"/>
        <v>0.27056962709430643</v>
      </c>
      <c r="H18" s="115"/>
      <c r="I18" s="115"/>
      <c r="J18" s="116"/>
      <c r="K18" s="116"/>
      <c r="L18" s="116"/>
      <c r="M18" s="116"/>
      <c r="N18" s="116"/>
      <c r="O18" s="116"/>
      <c r="P18" s="116"/>
    </row>
    <row r="19" spans="2:16" s="108" customFormat="1" ht="20.100000000000001" hidden="1" customHeight="1">
      <c r="B19" s="109"/>
      <c r="C19" s="122"/>
      <c r="D19" s="123" t="s">
        <v>98</v>
      </c>
      <c r="E19" s="115">
        <v>1573457065</v>
      </c>
      <c r="F19" s="113">
        <v>389351314600</v>
      </c>
      <c r="G19" s="114">
        <f t="shared" si="0"/>
        <v>0.40412270512467408</v>
      </c>
      <c r="H19" s="115"/>
      <c r="I19" s="115"/>
      <c r="J19" s="116"/>
      <c r="K19" s="116"/>
      <c r="L19" s="116"/>
      <c r="M19" s="116"/>
      <c r="N19" s="116"/>
      <c r="O19" s="116"/>
      <c r="P19" s="116"/>
    </row>
    <row r="20" spans="2:16" s="108" customFormat="1" ht="20.100000000000001" hidden="1" customHeight="1">
      <c r="B20" s="109"/>
      <c r="C20" s="122"/>
      <c r="D20" s="123" t="s">
        <v>99</v>
      </c>
      <c r="E20" s="115">
        <v>652300000</v>
      </c>
      <c r="F20" s="113">
        <v>389351314600</v>
      </c>
      <c r="G20" s="114">
        <f t="shared" si="0"/>
        <v>0.16753507065210255</v>
      </c>
      <c r="H20" s="115"/>
      <c r="I20" s="115"/>
      <c r="J20" s="116"/>
      <c r="K20" s="116"/>
      <c r="L20" s="116"/>
      <c r="M20" s="116"/>
      <c r="N20" s="116"/>
      <c r="O20" s="116"/>
      <c r="P20" s="116"/>
    </row>
    <row r="21" spans="2:16" s="108" customFormat="1" ht="20.100000000000001" hidden="1" customHeight="1">
      <c r="B21" s="109"/>
      <c r="C21" s="122"/>
      <c r="D21" s="123" t="s">
        <v>100</v>
      </c>
      <c r="E21" s="115">
        <v>943042560</v>
      </c>
      <c r="F21" s="113">
        <v>389351314600</v>
      </c>
      <c r="G21" s="114">
        <f t="shared" si="0"/>
        <v>0.24220864926803562</v>
      </c>
      <c r="H21" s="115"/>
      <c r="I21" s="115"/>
      <c r="J21" s="116"/>
      <c r="K21" s="116"/>
      <c r="L21" s="116"/>
      <c r="M21" s="116"/>
      <c r="N21" s="116"/>
      <c r="O21" s="116"/>
      <c r="P21" s="116"/>
    </row>
    <row r="22" spans="2:16" s="108" customFormat="1" ht="20.100000000000001" hidden="1" customHeight="1">
      <c r="B22" s="109"/>
      <c r="C22" s="122"/>
      <c r="D22" s="123" t="s">
        <v>101</v>
      </c>
      <c r="E22" s="115">
        <v>1639300000</v>
      </c>
      <c r="F22" s="113">
        <v>389351314600</v>
      </c>
      <c r="G22" s="114">
        <f t="shared" si="0"/>
        <v>0.42103363685419543</v>
      </c>
      <c r="H22" s="115"/>
      <c r="I22" s="115"/>
      <c r="J22" s="116"/>
      <c r="K22" s="116"/>
      <c r="L22" s="116"/>
      <c r="M22" s="116"/>
      <c r="N22" s="116"/>
      <c r="O22" s="116"/>
      <c r="P22" s="116"/>
    </row>
    <row r="23" spans="2:16" s="108" customFormat="1" ht="20.100000000000001" hidden="1" customHeight="1">
      <c r="B23" s="109"/>
      <c r="C23" s="122"/>
      <c r="D23" s="123" t="s">
        <v>102</v>
      </c>
      <c r="E23" s="115">
        <v>1857237500</v>
      </c>
      <c r="F23" s="113">
        <v>389351314600</v>
      </c>
      <c r="G23" s="114">
        <f t="shared" si="0"/>
        <v>0.47700814928749696</v>
      </c>
      <c r="H23" s="115"/>
      <c r="I23" s="115"/>
      <c r="J23" s="116"/>
      <c r="K23" s="116"/>
      <c r="L23" s="116"/>
      <c r="M23" s="116"/>
      <c r="N23" s="116"/>
      <c r="O23" s="116"/>
      <c r="P23" s="116"/>
    </row>
    <row r="24" spans="2:16" s="108" customFormat="1" ht="20.100000000000001" hidden="1" customHeight="1">
      <c r="B24" s="109"/>
      <c r="C24" s="122"/>
      <c r="D24" s="123" t="s">
        <v>103</v>
      </c>
      <c r="E24" s="115">
        <v>270099340</v>
      </c>
      <c r="F24" s="113">
        <v>389351314600</v>
      </c>
      <c r="G24" s="114">
        <f t="shared" si="0"/>
        <v>6.9371626567509226E-2</v>
      </c>
      <c r="H24" s="115"/>
      <c r="I24" s="115"/>
      <c r="J24" s="116"/>
      <c r="K24" s="116"/>
      <c r="L24" s="116"/>
      <c r="M24" s="116"/>
      <c r="N24" s="116"/>
      <c r="O24" s="116"/>
      <c r="P24" s="116"/>
    </row>
    <row r="25" spans="2:16" s="108" customFormat="1" ht="20.100000000000001" hidden="1" customHeight="1">
      <c r="B25" s="109"/>
      <c r="C25" s="122"/>
      <c r="D25" s="123" t="s">
        <v>104</v>
      </c>
      <c r="E25" s="115">
        <v>474392600</v>
      </c>
      <c r="F25" s="113">
        <v>389351314600</v>
      </c>
      <c r="G25" s="114">
        <f t="shared" si="0"/>
        <v>0.12184178714983078</v>
      </c>
      <c r="H25" s="115"/>
      <c r="I25" s="115"/>
      <c r="J25" s="116"/>
      <c r="K25" s="116"/>
      <c r="L25" s="116"/>
      <c r="M25" s="116"/>
      <c r="N25" s="116"/>
      <c r="O25" s="116"/>
      <c r="P25" s="116"/>
    </row>
    <row r="26" spans="2:16" s="108" customFormat="1" ht="30" hidden="1" customHeight="1">
      <c r="B26" s="109"/>
      <c r="C26" s="122"/>
      <c r="D26" s="123" t="s">
        <v>105</v>
      </c>
      <c r="E26" s="115">
        <v>496100000</v>
      </c>
      <c r="F26" s="113">
        <v>389351314600</v>
      </c>
      <c r="G26" s="114">
        <f t="shared" si="0"/>
        <v>0.12741706047908641</v>
      </c>
      <c r="H26" s="115"/>
      <c r="I26" s="115"/>
      <c r="J26" s="116"/>
      <c r="K26" s="116"/>
      <c r="L26" s="116"/>
      <c r="M26" s="116"/>
      <c r="N26" s="116"/>
      <c r="O26" s="116"/>
      <c r="P26" s="116"/>
    </row>
    <row r="27" spans="2:16" s="117" customFormat="1" ht="20.100000000000001" hidden="1" customHeight="1">
      <c r="B27" s="118"/>
      <c r="C27" s="110"/>
      <c r="D27" s="111" t="s">
        <v>106</v>
      </c>
      <c r="E27" s="120">
        <f>E28</f>
        <v>2007000000</v>
      </c>
      <c r="F27" s="119">
        <v>389351314600</v>
      </c>
      <c r="G27" s="114">
        <f t="shared" si="0"/>
        <v>0.51547276835623146</v>
      </c>
      <c r="H27" s="120"/>
      <c r="I27" s="120"/>
      <c r="J27" s="121"/>
      <c r="K27" s="121"/>
      <c r="L27" s="121"/>
      <c r="M27" s="121"/>
      <c r="N27" s="121"/>
      <c r="O27" s="121"/>
      <c r="P27" s="121"/>
    </row>
    <row r="28" spans="2:16" s="108" customFormat="1" ht="20.100000000000001" hidden="1" customHeight="1">
      <c r="B28" s="109"/>
      <c r="C28" s="122"/>
      <c r="D28" s="123" t="s">
        <v>107</v>
      </c>
      <c r="E28" s="115">
        <v>2007000000</v>
      </c>
      <c r="F28" s="113">
        <v>389351314600</v>
      </c>
      <c r="G28" s="114">
        <f t="shared" si="0"/>
        <v>0.51547276835623146</v>
      </c>
      <c r="H28" s="115"/>
      <c r="I28" s="115"/>
      <c r="J28" s="116"/>
      <c r="K28" s="116"/>
      <c r="L28" s="116"/>
      <c r="M28" s="116"/>
      <c r="N28" s="116"/>
      <c r="O28" s="116"/>
      <c r="P28" s="116"/>
    </row>
    <row r="29" spans="2:16" s="117" customFormat="1" ht="20.100000000000001" hidden="1" customHeight="1">
      <c r="B29" s="118"/>
      <c r="C29" s="110"/>
      <c r="D29" s="111" t="s">
        <v>108</v>
      </c>
      <c r="E29" s="120">
        <f>E30+E31+E32+E33+E34+E35+E36</f>
        <v>14648211325</v>
      </c>
      <c r="F29" s="119">
        <v>389351314600</v>
      </c>
      <c r="G29" s="114">
        <f t="shared" si="0"/>
        <v>3.762209289070678</v>
      </c>
      <c r="H29" s="120"/>
      <c r="I29" s="120"/>
      <c r="J29" s="121"/>
      <c r="K29" s="121"/>
      <c r="L29" s="121"/>
      <c r="M29" s="121"/>
      <c r="N29" s="121"/>
      <c r="O29" s="121"/>
      <c r="P29" s="121"/>
    </row>
    <row r="30" spans="2:16" s="108" customFormat="1" ht="20.100000000000001" hidden="1" customHeight="1">
      <c r="B30" s="109"/>
      <c r="C30" s="122"/>
      <c r="D30" s="123" t="s">
        <v>109</v>
      </c>
      <c r="E30" s="115">
        <v>2644673875</v>
      </c>
      <c r="F30" s="113">
        <v>389351314600</v>
      </c>
      <c r="G30" s="114">
        <f t="shared" si="0"/>
        <v>0.67925130231472441</v>
      </c>
      <c r="H30" s="115"/>
      <c r="I30" s="115"/>
      <c r="J30" s="116"/>
      <c r="K30" s="116"/>
      <c r="L30" s="116"/>
      <c r="M30" s="116"/>
      <c r="N30" s="116"/>
      <c r="O30" s="116"/>
      <c r="P30" s="116"/>
    </row>
    <row r="31" spans="2:16" s="108" customFormat="1" ht="20.100000000000001" hidden="1" customHeight="1">
      <c r="B31" s="109"/>
      <c r="C31" s="122"/>
      <c r="D31" s="123" t="s">
        <v>110</v>
      </c>
      <c r="E31" s="115">
        <v>1538600000</v>
      </c>
      <c r="F31" s="113">
        <v>389351314600</v>
      </c>
      <c r="G31" s="114">
        <f t="shared" si="0"/>
        <v>0.39517010532780161</v>
      </c>
      <c r="H31" s="115"/>
      <c r="I31" s="115"/>
      <c r="J31" s="116"/>
      <c r="K31" s="116"/>
      <c r="L31" s="116"/>
      <c r="M31" s="116"/>
      <c r="N31" s="116"/>
      <c r="O31" s="116"/>
      <c r="P31" s="116"/>
    </row>
    <row r="32" spans="2:16" s="108" customFormat="1" ht="20.100000000000001" hidden="1" customHeight="1">
      <c r="B32" s="109"/>
      <c r="C32" s="122"/>
      <c r="D32" s="123" t="s">
        <v>111</v>
      </c>
      <c r="E32" s="115">
        <v>1753600000</v>
      </c>
      <c r="F32" s="113">
        <v>389351314600</v>
      </c>
      <c r="G32" s="114">
        <f t="shared" si="0"/>
        <v>0.45039015774264446</v>
      </c>
      <c r="H32" s="115"/>
      <c r="I32" s="115"/>
      <c r="J32" s="116"/>
      <c r="K32" s="116"/>
      <c r="L32" s="116"/>
      <c r="M32" s="116"/>
      <c r="N32" s="116"/>
      <c r="O32" s="116"/>
      <c r="P32" s="116"/>
    </row>
    <row r="33" spans="2:16" s="108" customFormat="1" ht="20.100000000000001" hidden="1" customHeight="1">
      <c r="B33" s="109"/>
      <c r="C33" s="122"/>
      <c r="D33" s="123" t="s">
        <v>112</v>
      </c>
      <c r="E33" s="115">
        <v>2689597110</v>
      </c>
      <c r="F33" s="113">
        <v>389351314600</v>
      </c>
      <c r="G33" s="114">
        <f t="shared" si="0"/>
        <v>0.69078927157679104</v>
      </c>
      <c r="H33" s="115"/>
      <c r="I33" s="115"/>
      <c r="J33" s="116"/>
      <c r="K33" s="116"/>
      <c r="L33" s="116"/>
      <c r="M33" s="116"/>
      <c r="N33" s="116"/>
      <c r="O33" s="116"/>
      <c r="P33" s="116"/>
    </row>
    <row r="34" spans="2:16" s="108" customFormat="1" ht="20.100000000000001" hidden="1" customHeight="1">
      <c r="B34" s="109"/>
      <c r="C34" s="122"/>
      <c r="D34" s="123" t="s">
        <v>113</v>
      </c>
      <c r="E34" s="115">
        <v>3805100000</v>
      </c>
      <c r="F34" s="113">
        <v>389351314600</v>
      </c>
      <c r="G34" s="114">
        <f t="shared" si="0"/>
        <v>0.97729219276148294</v>
      </c>
      <c r="H34" s="115"/>
      <c r="I34" s="115"/>
      <c r="J34" s="116"/>
      <c r="K34" s="116"/>
      <c r="L34" s="116"/>
      <c r="M34" s="116"/>
      <c r="N34" s="116"/>
      <c r="O34" s="116"/>
      <c r="P34" s="116"/>
    </row>
    <row r="35" spans="2:16" s="108" customFormat="1" ht="20.100000000000001" hidden="1" customHeight="1">
      <c r="B35" s="109"/>
      <c r="C35" s="122"/>
      <c r="D35" s="123" t="s">
        <v>114</v>
      </c>
      <c r="E35" s="115">
        <v>1605920340</v>
      </c>
      <c r="F35" s="113">
        <v>389351314600</v>
      </c>
      <c r="G35" s="114">
        <f t="shared" si="0"/>
        <v>0.4124604899947088</v>
      </c>
      <c r="H35" s="115"/>
      <c r="I35" s="115"/>
      <c r="J35" s="116"/>
      <c r="K35" s="116"/>
      <c r="L35" s="116"/>
      <c r="M35" s="116"/>
      <c r="N35" s="116"/>
      <c r="O35" s="116"/>
      <c r="P35" s="116"/>
    </row>
    <row r="36" spans="2:16" s="108" customFormat="1" ht="20.100000000000001" hidden="1" customHeight="1">
      <c r="B36" s="109"/>
      <c r="C36" s="122"/>
      <c r="D36" s="123" t="s">
        <v>115</v>
      </c>
      <c r="E36" s="115">
        <v>610720000</v>
      </c>
      <c r="F36" s="113">
        <v>389351314600</v>
      </c>
      <c r="G36" s="114">
        <f t="shared" si="0"/>
        <v>0.15685576935252499</v>
      </c>
      <c r="H36" s="115"/>
      <c r="I36" s="115"/>
      <c r="J36" s="116"/>
      <c r="K36" s="116"/>
      <c r="L36" s="116"/>
      <c r="M36" s="116"/>
      <c r="N36" s="116"/>
      <c r="O36" s="116"/>
      <c r="P36" s="116"/>
    </row>
    <row r="37" spans="2:16" s="117" customFormat="1" ht="20.100000000000001" hidden="1" customHeight="1">
      <c r="B37" s="118"/>
      <c r="C37" s="110"/>
      <c r="D37" s="111" t="s">
        <v>116</v>
      </c>
      <c r="E37" s="120">
        <f>E38+E39+E40+E41+E42+E43+E44</f>
        <v>14016742600</v>
      </c>
      <c r="F37" s="119">
        <v>389351314600</v>
      </c>
      <c r="G37" s="114">
        <f t="shared" si="0"/>
        <v>3.6000244700342412</v>
      </c>
      <c r="H37" s="120"/>
      <c r="I37" s="120"/>
      <c r="J37" s="121"/>
      <c r="K37" s="121"/>
      <c r="L37" s="121"/>
      <c r="M37" s="121"/>
      <c r="N37" s="121"/>
      <c r="O37" s="121"/>
      <c r="P37" s="121"/>
    </row>
    <row r="38" spans="2:16" s="108" customFormat="1" ht="20.100000000000001" hidden="1" customHeight="1">
      <c r="B38" s="109"/>
      <c r="C38" s="122"/>
      <c r="D38" s="123" t="s">
        <v>117</v>
      </c>
      <c r="E38" s="115">
        <v>2369332600</v>
      </c>
      <c r="F38" s="113">
        <v>389351314600</v>
      </c>
      <c r="G38" s="114">
        <f t="shared" si="0"/>
        <v>0.60853335051253987</v>
      </c>
      <c r="H38" s="115"/>
      <c r="I38" s="115"/>
      <c r="J38" s="116"/>
      <c r="K38" s="116"/>
      <c r="L38" s="116"/>
      <c r="M38" s="116"/>
      <c r="N38" s="116"/>
      <c r="O38" s="116"/>
      <c r="P38" s="116"/>
    </row>
    <row r="39" spans="2:16" s="108" customFormat="1" ht="20.100000000000001" hidden="1" customHeight="1">
      <c r="B39" s="109"/>
      <c r="C39" s="122"/>
      <c r="D39" s="123" t="s">
        <v>118</v>
      </c>
      <c r="E39" s="115">
        <v>2009750000</v>
      </c>
      <c r="F39" s="113">
        <v>389351314600</v>
      </c>
      <c r="G39" s="114">
        <f t="shared" si="0"/>
        <v>0.51617907135223529</v>
      </c>
      <c r="H39" s="115"/>
      <c r="I39" s="115"/>
      <c r="J39" s="116"/>
      <c r="K39" s="116"/>
      <c r="L39" s="116"/>
      <c r="M39" s="116"/>
      <c r="N39" s="116"/>
      <c r="O39" s="116"/>
      <c r="P39" s="116"/>
    </row>
    <row r="40" spans="2:16" s="108" customFormat="1" ht="20.100000000000001" hidden="1" customHeight="1">
      <c r="B40" s="109"/>
      <c r="C40" s="122"/>
      <c r="D40" s="123" t="s">
        <v>119</v>
      </c>
      <c r="E40" s="115">
        <v>1216224500</v>
      </c>
      <c r="F40" s="113">
        <v>389351314600</v>
      </c>
      <c r="G40" s="114">
        <f t="shared" si="0"/>
        <v>0.31237200296844714</v>
      </c>
      <c r="H40" s="115"/>
      <c r="I40" s="115"/>
      <c r="J40" s="116"/>
      <c r="K40" s="116"/>
      <c r="L40" s="116"/>
      <c r="M40" s="116"/>
      <c r="N40" s="116"/>
      <c r="O40" s="116"/>
      <c r="P40" s="116"/>
    </row>
    <row r="41" spans="2:16" s="108" customFormat="1" ht="20.100000000000001" hidden="1" customHeight="1">
      <c r="B41" s="109"/>
      <c r="C41" s="122"/>
      <c r="D41" s="123" t="s">
        <v>120</v>
      </c>
      <c r="E41" s="115">
        <v>4411687500</v>
      </c>
      <c r="F41" s="113">
        <v>389351314600</v>
      </c>
      <c r="G41" s="114">
        <f t="shared" si="0"/>
        <v>1.133086581339104</v>
      </c>
      <c r="H41" s="115"/>
      <c r="I41" s="115"/>
      <c r="J41" s="116"/>
      <c r="K41" s="116"/>
      <c r="L41" s="116"/>
      <c r="M41" s="116"/>
      <c r="N41" s="116"/>
      <c r="O41" s="116"/>
      <c r="P41" s="116"/>
    </row>
    <row r="42" spans="2:16" s="108" customFormat="1" ht="39" hidden="1" customHeight="1">
      <c r="B42" s="109"/>
      <c r="C42" s="122"/>
      <c r="D42" s="123" t="s">
        <v>121</v>
      </c>
      <c r="E42" s="115">
        <v>1283372250</v>
      </c>
      <c r="F42" s="113">
        <v>389351314600</v>
      </c>
      <c r="G42" s="114">
        <f t="shared" si="0"/>
        <v>0.32961806005932515</v>
      </c>
      <c r="H42" s="115"/>
      <c r="I42" s="115"/>
      <c r="J42" s="116"/>
      <c r="K42" s="116"/>
      <c r="L42" s="116"/>
      <c r="M42" s="116"/>
      <c r="N42" s="116"/>
      <c r="O42" s="116"/>
      <c r="P42" s="116"/>
    </row>
    <row r="43" spans="2:16" s="108" customFormat="1" ht="20.100000000000001" hidden="1" customHeight="1">
      <c r="B43" s="109"/>
      <c r="C43" s="122"/>
      <c r="D43" s="123" t="s">
        <v>122</v>
      </c>
      <c r="E43" s="115">
        <v>2161485000</v>
      </c>
      <c r="F43" s="113">
        <v>389351314600</v>
      </c>
      <c r="G43" s="114">
        <f t="shared" si="0"/>
        <v>0.55515030229719431</v>
      </c>
      <c r="H43" s="115"/>
      <c r="I43" s="115"/>
      <c r="J43" s="116"/>
      <c r="K43" s="116"/>
      <c r="L43" s="116"/>
      <c r="M43" s="116"/>
      <c r="N43" s="116"/>
      <c r="O43" s="116"/>
      <c r="P43" s="116"/>
    </row>
    <row r="44" spans="2:16" s="108" customFormat="1" ht="20.100000000000001" hidden="1" customHeight="1">
      <c r="B44" s="109"/>
      <c r="C44" s="122"/>
      <c r="D44" s="123" t="s">
        <v>123</v>
      </c>
      <c r="E44" s="115">
        <v>564890750</v>
      </c>
      <c r="F44" s="113">
        <v>389351314600</v>
      </c>
      <c r="G44" s="114">
        <f t="shared" si="0"/>
        <v>0.14508510150539505</v>
      </c>
      <c r="H44" s="115"/>
      <c r="I44" s="115"/>
      <c r="J44" s="116"/>
      <c r="K44" s="116"/>
      <c r="L44" s="116"/>
      <c r="M44" s="116"/>
      <c r="N44" s="116"/>
      <c r="O44" s="116"/>
      <c r="P44" s="116"/>
    </row>
    <row r="45" spans="2:16" s="117" customFormat="1" ht="20.100000000000001" hidden="1" customHeight="1">
      <c r="B45" s="118"/>
      <c r="C45" s="110"/>
      <c r="D45" s="111" t="s">
        <v>124</v>
      </c>
      <c r="E45" s="120">
        <f>E46+E47+E48+E49+E50+E51</f>
        <v>24288561070</v>
      </c>
      <c r="F45" s="119">
        <v>389351314600</v>
      </c>
      <c r="G45" s="114">
        <f t="shared" si="0"/>
        <v>6.2382121644954118</v>
      </c>
      <c r="H45" s="120"/>
      <c r="I45" s="120"/>
      <c r="J45" s="121"/>
      <c r="K45" s="121"/>
      <c r="L45" s="121"/>
      <c r="M45" s="121"/>
      <c r="N45" s="121"/>
      <c r="O45" s="121"/>
      <c r="P45" s="121"/>
    </row>
    <row r="46" spans="2:16" s="108" customFormat="1" ht="20.100000000000001" hidden="1" customHeight="1">
      <c r="B46" s="109"/>
      <c r="C46" s="122"/>
      <c r="D46" s="123" t="s">
        <v>125</v>
      </c>
      <c r="E46" s="115">
        <v>3138997510</v>
      </c>
      <c r="F46" s="113">
        <v>389351314600</v>
      </c>
      <c r="G46" s="114">
        <f t="shared" si="0"/>
        <v>0.80621212573144863</v>
      </c>
      <c r="H46" s="115"/>
      <c r="I46" s="115"/>
      <c r="J46" s="116"/>
      <c r="K46" s="116"/>
      <c r="L46" s="116"/>
      <c r="M46" s="116"/>
      <c r="N46" s="116"/>
      <c r="O46" s="116"/>
      <c r="P46" s="116"/>
    </row>
    <row r="47" spans="2:16" s="108" customFormat="1" ht="20.100000000000001" hidden="1" customHeight="1">
      <c r="B47" s="109"/>
      <c r="C47" s="122"/>
      <c r="D47" s="123" t="s">
        <v>126</v>
      </c>
      <c r="E47" s="115">
        <v>14061110000</v>
      </c>
      <c r="F47" s="113">
        <v>389351314600</v>
      </c>
      <c r="G47" s="114">
        <f t="shared" si="0"/>
        <v>3.6114196800505676</v>
      </c>
      <c r="H47" s="115"/>
      <c r="I47" s="115"/>
      <c r="J47" s="116"/>
      <c r="K47" s="116"/>
      <c r="L47" s="116"/>
      <c r="M47" s="116"/>
      <c r="N47" s="116"/>
      <c r="O47" s="116"/>
      <c r="P47" s="116"/>
    </row>
    <row r="48" spans="2:16" s="108" customFormat="1" ht="20.100000000000001" hidden="1" customHeight="1">
      <c r="B48" s="109"/>
      <c r="C48" s="122"/>
      <c r="D48" s="123" t="s">
        <v>127</v>
      </c>
      <c r="E48" s="115">
        <v>4350000000</v>
      </c>
      <c r="F48" s="113">
        <v>389351314600</v>
      </c>
      <c r="G48" s="114">
        <f t="shared" si="0"/>
        <v>1.1172429209514734</v>
      </c>
      <c r="H48" s="115"/>
      <c r="I48" s="115"/>
      <c r="J48" s="116"/>
      <c r="K48" s="116"/>
      <c r="L48" s="116"/>
      <c r="M48" s="116"/>
      <c r="N48" s="116"/>
      <c r="O48" s="116"/>
      <c r="P48" s="116"/>
    </row>
    <row r="49" spans="2:16" s="108" customFormat="1" ht="20.100000000000001" hidden="1" customHeight="1">
      <c r="B49" s="109"/>
      <c r="C49" s="122"/>
      <c r="D49" s="123" t="s">
        <v>128</v>
      </c>
      <c r="E49" s="115">
        <v>300000000</v>
      </c>
      <c r="F49" s="113">
        <v>389351314600</v>
      </c>
      <c r="G49" s="114">
        <f t="shared" si="0"/>
        <v>7.7051235927687811E-2</v>
      </c>
      <c r="H49" s="115"/>
      <c r="I49" s="115"/>
      <c r="J49" s="116"/>
      <c r="K49" s="116"/>
      <c r="L49" s="116"/>
      <c r="M49" s="116"/>
      <c r="N49" s="116"/>
      <c r="O49" s="116"/>
      <c r="P49" s="116"/>
    </row>
    <row r="50" spans="2:16" s="108" customFormat="1" ht="20.100000000000001" hidden="1" customHeight="1">
      <c r="B50" s="109"/>
      <c r="C50" s="122"/>
      <c r="D50" s="123" t="s">
        <v>129</v>
      </c>
      <c r="E50" s="115">
        <v>1638453560</v>
      </c>
      <c r="F50" s="113">
        <v>389351314600</v>
      </c>
      <c r="G50" s="114">
        <f t="shared" si="0"/>
        <v>0.42081623936039997</v>
      </c>
      <c r="H50" s="115"/>
      <c r="I50" s="115"/>
      <c r="J50" s="116"/>
      <c r="K50" s="116"/>
      <c r="L50" s="116"/>
      <c r="M50" s="116"/>
      <c r="N50" s="116"/>
      <c r="O50" s="116"/>
      <c r="P50" s="116"/>
    </row>
    <row r="51" spans="2:16" s="108" customFormat="1" ht="39.75" hidden="1" customHeight="1">
      <c r="B51" s="109"/>
      <c r="C51" s="122"/>
      <c r="D51" s="123" t="s">
        <v>130</v>
      </c>
      <c r="E51" s="115">
        <v>800000000</v>
      </c>
      <c r="F51" s="113">
        <v>389351314600</v>
      </c>
      <c r="G51" s="114">
        <f t="shared" si="0"/>
        <v>0.20546996247383414</v>
      </c>
      <c r="H51" s="115"/>
      <c r="I51" s="115"/>
      <c r="J51" s="116"/>
      <c r="K51" s="116"/>
      <c r="L51" s="116"/>
      <c r="M51" s="116"/>
      <c r="N51" s="116"/>
      <c r="O51" s="116"/>
      <c r="P51" s="116"/>
    </row>
    <row r="52" spans="2:16" s="117" customFormat="1" ht="20.100000000000001" hidden="1" customHeight="1">
      <c r="B52" s="118"/>
      <c r="C52" s="110"/>
      <c r="D52" s="111" t="s">
        <v>131</v>
      </c>
      <c r="E52" s="120">
        <f>E53+E54+E55+E56+E57+E58+E59+E60+E61+E62+E63+E64+E65</f>
        <v>22871443316</v>
      </c>
      <c r="F52" s="119">
        <v>389351314600</v>
      </c>
      <c r="G52" s="114">
        <f t="shared" si="0"/>
        <v>5.8742432498261818</v>
      </c>
      <c r="H52" s="120"/>
      <c r="I52" s="120"/>
      <c r="J52" s="121"/>
      <c r="K52" s="121"/>
      <c r="L52" s="121"/>
      <c r="M52" s="121"/>
      <c r="N52" s="121"/>
      <c r="O52" s="121"/>
      <c r="P52" s="121"/>
    </row>
    <row r="53" spans="2:16" s="108" customFormat="1" ht="20.100000000000001" hidden="1" customHeight="1">
      <c r="B53" s="109"/>
      <c r="C53" s="122"/>
      <c r="D53" s="123" t="s">
        <v>132</v>
      </c>
      <c r="E53" s="115">
        <v>3299900000</v>
      </c>
      <c r="F53" s="113">
        <v>389351314600</v>
      </c>
      <c r="G53" s="114">
        <f t="shared" si="0"/>
        <v>0.84753791145925661</v>
      </c>
      <c r="H53" s="115"/>
      <c r="I53" s="115"/>
      <c r="J53" s="116"/>
      <c r="K53" s="116"/>
      <c r="L53" s="116"/>
      <c r="M53" s="116"/>
      <c r="N53" s="116"/>
      <c r="O53" s="116"/>
      <c r="P53" s="116"/>
    </row>
    <row r="54" spans="2:16" s="108" customFormat="1" ht="20.100000000000001" hidden="1" customHeight="1">
      <c r="B54" s="109"/>
      <c r="C54" s="122"/>
      <c r="D54" s="123" t="s">
        <v>133</v>
      </c>
      <c r="E54" s="115">
        <v>569702250</v>
      </c>
      <c r="F54" s="113">
        <v>389351314600</v>
      </c>
      <c r="G54" s="114">
        <f t="shared" si="0"/>
        <v>0.14632087491094861</v>
      </c>
      <c r="H54" s="115"/>
      <c r="I54" s="115"/>
      <c r="J54" s="116"/>
      <c r="K54" s="116"/>
      <c r="L54" s="116"/>
      <c r="M54" s="116"/>
      <c r="N54" s="116"/>
      <c r="O54" s="116"/>
      <c r="P54" s="116"/>
    </row>
    <row r="55" spans="2:16" s="108" customFormat="1" ht="20.100000000000001" hidden="1" customHeight="1">
      <c r="B55" s="109"/>
      <c r="C55" s="122"/>
      <c r="D55" s="123" t="s">
        <v>134</v>
      </c>
      <c r="E55" s="115">
        <v>598199350</v>
      </c>
      <c r="F55" s="113">
        <v>389351314600</v>
      </c>
      <c r="G55" s="114">
        <f t="shared" si="0"/>
        <v>0.153639997495465</v>
      </c>
      <c r="H55" s="115"/>
      <c r="I55" s="115"/>
      <c r="J55" s="116"/>
      <c r="K55" s="116"/>
      <c r="L55" s="116"/>
      <c r="M55" s="116"/>
      <c r="N55" s="116"/>
      <c r="O55" s="116"/>
      <c r="P55" s="116"/>
    </row>
    <row r="56" spans="2:16" s="108" customFormat="1" ht="20.100000000000001" hidden="1" customHeight="1">
      <c r="B56" s="109"/>
      <c r="C56" s="122"/>
      <c r="D56" s="123" t="s">
        <v>135</v>
      </c>
      <c r="E56" s="115">
        <v>1464890000</v>
      </c>
      <c r="F56" s="113">
        <v>389351314600</v>
      </c>
      <c r="G56" s="114">
        <f t="shared" si="0"/>
        <v>0.37623861666036867</v>
      </c>
      <c r="H56" s="115"/>
      <c r="I56" s="115"/>
      <c r="J56" s="116"/>
      <c r="K56" s="116"/>
      <c r="L56" s="116"/>
      <c r="M56" s="116"/>
      <c r="N56" s="116"/>
      <c r="O56" s="116"/>
      <c r="P56" s="116"/>
    </row>
    <row r="57" spans="2:16" s="108" customFormat="1" ht="20.100000000000001" hidden="1" customHeight="1">
      <c r="B57" s="109"/>
      <c r="C57" s="122"/>
      <c r="D57" s="123" t="s">
        <v>136</v>
      </c>
      <c r="E57" s="115">
        <v>935641950</v>
      </c>
      <c r="F57" s="113">
        <v>389351314600</v>
      </c>
      <c r="G57" s="114">
        <f t="shared" si="0"/>
        <v>0.24030789544430628</v>
      </c>
      <c r="H57" s="115"/>
      <c r="I57" s="115"/>
      <c r="J57" s="116"/>
      <c r="K57" s="116"/>
      <c r="L57" s="116"/>
      <c r="M57" s="116"/>
      <c r="N57" s="116"/>
      <c r="O57" s="116"/>
      <c r="P57" s="116"/>
    </row>
    <row r="58" spans="2:16" s="108" customFormat="1" ht="20.100000000000001" hidden="1" customHeight="1">
      <c r="B58" s="109"/>
      <c r="C58" s="122"/>
      <c r="D58" s="123" t="s">
        <v>137</v>
      </c>
      <c r="E58" s="115">
        <v>300000000</v>
      </c>
      <c r="F58" s="113">
        <v>389351314600</v>
      </c>
      <c r="G58" s="114">
        <f t="shared" si="0"/>
        <v>7.7051235927687811E-2</v>
      </c>
      <c r="H58" s="115"/>
      <c r="I58" s="115"/>
      <c r="J58" s="116"/>
      <c r="K58" s="116"/>
      <c r="L58" s="116"/>
      <c r="M58" s="116"/>
      <c r="N58" s="116"/>
      <c r="O58" s="116"/>
      <c r="P58" s="116"/>
    </row>
    <row r="59" spans="2:16" s="108" customFormat="1" ht="20.100000000000001" hidden="1" customHeight="1">
      <c r="B59" s="109"/>
      <c r="C59" s="122"/>
      <c r="D59" s="123" t="s">
        <v>138</v>
      </c>
      <c r="E59" s="115">
        <v>489400000</v>
      </c>
      <c r="F59" s="113">
        <v>389351314600</v>
      </c>
      <c r="G59" s="114">
        <f t="shared" si="0"/>
        <v>0.12569624954336805</v>
      </c>
      <c r="H59" s="115"/>
      <c r="I59" s="115"/>
      <c r="J59" s="116"/>
      <c r="K59" s="116"/>
      <c r="L59" s="116"/>
      <c r="M59" s="116"/>
      <c r="N59" s="116"/>
      <c r="O59" s="116"/>
      <c r="P59" s="116"/>
    </row>
    <row r="60" spans="2:16" s="108" customFormat="1" ht="20.100000000000001" hidden="1" customHeight="1">
      <c r="B60" s="109"/>
      <c r="C60" s="122"/>
      <c r="D60" s="123" t="s">
        <v>139</v>
      </c>
      <c r="E60" s="115">
        <v>2684400000</v>
      </c>
      <c r="F60" s="113">
        <v>389351314600</v>
      </c>
      <c r="G60" s="114">
        <f t="shared" si="0"/>
        <v>0.68945445908095049</v>
      </c>
      <c r="H60" s="115"/>
      <c r="I60" s="115"/>
      <c r="J60" s="116"/>
      <c r="K60" s="116"/>
      <c r="L60" s="116"/>
      <c r="M60" s="116"/>
      <c r="N60" s="116"/>
      <c r="O60" s="116"/>
      <c r="P60" s="116"/>
    </row>
    <row r="61" spans="2:16" s="108" customFormat="1" ht="20.100000000000001" hidden="1" customHeight="1">
      <c r="B61" s="109"/>
      <c r="C61" s="122"/>
      <c r="D61" s="123" t="s">
        <v>140</v>
      </c>
      <c r="E61" s="115">
        <v>1980000000</v>
      </c>
      <c r="F61" s="113">
        <v>389351314600</v>
      </c>
      <c r="G61" s="114">
        <f t="shared" si="0"/>
        <v>0.50853815712273953</v>
      </c>
      <c r="H61" s="115"/>
      <c r="I61" s="115"/>
      <c r="J61" s="116"/>
      <c r="K61" s="116"/>
      <c r="L61" s="116"/>
      <c r="M61" s="116"/>
      <c r="N61" s="116"/>
      <c r="O61" s="116"/>
      <c r="P61" s="116"/>
    </row>
    <row r="62" spans="2:16" s="108" customFormat="1" ht="20.100000000000001" hidden="1" customHeight="1">
      <c r="B62" s="109"/>
      <c r="C62" s="122"/>
      <c r="D62" s="123" t="s">
        <v>141</v>
      </c>
      <c r="E62" s="115">
        <v>1426849641</v>
      </c>
      <c r="F62" s="113">
        <v>389351314600</v>
      </c>
      <c r="G62" s="114">
        <f t="shared" si="0"/>
        <v>0.3664684277400922</v>
      </c>
      <c r="H62" s="115"/>
      <c r="I62" s="115"/>
      <c r="J62" s="116"/>
      <c r="K62" s="116"/>
      <c r="L62" s="116"/>
      <c r="M62" s="116"/>
      <c r="N62" s="116"/>
      <c r="O62" s="116"/>
      <c r="P62" s="116"/>
    </row>
    <row r="63" spans="2:16" s="108" customFormat="1" ht="20.100000000000001" hidden="1" customHeight="1">
      <c r="B63" s="109"/>
      <c r="C63" s="122"/>
      <c r="D63" s="123" t="s">
        <v>142</v>
      </c>
      <c r="E63" s="115">
        <v>699860000</v>
      </c>
      <c r="F63" s="113">
        <v>389351314600</v>
      </c>
      <c r="G63" s="114">
        <f t="shared" si="0"/>
        <v>0.179750259921172</v>
      </c>
      <c r="H63" s="115"/>
      <c r="I63" s="115"/>
      <c r="J63" s="116"/>
      <c r="K63" s="116"/>
      <c r="L63" s="116"/>
      <c r="M63" s="116"/>
      <c r="N63" s="116"/>
      <c r="O63" s="116"/>
      <c r="P63" s="116"/>
    </row>
    <row r="64" spans="2:16" s="108" customFormat="1" ht="41.25" hidden="1" customHeight="1">
      <c r="B64" s="109"/>
      <c r="C64" s="122"/>
      <c r="D64" s="123" t="s">
        <v>143</v>
      </c>
      <c r="E64" s="115">
        <v>5422600000</v>
      </c>
      <c r="F64" s="113">
        <v>389351314600</v>
      </c>
      <c r="G64" s="114">
        <f t="shared" si="0"/>
        <v>1.3927267731382664</v>
      </c>
      <c r="H64" s="115"/>
      <c r="I64" s="115"/>
      <c r="J64" s="116"/>
      <c r="K64" s="116"/>
      <c r="L64" s="116"/>
      <c r="M64" s="116"/>
      <c r="N64" s="116"/>
      <c r="O64" s="116"/>
      <c r="P64" s="116"/>
    </row>
    <row r="65" spans="2:16" s="108" customFormat="1" ht="20.100000000000001" hidden="1" customHeight="1">
      <c r="B65" s="109"/>
      <c r="C65" s="122"/>
      <c r="D65" s="123" t="s">
        <v>144</v>
      </c>
      <c r="E65" s="115">
        <v>3000000125</v>
      </c>
      <c r="F65" s="113">
        <v>389351314600</v>
      </c>
      <c r="G65" s="114">
        <f t="shared" si="0"/>
        <v>0.77051239138155969</v>
      </c>
      <c r="H65" s="115"/>
      <c r="I65" s="115"/>
      <c r="J65" s="116"/>
      <c r="K65" s="116"/>
      <c r="L65" s="116"/>
      <c r="M65" s="116"/>
      <c r="N65" s="116"/>
      <c r="O65" s="116"/>
      <c r="P65" s="116"/>
    </row>
    <row r="66" spans="2:16" s="117" customFormat="1" ht="20.100000000000001" hidden="1" customHeight="1">
      <c r="B66" s="118"/>
      <c r="C66" s="110"/>
      <c r="D66" s="111" t="s">
        <v>145</v>
      </c>
      <c r="E66" s="120">
        <f>E67+E68+E69</f>
        <v>958899404</v>
      </c>
      <c r="F66" s="119">
        <v>389351314600</v>
      </c>
      <c r="G66" s="114">
        <f t="shared" si="0"/>
        <v>0.24628128069507743</v>
      </c>
      <c r="H66" s="120"/>
      <c r="I66" s="120"/>
      <c r="J66" s="121"/>
      <c r="K66" s="121"/>
      <c r="L66" s="121"/>
      <c r="M66" s="121"/>
      <c r="N66" s="121"/>
      <c r="O66" s="121"/>
      <c r="P66" s="121"/>
    </row>
    <row r="67" spans="2:16" s="108" customFormat="1" ht="20.100000000000001" hidden="1" customHeight="1">
      <c r="B67" s="109"/>
      <c r="C67" s="122"/>
      <c r="D67" s="123" t="s">
        <v>146</v>
      </c>
      <c r="E67" s="115">
        <v>70000000</v>
      </c>
      <c r="F67" s="113">
        <v>389351314600</v>
      </c>
      <c r="G67" s="114">
        <f t="shared" si="0"/>
        <v>1.7978621716460492E-2</v>
      </c>
      <c r="H67" s="115"/>
      <c r="I67" s="115"/>
      <c r="J67" s="116"/>
      <c r="K67" s="116"/>
      <c r="L67" s="116"/>
      <c r="M67" s="116"/>
      <c r="N67" s="116"/>
      <c r="O67" s="116"/>
      <c r="P67" s="116"/>
    </row>
    <row r="68" spans="2:16" s="108" customFormat="1" ht="20.100000000000001" hidden="1" customHeight="1">
      <c r="B68" s="109"/>
      <c r="C68" s="122"/>
      <c r="D68" s="123" t="s">
        <v>147</v>
      </c>
      <c r="E68" s="115">
        <v>740000000</v>
      </c>
      <c r="F68" s="113">
        <v>389351314600</v>
      </c>
      <c r="G68" s="114">
        <f t="shared" si="0"/>
        <v>0.1900597152882966</v>
      </c>
      <c r="H68" s="115"/>
      <c r="I68" s="115"/>
      <c r="J68" s="116"/>
      <c r="K68" s="116"/>
      <c r="L68" s="116"/>
      <c r="M68" s="116"/>
      <c r="N68" s="116"/>
      <c r="O68" s="116"/>
      <c r="P68" s="116"/>
    </row>
    <row r="69" spans="2:16" s="108" customFormat="1" ht="20.100000000000001" hidden="1" customHeight="1">
      <c r="B69" s="109"/>
      <c r="C69" s="122"/>
      <c r="D69" s="123" t="s">
        <v>148</v>
      </c>
      <c r="E69" s="115">
        <v>148899404</v>
      </c>
      <c r="F69" s="113">
        <v>389351314600</v>
      </c>
      <c r="G69" s="114">
        <f t="shared" si="0"/>
        <v>3.8242943690320337E-2</v>
      </c>
      <c r="H69" s="115"/>
      <c r="I69" s="115"/>
      <c r="J69" s="116"/>
      <c r="K69" s="116"/>
      <c r="L69" s="116"/>
      <c r="M69" s="116"/>
      <c r="N69" s="116"/>
      <c r="O69" s="116"/>
      <c r="P69" s="116"/>
    </row>
    <row r="70" spans="2:16" s="117" customFormat="1" ht="20.100000000000001" hidden="1" customHeight="1">
      <c r="B70" s="118"/>
      <c r="C70" s="110"/>
      <c r="D70" s="111" t="s">
        <v>149</v>
      </c>
      <c r="E70" s="120">
        <f>E71</f>
        <v>183751075</v>
      </c>
      <c r="F70" s="119">
        <v>389351314600</v>
      </c>
      <c r="G70" s="114">
        <f t="shared" si="0"/>
        <v>4.7194158105970857E-2</v>
      </c>
      <c r="H70" s="120"/>
      <c r="I70" s="120"/>
      <c r="J70" s="121"/>
      <c r="K70" s="121"/>
      <c r="L70" s="121"/>
      <c r="M70" s="121"/>
      <c r="N70" s="121"/>
      <c r="O70" s="121"/>
      <c r="P70" s="121"/>
    </row>
    <row r="71" spans="2:16" s="108" customFormat="1" ht="20.100000000000001" hidden="1" customHeight="1">
      <c r="B71" s="109"/>
      <c r="C71" s="122"/>
      <c r="D71" s="123" t="s">
        <v>150</v>
      </c>
      <c r="E71" s="115">
        <v>183751075</v>
      </c>
      <c r="F71" s="113">
        <v>389351314600</v>
      </c>
      <c r="G71" s="114">
        <f t="shared" si="0"/>
        <v>4.7194158105970857E-2</v>
      </c>
      <c r="H71" s="115"/>
      <c r="I71" s="115"/>
      <c r="J71" s="116"/>
      <c r="K71" s="116"/>
      <c r="L71" s="116"/>
      <c r="M71" s="116"/>
      <c r="N71" s="116"/>
      <c r="O71" s="116"/>
      <c r="P71" s="116"/>
    </row>
    <row r="72" spans="2:16" s="117" customFormat="1" ht="20.100000000000001" hidden="1" customHeight="1">
      <c r="B72" s="118"/>
      <c r="C72" s="110"/>
      <c r="D72" s="111" t="s">
        <v>151</v>
      </c>
      <c r="E72" s="120">
        <f>E73+E74+E75+E76+E77+E78+E79+E80+E81</f>
        <v>2360705745</v>
      </c>
      <c r="F72" s="119">
        <v>389351314600</v>
      </c>
      <c r="G72" s="114">
        <f t="shared" si="0"/>
        <v>0.60631765104614344</v>
      </c>
      <c r="H72" s="120"/>
      <c r="I72" s="120"/>
      <c r="J72" s="121"/>
      <c r="K72" s="121"/>
      <c r="L72" s="121"/>
      <c r="M72" s="121"/>
      <c r="N72" s="121"/>
      <c r="O72" s="121"/>
      <c r="P72" s="121"/>
    </row>
    <row r="73" spans="2:16" s="108" customFormat="1" ht="20.100000000000001" hidden="1" customHeight="1">
      <c r="B73" s="109"/>
      <c r="C73" s="122"/>
      <c r="D73" s="123" t="s">
        <v>152</v>
      </c>
      <c r="E73" s="115">
        <v>158000000</v>
      </c>
      <c r="F73" s="113">
        <v>389351314600</v>
      </c>
      <c r="G73" s="114">
        <f t="shared" si="0"/>
        <v>4.058031758858225E-2</v>
      </c>
      <c r="H73" s="115"/>
      <c r="I73" s="115"/>
      <c r="J73" s="116"/>
      <c r="K73" s="116"/>
      <c r="L73" s="116"/>
      <c r="M73" s="116"/>
      <c r="N73" s="116"/>
      <c r="O73" s="116"/>
      <c r="P73" s="116"/>
    </row>
    <row r="74" spans="2:16" s="108" customFormat="1" ht="30.75" hidden="1" customHeight="1">
      <c r="B74" s="109"/>
      <c r="C74" s="122"/>
      <c r="D74" s="123" t="s">
        <v>153</v>
      </c>
      <c r="E74" s="115">
        <v>398799000</v>
      </c>
      <c r="F74" s="113">
        <v>389351314600</v>
      </c>
      <c r="G74" s="114">
        <f t="shared" si="0"/>
        <v>0.10242651945575323</v>
      </c>
      <c r="H74" s="115"/>
      <c r="I74" s="115"/>
      <c r="J74" s="116"/>
      <c r="K74" s="116"/>
      <c r="L74" s="116"/>
      <c r="M74" s="116"/>
      <c r="N74" s="116"/>
      <c r="O74" s="116"/>
      <c r="P74" s="116"/>
    </row>
    <row r="75" spans="2:16" s="108" customFormat="1" ht="20.100000000000001" hidden="1" customHeight="1">
      <c r="B75" s="109"/>
      <c r="C75" s="122"/>
      <c r="D75" s="123" t="s">
        <v>154</v>
      </c>
      <c r="E75" s="115">
        <v>690785100</v>
      </c>
      <c r="F75" s="113">
        <v>389351314600</v>
      </c>
      <c r="G75" s="114">
        <f t="shared" si="0"/>
        <v>0.17741948571810473</v>
      </c>
      <c r="H75" s="115"/>
      <c r="I75" s="115"/>
      <c r="J75" s="116"/>
      <c r="K75" s="116"/>
      <c r="L75" s="116"/>
      <c r="M75" s="116"/>
      <c r="N75" s="116"/>
      <c r="O75" s="116"/>
      <c r="P75" s="116"/>
    </row>
    <row r="76" spans="2:16" s="108" customFormat="1" ht="20.100000000000001" hidden="1" customHeight="1">
      <c r="B76" s="109"/>
      <c r="C76" s="122"/>
      <c r="D76" s="123" t="s">
        <v>155</v>
      </c>
      <c r="E76" s="115">
        <v>483216745</v>
      </c>
      <c r="F76" s="113">
        <v>389351314600</v>
      </c>
      <c r="G76" s="114">
        <f t="shared" si="0"/>
        <v>0.12410815807734786</v>
      </c>
      <c r="H76" s="115"/>
      <c r="I76" s="115"/>
      <c r="J76" s="116"/>
      <c r="K76" s="116"/>
      <c r="L76" s="116"/>
      <c r="M76" s="116"/>
      <c r="N76" s="116"/>
      <c r="O76" s="116"/>
      <c r="P76" s="116"/>
    </row>
    <row r="77" spans="2:16" s="108" customFormat="1" ht="20.100000000000001" hidden="1" customHeight="1">
      <c r="B77" s="109"/>
      <c r="C77" s="122"/>
      <c r="D77" s="123" t="s">
        <v>156</v>
      </c>
      <c r="E77" s="115">
        <v>216050000</v>
      </c>
      <c r="F77" s="113">
        <v>389351314600</v>
      </c>
      <c r="G77" s="114">
        <f t="shared" si="0"/>
        <v>5.548973174058984E-2</v>
      </c>
      <c r="H77" s="115"/>
      <c r="I77" s="115"/>
      <c r="J77" s="116"/>
      <c r="K77" s="116"/>
      <c r="L77" s="116"/>
      <c r="M77" s="116"/>
      <c r="N77" s="116"/>
      <c r="O77" s="116"/>
      <c r="P77" s="116"/>
    </row>
    <row r="78" spans="2:16" s="108" customFormat="1" ht="20.100000000000001" hidden="1" customHeight="1">
      <c r="B78" s="109"/>
      <c r="C78" s="122"/>
      <c r="D78" s="123" t="s">
        <v>157</v>
      </c>
      <c r="E78" s="115">
        <v>100000000</v>
      </c>
      <c r="F78" s="113">
        <v>389351314600</v>
      </c>
      <c r="G78" s="114">
        <f t="shared" si="0"/>
        <v>2.5683745309229268E-2</v>
      </c>
      <c r="H78" s="115"/>
      <c r="I78" s="115"/>
      <c r="J78" s="116"/>
      <c r="K78" s="116"/>
      <c r="L78" s="116"/>
      <c r="M78" s="116"/>
      <c r="N78" s="116"/>
      <c r="O78" s="116"/>
      <c r="P78" s="116"/>
    </row>
    <row r="79" spans="2:16" s="108" customFormat="1" ht="20.100000000000001" hidden="1" customHeight="1">
      <c r="B79" s="109"/>
      <c r="C79" s="122"/>
      <c r="D79" s="123" t="s">
        <v>158</v>
      </c>
      <c r="E79" s="115">
        <v>116464900</v>
      </c>
      <c r="F79" s="113">
        <v>389351314600</v>
      </c>
      <c r="G79" s="114">
        <f t="shared" si="0"/>
        <v>2.9912548290648561E-2</v>
      </c>
      <c r="H79" s="115"/>
      <c r="I79" s="115"/>
      <c r="J79" s="116"/>
      <c r="K79" s="116"/>
      <c r="L79" s="116"/>
      <c r="M79" s="116"/>
      <c r="N79" s="116"/>
      <c r="O79" s="116"/>
      <c r="P79" s="116"/>
    </row>
    <row r="80" spans="2:16" s="108" customFormat="1" ht="20.100000000000001" hidden="1" customHeight="1">
      <c r="B80" s="109"/>
      <c r="C80" s="122"/>
      <c r="D80" s="123" t="s">
        <v>159</v>
      </c>
      <c r="E80" s="115">
        <v>82590000</v>
      </c>
      <c r="F80" s="113">
        <v>389351314600</v>
      </c>
      <c r="G80" s="114">
        <f t="shared" ref="G80:G143" si="1">+E80/F80*100</f>
        <v>2.1212205250892454E-2</v>
      </c>
      <c r="H80" s="115"/>
      <c r="I80" s="115"/>
      <c r="J80" s="116"/>
      <c r="K80" s="116"/>
      <c r="L80" s="116"/>
      <c r="M80" s="116"/>
      <c r="N80" s="116"/>
      <c r="O80" s="116"/>
      <c r="P80" s="116"/>
    </row>
    <row r="81" spans="2:16" s="108" customFormat="1" ht="20.100000000000001" hidden="1" customHeight="1">
      <c r="B81" s="109"/>
      <c r="C81" s="122"/>
      <c r="D81" s="123" t="s">
        <v>160</v>
      </c>
      <c r="E81" s="115">
        <v>114800000</v>
      </c>
      <c r="F81" s="113">
        <v>389351314600</v>
      </c>
      <c r="G81" s="114">
        <f t="shared" si="1"/>
        <v>2.9484939614995199E-2</v>
      </c>
      <c r="H81" s="115"/>
      <c r="I81" s="115"/>
      <c r="J81" s="116"/>
      <c r="K81" s="116"/>
      <c r="L81" s="116"/>
      <c r="M81" s="116"/>
      <c r="N81" s="116"/>
      <c r="O81" s="116"/>
      <c r="P81" s="116"/>
    </row>
    <row r="82" spans="2:16" s="108" customFormat="1" ht="15" hidden="1" customHeight="1">
      <c r="B82" s="109"/>
      <c r="C82" s="122"/>
      <c r="D82" s="123"/>
      <c r="E82" s="115"/>
      <c r="F82" s="113">
        <v>389351314600</v>
      </c>
      <c r="G82" s="114">
        <f t="shared" si="1"/>
        <v>0</v>
      </c>
      <c r="H82" s="115"/>
      <c r="I82" s="115"/>
      <c r="J82" s="116"/>
      <c r="K82" s="116"/>
      <c r="L82" s="116"/>
      <c r="M82" s="116"/>
      <c r="N82" s="116"/>
      <c r="O82" s="116"/>
      <c r="P82" s="116"/>
    </row>
    <row r="83" spans="2:16" s="117" customFormat="1" ht="20.100000000000001" hidden="1" customHeight="1">
      <c r="B83" s="118"/>
      <c r="C83" s="110"/>
      <c r="D83" s="111" t="s">
        <v>161</v>
      </c>
      <c r="E83" s="120">
        <f>E84+E95+E99+E101+E108+E112+E114+E118+E132+E134+E137+E141+E143+E157+E162+E165+E167</f>
        <v>77869999993</v>
      </c>
      <c r="F83" s="119">
        <v>389351314600</v>
      </c>
      <c r="G83" s="114">
        <f t="shared" si="1"/>
        <v>19.999932470498972</v>
      </c>
      <c r="H83" s="120"/>
      <c r="I83" s="120"/>
      <c r="J83" s="121"/>
      <c r="K83" s="121"/>
      <c r="L83" s="121"/>
      <c r="M83" s="121"/>
      <c r="N83" s="121"/>
      <c r="O83" s="121"/>
      <c r="P83" s="121"/>
    </row>
    <row r="84" spans="2:16" s="117" customFormat="1" ht="20.100000000000001" hidden="1" customHeight="1">
      <c r="B84" s="118"/>
      <c r="C84" s="110"/>
      <c r="D84" s="111" t="s">
        <v>162</v>
      </c>
      <c r="E84" s="120">
        <f>E85+E86+E87+E88+E89+E90+E91+E92+E93+E94</f>
        <v>7071610255</v>
      </c>
      <c r="F84" s="119">
        <v>389351314600</v>
      </c>
      <c r="G84" s="114">
        <f t="shared" si="1"/>
        <v>1.8162543671555385</v>
      </c>
      <c r="H84" s="120"/>
      <c r="I84" s="120"/>
      <c r="J84" s="121"/>
      <c r="K84" s="121"/>
      <c r="L84" s="121"/>
      <c r="M84" s="121"/>
      <c r="N84" s="121"/>
      <c r="O84" s="121"/>
      <c r="P84" s="121"/>
    </row>
    <row r="85" spans="2:16" s="108" customFormat="1" ht="20.100000000000001" hidden="1" customHeight="1">
      <c r="B85" s="109"/>
      <c r="C85" s="122"/>
      <c r="D85" s="123" t="s">
        <v>163</v>
      </c>
      <c r="E85" s="115">
        <v>675605600</v>
      </c>
      <c r="F85" s="113">
        <v>389351314600</v>
      </c>
      <c r="G85" s="114">
        <f t="shared" si="1"/>
        <v>0.17352082159889029</v>
      </c>
      <c r="H85" s="115"/>
      <c r="I85" s="115"/>
      <c r="J85" s="116"/>
      <c r="K85" s="116"/>
      <c r="L85" s="116"/>
      <c r="M85" s="116"/>
      <c r="N85" s="116"/>
      <c r="O85" s="116"/>
      <c r="P85" s="116"/>
    </row>
    <row r="86" spans="2:16" s="108" customFormat="1" ht="34.5" hidden="1" customHeight="1">
      <c r="B86" s="109"/>
      <c r="C86" s="122"/>
      <c r="D86" s="123" t="s">
        <v>164</v>
      </c>
      <c r="E86" s="115">
        <v>163050000</v>
      </c>
      <c r="F86" s="113">
        <v>389351314600</v>
      </c>
      <c r="G86" s="114">
        <f t="shared" si="1"/>
        <v>4.1877346726698322E-2</v>
      </c>
      <c r="H86" s="115"/>
      <c r="I86" s="115"/>
      <c r="J86" s="116"/>
      <c r="K86" s="116"/>
      <c r="L86" s="116"/>
      <c r="M86" s="116"/>
      <c r="N86" s="116"/>
      <c r="O86" s="116"/>
      <c r="P86" s="116"/>
    </row>
    <row r="87" spans="2:16" s="108" customFormat="1" ht="34.5" hidden="1" customHeight="1">
      <c r="B87" s="109"/>
      <c r="C87" s="122"/>
      <c r="D87" s="123" t="s">
        <v>165</v>
      </c>
      <c r="E87" s="115">
        <v>335900000</v>
      </c>
      <c r="F87" s="113">
        <v>389351314600</v>
      </c>
      <c r="G87" s="114">
        <f t="shared" si="1"/>
        <v>8.6271700493701128E-2</v>
      </c>
      <c r="H87" s="115"/>
      <c r="I87" s="115"/>
      <c r="J87" s="116"/>
      <c r="K87" s="116"/>
      <c r="L87" s="116"/>
      <c r="M87" s="116"/>
      <c r="N87" s="116"/>
      <c r="O87" s="116"/>
      <c r="P87" s="116"/>
    </row>
    <row r="88" spans="2:16" s="108" customFormat="1" ht="20.100000000000001" hidden="1" customHeight="1">
      <c r="B88" s="109"/>
      <c r="C88" s="122"/>
      <c r="D88" s="123" t="s">
        <v>166</v>
      </c>
      <c r="E88" s="115">
        <v>2769364563</v>
      </c>
      <c r="F88" s="113">
        <v>389351314600</v>
      </c>
      <c r="G88" s="114">
        <f t="shared" si="1"/>
        <v>0.71127654104497018</v>
      </c>
      <c r="H88" s="115"/>
      <c r="I88" s="115"/>
      <c r="J88" s="116"/>
      <c r="K88" s="116"/>
      <c r="L88" s="116"/>
      <c r="M88" s="116"/>
      <c r="N88" s="116"/>
      <c r="O88" s="116"/>
      <c r="P88" s="116"/>
    </row>
    <row r="89" spans="2:16" s="108" customFormat="1" ht="20.100000000000001" hidden="1" customHeight="1">
      <c r="B89" s="109"/>
      <c r="C89" s="122"/>
      <c r="D89" s="123" t="s">
        <v>167</v>
      </c>
      <c r="E89" s="115">
        <v>371077787</v>
      </c>
      <c r="F89" s="113">
        <v>389351314600</v>
      </c>
      <c r="G89" s="114">
        <f t="shared" si="1"/>
        <v>9.5306673712204276E-2</v>
      </c>
      <c r="H89" s="115"/>
      <c r="I89" s="115"/>
      <c r="J89" s="116"/>
      <c r="K89" s="116"/>
      <c r="L89" s="116"/>
      <c r="M89" s="116"/>
      <c r="N89" s="116"/>
      <c r="O89" s="116"/>
      <c r="P89" s="116"/>
    </row>
    <row r="90" spans="2:16" s="108" customFormat="1" ht="20.100000000000001" hidden="1" customHeight="1">
      <c r="B90" s="109"/>
      <c r="C90" s="122"/>
      <c r="D90" s="123" t="s">
        <v>168</v>
      </c>
      <c r="E90" s="115">
        <v>380710750</v>
      </c>
      <c r="F90" s="113">
        <v>389351314600</v>
      </c>
      <c r="G90" s="114">
        <f t="shared" si="1"/>
        <v>9.7780779394856576E-2</v>
      </c>
      <c r="H90" s="115"/>
      <c r="I90" s="115"/>
      <c r="J90" s="116"/>
      <c r="K90" s="116"/>
      <c r="L90" s="116"/>
      <c r="M90" s="116"/>
      <c r="N90" s="116"/>
      <c r="O90" s="116"/>
      <c r="P90" s="116"/>
    </row>
    <row r="91" spans="2:16" s="108" customFormat="1" ht="20.100000000000001" hidden="1" customHeight="1">
      <c r="B91" s="109"/>
      <c r="C91" s="122"/>
      <c r="D91" s="123" t="s">
        <v>169</v>
      </c>
      <c r="E91" s="115">
        <v>297652250</v>
      </c>
      <c r="F91" s="113">
        <v>389351314600</v>
      </c>
      <c r="G91" s="114">
        <f t="shared" si="1"/>
        <v>7.6448245797190381E-2</v>
      </c>
      <c r="H91" s="115"/>
      <c r="I91" s="115"/>
      <c r="J91" s="116"/>
      <c r="K91" s="116"/>
      <c r="L91" s="116"/>
      <c r="M91" s="116"/>
      <c r="N91" s="116"/>
      <c r="O91" s="116"/>
      <c r="P91" s="116"/>
    </row>
    <row r="92" spans="2:16" s="108" customFormat="1" ht="20.100000000000001" hidden="1" customHeight="1">
      <c r="B92" s="109"/>
      <c r="C92" s="122"/>
      <c r="D92" s="123" t="s">
        <v>170</v>
      </c>
      <c r="E92" s="115">
        <v>91997950</v>
      </c>
      <c r="F92" s="113">
        <v>389351314600</v>
      </c>
      <c r="G92" s="114">
        <f t="shared" si="1"/>
        <v>2.3628519167712091E-2</v>
      </c>
      <c r="H92" s="115"/>
      <c r="I92" s="115"/>
      <c r="J92" s="116"/>
      <c r="K92" s="116"/>
      <c r="L92" s="116"/>
      <c r="M92" s="116"/>
      <c r="N92" s="116"/>
      <c r="O92" s="116"/>
      <c r="P92" s="116"/>
    </row>
    <row r="93" spans="2:16" s="108" customFormat="1" ht="20.100000000000001" hidden="1" customHeight="1">
      <c r="B93" s="109"/>
      <c r="C93" s="122"/>
      <c r="D93" s="123" t="s">
        <v>171</v>
      </c>
      <c r="E93" s="115">
        <v>132300000</v>
      </c>
      <c r="F93" s="113">
        <v>389351314600</v>
      </c>
      <c r="G93" s="114">
        <f t="shared" si="1"/>
        <v>3.3979595044110328E-2</v>
      </c>
      <c r="H93" s="115"/>
      <c r="I93" s="115"/>
      <c r="J93" s="116"/>
      <c r="K93" s="116"/>
      <c r="L93" s="116"/>
      <c r="M93" s="116"/>
      <c r="N93" s="116"/>
      <c r="O93" s="116"/>
      <c r="P93" s="116"/>
    </row>
    <row r="94" spans="2:16" s="108" customFormat="1" ht="35.25" hidden="1" customHeight="1">
      <c r="B94" s="109"/>
      <c r="C94" s="122"/>
      <c r="D94" s="123" t="s">
        <v>172</v>
      </c>
      <c r="E94" s="115">
        <v>1853951355</v>
      </c>
      <c r="F94" s="113">
        <v>389351314600</v>
      </c>
      <c r="G94" s="114">
        <f t="shared" si="1"/>
        <v>0.47616414417520503</v>
      </c>
      <c r="H94" s="115"/>
      <c r="I94" s="115"/>
      <c r="J94" s="116"/>
      <c r="K94" s="116"/>
      <c r="L94" s="116"/>
      <c r="M94" s="116"/>
      <c r="N94" s="116"/>
      <c r="O94" s="116"/>
      <c r="P94" s="116"/>
    </row>
    <row r="95" spans="2:16" s="117" customFormat="1" ht="20.100000000000001" hidden="1" customHeight="1">
      <c r="B95" s="118"/>
      <c r="C95" s="110"/>
      <c r="D95" s="111" t="s">
        <v>173</v>
      </c>
      <c r="E95" s="120">
        <f>E96+E97+E98</f>
        <v>850000000</v>
      </c>
      <c r="F95" s="119">
        <v>389351314600</v>
      </c>
      <c r="G95" s="114">
        <f t="shared" si="1"/>
        <v>0.21831183512844879</v>
      </c>
      <c r="H95" s="120"/>
      <c r="I95" s="120"/>
      <c r="J95" s="121"/>
      <c r="K95" s="121"/>
      <c r="L95" s="121"/>
      <c r="M95" s="121"/>
      <c r="N95" s="121"/>
      <c r="O95" s="121"/>
      <c r="P95" s="121"/>
    </row>
    <row r="96" spans="2:16" s="108" customFormat="1" ht="20.100000000000001" hidden="1" customHeight="1">
      <c r="B96" s="109"/>
      <c r="C96" s="122"/>
      <c r="D96" s="123" t="s">
        <v>174</v>
      </c>
      <c r="E96" s="115">
        <v>338853500</v>
      </c>
      <c r="F96" s="113">
        <v>389351314600</v>
      </c>
      <c r="G96" s="114">
        <f t="shared" si="1"/>
        <v>8.7030269911409205E-2</v>
      </c>
      <c r="H96" s="115"/>
      <c r="I96" s="115"/>
      <c r="J96" s="116"/>
      <c r="K96" s="116"/>
      <c r="L96" s="116"/>
      <c r="M96" s="116"/>
      <c r="N96" s="116"/>
      <c r="O96" s="116"/>
      <c r="P96" s="116"/>
    </row>
    <row r="97" spans="2:16" s="108" customFormat="1" ht="20.100000000000001" hidden="1" customHeight="1">
      <c r="B97" s="109"/>
      <c r="C97" s="122"/>
      <c r="D97" s="123" t="s">
        <v>175</v>
      </c>
      <c r="E97" s="115">
        <v>283580000</v>
      </c>
      <c r="F97" s="113">
        <v>389351314600</v>
      </c>
      <c r="G97" s="114">
        <f t="shared" si="1"/>
        <v>7.2833964947912361E-2</v>
      </c>
      <c r="H97" s="115"/>
      <c r="I97" s="115"/>
      <c r="J97" s="116"/>
      <c r="K97" s="116"/>
      <c r="L97" s="116"/>
      <c r="M97" s="116"/>
      <c r="N97" s="116"/>
      <c r="O97" s="116"/>
      <c r="P97" s="116"/>
    </row>
    <row r="98" spans="2:16" s="108" customFormat="1" ht="20.100000000000001" hidden="1" customHeight="1">
      <c r="B98" s="109"/>
      <c r="C98" s="122"/>
      <c r="D98" s="123" t="s">
        <v>176</v>
      </c>
      <c r="E98" s="115">
        <v>227566500</v>
      </c>
      <c r="F98" s="113">
        <v>389351314600</v>
      </c>
      <c r="G98" s="114">
        <f t="shared" si="1"/>
        <v>5.8447600269127223E-2</v>
      </c>
      <c r="H98" s="115"/>
      <c r="I98" s="115"/>
      <c r="J98" s="116"/>
      <c r="K98" s="116"/>
      <c r="L98" s="116"/>
      <c r="M98" s="116"/>
      <c r="N98" s="116"/>
      <c r="O98" s="116"/>
      <c r="P98" s="116"/>
    </row>
    <row r="99" spans="2:16" s="117" customFormat="1" ht="20.100000000000001" hidden="1" customHeight="1">
      <c r="B99" s="118"/>
      <c r="C99" s="110"/>
      <c r="D99" s="111" t="s">
        <v>177</v>
      </c>
      <c r="E99" s="120">
        <f>E100</f>
        <v>69200000</v>
      </c>
      <c r="F99" s="119">
        <v>389351314600</v>
      </c>
      <c r="G99" s="114">
        <f t="shared" si="1"/>
        <v>1.7773151753986655E-2</v>
      </c>
      <c r="H99" s="120"/>
      <c r="I99" s="120"/>
      <c r="J99" s="121"/>
      <c r="K99" s="121"/>
      <c r="L99" s="121"/>
      <c r="M99" s="121"/>
      <c r="N99" s="121"/>
      <c r="O99" s="121"/>
      <c r="P99" s="121"/>
    </row>
    <row r="100" spans="2:16" s="108" customFormat="1" ht="20.100000000000001" hidden="1" customHeight="1">
      <c r="B100" s="109"/>
      <c r="C100" s="122"/>
      <c r="D100" s="123" t="s">
        <v>178</v>
      </c>
      <c r="E100" s="115">
        <v>69200000</v>
      </c>
      <c r="F100" s="113">
        <v>389351314600</v>
      </c>
      <c r="G100" s="114">
        <f t="shared" si="1"/>
        <v>1.7773151753986655E-2</v>
      </c>
      <c r="H100" s="115"/>
      <c r="I100" s="115"/>
      <c r="J100" s="116"/>
      <c r="K100" s="116"/>
      <c r="L100" s="116"/>
      <c r="M100" s="116"/>
      <c r="N100" s="116"/>
      <c r="O100" s="116"/>
      <c r="P100" s="116"/>
    </row>
    <row r="101" spans="2:16" s="117" customFormat="1" ht="20.100000000000001" hidden="1" customHeight="1">
      <c r="B101" s="118"/>
      <c r="C101" s="110"/>
      <c r="D101" s="111" t="s">
        <v>179</v>
      </c>
      <c r="E101" s="120">
        <f>E102+E103+E104+E105+E106+E107</f>
        <v>1629127650</v>
      </c>
      <c r="F101" s="119">
        <v>389351314600</v>
      </c>
      <c r="G101" s="114">
        <f t="shared" si="1"/>
        <v>0.41842099638823205</v>
      </c>
      <c r="H101" s="120"/>
      <c r="I101" s="120"/>
      <c r="J101" s="121"/>
      <c r="K101" s="121"/>
      <c r="L101" s="121"/>
      <c r="M101" s="121"/>
      <c r="N101" s="121"/>
      <c r="O101" s="121"/>
      <c r="P101" s="121"/>
    </row>
    <row r="102" spans="2:16" s="108" customFormat="1" ht="20.100000000000001" hidden="1" customHeight="1">
      <c r="B102" s="109"/>
      <c r="C102" s="122"/>
      <c r="D102" s="123" t="s">
        <v>180</v>
      </c>
      <c r="E102" s="115">
        <v>118050000</v>
      </c>
      <c r="F102" s="113">
        <v>389351314600</v>
      </c>
      <c r="G102" s="114">
        <f t="shared" si="1"/>
        <v>3.0319661337545156E-2</v>
      </c>
      <c r="H102" s="115"/>
      <c r="I102" s="115"/>
      <c r="J102" s="116"/>
      <c r="K102" s="116"/>
      <c r="L102" s="116"/>
      <c r="M102" s="116"/>
      <c r="N102" s="116"/>
      <c r="O102" s="116"/>
      <c r="P102" s="116"/>
    </row>
    <row r="103" spans="2:16" s="108" customFormat="1" ht="20.100000000000001" hidden="1" customHeight="1">
      <c r="B103" s="109"/>
      <c r="C103" s="122"/>
      <c r="D103" s="123" t="s">
        <v>181</v>
      </c>
      <c r="E103" s="115">
        <v>75600000</v>
      </c>
      <c r="F103" s="113">
        <v>389351314600</v>
      </c>
      <c r="G103" s="114">
        <f t="shared" si="1"/>
        <v>1.941691145377733E-2</v>
      </c>
      <c r="H103" s="115"/>
      <c r="I103" s="115"/>
      <c r="J103" s="116"/>
      <c r="K103" s="116"/>
      <c r="L103" s="116"/>
      <c r="M103" s="116"/>
      <c r="N103" s="116"/>
      <c r="O103" s="116"/>
      <c r="P103" s="116"/>
    </row>
    <row r="104" spans="2:16" s="108" customFormat="1" ht="20.100000000000001" hidden="1" customHeight="1">
      <c r="B104" s="109"/>
      <c r="C104" s="122"/>
      <c r="D104" s="123" t="s">
        <v>182</v>
      </c>
      <c r="E104" s="115">
        <v>378432500</v>
      </c>
      <c r="F104" s="113">
        <v>389351314600</v>
      </c>
      <c r="G104" s="114">
        <f t="shared" si="1"/>
        <v>9.7195639467349063E-2</v>
      </c>
      <c r="H104" s="115"/>
      <c r="I104" s="115"/>
      <c r="J104" s="116"/>
      <c r="K104" s="116"/>
      <c r="L104" s="116"/>
      <c r="M104" s="116"/>
      <c r="N104" s="116"/>
      <c r="O104" s="116"/>
      <c r="P104" s="116"/>
    </row>
    <row r="105" spans="2:16" s="108" customFormat="1" ht="20.100000000000001" hidden="1" customHeight="1">
      <c r="B105" s="109"/>
      <c r="C105" s="122"/>
      <c r="D105" s="123" t="s">
        <v>183</v>
      </c>
      <c r="E105" s="115">
        <v>261000000</v>
      </c>
      <c r="F105" s="113">
        <v>389351314600</v>
      </c>
      <c r="G105" s="114">
        <f t="shared" si="1"/>
        <v>6.7034575257088405E-2</v>
      </c>
      <c r="H105" s="115"/>
      <c r="I105" s="115"/>
      <c r="J105" s="116"/>
      <c r="K105" s="116"/>
      <c r="L105" s="116"/>
      <c r="M105" s="116"/>
      <c r="N105" s="116"/>
      <c r="O105" s="116"/>
      <c r="P105" s="116"/>
    </row>
    <row r="106" spans="2:16" s="108" customFormat="1" ht="20.100000000000001" hidden="1" customHeight="1">
      <c r="B106" s="109"/>
      <c r="C106" s="122"/>
      <c r="D106" s="123" t="s">
        <v>184</v>
      </c>
      <c r="E106" s="115">
        <v>396376850</v>
      </c>
      <c r="F106" s="113">
        <v>389351314600</v>
      </c>
      <c r="G106" s="114">
        <f t="shared" si="1"/>
        <v>0.10180442061874574</v>
      </c>
      <c r="H106" s="115"/>
      <c r="I106" s="115"/>
      <c r="J106" s="116"/>
      <c r="K106" s="116"/>
      <c r="L106" s="116"/>
      <c r="M106" s="116"/>
      <c r="N106" s="116"/>
      <c r="O106" s="116"/>
      <c r="P106" s="116"/>
    </row>
    <row r="107" spans="2:16" s="108" customFormat="1" ht="20.100000000000001" hidden="1" customHeight="1">
      <c r="B107" s="109"/>
      <c r="C107" s="122"/>
      <c r="D107" s="123" t="s">
        <v>185</v>
      </c>
      <c r="E107" s="115">
        <v>399668300</v>
      </c>
      <c r="F107" s="113">
        <v>389351314600</v>
      </c>
      <c r="G107" s="114">
        <f t="shared" si="1"/>
        <v>0.10264978825372637</v>
      </c>
      <c r="H107" s="115"/>
      <c r="I107" s="115"/>
      <c r="J107" s="116"/>
      <c r="K107" s="116"/>
      <c r="L107" s="116"/>
      <c r="M107" s="116"/>
      <c r="N107" s="116"/>
      <c r="O107" s="116"/>
      <c r="P107" s="116"/>
    </row>
    <row r="108" spans="2:16" s="117" customFormat="1" ht="20.100000000000001" hidden="1" customHeight="1">
      <c r="B108" s="118"/>
      <c r="C108" s="110"/>
      <c r="D108" s="111" t="s">
        <v>186</v>
      </c>
      <c r="E108" s="120">
        <f>E109+E110+E111</f>
        <v>1490000000</v>
      </c>
      <c r="F108" s="119">
        <v>389351314600</v>
      </c>
      <c r="G108" s="114">
        <f t="shared" si="1"/>
        <v>0.3826878051075161</v>
      </c>
      <c r="H108" s="120"/>
      <c r="I108" s="120"/>
      <c r="J108" s="121"/>
      <c r="K108" s="121"/>
      <c r="L108" s="121"/>
      <c r="M108" s="121"/>
      <c r="N108" s="121"/>
      <c r="O108" s="121"/>
      <c r="P108" s="121"/>
    </row>
    <row r="109" spans="2:16" s="108" customFormat="1" ht="20.100000000000001" hidden="1" customHeight="1">
      <c r="B109" s="109"/>
      <c r="C109" s="122"/>
      <c r="D109" s="123" t="s">
        <v>187</v>
      </c>
      <c r="E109" s="115">
        <v>1300000000</v>
      </c>
      <c r="F109" s="113">
        <v>389351314600</v>
      </c>
      <c r="G109" s="114">
        <f t="shared" si="1"/>
        <v>0.33388868901998048</v>
      </c>
      <c r="H109" s="115"/>
      <c r="I109" s="115"/>
      <c r="J109" s="116"/>
      <c r="K109" s="116"/>
      <c r="L109" s="116"/>
      <c r="M109" s="116"/>
      <c r="N109" s="116"/>
      <c r="O109" s="116"/>
      <c r="P109" s="116"/>
    </row>
    <row r="110" spans="2:16" s="108" customFormat="1" ht="20.100000000000001" hidden="1" customHeight="1">
      <c r="B110" s="109"/>
      <c r="C110" s="122"/>
      <c r="D110" s="123" t="s">
        <v>188</v>
      </c>
      <c r="E110" s="115">
        <v>90000000</v>
      </c>
      <c r="F110" s="113">
        <v>389351314600</v>
      </c>
      <c r="G110" s="114">
        <f t="shared" si="1"/>
        <v>2.3115370778306343E-2</v>
      </c>
      <c r="H110" s="115"/>
      <c r="I110" s="115"/>
      <c r="J110" s="116"/>
      <c r="K110" s="116"/>
      <c r="L110" s="116"/>
      <c r="M110" s="116"/>
      <c r="N110" s="116"/>
      <c r="O110" s="116"/>
      <c r="P110" s="116"/>
    </row>
    <row r="111" spans="2:16" s="108" customFormat="1" ht="20.100000000000001" hidden="1" customHeight="1">
      <c r="B111" s="109"/>
      <c r="C111" s="122"/>
      <c r="D111" s="123" t="s">
        <v>189</v>
      </c>
      <c r="E111" s="115">
        <v>100000000</v>
      </c>
      <c r="F111" s="113">
        <v>389351314600</v>
      </c>
      <c r="G111" s="114">
        <f t="shared" si="1"/>
        <v>2.5683745309229268E-2</v>
      </c>
      <c r="H111" s="115"/>
      <c r="I111" s="115"/>
      <c r="J111" s="116"/>
      <c r="K111" s="116"/>
      <c r="L111" s="116"/>
      <c r="M111" s="116"/>
      <c r="N111" s="116"/>
      <c r="O111" s="116"/>
      <c r="P111" s="116"/>
    </row>
    <row r="112" spans="2:16" s="117" customFormat="1" ht="20.100000000000001" hidden="1" customHeight="1">
      <c r="B112" s="118"/>
      <c r="C112" s="110"/>
      <c r="D112" s="111" t="s">
        <v>190</v>
      </c>
      <c r="E112" s="120">
        <f>E113</f>
        <v>669236735</v>
      </c>
      <c r="F112" s="119">
        <v>389351314600</v>
      </c>
      <c r="G112" s="114">
        <f t="shared" si="1"/>
        <v>0.17188505853320163</v>
      </c>
      <c r="H112" s="120"/>
      <c r="I112" s="120"/>
      <c r="J112" s="121"/>
      <c r="K112" s="121"/>
      <c r="L112" s="121"/>
      <c r="M112" s="121"/>
      <c r="N112" s="121"/>
      <c r="O112" s="121"/>
      <c r="P112" s="121"/>
    </row>
    <row r="113" spans="2:16" s="108" customFormat="1" ht="20.100000000000001" hidden="1" customHeight="1">
      <c r="B113" s="109"/>
      <c r="C113" s="122"/>
      <c r="D113" s="123" t="s">
        <v>191</v>
      </c>
      <c r="E113" s="115">
        <v>669236735</v>
      </c>
      <c r="F113" s="113">
        <v>389351314600</v>
      </c>
      <c r="G113" s="114">
        <f t="shared" si="1"/>
        <v>0.17188505853320163</v>
      </c>
      <c r="H113" s="115"/>
      <c r="I113" s="115"/>
      <c r="J113" s="116"/>
      <c r="K113" s="116"/>
      <c r="L113" s="116"/>
      <c r="M113" s="116"/>
      <c r="N113" s="116"/>
      <c r="O113" s="116"/>
      <c r="P113" s="116"/>
    </row>
    <row r="114" spans="2:16" s="117" customFormat="1" ht="20.100000000000001" hidden="1" customHeight="1">
      <c r="B114" s="118"/>
      <c r="C114" s="110"/>
      <c r="D114" s="111" t="s">
        <v>192</v>
      </c>
      <c r="E114" s="120">
        <f>E115+E116+E117</f>
        <v>1069552535</v>
      </c>
      <c r="F114" s="119">
        <v>389351314600</v>
      </c>
      <c r="G114" s="114">
        <f t="shared" si="1"/>
        <v>0.27470114903780524</v>
      </c>
      <c r="H114" s="120"/>
      <c r="I114" s="120"/>
      <c r="J114" s="121"/>
      <c r="K114" s="121"/>
      <c r="L114" s="121"/>
      <c r="M114" s="121"/>
      <c r="N114" s="121"/>
      <c r="O114" s="121"/>
      <c r="P114" s="121"/>
    </row>
    <row r="115" spans="2:16" s="108" customFormat="1" ht="33.75" hidden="1" customHeight="1">
      <c r="B115" s="109"/>
      <c r="C115" s="122"/>
      <c r="D115" s="123" t="s">
        <v>193</v>
      </c>
      <c r="E115" s="115">
        <v>511289890</v>
      </c>
      <c r="F115" s="113">
        <v>389351314600</v>
      </c>
      <c r="G115" s="114">
        <f t="shared" si="1"/>
        <v>0.13131839313943849</v>
      </c>
      <c r="H115" s="115"/>
      <c r="I115" s="115"/>
      <c r="J115" s="116"/>
      <c r="K115" s="116"/>
      <c r="L115" s="116"/>
      <c r="M115" s="116"/>
      <c r="N115" s="116"/>
      <c r="O115" s="116"/>
      <c r="P115" s="116"/>
    </row>
    <row r="116" spans="2:16" s="108" customFormat="1" ht="21.75" hidden="1" customHeight="1">
      <c r="B116" s="109"/>
      <c r="C116" s="122"/>
      <c r="D116" s="123" t="s">
        <v>194</v>
      </c>
      <c r="E116" s="115">
        <v>148599445</v>
      </c>
      <c r="F116" s="113">
        <v>389351314600</v>
      </c>
      <c r="G116" s="114">
        <f t="shared" si="1"/>
        <v>3.8165902984728231E-2</v>
      </c>
      <c r="H116" s="115"/>
      <c r="I116" s="115"/>
      <c r="J116" s="116"/>
      <c r="K116" s="116"/>
      <c r="L116" s="116"/>
      <c r="M116" s="116"/>
      <c r="N116" s="116"/>
      <c r="O116" s="116"/>
      <c r="P116" s="116"/>
    </row>
    <row r="117" spans="2:16" s="108" customFormat="1" ht="21.75" hidden="1" customHeight="1">
      <c r="B117" s="109"/>
      <c r="C117" s="122"/>
      <c r="D117" s="123" t="s">
        <v>195</v>
      </c>
      <c r="E117" s="115">
        <v>409663200</v>
      </c>
      <c r="F117" s="113">
        <v>389351314600</v>
      </c>
      <c r="G117" s="114">
        <f t="shared" si="1"/>
        <v>0.10521685291363854</v>
      </c>
      <c r="H117" s="115"/>
      <c r="I117" s="115"/>
      <c r="J117" s="116"/>
      <c r="K117" s="116"/>
      <c r="L117" s="116"/>
      <c r="M117" s="116"/>
      <c r="N117" s="116"/>
      <c r="O117" s="116"/>
      <c r="P117" s="116"/>
    </row>
    <row r="118" spans="2:16" s="117" customFormat="1" ht="21.75" hidden="1" customHeight="1">
      <c r="B118" s="118"/>
      <c r="C118" s="110"/>
      <c r="D118" s="111" t="s">
        <v>196</v>
      </c>
      <c r="E118" s="120">
        <f>E119+E120+E121+E122+E123+E124+E125+E126+E127+E128+E129+E130+E131</f>
        <v>6085733495</v>
      </c>
      <c r="F118" s="119">
        <v>389351314600</v>
      </c>
      <c r="G118" s="114">
        <f t="shared" si="1"/>
        <v>1.563044291054257</v>
      </c>
      <c r="H118" s="120"/>
      <c r="I118" s="120"/>
      <c r="J118" s="121"/>
      <c r="K118" s="121"/>
      <c r="L118" s="121"/>
      <c r="M118" s="121"/>
      <c r="N118" s="121"/>
      <c r="O118" s="121"/>
      <c r="P118" s="121"/>
    </row>
    <row r="119" spans="2:16" s="108" customFormat="1" ht="21.75" hidden="1" customHeight="1">
      <c r="B119" s="109"/>
      <c r="C119" s="122"/>
      <c r="D119" s="123" t="s">
        <v>197</v>
      </c>
      <c r="E119" s="115">
        <v>602400000</v>
      </c>
      <c r="F119" s="113">
        <v>389351314600</v>
      </c>
      <c r="G119" s="114">
        <f t="shared" si="1"/>
        <v>0.15471888174279713</v>
      </c>
      <c r="H119" s="115"/>
      <c r="I119" s="115"/>
      <c r="J119" s="116"/>
      <c r="K119" s="116"/>
      <c r="L119" s="116"/>
      <c r="M119" s="116"/>
      <c r="N119" s="116"/>
      <c r="O119" s="116"/>
      <c r="P119" s="116"/>
    </row>
    <row r="120" spans="2:16" s="108" customFormat="1" ht="21.75" hidden="1" customHeight="1">
      <c r="B120" s="109"/>
      <c r="C120" s="122"/>
      <c r="D120" s="123" t="s">
        <v>198</v>
      </c>
      <c r="E120" s="115">
        <v>235700000</v>
      </c>
      <c r="F120" s="113">
        <v>389351314600</v>
      </c>
      <c r="G120" s="114">
        <f t="shared" si="1"/>
        <v>6.0536587693853387E-2</v>
      </c>
      <c r="H120" s="115"/>
      <c r="I120" s="115"/>
      <c r="J120" s="116"/>
      <c r="K120" s="116"/>
      <c r="L120" s="116"/>
      <c r="M120" s="116"/>
      <c r="N120" s="116"/>
      <c r="O120" s="116"/>
      <c r="P120" s="116"/>
    </row>
    <row r="121" spans="2:16" s="108" customFormat="1" ht="21.75" hidden="1" customHeight="1">
      <c r="B121" s="109"/>
      <c r="C121" s="122"/>
      <c r="D121" s="123" t="s">
        <v>199</v>
      </c>
      <c r="E121" s="115">
        <v>1735300000</v>
      </c>
      <c r="F121" s="113">
        <v>389351314600</v>
      </c>
      <c r="G121" s="114">
        <f t="shared" si="1"/>
        <v>0.44569003235105548</v>
      </c>
      <c r="H121" s="115"/>
      <c r="I121" s="115"/>
      <c r="J121" s="116"/>
      <c r="K121" s="116"/>
      <c r="L121" s="116"/>
      <c r="M121" s="116"/>
      <c r="N121" s="116"/>
      <c r="O121" s="116"/>
      <c r="P121" s="116"/>
    </row>
    <row r="122" spans="2:16" s="108" customFormat="1" ht="21.75" hidden="1" customHeight="1">
      <c r="B122" s="109"/>
      <c r="C122" s="122"/>
      <c r="D122" s="123" t="s">
        <v>200</v>
      </c>
      <c r="E122" s="115">
        <v>252050000</v>
      </c>
      <c r="F122" s="113">
        <v>389351314600</v>
      </c>
      <c r="G122" s="114">
        <f t="shared" si="1"/>
        <v>6.4735880051912373E-2</v>
      </c>
      <c r="H122" s="115"/>
      <c r="I122" s="115"/>
      <c r="J122" s="116"/>
      <c r="K122" s="116"/>
      <c r="L122" s="116"/>
      <c r="M122" s="116"/>
      <c r="N122" s="116"/>
      <c r="O122" s="116"/>
      <c r="P122" s="116"/>
    </row>
    <row r="123" spans="2:16" s="108" customFormat="1" ht="21.75" hidden="1" customHeight="1">
      <c r="B123" s="109"/>
      <c r="C123" s="122"/>
      <c r="D123" s="123" t="s">
        <v>201</v>
      </c>
      <c r="E123" s="115">
        <v>256540000</v>
      </c>
      <c r="F123" s="113">
        <v>389351314600</v>
      </c>
      <c r="G123" s="114">
        <f t="shared" si="1"/>
        <v>6.5889080216296775E-2</v>
      </c>
      <c r="H123" s="115"/>
      <c r="I123" s="115"/>
      <c r="J123" s="116"/>
      <c r="K123" s="116"/>
      <c r="L123" s="116"/>
      <c r="M123" s="116"/>
      <c r="N123" s="116"/>
      <c r="O123" s="116"/>
      <c r="P123" s="116"/>
    </row>
    <row r="124" spans="2:16" s="108" customFormat="1" ht="21" hidden="1" customHeight="1">
      <c r="B124" s="109"/>
      <c r="C124" s="122"/>
      <c r="D124" s="123" t="s">
        <v>202</v>
      </c>
      <c r="E124" s="115">
        <v>518377735</v>
      </c>
      <c r="F124" s="113">
        <v>389351314600</v>
      </c>
      <c r="G124" s="114">
        <f t="shared" si="1"/>
        <v>0.13313881719715145</v>
      </c>
      <c r="H124" s="115"/>
      <c r="I124" s="115"/>
      <c r="J124" s="116"/>
      <c r="K124" s="116"/>
      <c r="L124" s="116"/>
      <c r="M124" s="116"/>
      <c r="N124" s="116"/>
      <c r="O124" s="116"/>
      <c r="P124" s="116"/>
    </row>
    <row r="125" spans="2:16" s="108" customFormat="1" ht="21.75" hidden="1" customHeight="1">
      <c r="B125" s="109"/>
      <c r="C125" s="122"/>
      <c r="D125" s="123" t="s">
        <v>203</v>
      </c>
      <c r="E125" s="115">
        <v>160585000</v>
      </c>
      <c r="F125" s="113">
        <v>389351314600</v>
      </c>
      <c r="G125" s="114">
        <f t="shared" si="1"/>
        <v>4.1244242404825826E-2</v>
      </c>
      <c r="H125" s="115"/>
      <c r="I125" s="115"/>
      <c r="J125" s="116"/>
      <c r="K125" s="116"/>
      <c r="L125" s="116"/>
      <c r="M125" s="116"/>
      <c r="N125" s="116"/>
      <c r="O125" s="116"/>
      <c r="P125" s="116"/>
    </row>
    <row r="126" spans="2:16" s="108" customFormat="1" ht="21.75" hidden="1" customHeight="1">
      <c r="B126" s="109"/>
      <c r="C126" s="122"/>
      <c r="D126" s="123" t="s">
        <v>204</v>
      </c>
      <c r="E126" s="115">
        <v>468020000</v>
      </c>
      <c r="F126" s="113">
        <v>389351314600</v>
      </c>
      <c r="G126" s="114">
        <f t="shared" si="1"/>
        <v>0.12020506479625483</v>
      </c>
      <c r="H126" s="115"/>
      <c r="I126" s="115"/>
      <c r="J126" s="116"/>
      <c r="K126" s="116"/>
      <c r="L126" s="116"/>
      <c r="M126" s="116"/>
      <c r="N126" s="116"/>
      <c r="O126" s="116"/>
      <c r="P126" s="116"/>
    </row>
    <row r="127" spans="2:16" s="108" customFormat="1" ht="21.75" hidden="1" customHeight="1">
      <c r="B127" s="109"/>
      <c r="C127" s="122"/>
      <c r="D127" s="123" t="s">
        <v>205</v>
      </c>
      <c r="E127" s="115">
        <v>709600000</v>
      </c>
      <c r="F127" s="113">
        <v>389351314600</v>
      </c>
      <c r="G127" s="114">
        <f t="shared" si="1"/>
        <v>0.18225185671429089</v>
      </c>
      <c r="H127" s="115"/>
      <c r="I127" s="115"/>
      <c r="J127" s="116"/>
      <c r="K127" s="116"/>
      <c r="L127" s="116"/>
      <c r="M127" s="116"/>
      <c r="N127" s="116"/>
      <c r="O127" s="116"/>
      <c r="P127" s="116"/>
    </row>
    <row r="128" spans="2:16" s="108" customFormat="1" ht="21.75" hidden="1" customHeight="1">
      <c r="B128" s="109"/>
      <c r="C128" s="122"/>
      <c r="D128" s="123" t="s">
        <v>206</v>
      </c>
      <c r="E128" s="115">
        <v>448200000</v>
      </c>
      <c r="F128" s="113">
        <v>389351314600</v>
      </c>
      <c r="G128" s="114">
        <f t="shared" si="1"/>
        <v>0.1151145464759656</v>
      </c>
      <c r="H128" s="115"/>
      <c r="I128" s="115"/>
      <c r="J128" s="116"/>
      <c r="K128" s="116"/>
      <c r="L128" s="116"/>
      <c r="M128" s="116"/>
      <c r="N128" s="116"/>
      <c r="O128" s="116"/>
      <c r="P128" s="116"/>
    </row>
    <row r="129" spans="2:16" s="108" customFormat="1" ht="21.75" hidden="1" customHeight="1">
      <c r="B129" s="109"/>
      <c r="C129" s="122"/>
      <c r="D129" s="123" t="s">
        <v>207</v>
      </c>
      <c r="E129" s="115">
        <v>267502000</v>
      </c>
      <c r="F129" s="113">
        <v>389351314600</v>
      </c>
      <c r="G129" s="114">
        <f t="shared" si="1"/>
        <v>6.8704532377094479E-2</v>
      </c>
      <c r="H129" s="115"/>
      <c r="I129" s="115"/>
      <c r="J129" s="116"/>
      <c r="K129" s="116"/>
      <c r="L129" s="116"/>
      <c r="M129" s="116"/>
      <c r="N129" s="116"/>
      <c r="O129" s="116"/>
      <c r="P129" s="116"/>
    </row>
    <row r="130" spans="2:16" s="108" customFormat="1" ht="21.75" hidden="1" customHeight="1">
      <c r="B130" s="109"/>
      <c r="C130" s="122"/>
      <c r="D130" s="123" t="s">
        <v>208</v>
      </c>
      <c r="E130" s="115">
        <v>199533760</v>
      </c>
      <c r="F130" s="113">
        <v>389351314600</v>
      </c>
      <c r="G130" s="114">
        <f t="shared" si="1"/>
        <v>5.1247742724328797E-2</v>
      </c>
      <c r="H130" s="115"/>
      <c r="I130" s="115"/>
      <c r="J130" s="116"/>
      <c r="K130" s="116"/>
      <c r="L130" s="116"/>
      <c r="M130" s="116"/>
      <c r="N130" s="116"/>
      <c r="O130" s="116"/>
      <c r="P130" s="116"/>
    </row>
    <row r="131" spans="2:16" s="108" customFormat="1" ht="21.75" hidden="1" customHeight="1">
      <c r="B131" s="109"/>
      <c r="C131" s="122"/>
      <c r="D131" s="123" t="s">
        <v>209</v>
      </c>
      <c r="E131" s="115">
        <v>231925000</v>
      </c>
      <c r="F131" s="113">
        <v>389351314600</v>
      </c>
      <c r="G131" s="114">
        <f t="shared" si="1"/>
        <v>5.9567026308429985E-2</v>
      </c>
      <c r="H131" s="115"/>
      <c r="I131" s="115"/>
      <c r="J131" s="116"/>
      <c r="K131" s="116"/>
      <c r="L131" s="116"/>
      <c r="M131" s="116"/>
      <c r="N131" s="116"/>
      <c r="O131" s="116"/>
      <c r="P131" s="116"/>
    </row>
    <row r="132" spans="2:16" s="117" customFormat="1" ht="21.75" hidden="1" customHeight="1">
      <c r="B132" s="118"/>
      <c r="C132" s="110"/>
      <c r="D132" s="111" t="s">
        <v>210</v>
      </c>
      <c r="E132" s="120">
        <f>E133</f>
        <v>301556680</v>
      </c>
      <c r="F132" s="119">
        <v>389351314600</v>
      </c>
      <c r="G132" s="114">
        <f t="shared" si="1"/>
        <v>7.745104965416752E-2</v>
      </c>
      <c r="H132" s="120"/>
      <c r="I132" s="120"/>
      <c r="J132" s="121"/>
      <c r="K132" s="121"/>
      <c r="L132" s="121"/>
      <c r="M132" s="121"/>
      <c r="N132" s="121"/>
      <c r="O132" s="121"/>
      <c r="P132" s="121"/>
    </row>
    <row r="133" spans="2:16" s="108" customFormat="1" ht="21.75" hidden="1" customHeight="1">
      <c r="B133" s="109"/>
      <c r="C133" s="122"/>
      <c r="D133" s="123" t="s">
        <v>211</v>
      </c>
      <c r="E133" s="115">
        <v>301556680</v>
      </c>
      <c r="F133" s="113">
        <v>389351314600</v>
      </c>
      <c r="G133" s="114">
        <f t="shared" si="1"/>
        <v>7.745104965416752E-2</v>
      </c>
      <c r="H133" s="115"/>
      <c r="I133" s="115"/>
      <c r="J133" s="116"/>
      <c r="K133" s="116"/>
      <c r="L133" s="116"/>
      <c r="M133" s="116"/>
      <c r="N133" s="116"/>
      <c r="O133" s="116"/>
      <c r="P133" s="116"/>
    </row>
    <row r="134" spans="2:16" s="117" customFormat="1" ht="21.75" hidden="1" customHeight="1">
      <c r="B134" s="118"/>
      <c r="C134" s="110"/>
      <c r="D134" s="111" t="s">
        <v>212</v>
      </c>
      <c r="E134" s="120">
        <f>E135+E136</f>
        <v>667081320</v>
      </c>
      <c r="F134" s="119">
        <v>389351314600</v>
      </c>
      <c r="G134" s="114">
        <f t="shared" si="1"/>
        <v>0.17133146723424469</v>
      </c>
      <c r="H134" s="120"/>
      <c r="I134" s="120"/>
      <c r="J134" s="121"/>
      <c r="K134" s="121"/>
      <c r="L134" s="121"/>
      <c r="M134" s="121"/>
      <c r="N134" s="121"/>
      <c r="O134" s="121"/>
      <c r="P134" s="121"/>
    </row>
    <row r="135" spans="2:16" s="108" customFormat="1" ht="31.5" hidden="1" customHeight="1">
      <c r="B135" s="109"/>
      <c r="C135" s="122"/>
      <c r="D135" s="123" t="s">
        <v>213</v>
      </c>
      <c r="E135" s="115">
        <v>294813690</v>
      </c>
      <c r="F135" s="113">
        <v>389351314600</v>
      </c>
      <c r="G135" s="114">
        <f t="shared" si="1"/>
        <v>7.5719197276340716E-2</v>
      </c>
      <c r="H135" s="115"/>
      <c r="I135" s="115"/>
      <c r="J135" s="116"/>
      <c r="K135" s="116"/>
      <c r="L135" s="116"/>
      <c r="M135" s="116"/>
      <c r="N135" s="116"/>
      <c r="O135" s="116"/>
      <c r="P135" s="116"/>
    </row>
    <row r="136" spans="2:16" s="108" customFormat="1" ht="35.25" hidden="1" customHeight="1">
      <c r="B136" s="109"/>
      <c r="C136" s="122"/>
      <c r="D136" s="123" t="s">
        <v>214</v>
      </c>
      <c r="E136" s="115">
        <v>372267630</v>
      </c>
      <c r="F136" s="113">
        <v>389351314600</v>
      </c>
      <c r="G136" s="114">
        <f t="shared" si="1"/>
        <v>9.5612269957903978E-2</v>
      </c>
      <c r="H136" s="115"/>
      <c r="I136" s="115"/>
      <c r="J136" s="116"/>
      <c r="K136" s="116"/>
      <c r="L136" s="116"/>
      <c r="M136" s="116"/>
      <c r="N136" s="116"/>
      <c r="O136" s="116"/>
      <c r="P136" s="116"/>
    </row>
    <row r="137" spans="2:16" s="117" customFormat="1" ht="21.75" hidden="1" customHeight="1">
      <c r="B137" s="118"/>
      <c r="C137" s="110"/>
      <c r="D137" s="111" t="s">
        <v>215</v>
      </c>
      <c r="E137" s="120">
        <f>E138+E139+E140</f>
        <v>3400006029</v>
      </c>
      <c r="F137" s="119">
        <v>389351314600</v>
      </c>
      <c r="G137" s="114">
        <f t="shared" si="1"/>
        <v>0.87324888898679986</v>
      </c>
      <c r="H137" s="120"/>
      <c r="I137" s="120"/>
      <c r="J137" s="121"/>
      <c r="K137" s="121"/>
      <c r="L137" s="121"/>
      <c r="M137" s="121"/>
      <c r="N137" s="121"/>
      <c r="O137" s="121"/>
      <c r="P137" s="121"/>
    </row>
    <row r="138" spans="2:16" s="108" customFormat="1" ht="21.75" hidden="1" customHeight="1">
      <c r="B138" s="109"/>
      <c r="C138" s="122"/>
      <c r="D138" s="123" t="s">
        <v>216</v>
      </c>
      <c r="E138" s="115">
        <v>300002617</v>
      </c>
      <c r="F138" s="113">
        <v>389351314600</v>
      </c>
      <c r="G138" s="114">
        <f t="shared" si="1"/>
        <v>7.7051908071302549E-2</v>
      </c>
      <c r="H138" s="115"/>
      <c r="I138" s="115"/>
      <c r="J138" s="116"/>
      <c r="K138" s="116"/>
      <c r="L138" s="116"/>
      <c r="M138" s="116"/>
      <c r="N138" s="116"/>
      <c r="O138" s="116"/>
      <c r="P138" s="116"/>
    </row>
    <row r="139" spans="2:16" s="108" customFormat="1" ht="21.75" hidden="1" customHeight="1">
      <c r="B139" s="109"/>
      <c r="C139" s="122"/>
      <c r="D139" s="123" t="s">
        <v>217</v>
      </c>
      <c r="E139" s="115">
        <v>835983600</v>
      </c>
      <c r="F139" s="113">
        <v>389351314600</v>
      </c>
      <c r="G139" s="114">
        <f t="shared" si="1"/>
        <v>0.21471189865092602</v>
      </c>
      <c r="H139" s="115"/>
      <c r="I139" s="115"/>
      <c r="J139" s="116"/>
      <c r="K139" s="116"/>
      <c r="L139" s="116"/>
      <c r="M139" s="116"/>
      <c r="N139" s="116"/>
      <c r="O139" s="116"/>
      <c r="P139" s="116"/>
    </row>
    <row r="140" spans="2:16" s="108" customFormat="1" ht="21.75" hidden="1" customHeight="1">
      <c r="B140" s="109"/>
      <c r="C140" s="122"/>
      <c r="D140" s="123" t="s">
        <v>218</v>
      </c>
      <c r="E140" s="115">
        <v>2264019812</v>
      </c>
      <c r="F140" s="113">
        <v>389351314600</v>
      </c>
      <c r="G140" s="114">
        <f t="shared" si="1"/>
        <v>0.58148508226457141</v>
      </c>
      <c r="H140" s="115"/>
      <c r="I140" s="115"/>
      <c r="J140" s="116"/>
      <c r="K140" s="116"/>
      <c r="L140" s="116"/>
      <c r="M140" s="116"/>
      <c r="N140" s="116"/>
      <c r="O140" s="116"/>
      <c r="P140" s="116"/>
    </row>
    <row r="141" spans="2:16" s="117" customFormat="1" ht="21.75" hidden="1" customHeight="1">
      <c r="B141" s="118"/>
      <c r="C141" s="110"/>
      <c r="D141" s="111" t="s">
        <v>219</v>
      </c>
      <c r="E141" s="120">
        <f>E142</f>
        <v>439099370</v>
      </c>
      <c r="F141" s="119">
        <v>389351314600</v>
      </c>
      <c r="G141" s="114">
        <f t="shared" si="1"/>
        <v>0.11277716384523029</v>
      </c>
      <c r="H141" s="120"/>
      <c r="I141" s="120"/>
      <c r="J141" s="121"/>
      <c r="K141" s="121"/>
      <c r="L141" s="121"/>
      <c r="M141" s="121"/>
      <c r="N141" s="121"/>
      <c r="O141" s="121"/>
      <c r="P141" s="121"/>
    </row>
    <row r="142" spans="2:16" s="108" customFormat="1" ht="21.75" hidden="1" customHeight="1">
      <c r="B142" s="109"/>
      <c r="C142" s="122"/>
      <c r="D142" s="123" t="s">
        <v>220</v>
      </c>
      <c r="E142" s="115">
        <v>439099370</v>
      </c>
      <c r="F142" s="113">
        <v>389351314600</v>
      </c>
      <c r="G142" s="114">
        <f t="shared" si="1"/>
        <v>0.11277716384523029</v>
      </c>
      <c r="H142" s="115"/>
      <c r="I142" s="115"/>
      <c r="J142" s="116"/>
      <c r="K142" s="116"/>
      <c r="L142" s="116"/>
      <c r="M142" s="116"/>
      <c r="N142" s="116"/>
      <c r="O142" s="116"/>
      <c r="P142" s="116"/>
    </row>
    <row r="143" spans="2:16" s="117" customFormat="1" ht="21.75" hidden="1" customHeight="1">
      <c r="B143" s="118"/>
      <c r="C143" s="110"/>
      <c r="D143" s="111" t="s">
        <v>221</v>
      </c>
      <c r="E143" s="120">
        <f>E144+E145+E146+E147+E148+E149+E150+E151+E152+E153+E154+E155+E156</f>
        <v>35624767723</v>
      </c>
      <c r="F143" s="119">
        <v>389351314600</v>
      </c>
      <c r="G143" s="114">
        <f t="shared" si="1"/>
        <v>9.1497746089798362</v>
      </c>
      <c r="H143" s="120"/>
      <c r="I143" s="120"/>
      <c r="J143" s="121"/>
      <c r="K143" s="121"/>
      <c r="L143" s="121"/>
      <c r="M143" s="121"/>
      <c r="N143" s="121"/>
      <c r="O143" s="121"/>
      <c r="P143" s="121"/>
    </row>
    <row r="144" spans="2:16" s="108" customFormat="1" ht="21.75" hidden="1" customHeight="1">
      <c r="B144" s="109"/>
      <c r="C144" s="122"/>
      <c r="D144" s="123" t="s">
        <v>222</v>
      </c>
      <c r="E144" s="115">
        <v>10919385787</v>
      </c>
      <c r="F144" s="113">
        <v>389351314600</v>
      </c>
      <c r="G144" s="114">
        <f t="shared" ref="G144:G207" si="2">+E144/F144*100</f>
        <v>2.8045072348652602</v>
      </c>
      <c r="H144" s="115"/>
      <c r="I144" s="115"/>
      <c r="J144" s="116"/>
      <c r="K144" s="116"/>
      <c r="L144" s="116"/>
      <c r="M144" s="116"/>
      <c r="N144" s="116"/>
      <c r="O144" s="116"/>
      <c r="P144" s="116"/>
    </row>
    <row r="145" spans="2:16" s="108" customFormat="1" ht="21.75" hidden="1" customHeight="1">
      <c r="B145" s="109"/>
      <c r="C145" s="122"/>
      <c r="D145" s="123" t="s">
        <v>223</v>
      </c>
      <c r="E145" s="115">
        <v>328607560</v>
      </c>
      <c r="F145" s="113">
        <v>389351314600</v>
      </c>
      <c r="G145" s="114">
        <f t="shared" si="2"/>
        <v>8.4398728777272752E-2</v>
      </c>
      <c r="H145" s="115"/>
      <c r="I145" s="115"/>
      <c r="J145" s="116"/>
      <c r="K145" s="116"/>
      <c r="L145" s="116"/>
      <c r="M145" s="116"/>
      <c r="N145" s="116"/>
      <c r="O145" s="116"/>
      <c r="P145" s="116"/>
    </row>
    <row r="146" spans="2:16" s="108" customFormat="1" ht="21.75" hidden="1" customHeight="1">
      <c r="B146" s="109"/>
      <c r="C146" s="122"/>
      <c r="D146" s="123" t="s">
        <v>224</v>
      </c>
      <c r="E146" s="115">
        <v>2049190201</v>
      </c>
      <c r="F146" s="113">
        <v>389351314600</v>
      </c>
      <c r="G146" s="114">
        <f t="shared" si="2"/>
        <v>0.52630879212652337</v>
      </c>
      <c r="H146" s="115"/>
      <c r="I146" s="115"/>
      <c r="J146" s="116"/>
      <c r="K146" s="116"/>
      <c r="L146" s="116"/>
      <c r="M146" s="116"/>
      <c r="N146" s="116"/>
      <c r="O146" s="116"/>
      <c r="P146" s="116"/>
    </row>
    <row r="147" spans="2:16" s="108" customFormat="1" ht="21.75" hidden="1" customHeight="1">
      <c r="B147" s="109"/>
      <c r="C147" s="122"/>
      <c r="D147" s="123" t="s">
        <v>225</v>
      </c>
      <c r="E147" s="115">
        <v>1661681625</v>
      </c>
      <c r="F147" s="113">
        <v>389351314600</v>
      </c>
      <c r="G147" s="114">
        <f t="shared" si="2"/>
        <v>0.42678207641526228</v>
      </c>
      <c r="H147" s="115"/>
      <c r="I147" s="115"/>
      <c r="J147" s="116"/>
      <c r="K147" s="116"/>
      <c r="L147" s="116"/>
      <c r="M147" s="116"/>
      <c r="N147" s="116"/>
      <c r="O147" s="116"/>
      <c r="P147" s="116"/>
    </row>
    <row r="148" spans="2:16" s="108" customFormat="1" ht="21.75" hidden="1" customHeight="1">
      <c r="B148" s="109"/>
      <c r="C148" s="122"/>
      <c r="D148" s="123" t="s">
        <v>226</v>
      </c>
      <c r="E148" s="115">
        <v>374000000</v>
      </c>
      <c r="F148" s="113">
        <v>389351314600</v>
      </c>
      <c r="G148" s="114">
        <f t="shared" si="2"/>
        <v>9.6057207456517468E-2</v>
      </c>
      <c r="H148" s="115"/>
      <c r="I148" s="115"/>
      <c r="J148" s="116"/>
      <c r="K148" s="116"/>
      <c r="L148" s="116"/>
      <c r="M148" s="116"/>
      <c r="N148" s="116"/>
      <c r="O148" s="116"/>
      <c r="P148" s="116"/>
    </row>
    <row r="149" spans="2:16" s="108" customFormat="1" ht="32.25" hidden="1" customHeight="1">
      <c r="B149" s="109"/>
      <c r="C149" s="122"/>
      <c r="D149" s="123" t="s">
        <v>227</v>
      </c>
      <c r="E149" s="115">
        <v>400050520</v>
      </c>
      <c r="F149" s="113">
        <v>389351314600</v>
      </c>
      <c r="G149" s="114">
        <f t="shared" si="2"/>
        <v>0.10274795666504731</v>
      </c>
      <c r="H149" s="115"/>
      <c r="I149" s="115"/>
      <c r="J149" s="116"/>
      <c r="K149" s="116"/>
      <c r="L149" s="116"/>
      <c r="M149" s="116"/>
      <c r="N149" s="116"/>
      <c r="O149" s="116"/>
      <c r="P149" s="116"/>
    </row>
    <row r="150" spans="2:16" s="108" customFormat="1" ht="21.75" hidden="1" customHeight="1">
      <c r="B150" s="109"/>
      <c r="C150" s="122"/>
      <c r="D150" s="123" t="s">
        <v>228</v>
      </c>
      <c r="E150" s="115">
        <v>311171340</v>
      </c>
      <c r="F150" s="113">
        <v>389351314600</v>
      </c>
      <c r="G150" s="114">
        <f t="shared" si="2"/>
        <v>7.9920454440915861E-2</v>
      </c>
      <c r="H150" s="115"/>
      <c r="I150" s="115"/>
      <c r="J150" s="116"/>
      <c r="K150" s="116"/>
      <c r="L150" s="116"/>
      <c r="M150" s="116"/>
      <c r="N150" s="116"/>
      <c r="O150" s="116"/>
      <c r="P150" s="116"/>
    </row>
    <row r="151" spans="2:16" s="108" customFormat="1" ht="38.25" hidden="1" customHeight="1">
      <c r="B151" s="109"/>
      <c r="C151" s="122"/>
      <c r="D151" s="123" t="s">
        <v>229</v>
      </c>
      <c r="E151" s="115">
        <v>9051250000</v>
      </c>
      <c r="F151" s="113">
        <v>389351314600</v>
      </c>
      <c r="G151" s="114">
        <f t="shared" si="2"/>
        <v>2.3246999973016145</v>
      </c>
      <c r="H151" s="115"/>
      <c r="I151" s="115"/>
      <c r="J151" s="116"/>
      <c r="K151" s="116"/>
      <c r="L151" s="116"/>
      <c r="M151" s="116"/>
      <c r="N151" s="116"/>
      <c r="O151" s="116"/>
      <c r="P151" s="116"/>
    </row>
    <row r="152" spans="2:16" s="108" customFormat="1" ht="21.75" hidden="1" customHeight="1">
      <c r="B152" s="109"/>
      <c r="C152" s="122"/>
      <c r="D152" s="123" t="s">
        <v>230</v>
      </c>
      <c r="E152" s="115">
        <v>5895467855</v>
      </c>
      <c r="F152" s="113">
        <v>389351314600</v>
      </c>
      <c r="G152" s="114">
        <f t="shared" si="2"/>
        <v>1.514176948665682</v>
      </c>
      <c r="H152" s="115"/>
      <c r="I152" s="115"/>
      <c r="J152" s="116"/>
      <c r="K152" s="116"/>
      <c r="L152" s="116"/>
      <c r="M152" s="116"/>
      <c r="N152" s="116"/>
      <c r="O152" s="116"/>
      <c r="P152" s="116"/>
    </row>
    <row r="153" spans="2:16" s="108" customFormat="1" ht="21.75" hidden="1" customHeight="1">
      <c r="B153" s="109"/>
      <c r="C153" s="122"/>
      <c r="D153" s="123" t="s">
        <v>231</v>
      </c>
      <c r="E153" s="115">
        <v>3318361000</v>
      </c>
      <c r="F153" s="113">
        <v>389351314600</v>
      </c>
      <c r="G153" s="114">
        <f t="shared" si="2"/>
        <v>0.85227938768079348</v>
      </c>
      <c r="H153" s="115"/>
      <c r="I153" s="115"/>
      <c r="J153" s="116"/>
      <c r="K153" s="116"/>
      <c r="L153" s="116"/>
      <c r="M153" s="116"/>
      <c r="N153" s="116"/>
      <c r="O153" s="116"/>
      <c r="P153" s="116"/>
    </row>
    <row r="154" spans="2:16" s="108" customFormat="1" ht="21.75" hidden="1" customHeight="1">
      <c r="B154" s="109"/>
      <c r="C154" s="122"/>
      <c r="D154" s="123" t="s">
        <v>232</v>
      </c>
      <c r="E154" s="115">
        <v>1036478060</v>
      </c>
      <c r="F154" s="113">
        <v>389351314600</v>
      </c>
      <c r="G154" s="114">
        <f t="shared" si="2"/>
        <v>0.26620638511644057</v>
      </c>
      <c r="H154" s="115"/>
      <c r="I154" s="115"/>
      <c r="J154" s="116"/>
      <c r="K154" s="116"/>
      <c r="L154" s="116"/>
      <c r="M154" s="116"/>
      <c r="N154" s="116"/>
      <c r="O154" s="116"/>
      <c r="P154" s="116"/>
    </row>
    <row r="155" spans="2:16" s="108" customFormat="1" ht="21.75" hidden="1" customHeight="1">
      <c r="B155" s="109"/>
      <c r="C155" s="122"/>
      <c r="D155" s="123" t="s">
        <v>233</v>
      </c>
      <c r="E155" s="115">
        <v>234123775</v>
      </c>
      <c r="F155" s="113">
        <v>389351314600</v>
      </c>
      <c r="G155" s="114">
        <f t="shared" si="2"/>
        <v>6.0131754079352992E-2</v>
      </c>
      <c r="H155" s="115"/>
      <c r="I155" s="115"/>
      <c r="J155" s="116"/>
      <c r="K155" s="116"/>
      <c r="L155" s="116"/>
      <c r="M155" s="116"/>
      <c r="N155" s="116"/>
      <c r="O155" s="116"/>
      <c r="P155" s="116"/>
    </row>
    <row r="156" spans="2:16" s="108" customFormat="1" ht="21.75" hidden="1" customHeight="1">
      <c r="B156" s="109"/>
      <c r="C156" s="122"/>
      <c r="D156" s="123" t="s">
        <v>234</v>
      </c>
      <c r="E156" s="115">
        <v>45000000</v>
      </c>
      <c r="F156" s="113">
        <v>389351314600</v>
      </c>
      <c r="G156" s="114">
        <f t="shared" si="2"/>
        <v>1.1557685389153171E-2</v>
      </c>
      <c r="H156" s="115"/>
      <c r="I156" s="115"/>
      <c r="J156" s="116"/>
      <c r="K156" s="116"/>
      <c r="L156" s="116"/>
      <c r="M156" s="116"/>
      <c r="N156" s="116"/>
      <c r="O156" s="116"/>
      <c r="P156" s="116"/>
    </row>
    <row r="157" spans="2:16" s="117" customFormat="1" ht="21.75" hidden="1" customHeight="1">
      <c r="B157" s="118"/>
      <c r="C157" s="110"/>
      <c r="D157" s="111" t="s">
        <v>235</v>
      </c>
      <c r="E157" s="120">
        <f>E158+E159+E160+E161</f>
        <v>15983021000</v>
      </c>
      <c r="F157" s="119">
        <v>389351314600</v>
      </c>
      <c r="G157" s="114">
        <f t="shared" si="2"/>
        <v>4.1050384063606291</v>
      </c>
      <c r="H157" s="120"/>
      <c r="I157" s="120"/>
      <c r="J157" s="121"/>
      <c r="K157" s="121"/>
      <c r="L157" s="121"/>
      <c r="M157" s="121"/>
      <c r="N157" s="121"/>
      <c r="O157" s="121"/>
      <c r="P157" s="121"/>
    </row>
    <row r="158" spans="2:16" s="108" customFormat="1" ht="21.75" hidden="1" customHeight="1">
      <c r="B158" s="109"/>
      <c r="C158" s="122"/>
      <c r="D158" s="123" t="s">
        <v>236</v>
      </c>
      <c r="E158" s="115">
        <v>8750000000</v>
      </c>
      <c r="F158" s="113">
        <v>389351314600</v>
      </c>
      <c r="G158" s="114">
        <f t="shared" si="2"/>
        <v>2.247327714557561</v>
      </c>
      <c r="H158" s="115"/>
      <c r="I158" s="115"/>
      <c r="J158" s="116"/>
      <c r="K158" s="116"/>
      <c r="L158" s="116"/>
      <c r="M158" s="116"/>
      <c r="N158" s="116"/>
      <c r="O158" s="116"/>
      <c r="P158" s="116"/>
    </row>
    <row r="159" spans="2:16" s="108" customFormat="1" ht="21.75" hidden="1" customHeight="1">
      <c r="B159" s="109"/>
      <c r="C159" s="122"/>
      <c r="D159" s="123" t="s">
        <v>237</v>
      </c>
      <c r="E159" s="115">
        <v>5747398500</v>
      </c>
      <c r="F159" s="113">
        <v>389351314600</v>
      </c>
      <c r="G159" s="114">
        <f t="shared" si="2"/>
        <v>1.4761471926464633</v>
      </c>
      <c r="H159" s="115"/>
      <c r="I159" s="115"/>
      <c r="J159" s="116"/>
      <c r="K159" s="116"/>
      <c r="L159" s="116"/>
      <c r="M159" s="116"/>
      <c r="N159" s="116"/>
      <c r="O159" s="116"/>
      <c r="P159" s="116"/>
    </row>
    <row r="160" spans="2:16" s="108" customFormat="1" ht="21.75" hidden="1" customHeight="1">
      <c r="B160" s="109"/>
      <c r="C160" s="122"/>
      <c r="D160" s="123" t="s">
        <v>238</v>
      </c>
      <c r="E160" s="115">
        <v>610000000</v>
      </c>
      <c r="F160" s="113">
        <v>389351314600</v>
      </c>
      <c r="G160" s="114">
        <f t="shared" si="2"/>
        <v>0.15667084638629855</v>
      </c>
      <c r="H160" s="115"/>
      <c r="I160" s="115"/>
      <c r="J160" s="116"/>
      <c r="K160" s="116"/>
      <c r="L160" s="116"/>
      <c r="M160" s="116"/>
      <c r="N160" s="116"/>
      <c r="O160" s="116"/>
      <c r="P160" s="116"/>
    </row>
    <row r="161" spans="2:16" s="108" customFormat="1" ht="21.75" hidden="1" customHeight="1">
      <c r="B161" s="109"/>
      <c r="C161" s="122"/>
      <c r="D161" s="123" t="s">
        <v>239</v>
      </c>
      <c r="E161" s="115">
        <v>875622500</v>
      </c>
      <c r="F161" s="113">
        <v>389351314600</v>
      </c>
      <c r="G161" s="114">
        <f t="shared" si="2"/>
        <v>0.22489265277030607</v>
      </c>
      <c r="H161" s="115"/>
      <c r="I161" s="115"/>
      <c r="J161" s="116"/>
      <c r="K161" s="116"/>
      <c r="L161" s="116"/>
      <c r="M161" s="116"/>
      <c r="N161" s="116"/>
      <c r="O161" s="116"/>
      <c r="P161" s="116"/>
    </row>
    <row r="162" spans="2:16" s="117" customFormat="1" ht="21.75" hidden="1" customHeight="1">
      <c r="B162" s="118"/>
      <c r="C162" s="110"/>
      <c r="D162" s="111" t="s">
        <v>240</v>
      </c>
      <c r="E162" s="120">
        <f>E163+E164</f>
        <v>1193499996</v>
      </c>
      <c r="F162" s="119">
        <v>389351314600</v>
      </c>
      <c r="G162" s="114">
        <f t="shared" si="2"/>
        <v>0.30653549923830153</v>
      </c>
      <c r="H162" s="120"/>
      <c r="I162" s="120"/>
      <c r="J162" s="121"/>
      <c r="K162" s="121"/>
      <c r="L162" s="121"/>
      <c r="M162" s="121"/>
      <c r="N162" s="121"/>
      <c r="O162" s="121"/>
      <c r="P162" s="121"/>
    </row>
    <row r="163" spans="2:16" s="108" customFormat="1" ht="21.75" hidden="1" customHeight="1">
      <c r="B163" s="109"/>
      <c r="C163" s="122"/>
      <c r="D163" s="123" t="s">
        <v>241</v>
      </c>
      <c r="E163" s="115">
        <v>672476161</v>
      </c>
      <c r="F163" s="113">
        <v>389351314600</v>
      </c>
      <c r="G163" s="114">
        <f t="shared" si="2"/>
        <v>0.17271706445652257</v>
      </c>
      <c r="H163" s="115"/>
      <c r="I163" s="115"/>
      <c r="J163" s="116"/>
      <c r="K163" s="116"/>
      <c r="L163" s="116"/>
      <c r="M163" s="116"/>
      <c r="N163" s="116"/>
      <c r="O163" s="116"/>
      <c r="P163" s="116"/>
    </row>
    <row r="164" spans="2:16" s="108" customFormat="1" ht="21.75" hidden="1" customHeight="1">
      <c r="B164" s="109"/>
      <c r="C164" s="122"/>
      <c r="D164" s="123" t="s">
        <v>242</v>
      </c>
      <c r="E164" s="115">
        <v>521023835</v>
      </c>
      <c r="F164" s="113">
        <v>389351314600</v>
      </c>
      <c r="G164" s="114">
        <f t="shared" si="2"/>
        <v>0.13381843478177896</v>
      </c>
      <c r="H164" s="115"/>
      <c r="I164" s="115"/>
      <c r="J164" s="116"/>
      <c r="K164" s="116"/>
      <c r="L164" s="116"/>
      <c r="M164" s="116"/>
      <c r="N164" s="116"/>
      <c r="O164" s="116"/>
      <c r="P164" s="116"/>
    </row>
    <row r="165" spans="2:16" s="117" customFormat="1" ht="21.75" hidden="1" customHeight="1">
      <c r="B165" s="118"/>
      <c r="C165" s="110"/>
      <c r="D165" s="111" t="s">
        <v>243</v>
      </c>
      <c r="E165" s="120">
        <f>E166</f>
        <v>460600000</v>
      </c>
      <c r="F165" s="119">
        <v>389351314600</v>
      </c>
      <c r="G165" s="114">
        <f t="shared" si="2"/>
        <v>0.11829933089431002</v>
      </c>
      <c r="H165" s="120"/>
      <c r="I165" s="120"/>
      <c r="J165" s="121"/>
      <c r="K165" s="121"/>
      <c r="L165" s="121"/>
      <c r="M165" s="121"/>
      <c r="N165" s="121"/>
      <c r="O165" s="121"/>
      <c r="P165" s="121"/>
    </row>
    <row r="166" spans="2:16" s="108" customFormat="1" ht="21.75" hidden="1" customHeight="1">
      <c r="B166" s="109"/>
      <c r="C166" s="122"/>
      <c r="D166" s="123" t="s">
        <v>244</v>
      </c>
      <c r="E166" s="115">
        <v>460600000</v>
      </c>
      <c r="F166" s="113">
        <v>389351314600</v>
      </c>
      <c r="G166" s="114">
        <f t="shared" si="2"/>
        <v>0.11829933089431002</v>
      </c>
      <c r="H166" s="115"/>
      <c r="I166" s="115"/>
      <c r="J166" s="116"/>
      <c r="K166" s="116"/>
      <c r="L166" s="116"/>
      <c r="M166" s="116"/>
      <c r="N166" s="116"/>
      <c r="O166" s="116"/>
      <c r="P166" s="116"/>
    </row>
    <row r="167" spans="2:16" s="117" customFormat="1" ht="21.75" hidden="1" customHeight="1">
      <c r="B167" s="118"/>
      <c r="C167" s="110"/>
      <c r="D167" s="111" t="s">
        <v>245</v>
      </c>
      <c r="E167" s="120">
        <f>E168+E169+E170</f>
        <v>865907205</v>
      </c>
      <c r="F167" s="119">
        <v>389351314600</v>
      </c>
      <c r="G167" s="114">
        <f t="shared" si="2"/>
        <v>0.22239740114646578</v>
      </c>
      <c r="H167" s="120"/>
      <c r="I167" s="120"/>
      <c r="J167" s="121"/>
      <c r="K167" s="121"/>
      <c r="L167" s="121"/>
      <c r="M167" s="121"/>
      <c r="N167" s="121"/>
      <c r="O167" s="121"/>
      <c r="P167" s="121"/>
    </row>
    <row r="168" spans="2:16" s="108" customFormat="1" ht="21.75" hidden="1" customHeight="1">
      <c r="B168" s="109"/>
      <c r="C168" s="122"/>
      <c r="D168" s="123" t="s">
        <v>246</v>
      </c>
      <c r="E168" s="115">
        <v>328753500</v>
      </c>
      <c r="F168" s="113">
        <v>389351314600</v>
      </c>
      <c r="G168" s="114">
        <f t="shared" si="2"/>
        <v>8.4436211635177047E-2</v>
      </c>
      <c r="H168" s="115"/>
      <c r="I168" s="115"/>
      <c r="J168" s="116"/>
      <c r="K168" s="116"/>
      <c r="L168" s="116"/>
      <c r="M168" s="116"/>
      <c r="N168" s="116"/>
      <c r="O168" s="116"/>
      <c r="P168" s="116"/>
    </row>
    <row r="169" spans="2:16" s="108" customFormat="1" ht="21.75" hidden="1" customHeight="1">
      <c r="B169" s="109"/>
      <c r="C169" s="122"/>
      <c r="D169" s="123" t="s">
        <v>247</v>
      </c>
      <c r="E169" s="115">
        <v>281678905</v>
      </c>
      <c r="F169" s="113">
        <v>389351314600</v>
      </c>
      <c r="G169" s="114">
        <f t="shared" si="2"/>
        <v>7.2345692550025875E-2</v>
      </c>
      <c r="H169" s="115"/>
      <c r="I169" s="115"/>
      <c r="J169" s="116"/>
      <c r="K169" s="116"/>
      <c r="L169" s="116"/>
      <c r="M169" s="116"/>
      <c r="N169" s="116"/>
      <c r="O169" s="116"/>
      <c r="P169" s="116"/>
    </row>
    <row r="170" spans="2:16" s="108" customFormat="1" ht="21.75" hidden="1" customHeight="1">
      <c r="B170" s="109"/>
      <c r="C170" s="122"/>
      <c r="D170" s="123" t="s">
        <v>248</v>
      </c>
      <c r="E170" s="115">
        <v>255474800</v>
      </c>
      <c r="F170" s="113">
        <v>389351314600</v>
      </c>
      <c r="G170" s="114">
        <f t="shared" si="2"/>
        <v>6.5615496961262856E-2</v>
      </c>
      <c r="H170" s="115"/>
      <c r="I170" s="115"/>
      <c r="J170" s="116"/>
      <c r="K170" s="116"/>
      <c r="L170" s="116"/>
      <c r="M170" s="116"/>
      <c r="N170" s="116"/>
      <c r="O170" s="116"/>
      <c r="P170" s="116"/>
    </row>
    <row r="171" spans="2:16" s="108" customFormat="1" ht="15" hidden="1" customHeight="1">
      <c r="B171" s="109"/>
      <c r="C171" s="122"/>
      <c r="D171" s="123"/>
      <c r="E171" s="115"/>
      <c r="F171" s="113">
        <v>389351314600</v>
      </c>
      <c r="G171" s="114">
        <f t="shared" si="2"/>
        <v>0</v>
      </c>
      <c r="H171" s="115"/>
      <c r="I171" s="115"/>
      <c r="J171" s="116"/>
      <c r="K171" s="116"/>
      <c r="L171" s="116"/>
      <c r="M171" s="116"/>
      <c r="N171" s="116"/>
      <c r="O171" s="116"/>
      <c r="P171" s="116"/>
    </row>
    <row r="172" spans="2:16" s="117" customFormat="1" ht="21.75" hidden="1" customHeight="1">
      <c r="B172" s="118"/>
      <c r="C172" s="110"/>
      <c r="D172" s="111" t="s">
        <v>249</v>
      </c>
      <c r="E172" s="120">
        <f>E173+E176+E178+E180+E182</f>
        <v>8000000000</v>
      </c>
      <c r="F172" s="119">
        <v>389351314600</v>
      </c>
      <c r="G172" s="114">
        <f t="shared" si="2"/>
        <v>2.0546996247383418</v>
      </c>
      <c r="H172" s="120"/>
      <c r="I172" s="120"/>
      <c r="J172" s="121"/>
      <c r="K172" s="121"/>
      <c r="L172" s="121"/>
      <c r="M172" s="121"/>
      <c r="N172" s="121"/>
      <c r="O172" s="121"/>
      <c r="P172" s="121"/>
    </row>
    <row r="173" spans="2:16" s="117" customFormat="1" ht="21.75" hidden="1" customHeight="1">
      <c r="B173" s="118"/>
      <c r="C173" s="110"/>
      <c r="D173" s="111" t="s">
        <v>250</v>
      </c>
      <c r="E173" s="120">
        <f>E174+E175</f>
        <v>1645375000</v>
      </c>
      <c r="F173" s="119">
        <v>389351314600</v>
      </c>
      <c r="G173" s="114">
        <f t="shared" si="2"/>
        <v>0.42259392438173105</v>
      </c>
      <c r="H173" s="120"/>
      <c r="I173" s="120"/>
      <c r="J173" s="121"/>
      <c r="K173" s="121"/>
      <c r="L173" s="121"/>
      <c r="M173" s="121"/>
      <c r="N173" s="121"/>
      <c r="O173" s="121"/>
      <c r="P173" s="121"/>
    </row>
    <row r="174" spans="2:16" s="108" customFormat="1" ht="21.75" hidden="1" customHeight="1">
      <c r="B174" s="109"/>
      <c r="C174" s="122"/>
      <c r="D174" s="123" t="s">
        <v>251</v>
      </c>
      <c r="E174" s="115">
        <v>550000000</v>
      </c>
      <c r="F174" s="113">
        <v>389351314600</v>
      </c>
      <c r="G174" s="114">
        <f t="shared" si="2"/>
        <v>0.14126059920076098</v>
      </c>
      <c r="H174" s="115"/>
      <c r="I174" s="115"/>
      <c r="J174" s="116"/>
      <c r="K174" s="116"/>
      <c r="L174" s="116"/>
      <c r="M174" s="116"/>
      <c r="N174" s="116"/>
      <c r="O174" s="116"/>
      <c r="P174" s="116"/>
    </row>
    <row r="175" spans="2:16" s="108" customFormat="1" ht="33" hidden="1" customHeight="1">
      <c r="B175" s="109"/>
      <c r="C175" s="122"/>
      <c r="D175" s="123" t="s">
        <v>252</v>
      </c>
      <c r="E175" s="115">
        <v>1095375000</v>
      </c>
      <c r="F175" s="113">
        <v>389351314600</v>
      </c>
      <c r="G175" s="114">
        <f t="shared" si="2"/>
        <v>0.2813333251809701</v>
      </c>
      <c r="H175" s="115"/>
      <c r="I175" s="115"/>
      <c r="J175" s="116"/>
      <c r="K175" s="116"/>
      <c r="L175" s="116"/>
      <c r="M175" s="116"/>
      <c r="N175" s="116"/>
      <c r="O175" s="116"/>
      <c r="P175" s="116"/>
    </row>
    <row r="176" spans="2:16" s="117" customFormat="1" ht="21.75" hidden="1" customHeight="1">
      <c r="B176" s="118"/>
      <c r="C176" s="110"/>
      <c r="D176" s="123" t="s">
        <v>253</v>
      </c>
      <c r="E176" s="115">
        <f>E177</f>
        <v>2400000000</v>
      </c>
      <c r="F176" s="113">
        <v>389351314600</v>
      </c>
      <c r="G176" s="114">
        <f t="shared" si="2"/>
        <v>0.61640988742150249</v>
      </c>
      <c r="H176" s="120"/>
      <c r="I176" s="120"/>
      <c r="J176" s="121"/>
      <c r="K176" s="121"/>
      <c r="L176" s="121"/>
      <c r="M176" s="121"/>
      <c r="N176" s="121"/>
      <c r="O176" s="121"/>
      <c r="P176" s="121"/>
    </row>
    <row r="177" spans="2:16" s="108" customFormat="1" ht="21.75" hidden="1" customHeight="1">
      <c r="B177" s="109"/>
      <c r="C177" s="122"/>
      <c r="D177" s="123" t="s">
        <v>254</v>
      </c>
      <c r="E177" s="115">
        <v>2400000000</v>
      </c>
      <c r="F177" s="113">
        <v>389351314600</v>
      </c>
      <c r="G177" s="114">
        <f t="shared" si="2"/>
        <v>0.61640988742150249</v>
      </c>
      <c r="H177" s="115"/>
      <c r="I177" s="115"/>
      <c r="J177" s="116"/>
      <c r="K177" s="116"/>
      <c r="L177" s="116"/>
      <c r="M177" s="116"/>
      <c r="N177" s="116"/>
      <c r="O177" s="116"/>
      <c r="P177" s="116"/>
    </row>
    <row r="178" spans="2:16" s="117" customFormat="1" ht="21.75" hidden="1" customHeight="1">
      <c r="B178" s="118"/>
      <c r="C178" s="110"/>
      <c r="D178" s="111" t="s">
        <v>255</v>
      </c>
      <c r="E178" s="120">
        <f>E179</f>
        <v>1900000000</v>
      </c>
      <c r="F178" s="119">
        <v>389351314600</v>
      </c>
      <c r="G178" s="114">
        <f t="shared" si="2"/>
        <v>0.4879911608753561</v>
      </c>
      <c r="H178" s="120"/>
      <c r="I178" s="120"/>
      <c r="J178" s="121"/>
      <c r="K178" s="121"/>
      <c r="L178" s="121"/>
      <c r="M178" s="121"/>
      <c r="N178" s="121"/>
      <c r="O178" s="121"/>
      <c r="P178" s="121"/>
    </row>
    <row r="179" spans="2:16" s="108" customFormat="1" ht="21.75" hidden="1" customHeight="1">
      <c r="B179" s="109"/>
      <c r="C179" s="122"/>
      <c r="D179" s="123" t="s">
        <v>256</v>
      </c>
      <c r="E179" s="115">
        <v>1900000000</v>
      </c>
      <c r="F179" s="113">
        <v>389351314600</v>
      </c>
      <c r="G179" s="114">
        <f t="shared" si="2"/>
        <v>0.4879911608753561</v>
      </c>
      <c r="H179" s="115"/>
      <c r="I179" s="115"/>
      <c r="J179" s="116"/>
      <c r="K179" s="116"/>
      <c r="L179" s="116"/>
      <c r="M179" s="116"/>
      <c r="N179" s="116"/>
      <c r="O179" s="116"/>
      <c r="P179" s="116"/>
    </row>
    <row r="180" spans="2:16" s="117" customFormat="1" ht="21.75" hidden="1" customHeight="1">
      <c r="B180" s="118"/>
      <c r="C180" s="110"/>
      <c r="D180" s="111" t="s">
        <v>257</v>
      </c>
      <c r="E180" s="120">
        <f>E181</f>
        <v>1458500000</v>
      </c>
      <c r="F180" s="119">
        <v>389351314600</v>
      </c>
      <c r="G180" s="114">
        <f t="shared" si="2"/>
        <v>0.37459742533510892</v>
      </c>
      <c r="H180" s="120"/>
      <c r="I180" s="120"/>
      <c r="J180" s="121"/>
      <c r="K180" s="121"/>
      <c r="L180" s="121"/>
      <c r="M180" s="121"/>
      <c r="N180" s="121"/>
      <c r="O180" s="121"/>
      <c r="P180" s="121"/>
    </row>
    <row r="181" spans="2:16" s="108" customFormat="1" ht="33" hidden="1" customHeight="1">
      <c r="B181" s="109"/>
      <c r="C181" s="122"/>
      <c r="D181" s="123" t="s">
        <v>258</v>
      </c>
      <c r="E181" s="115">
        <v>1458500000</v>
      </c>
      <c r="F181" s="113">
        <v>389351314600</v>
      </c>
      <c r="G181" s="114">
        <f t="shared" si="2"/>
        <v>0.37459742533510892</v>
      </c>
      <c r="H181" s="115"/>
      <c r="I181" s="115"/>
      <c r="J181" s="116"/>
      <c r="K181" s="116"/>
      <c r="L181" s="116"/>
      <c r="M181" s="116"/>
      <c r="N181" s="116"/>
      <c r="O181" s="116"/>
      <c r="P181" s="116"/>
    </row>
    <row r="182" spans="2:16" s="117" customFormat="1" ht="21.75" hidden="1" customHeight="1">
      <c r="B182" s="118"/>
      <c r="C182" s="110"/>
      <c r="D182" s="111" t="s">
        <v>259</v>
      </c>
      <c r="E182" s="120">
        <f>E183</f>
        <v>596125000</v>
      </c>
      <c r="F182" s="119">
        <v>389351314600</v>
      </c>
      <c r="G182" s="114">
        <f t="shared" si="2"/>
        <v>0.153107226724643</v>
      </c>
      <c r="H182" s="120"/>
      <c r="I182" s="120"/>
      <c r="J182" s="121"/>
      <c r="K182" s="121"/>
      <c r="L182" s="121"/>
      <c r="M182" s="121"/>
      <c r="N182" s="121"/>
      <c r="O182" s="121"/>
      <c r="P182" s="121"/>
    </row>
    <row r="183" spans="2:16" s="108" customFormat="1" ht="21.75" hidden="1" customHeight="1">
      <c r="B183" s="109"/>
      <c r="C183" s="122"/>
      <c r="D183" s="123" t="s">
        <v>260</v>
      </c>
      <c r="E183" s="115">
        <v>596125000</v>
      </c>
      <c r="F183" s="113">
        <v>389351314600</v>
      </c>
      <c r="G183" s="114">
        <f t="shared" si="2"/>
        <v>0.153107226724643</v>
      </c>
      <c r="H183" s="115"/>
      <c r="I183" s="115"/>
      <c r="J183" s="116"/>
      <c r="K183" s="116"/>
      <c r="L183" s="116"/>
      <c r="M183" s="116"/>
      <c r="N183" s="116"/>
      <c r="O183" s="116"/>
      <c r="P183" s="116"/>
    </row>
    <row r="184" spans="2:16" s="108" customFormat="1" ht="15" hidden="1" customHeight="1">
      <c r="B184" s="109"/>
      <c r="C184" s="122"/>
      <c r="D184" s="123"/>
      <c r="E184" s="115"/>
      <c r="F184" s="113">
        <v>389351314600</v>
      </c>
      <c r="G184" s="114">
        <f t="shared" si="2"/>
        <v>0</v>
      </c>
      <c r="H184" s="115"/>
      <c r="I184" s="115"/>
      <c r="J184" s="116"/>
      <c r="K184" s="116"/>
      <c r="L184" s="116"/>
      <c r="M184" s="116"/>
      <c r="N184" s="116"/>
      <c r="O184" s="116"/>
      <c r="P184" s="116"/>
    </row>
    <row r="185" spans="2:16" s="117" customFormat="1" ht="21.75" hidden="1" customHeight="1">
      <c r="B185" s="118"/>
      <c r="C185" s="110"/>
      <c r="D185" s="111" t="s">
        <v>261</v>
      </c>
      <c r="E185" s="120">
        <f>E186+E190+E194+E196</f>
        <v>5000000000</v>
      </c>
      <c r="F185" s="119">
        <v>389351314600</v>
      </c>
      <c r="G185" s="114">
        <f t="shared" si="2"/>
        <v>1.2841872654614637</v>
      </c>
      <c r="H185" s="120"/>
      <c r="I185" s="120"/>
      <c r="J185" s="121"/>
      <c r="K185" s="121"/>
      <c r="L185" s="121"/>
      <c r="M185" s="121"/>
      <c r="N185" s="121"/>
      <c r="O185" s="121"/>
      <c r="P185" s="121"/>
    </row>
    <row r="186" spans="2:16" s="117" customFormat="1" ht="21.75" hidden="1" customHeight="1">
      <c r="B186" s="118"/>
      <c r="C186" s="110"/>
      <c r="D186" s="111" t="s">
        <v>262</v>
      </c>
      <c r="E186" s="120">
        <f>E187+E188+E189</f>
        <v>1819500000</v>
      </c>
      <c r="F186" s="119">
        <v>389351314600</v>
      </c>
      <c r="G186" s="114">
        <f t="shared" si="2"/>
        <v>0.46731574590142655</v>
      </c>
      <c r="H186" s="120"/>
      <c r="I186" s="120"/>
      <c r="J186" s="121"/>
      <c r="K186" s="121"/>
      <c r="L186" s="121"/>
      <c r="M186" s="121"/>
      <c r="N186" s="121"/>
      <c r="O186" s="121"/>
      <c r="P186" s="121"/>
    </row>
    <row r="187" spans="2:16" s="108" customFormat="1" ht="21.75" hidden="1" customHeight="1">
      <c r="B187" s="109"/>
      <c r="C187" s="122"/>
      <c r="D187" s="123" t="s">
        <v>263</v>
      </c>
      <c r="E187" s="115">
        <v>402250000</v>
      </c>
      <c r="F187" s="113">
        <v>389351314600</v>
      </c>
      <c r="G187" s="114">
        <f t="shared" si="2"/>
        <v>0.10331286550637475</v>
      </c>
      <c r="H187" s="115"/>
      <c r="I187" s="115"/>
      <c r="J187" s="116"/>
      <c r="K187" s="116"/>
      <c r="L187" s="116"/>
      <c r="M187" s="116"/>
      <c r="N187" s="116"/>
      <c r="O187" s="116"/>
      <c r="P187" s="116"/>
    </row>
    <row r="188" spans="2:16" s="108" customFormat="1" ht="21.75" hidden="1" customHeight="1">
      <c r="B188" s="109"/>
      <c r="C188" s="122"/>
      <c r="D188" s="123" t="s">
        <v>264</v>
      </c>
      <c r="E188" s="115">
        <v>319500000</v>
      </c>
      <c r="F188" s="113">
        <v>389351314600</v>
      </c>
      <c r="G188" s="114">
        <f t="shared" si="2"/>
        <v>8.2059566262987521E-2</v>
      </c>
      <c r="H188" s="115"/>
      <c r="I188" s="115"/>
      <c r="J188" s="116"/>
      <c r="K188" s="116"/>
      <c r="L188" s="116"/>
      <c r="M188" s="116"/>
      <c r="N188" s="116"/>
      <c r="O188" s="116"/>
      <c r="P188" s="116"/>
    </row>
    <row r="189" spans="2:16" s="108" customFormat="1" ht="21.75" hidden="1" customHeight="1">
      <c r="B189" s="109"/>
      <c r="C189" s="122"/>
      <c r="D189" s="123" t="s">
        <v>265</v>
      </c>
      <c r="E189" s="115">
        <v>1097750000</v>
      </c>
      <c r="F189" s="113">
        <v>389351314600</v>
      </c>
      <c r="G189" s="114">
        <f t="shared" si="2"/>
        <v>0.2819433141320643</v>
      </c>
      <c r="H189" s="115"/>
      <c r="I189" s="115"/>
      <c r="J189" s="116"/>
      <c r="K189" s="116"/>
      <c r="L189" s="116"/>
      <c r="M189" s="116"/>
      <c r="N189" s="116"/>
      <c r="O189" s="116"/>
      <c r="P189" s="116"/>
    </row>
    <row r="190" spans="2:16" s="117" customFormat="1" ht="21.75" hidden="1" customHeight="1">
      <c r="B190" s="118"/>
      <c r="C190" s="110"/>
      <c r="D190" s="111" t="s">
        <v>266</v>
      </c>
      <c r="E190" s="120">
        <f>E191+E192+E193</f>
        <v>1556550000</v>
      </c>
      <c r="F190" s="119">
        <v>389351314600</v>
      </c>
      <c r="G190" s="114">
        <f t="shared" si="2"/>
        <v>0.39978033761080822</v>
      </c>
      <c r="H190" s="120"/>
      <c r="I190" s="120"/>
      <c r="J190" s="121"/>
      <c r="K190" s="121"/>
      <c r="L190" s="121"/>
      <c r="M190" s="121"/>
      <c r="N190" s="121"/>
      <c r="O190" s="121"/>
      <c r="P190" s="121"/>
    </row>
    <row r="191" spans="2:16" s="108" customFormat="1" ht="33" hidden="1" customHeight="1">
      <c r="B191" s="109"/>
      <c r="C191" s="122"/>
      <c r="D191" s="123" t="s">
        <v>267</v>
      </c>
      <c r="E191" s="115">
        <v>569500000</v>
      </c>
      <c r="F191" s="113">
        <v>389351314600</v>
      </c>
      <c r="G191" s="114">
        <f t="shared" si="2"/>
        <v>0.14626892953606069</v>
      </c>
      <c r="H191" s="115"/>
      <c r="I191" s="115"/>
      <c r="J191" s="116"/>
      <c r="K191" s="116"/>
      <c r="L191" s="116"/>
      <c r="M191" s="116"/>
      <c r="N191" s="116"/>
      <c r="O191" s="116"/>
      <c r="P191" s="116"/>
    </row>
    <row r="192" spans="2:16" s="108" customFormat="1" ht="33" hidden="1" customHeight="1">
      <c r="B192" s="109"/>
      <c r="C192" s="122"/>
      <c r="D192" s="123" t="s">
        <v>268</v>
      </c>
      <c r="E192" s="115">
        <v>516675000</v>
      </c>
      <c r="F192" s="113">
        <v>389351314600</v>
      </c>
      <c r="G192" s="114">
        <f t="shared" si="2"/>
        <v>0.13270149107646034</v>
      </c>
      <c r="H192" s="115"/>
      <c r="I192" s="115"/>
      <c r="J192" s="116"/>
      <c r="K192" s="116"/>
      <c r="L192" s="116"/>
      <c r="M192" s="116"/>
      <c r="N192" s="116"/>
      <c r="O192" s="116"/>
      <c r="P192" s="116"/>
    </row>
    <row r="193" spans="2:16" s="108" customFormat="1" ht="21.75" hidden="1" customHeight="1">
      <c r="B193" s="109"/>
      <c r="C193" s="122"/>
      <c r="D193" s="123" t="s">
        <v>269</v>
      </c>
      <c r="E193" s="115">
        <v>470375000</v>
      </c>
      <c r="F193" s="113">
        <v>389351314600</v>
      </c>
      <c r="G193" s="114">
        <f t="shared" si="2"/>
        <v>0.12080991699828718</v>
      </c>
      <c r="H193" s="115"/>
      <c r="I193" s="115"/>
      <c r="J193" s="116"/>
      <c r="K193" s="116"/>
      <c r="L193" s="116"/>
      <c r="M193" s="116"/>
      <c r="N193" s="116"/>
      <c r="O193" s="116"/>
      <c r="P193" s="116"/>
    </row>
    <row r="194" spans="2:16" s="117" customFormat="1" ht="21.75" hidden="1" customHeight="1">
      <c r="B194" s="118"/>
      <c r="C194" s="110"/>
      <c r="D194" s="111" t="s">
        <v>270</v>
      </c>
      <c r="E194" s="120">
        <f>E195</f>
        <v>411000000</v>
      </c>
      <c r="F194" s="119">
        <v>389351314600</v>
      </c>
      <c r="G194" s="114">
        <f t="shared" si="2"/>
        <v>0.1055601932209323</v>
      </c>
      <c r="H194" s="120"/>
      <c r="I194" s="120"/>
      <c r="J194" s="121"/>
      <c r="K194" s="121"/>
      <c r="L194" s="121"/>
      <c r="M194" s="121"/>
      <c r="N194" s="121"/>
      <c r="O194" s="121"/>
      <c r="P194" s="121"/>
    </row>
    <row r="195" spans="2:16" s="108" customFormat="1" ht="21.75" hidden="1" customHeight="1">
      <c r="B195" s="109"/>
      <c r="C195" s="122"/>
      <c r="D195" s="123" t="s">
        <v>271</v>
      </c>
      <c r="E195" s="115">
        <v>411000000</v>
      </c>
      <c r="F195" s="113">
        <v>389351314600</v>
      </c>
      <c r="G195" s="114">
        <f t="shared" si="2"/>
        <v>0.1055601932209323</v>
      </c>
      <c r="H195" s="115"/>
      <c r="I195" s="115"/>
      <c r="J195" s="116"/>
      <c r="K195" s="116"/>
      <c r="L195" s="116"/>
      <c r="M195" s="116"/>
      <c r="N195" s="116"/>
      <c r="O195" s="116"/>
      <c r="P195" s="116"/>
    </row>
    <row r="196" spans="2:16" s="117" customFormat="1" ht="21.75" hidden="1" customHeight="1">
      <c r="B196" s="118"/>
      <c r="C196" s="110"/>
      <c r="D196" s="111" t="s">
        <v>272</v>
      </c>
      <c r="E196" s="120">
        <f>E197+E198+E199</f>
        <v>1212950000</v>
      </c>
      <c r="F196" s="119">
        <v>389351314600</v>
      </c>
      <c r="G196" s="114">
        <f t="shared" si="2"/>
        <v>0.31153098872829643</v>
      </c>
      <c r="H196" s="120"/>
      <c r="I196" s="120"/>
      <c r="J196" s="121"/>
      <c r="K196" s="121"/>
      <c r="L196" s="121"/>
      <c r="M196" s="121"/>
      <c r="N196" s="121"/>
      <c r="O196" s="121"/>
      <c r="P196" s="121"/>
    </row>
    <row r="197" spans="2:16" s="108" customFormat="1" ht="21.75" hidden="1" customHeight="1">
      <c r="B197" s="109"/>
      <c r="C197" s="122"/>
      <c r="D197" s="123" t="s">
        <v>273</v>
      </c>
      <c r="E197" s="115">
        <v>572200000</v>
      </c>
      <c r="F197" s="113">
        <v>389351314600</v>
      </c>
      <c r="G197" s="114">
        <f t="shared" si="2"/>
        <v>0.14696239065940989</v>
      </c>
      <c r="H197" s="115"/>
      <c r="I197" s="115"/>
      <c r="J197" s="116"/>
      <c r="K197" s="116"/>
      <c r="L197" s="116"/>
      <c r="M197" s="116"/>
      <c r="N197" s="116"/>
      <c r="O197" s="116"/>
      <c r="P197" s="116"/>
    </row>
    <row r="198" spans="2:16" s="108" customFormat="1" ht="33" hidden="1" customHeight="1">
      <c r="B198" s="109"/>
      <c r="C198" s="122"/>
      <c r="D198" s="123" t="s">
        <v>274</v>
      </c>
      <c r="E198" s="115">
        <v>249400000</v>
      </c>
      <c r="F198" s="113">
        <v>389351314600</v>
      </c>
      <c r="G198" s="114">
        <f t="shared" si="2"/>
        <v>6.4055260801217803E-2</v>
      </c>
      <c r="H198" s="115"/>
      <c r="I198" s="115"/>
      <c r="J198" s="116"/>
      <c r="K198" s="116"/>
      <c r="L198" s="116"/>
      <c r="M198" s="116"/>
      <c r="N198" s="116"/>
      <c r="O198" s="116"/>
      <c r="P198" s="116"/>
    </row>
    <row r="199" spans="2:16" s="108" customFormat="1" ht="21.75" hidden="1" customHeight="1">
      <c r="B199" s="109"/>
      <c r="C199" s="122"/>
      <c r="D199" s="123" t="s">
        <v>275</v>
      </c>
      <c r="E199" s="115">
        <v>391350000</v>
      </c>
      <c r="F199" s="113">
        <v>389351314600</v>
      </c>
      <c r="G199" s="114">
        <f t="shared" si="2"/>
        <v>0.10051333726766876</v>
      </c>
      <c r="H199" s="115"/>
      <c r="I199" s="115"/>
      <c r="J199" s="116"/>
      <c r="K199" s="116"/>
      <c r="L199" s="116"/>
      <c r="M199" s="116"/>
      <c r="N199" s="116"/>
      <c r="O199" s="116"/>
      <c r="P199" s="116"/>
    </row>
    <row r="200" spans="2:16" s="108" customFormat="1" ht="15" hidden="1" customHeight="1">
      <c r="B200" s="109"/>
      <c r="C200" s="122"/>
      <c r="D200" s="123"/>
      <c r="E200" s="115"/>
      <c r="F200" s="113"/>
      <c r="G200" s="114"/>
      <c r="H200" s="115"/>
      <c r="I200" s="115"/>
      <c r="J200" s="116"/>
      <c r="K200" s="116"/>
      <c r="L200" s="116"/>
      <c r="M200" s="116"/>
      <c r="N200" s="116"/>
      <c r="O200" s="116"/>
      <c r="P200" s="116"/>
    </row>
    <row r="201" spans="2:16" s="117" customFormat="1" ht="21.75" hidden="1" customHeight="1">
      <c r="B201" s="118"/>
      <c r="C201" s="110"/>
      <c r="D201" s="111" t="s">
        <v>69</v>
      </c>
      <c r="E201" s="120">
        <f>E202+E206+E209</f>
        <v>4000000000</v>
      </c>
      <c r="F201" s="119">
        <v>389351314600</v>
      </c>
      <c r="G201" s="114">
        <f t="shared" si="2"/>
        <v>1.0273498123691709</v>
      </c>
      <c r="H201" s="120"/>
      <c r="I201" s="120"/>
      <c r="J201" s="121"/>
      <c r="K201" s="121"/>
      <c r="L201" s="121"/>
      <c r="M201" s="121"/>
      <c r="N201" s="121"/>
      <c r="O201" s="121"/>
      <c r="P201" s="121"/>
    </row>
    <row r="202" spans="2:16" s="117" customFormat="1" ht="21.75" hidden="1" customHeight="1">
      <c r="B202" s="118"/>
      <c r="C202" s="110"/>
      <c r="D202" s="111" t="s">
        <v>276</v>
      </c>
      <c r="E202" s="120">
        <f>E203+E204+E205</f>
        <v>1500000000</v>
      </c>
      <c r="F202" s="119">
        <v>389351314600</v>
      </c>
      <c r="G202" s="114">
        <f t="shared" si="2"/>
        <v>0.38525617963843906</v>
      </c>
      <c r="H202" s="120"/>
      <c r="I202" s="120"/>
      <c r="J202" s="121"/>
      <c r="K202" s="121"/>
      <c r="L202" s="121"/>
      <c r="M202" s="121"/>
      <c r="N202" s="121"/>
      <c r="O202" s="121"/>
      <c r="P202" s="121"/>
    </row>
    <row r="203" spans="2:16" s="108" customFormat="1" ht="21.75" hidden="1" customHeight="1">
      <c r="B203" s="109"/>
      <c r="C203" s="122"/>
      <c r="D203" s="123" t="s">
        <v>277</v>
      </c>
      <c r="E203" s="115">
        <v>500000000</v>
      </c>
      <c r="F203" s="113">
        <v>389351314600</v>
      </c>
      <c r="G203" s="114">
        <f t="shared" si="2"/>
        <v>0.12841872654614636</v>
      </c>
      <c r="H203" s="115"/>
      <c r="I203" s="115"/>
      <c r="J203" s="116"/>
      <c r="K203" s="116"/>
      <c r="L203" s="116"/>
      <c r="M203" s="116"/>
      <c r="N203" s="116"/>
      <c r="O203" s="116"/>
      <c r="P203" s="116"/>
    </row>
    <row r="204" spans="2:16" s="108" customFormat="1" ht="33.75" hidden="1" customHeight="1">
      <c r="B204" s="109"/>
      <c r="C204" s="122"/>
      <c r="D204" s="123" t="s">
        <v>278</v>
      </c>
      <c r="E204" s="115">
        <v>854316800</v>
      </c>
      <c r="F204" s="113">
        <v>389351314600</v>
      </c>
      <c r="G204" s="114">
        <f t="shared" si="2"/>
        <v>0.21942055104595759</v>
      </c>
      <c r="H204" s="115"/>
      <c r="I204" s="115"/>
      <c r="J204" s="116"/>
      <c r="K204" s="116"/>
      <c r="L204" s="116"/>
      <c r="M204" s="116"/>
      <c r="N204" s="116"/>
      <c r="O204" s="116"/>
      <c r="P204" s="116"/>
    </row>
    <row r="205" spans="2:16" s="108" customFormat="1" ht="21.75" hidden="1" customHeight="1">
      <c r="B205" s="109"/>
      <c r="C205" s="122"/>
      <c r="D205" s="123" t="s">
        <v>279</v>
      </c>
      <c r="E205" s="115">
        <v>145683200</v>
      </c>
      <c r="F205" s="113">
        <v>389351314600</v>
      </c>
      <c r="G205" s="114">
        <f t="shared" si="2"/>
        <v>3.7416902046335097E-2</v>
      </c>
      <c r="H205" s="115"/>
      <c r="I205" s="115"/>
      <c r="J205" s="116"/>
      <c r="K205" s="116"/>
      <c r="L205" s="116"/>
      <c r="M205" s="116"/>
      <c r="N205" s="116"/>
      <c r="O205" s="116"/>
      <c r="P205" s="116"/>
    </row>
    <row r="206" spans="2:16" s="117" customFormat="1" ht="21.75" hidden="1" customHeight="1">
      <c r="B206" s="118"/>
      <c r="C206" s="110"/>
      <c r="D206" s="111" t="s">
        <v>280</v>
      </c>
      <c r="E206" s="120">
        <f>E207+E208</f>
        <v>1600000000</v>
      </c>
      <c r="F206" s="119">
        <v>389351314600</v>
      </c>
      <c r="G206" s="114">
        <f t="shared" si="2"/>
        <v>0.41093992494766829</v>
      </c>
      <c r="H206" s="120"/>
      <c r="I206" s="120"/>
      <c r="J206" s="121"/>
      <c r="K206" s="121"/>
      <c r="L206" s="121"/>
      <c r="M206" s="121"/>
      <c r="N206" s="121"/>
      <c r="O206" s="121"/>
      <c r="P206" s="121"/>
    </row>
    <row r="207" spans="2:16" s="108" customFormat="1" ht="21.75" hidden="1" customHeight="1">
      <c r="B207" s="109"/>
      <c r="C207" s="122"/>
      <c r="D207" s="123" t="s">
        <v>281</v>
      </c>
      <c r="E207" s="115">
        <v>600000000</v>
      </c>
      <c r="F207" s="113">
        <v>389351314600</v>
      </c>
      <c r="G207" s="114">
        <f t="shared" si="2"/>
        <v>0.15410247185537562</v>
      </c>
      <c r="H207" s="115"/>
      <c r="I207" s="115"/>
      <c r="J207" s="116"/>
      <c r="K207" s="116"/>
      <c r="L207" s="116"/>
      <c r="M207" s="116"/>
      <c r="N207" s="116"/>
      <c r="O207" s="116"/>
      <c r="P207" s="116"/>
    </row>
    <row r="208" spans="2:16" s="108" customFormat="1" ht="21.75" hidden="1" customHeight="1">
      <c r="B208" s="109"/>
      <c r="C208" s="122"/>
      <c r="D208" s="123" t="s">
        <v>282</v>
      </c>
      <c r="E208" s="115">
        <v>1000000000</v>
      </c>
      <c r="F208" s="113">
        <v>389351314600</v>
      </c>
      <c r="G208" s="114">
        <f t="shared" ref="G208:G271" si="3">+E208/F208*100</f>
        <v>0.25683745309229272</v>
      </c>
      <c r="H208" s="115"/>
      <c r="I208" s="115"/>
      <c r="J208" s="116"/>
      <c r="K208" s="116"/>
      <c r="L208" s="116"/>
      <c r="M208" s="116"/>
      <c r="N208" s="116"/>
      <c r="O208" s="116"/>
      <c r="P208" s="116"/>
    </row>
    <row r="209" spans="2:16" s="117" customFormat="1" ht="21.75" hidden="1" customHeight="1">
      <c r="B209" s="118"/>
      <c r="C209" s="110"/>
      <c r="D209" s="111" t="s">
        <v>283</v>
      </c>
      <c r="E209" s="120">
        <f>E210+E211</f>
        <v>900000000</v>
      </c>
      <c r="F209" s="119">
        <v>389351314600</v>
      </c>
      <c r="G209" s="114">
        <f t="shared" si="3"/>
        <v>0.23115370778306346</v>
      </c>
      <c r="H209" s="120"/>
      <c r="I209" s="120"/>
      <c r="J209" s="121"/>
      <c r="K209" s="121"/>
      <c r="L209" s="121"/>
      <c r="M209" s="121"/>
      <c r="N209" s="121"/>
      <c r="O209" s="121"/>
      <c r="P209" s="121"/>
    </row>
    <row r="210" spans="2:16" s="108" customFormat="1" ht="21.75" hidden="1" customHeight="1">
      <c r="B210" s="109"/>
      <c r="C210" s="122"/>
      <c r="D210" s="123" t="s">
        <v>284</v>
      </c>
      <c r="E210" s="115">
        <v>400000000</v>
      </c>
      <c r="F210" s="113">
        <v>389351314600</v>
      </c>
      <c r="G210" s="114">
        <f t="shared" si="3"/>
        <v>0.10273498123691707</v>
      </c>
      <c r="H210" s="115"/>
      <c r="I210" s="115"/>
      <c r="J210" s="116"/>
      <c r="K210" s="116"/>
      <c r="L210" s="116"/>
      <c r="M210" s="116"/>
      <c r="N210" s="116"/>
      <c r="O210" s="116"/>
      <c r="P210" s="116"/>
    </row>
    <row r="211" spans="2:16" s="108" customFormat="1" ht="33.75" hidden="1" customHeight="1">
      <c r="B211" s="109"/>
      <c r="C211" s="122"/>
      <c r="D211" s="123" t="s">
        <v>285</v>
      </c>
      <c r="E211" s="115">
        <v>500000000</v>
      </c>
      <c r="F211" s="113">
        <v>389351314600</v>
      </c>
      <c r="G211" s="114">
        <f t="shared" si="3"/>
        <v>0.12841872654614636</v>
      </c>
      <c r="H211" s="115"/>
      <c r="I211" s="115"/>
      <c r="J211" s="116"/>
      <c r="K211" s="116"/>
      <c r="L211" s="116"/>
      <c r="M211" s="116"/>
      <c r="N211" s="116"/>
      <c r="O211" s="116"/>
      <c r="P211" s="116"/>
    </row>
    <row r="212" spans="2:16" s="108" customFormat="1" ht="15" hidden="1" customHeight="1">
      <c r="B212" s="109"/>
      <c r="C212" s="122"/>
      <c r="D212" s="123"/>
      <c r="E212" s="115"/>
      <c r="F212" s="113"/>
      <c r="G212" s="114"/>
      <c r="H212" s="115"/>
      <c r="I212" s="115"/>
      <c r="J212" s="116"/>
      <c r="K212" s="116"/>
      <c r="L212" s="116"/>
      <c r="M212" s="116"/>
      <c r="N212" s="116"/>
      <c r="O212" s="116"/>
      <c r="P212" s="116"/>
    </row>
    <row r="213" spans="2:16" s="117" customFormat="1" ht="21.75" hidden="1" customHeight="1">
      <c r="B213" s="118"/>
      <c r="C213" s="110"/>
      <c r="D213" s="111" t="s">
        <v>70</v>
      </c>
      <c r="E213" s="120">
        <f>E214+E217+E222+E225+E230</f>
        <v>11402000000</v>
      </c>
      <c r="F213" s="119">
        <v>389351314600</v>
      </c>
      <c r="G213" s="114">
        <f t="shared" si="3"/>
        <v>2.9284606401583217</v>
      </c>
      <c r="H213" s="120"/>
      <c r="I213" s="120"/>
      <c r="J213" s="121"/>
      <c r="K213" s="121"/>
      <c r="L213" s="121"/>
      <c r="M213" s="121"/>
      <c r="N213" s="121"/>
      <c r="O213" s="121"/>
      <c r="P213" s="121"/>
    </row>
    <row r="214" spans="2:16" s="117" customFormat="1" ht="21.75" hidden="1" customHeight="1">
      <c r="B214" s="118"/>
      <c r="C214" s="110"/>
      <c r="D214" s="111" t="s">
        <v>286</v>
      </c>
      <c r="E214" s="120">
        <f>E215+E216</f>
        <v>2208775000</v>
      </c>
      <c r="F214" s="119">
        <v>389351314600</v>
      </c>
      <c r="G214" s="114">
        <f t="shared" si="3"/>
        <v>0.56729614545392881</v>
      </c>
      <c r="H214" s="120"/>
      <c r="I214" s="120"/>
      <c r="J214" s="121"/>
      <c r="K214" s="121"/>
      <c r="L214" s="121"/>
      <c r="M214" s="121"/>
      <c r="N214" s="121"/>
      <c r="O214" s="121"/>
      <c r="P214" s="121"/>
    </row>
    <row r="215" spans="2:16" s="108" customFormat="1" ht="21.75" hidden="1" customHeight="1">
      <c r="B215" s="109"/>
      <c r="C215" s="122"/>
      <c r="D215" s="123" t="s">
        <v>287</v>
      </c>
      <c r="E215" s="115">
        <v>2067400000</v>
      </c>
      <c r="F215" s="113">
        <v>389351314600</v>
      </c>
      <c r="G215" s="114">
        <f t="shared" si="3"/>
        <v>0.53098575052300589</v>
      </c>
      <c r="H215" s="115"/>
      <c r="I215" s="115"/>
      <c r="J215" s="116"/>
      <c r="K215" s="116"/>
      <c r="L215" s="116"/>
      <c r="M215" s="116"/>
      <c r="N215" s="116"/>
      <c r="O215" s="116"/>
      <c r="P215" s="116"/>
    </row>
    <row r="216" spans="2:16" s="108" customFormat="1" ht="21.75" hidden="1" customHeight="1">
      <c r="B216" s="109"/>
      <c r="C216" s="122"/>
      <c r="D216" s="123" t="s">
        <v>288</v>
      </c>
      <c r="E216" s="115">
        <v>141375000</v>
      </c>
      <c r="F216" s="113">
        <v>389351314600</v>
      </c>
      <c r="G216" s="114">
        <f t="shared" si="3"/>
        <v>3.6310394930922883E-2</v>
      </c>
      <c r="H216" s="115"/>
      <c r="I216" s="115"/>
      <c r="J216" s="116"/>
      <c r="K216" s="116"/>
      <c r="L216" s="116"/>
      <c r="M216" s="116"/>
      <c r="N216" s="116"/>
      <c r="O216" s="116"/>
      <c r="P216" s="116"/>
    </row>
    <row r="217" spans="2:16" s="117" customFormat="1" ht="21.75" hidden="1" customHeight="1">
      <c r="B217" s="118"/>
      <c r="C217" s="110"/>
      <c r="D217" s="111" t="s">
        <v>289</v>
      </c>
      <c r="E217" s="120">
        <f>E218+E219+E220+E221</f>
        <v>4720325000</v>
      </c>
      <c r="F217" s="119">
        <v>389351314600</v>
      </c>
      <c r="G217" s="114">
        <f t="shared" si="3"/>
        <v>1.2123562507678767</v>
      </c>
      <c r="H217" s="120"/>
      <c r="I217" s="120"/>
      <c r="J217" s="121"/>
      <c r="K217" s="121"/>
      <c r="L217" s="121"/>
      <c r="M217" s="121"/>
      <c r="N217" s="121"/>
      <c r="O217" s="121"/>
      <c r="P217" s="121"/>
    </row>
    <row r="218" spans="2:16" s="108" customFormat="1" ht="21.75" hidden="1" customHeight="1">
      <c r="B218" s="109"/>
      <c r="C218" s="122"/>
      <c r="D218" s="123" t="s">
        <v>290</v>
      </c>
      <c r="E218" s="115">
        <v>241000000</v>
      </c>
      <c r="F218" s="113">
        <v>389351314600</v>
      </c>
      <c r="G218" s="114">
        <f t="shared" si="3"/>
        <v>6.189782619524254E-2</v>
      </c>
      <c r="H218" s="115"/>
      <c r="I218" s="115"/>
      <c r="J218" s="116"/>
      <c r="K218" s="116"/>
      <c r="L218" s="116"/>
      <c r="M218" s="116"/>
      <c r="N218" s="116"/>
      <c r="O218" s="116"/>
      <c r="P218" s="116"/>
    </row>
    <row r="219" spans="2:16" s="108" customFormat="1" ht="21.75" hidden="1" customHeight="1">
      <c r="B219" s="109"/>
      <c r="C219" s="122"/>
      <c r="D219" s="123" t="s">
        <v>291</v>
      </c>
      <c r="E219" s="115">
        <v>116725000</v>
      </c>
      <c r="F219" s="113">
        <v>389351314600</v>
      </c>
      <c r="G219" s="114">
        <f t="shared" si="3"/>
        <v>2.9979351712197868E-2</v>
      </c>
      <c r="H219" s="115"/>
      <c r="I219" s="115"/>
      <c r="J219" s="116"/>
      <c r="K219" s="116"/>
      <c r="L219" s="116"/>
      <c r="M219" s="116"/>
      <c r="N219" s="116"/>
      <c r="O219" s="116"/>
      <c r="P219" s="116"/>
    </row>
    <row r="220" spans="2:16" s="108" customFormat="1" ht="21.75" hidden="1" customHeight="1">
      <c r="B220" s="109"/>
      <c r="C220" s="122"/>
      <c r="D220" s="123" t="s">
        <v>292</v>
      </c>
      <c r="E220" s="115">
        <v>4257600000</v>
      </c>
      <c r="F220" s="113">
        <v>389351314600</v>
      </c>
      <c r="G220" s="114">
        <f t="shared" si="3"/>
        <v>1.0935111402857456</v>
      </c>
      <c r="H220" s="115"/>
      <c r="I220" s="115"/>
      <c r="J220" s="116"/>
      <c r="K220" s="116"/>
      <c r="L220" s="116"/>
      <c r="M220" s="116"/>
      <c r="N220" s="116"/>
      <c r="O220" s="116"/>
      <c r="P220" s="116"/>
    </row>
    <row r="221" spans="2:16" s="108" customFormat="1" ht="21.75" hidden="1" customHeight="1">
      <c r="B221" s="109"/>
      <c r="C221" s="122"/>
      <c r="D221" s="123" t="s">
        <v>293</v>
      </c>
      <c r="E221" s="115">
        <v>105000000</v>
      </c>
      <c r="F221" s="113">
        <v>389351314600</v>
      </c>
      <c r="G221" s="114">
        <f t="shared" si="3"/>
        <v>2.6967932574690736E-2</v>
      </c>
      <c r="H221" s="115"/>
      <c r="I221" s="115"/>
      <c r="J221" s="116"/>
      <c r="K221" s="116"/>
      <c r="L221" s="116"/>
      <c r="M221" s="116"/>
      <c r="N221" s="116"/>
      <c r="O221" s="116"/>
      <c r="P221" s="116"/>
    </row>
    <row r="222" spans="2:16" s="117" customFormat="1" ht="21.75" hidden="1" customHeight="1">
      <c r="B222" s="118"/>
      <c r="C222" s="110"/>
      <c r="D222" s="111" t="s">
        <v>294</v>
      </c>
      <c r="E222" s="120">
        <f>E223+E224</f>
        <v>2472900000</v>
      </c>
      <c r="F222" s="119">
        <v>389351314600</v>
      </c>
      <c r="G222" s="114">
        <f t="shared" si="3"/>
        <v>0.63513333775193059</v>
      </c>
      <c r="H222" s="120"/>
      <c r="I222" s="120"/>
      <c r="J222" s="121"/>
      <c r="K222" s="121"/>
      <c r="L222" s="121"/>
      <c r="M222" s="121"/>
      <c r="N222" s="121"/>
      <c r="O222" s="121"/>
      <c r="P222" s="121"/>
    </row>
    <row r="223" spans="2:16" s="108" customFormat="1" ht="21.75" hidden="1" customHeight="1">
      <c r="B223" s="109"/>
      <c r="C223" s="122"/>
      <c r="D223" s="123" t="s">
        <v>295</v>
      </c>
      <c r="E223" s="115">
        <v>200000000</v>
      </c>
      <c r="F223" s="113">
        <v>389351314600</v>
      </c>
      <c r="G223" s="114">
        <f t="shared" si="3"/>
        <v>5.1367490618458536E-2</v>
      </c>
      <c r="H223" s="115"/>
      <c r="I223" s="115"/>
      <c r="J223" s="116"/>
      <c r="K223" s="116"/>
      <c r="L223" s="116"/>
      <c r="M223" s="116"/>
      <c r="N223" s="116"/>
      <c r="O223" s="116"/>
      <c r="P223" s="116"/>
    </row>
    <row r="224" spans="2:16" s="108" customFormat="1" ht="21.75" hidden="1" customHeight="1">
      <c r="B224" s="109"/>
      <c r="C224" s="122"/>
      <c r="D224" s="123" t="s">
        <v>296</v>
      </c>
      <c r="E224" s="115">
        <v>2272900000</v>
      </c>
      <c r="F224" s="113">
        <v>389351314600</v>
      </c>
      <c r="G224" s="114">
        <f t="shared" si="3"/>
        <v>0.58376584713347213</v>
      </c>
      <c r="H224" s="115"/>
      <c r="I224" s="115"/>
      <c r="J224" s="116"/>
      <c r="K224" s="116"/>
      <c r="L224" s="116"/>
      <c r="M224" s="116"/>
      <c r="N224" s="116"/>
      <c r="O224" s="116"/>
      <c r="P224" s="116"/>
    </row>
    <row r="225" spans="2:16" s="117" customFormat="1" ht="21.75" hidden="1" customHeight="1">
      <c r="B225" s="118"/>
      <c r="C225" s="110"/>
      <c r="D225" s="111" t="s">
        <v>297</v>
      </c>
      <c r="E225" s="120">
        <f>E226+E227+E228+E229</f>
        <v>1400000000</v>
      </c>
      <c r="F225" s="119">
        <v>389351314600</v>
      </c>
      <c r="G225" s="114">
        <f t="shared" si="3"/>
        <v>0.35957243432920977</v>
      </c>
      <c r="H225" s="120"/>
      <c r="I225" s="120"/>
      <c r="J225" s="121"/>
      <c r="K225" s="121"/>
      <c r="L225" s="121"/>
      <c r="M225" s="121"/>
      <c r="N225" s="121"/>
      <c r="O225" s="121"/>
      <c r="P225" s="121"/>
    </row>
    <row r="226" spans="2:16" s="108" customFormat="1" ht="21.75" hidden="1" customHeight="1">
      <c r="B226" s="109"/>
      <c r="C226" s="122"/>
      <c r="D226" s="123" t="s">
        <v>298</v>
      </c>
      <c r="E226" s="115">
        <v>450000000</v>
      </c>
      <c r="F226" s="113">
        <v>389351314600</v>
      </c>
      <c r="G226" s="114">
        <f t="shared" si="3"/>
        <v>0.11557685389153173</v>
      </c>
      <c r="H226" s="115"/>
      <c r="I226" s="115"/>
      <c r="J226" s="116"/>
      <c r="K226" s="116"/>
      <c r="L226" s="116"/>
      <c r="M226" s="116"/>
      <c r="N226" s="116"/>
      <c r="O226" s="116"/>
      <c r="P226" s="116"/>
    </row>
    <row r="227" spans="2:16" s="108" customFormat="1" ht="21.75" hidden="1" customHeight="1">
      <c r="B227" s="109"/>
      <c r="C227" s="122"/>
      <c r="D227" s="123" t="s">
        <v>299</v>
      </c>
      <c r="E227" s="115">
        <v>350000000</v>
      </c>
      <c r="F227" s="113">
        <v>389351314600</v>
      </c>
      <c r="G227" s="114">
        <f t="shared" si="3"/>
        <v>8.9893108582302442E-2</v>
      </c>
      <c r="H227" s="115"/>
      <c r="I227" s="115"/>
      <c r="J227" s="116"/>
      <c r="K227" s="116"/>
      <c r="L227" s="116"/>
      <c r="M227" s="116"/>
      <c r="N227" s="116"/>
      <c r="O227" s="116"/>
      <c r="P227" s="116"/>
    </row>
    <row r="228" spans="2:16" s="108" customFormat="1" ht="21.75" hidden="1" customHeight="1">
      <c r="B228" s="109"/>
      <c r="C228" s="122"/>
      <c r="D228" s="123" t="s">
        <v>300</v>
      </c>
      <c r="E228" s="115">
        <v>300000000</v>
      </c>
      <c r="F228" s="113">
        <v>389351314600</v>
      </c>
      <c r="G228" s="114">
        <f t="shared" si="3"/>
        <v>7.7051235927687811E-2</v>
      </c>
      <c r="H228" s="115"/>
      <c r="I228" s="115"/>
      <c r="J228" s="116"/>
      <c r="K228" s="116"/>
      <c r="L228" s="116"/>
      <c r="M228" s="116"/>
      <c r="N228" s="116"/>
      <c r="O228" s="116"/>
      <c r="P228" s="116"/>
    </row>
    <row r="229" spans="2:16" s="108" customFormat="1" ht="21.75" hidden="1" customHeight="1">
      <c r="B229" s="109"/>
      <c r="C229" s="122"/>
      <c r="D229" s="123" t="s">
        <v>301</v>
      </c>
      <c r="E229" s="115">
        <v>300000000</v>
      </c>
      <c r="F229" s="113">
        <v>389351314600</v>
      </c>
      <c r="G229" s="114">
        <f t="shared" si="3"/>
        <v>7.7051235927687811E-2</v>
      </c>
      <c r="H229" s="115"/>
      <c r="I229" s="115"/>
      <c r="J229" s="116"/>
      <c r="K229" s="116"/>
      <c r="L229" s="116"/>
      <c r="M229" s="116"/>
      <c r="N229" s="116"/>
      <c r="O229" s="116"/>
      <c r="P229" s="116"/>
    </row>
    <row r="230" spans="2:16" s="117" customFormat="1" ht="21.75" hidden="1" customHeight="1">
      <c r="B230" s="118"/>
      <c r="C230" s="110"/>
      <c r="D230" s="111" t="s">
        <v>302</v>
      </c>
      <c r="E230" s="120">
        <f>E231</f>
        <v>600000000</v>
      </c>
      <c r="F230" s="119">
        <v>389351314600</v>
      </c>
      <c r="G230" s="114">
        <f t="shared" si="3"/>
        <v>0.15410247185537562</v>
      </c>
      <c r="H230" s="120"/>
      <c r="I230" s="120"/>
      <c r="J230" s="121"/>
      <c r="K230" s="121"/>
      <c r="L230" s="121"/>
      <c r="M230" s="121"/>
      <c r="N230" s="121"/>
      <c r="O230" s="121"/>
      <c r="P230" s="121"/>
    </row>
    <row r="231" spans="2:16" s="108" customFormat="1" ht="33.75" hidden="1" customHeight="1">
      <c r="B231" s="109"/>
      <c r="C231" s="122"/>
      <c r="D231" s="123" t="s">
        <v>303</v>
      </c>
      <c r="E231" s="115">
        <v>600000000</v>
      </c>
      <c r="F231" s="113">
        <v>389351314600</v>
      </c>
      <c r="G231" s="114">
        <f t="shared" si="3"/>
        <v>0.15410247185537562</v>
      </c>
      <c r="H231" s="115"/>
      <c r="I231" s="115"/>
      <c r="J231" s="116"/>
      <c r="K231" s="116"/>
      <c r="L231" s="116"/>
      <c r="M231" s="116"/>
      <c r="N231" s="116"/>
      <c r="O231" s="116"/>
      <c r="P231" s="116"/>
    </row>
    <row r="232" spans="2:16" s="108" customFormat="1" ht="15" hidden="1" customHeight="1">
      <c r="B232" s="109"/>
      <c r="C232" s="122"/>
      <c r="D232" s="123"/>
      <c r="E232" s="115"/>
      <c r="F232" s="113"/>
      <c r="G232" s="114"/>
      <c r="H232" s="115"/>
      <c r="I232" s="115"/>
      <c r="J232" s="116"/>
      <c r="K232" s="116"/>
      <c r="L232" s="116"/>
      <c r="M232" s="116"/>
      <c r="N232" s="116"/>
      <c r="O232" s="116"/>
      <c r="P232" s="116"/>
    </row>
    <row r="233" spans="2:16" s="117" customFormat="1" ht="21.75" hidden="1" customHeight="1">
      <c r="B233" s="118"/>
      <c r="C233" s="110"/>
      <c r="D233" s="111" t="s">
        <v>71</v>
      </c>
      <c r="E233" s="120">
        <f>E234+E237+E239+E241+E243+E248+E252+E257+E259+E262+E264+E266</f>
        <v>15000000000</v>
      </c>
      <c r="F233" s="119">
        <v>389351314600</v>
      </c>
      <c r="G233" s="114">
        <f t="shared" si="3"/>
        <v>3.8525617963843906</v>
      </c>
      <c r="H233" s="120"/>
      <c r="I233" s="120"/>
      <c r="J233" s="121"/>
      <c r="K233" s="121"/>
      <c r="L233" s="121"/>
      <c r="M233" s="121"/>
      <c r="N233" s="121"/>
      <c r="O233" s="121"/>
      <c r="P233" s="121"/>
    </row>
    <row r="234" spans="2:16" s="117" customFormat="1" ht="21.75" hidden="1" customHeight="1">
      <c r="B234" s="118"/>
      <c r="C234" s="110"/>
      <c r="D234" s="111" t="s">
        <v>304</v>
      </c>
      <c r="E234" s="120">
        <f>E235+E236</f>
        <v>435200000</v>
      </c>
      <c r="F234" s="119">
        <v>389351314600</v>
      </c>
      <c r="G234" s="114">
        <f t="shared" si="3"/>
        <v>0.11177565958576578</v>
      </c>
      <c r="H234" s="120"/>
      <c r="I234" s="120"/>
      <c r="J234" s="121"/>
      <c r="K234" s="121"/>
      <c r="L234" s="121"/>
      <c r="M234" s="121"/>
      <c r="N234" s="121"/>
      <c r="O234" s="121"/>
      <c r="P234" s="121"/>
    </row>
    <row r="235" spans="2:16" s="108" customFormat="1" ht="21.75" hidden="1" customHeight="1">
      <c r="B235" s="109"/>
      <c r="C235" s="122"/>
      <c r="D235" s="123" t="s">
        <v>305</v>
      </c>
      <c r="E235" s="115">
        <v>200000000</v>
      </c>
      <c r="F235" s="113">
        <v>389351314600</v>
      </c>
      <c r="G235" s="114">
        <f t="shared" si="3"/>
        <v>5.1367490618458536E-2</v>
      </c>
      <c r="H235" s="115"/>
      <c r="I235" s="115"/>
      <c r="J235" s="116"/>
      <c r="K235" s="116"/>
      <c r="L235" s="116"/>
      <c r="M235" s="116"/>
      <c r="N235" s="116"/>
      <c r="O235" s="116"/>
      <c r="P235" s="116"/>
    </row>
    <row r="236" spans="2:16" s="108" customFormat="1" ht="21.75" hidden="1" customHeight="1">
      <c r="B236" s="109"/>
      <c r="C236" s="122"/>
      <c r="D236" s="123" t="s">
        <v>306</v>
      </c>
      <c r="E236" s="115">
        <v>235200000</v>
      </c>
      <c r="F236" s="113">
        <v>389351314600</v>
      </c>
      <c r="G236" s="114">
        <f t="shared" si="3"/>
        <v>6.0408168967307246E-2</v>
      </c>
      <c r="H236" s="115"/>
      <c r="I236" s="115"/>
      <c r="J236" s="116"/>
      <c r="K236" s="116"/>
      <c r="L236" s="116"/>
      <c r="M236" s="116"/>
      <c r="N236" s="116"/>
      <c r="O236" s="116"/>
      <c r="P236" s="116"/>
    </row>
    <row r="237" spans="2:16" s="117" customFormat="1" ht="21.75" hidden="1" customHeight="1">
      <c r="B237" s="118"/>
      <c r="C237" s="110"/>
      <c r="D237" s="111" t="s">
        <v>304</v>
      </c>
      <c r="E237" s="120">
        <f>E238</f>
        <v>5000000000</v>
      </c>
      <c r="F237" s="119">
        <v>389351314600</v>
      </c>
      <c r="G237" s="114">
        <f t="shared" si="3"/>
        <v>1.2841872654614637</v>
      </c>
      <c r="H237" s="120"/>
      <c r="I237" s="120"/>
      <c r="J237" s="121"/>
      <c r="K237" s="121"/>
      <c r="L237" s="121"/>
      <c r="M237" s="121"/>
      <c r="N237" s="121"/>
      <c r="O237" s="121"/>
      <c r="P237" s="121"/>
    </row>
    <row r="238" spans="2:16" s="108" customFormat="1" ht="21.75" hidden="1" customHeight="1">
      <c r="B238" s="109"/>
      <c r="C238" s="122"/>
      <c r="D238" s="123" t="s">
        <v>307</v>
      </c>
      <c r="E238" s="115">
        <v>5000000000</v>
      </c>
      <c r="F238" s="113">
        <v>389351314600</v>
      </c>
      <c r="G238" s="114">
        <f t="shared" si="3"/>
        <v>1.2841872654614637</v>
      </c>
      <c r="H238" s="115"/>
      <c r="I238" s="115"/>
      <c r="J238" s="116"/>
      <c r="K238" s="116"/>
      <c r="L238" s="116"/>
      <c r="M238" s="116"/>
      <c r="N238" s="116"/>
      <c r="O238" s="116"/>
      <c r="P238" s="116"/>
    </row>
    <row r="239" spans="2:16" s="117" customFormat="1" ht="21.75" hidden="1" customHeight="1">
      <c r="B239" s="118"/>
      <c r="C239" s="110"/>
      <c r="D239" s="111" t="s">
        <v>308</v>
      </c>
      <c r="E239" s="120">
        <f>E240</f>
        <v>837345010</v>
      </c>
      <c r="F239" s="119">
        <v>389351314600</v>
      </c>
      <c r="G239" s="114">
        <f t="shared" si="3"/>
        <v>0.21506155972794036</v>
      </c>
      <c r="H239" s="120"/>
      <c r="I239" s="120"/>
      <c r="J239" s="121"/>
      <c r="K239" s="121"/>
      <c r="L239" s="121"/>
      <c r="M239" s="121"/>
      <c r="N239" s="121"/>
      <c r="O239" s="121"/>
      <c r="P239" s="121"/>
    </row>
    <row r="240" spans="2:16" s="108" customFormat="1" ht="21.75" hidden="1" customHeight="1">
      <c r="B240" s="109"/>
      <c r="C240" s="122"/>
      <c r="D240" s="123" t="s">
        <v>309</v>
      </c>
      <c r="E240" s="115">
        <v>837345010</v>
      </c>
      <c r="F240" s="113">
        <v>389351314600</v>
      </c>
      <c r="G240" s="114">
        <f t="shared" si="3"/>
        <v>0.21506155972794036</v>
      </c>
      <c r="H240" s="115"/>
      <c r="I240" s="115"/>
      <c r="J240" s="116"/>
      <c r="K240" s="116"/>
      <c r="L240" s="116"/>
      <c r="M240" s="116"/>
      <c r="N240" s="116"/>
      <c r="O240" s="116"/>
      <c r="P240" s="116"/>
    </row>
    <row r="241" spans="2:16" s="117" customFormat="1" ht="21.75" hidden="1" customHeight="1">
      <c r="B241" s="118"/>
      <c r="C241" s="110"/>
      <c r="D241" s="111" t="s">
        <v>310</v>
      </c>
      <c r="E241" s="120">
        <f>E242</f>
        <v>324617800</v>
      </c>
      <c r="F241" s="119">
        <v>389351314600</v>
      </c>
      <c r="G241" s="114">
        <f t="shared" si="3"/>
        <v>8.3374008980423256E-2</v>
      </c>
      <c r="H241" s="120"/>
      <c r="I241" s="120"/>
      <c r="J241" s="121"/>
      <c r="K241" s="121"/>
      <c r="L241" s="121"/>
      <c r="M241" s="121"/>
      <c r="N241" s="121"/>
      <c r="O241" s="121"/>
      <c r="P241" s="121"/>
    </row>
    <row r="242" spans="2:16" s="108" customFormat="1" ht="29.25" hidden="1" customHeight="1">
      <c r="B242" s="109"/>
      <c r="C242" s="122"/>
      <c r="D242" s="123" t="s">
        <v>311</v>
      </c>
      <c r="E242" s="115">
        <v>324617800</v>
      </c>
      <c r="F242" s="113">
        <v>389351314600</v>
      </c>
      <c r="G242" s="114">
        <f t="shared" si="3"/>
        <v>8.3374008980423256E-2</v>
      </c>
      <c r="H242" s="115"/>
      <c r="I242" s="115"/>
      <c r="J242" s="116"/>
      <c r="K242" s="116"/>
      <c r="L242" s="116"/>
      <c r="M242" s="116"/>
      <c r="N242" s="116"/>
      <c r="O242" s="116"/>
      <c r="P242" s="116"/>
    </row>
    <row r="243" spans="2:16" s="117" customFormat="1" ht="21.75" hidden="1" customHeight="1">
      <c r="B243" s="118"/>
      <c r="C243" s="110"/>
      <c r="D243" s="111" t="s">
        <v>312</v>
      </c>
      <c r="E243" s="120">
        <f>E244+E245+E246+E247</f>
        <v>3079262190</v>
      </c>
      <c r="F243" s="119">
        <v>389351314600</v>
      </c>
      <c r="G243" s="114">
        <f t="shared" si="3"/>
        <v>0.7908698582829955</v>
      </c>
      <c r="H243" s="120"/>
      <c r="I243" s="120"/>
      <c r="J243" s="121"/>
      <c r="K243" s="121"/>
      <c r="L243" s="121"/>
      <c r="M243" s="121"/>
      <c r="N243" s="121"/>
      <c r="O243" s="121"/>
      <c r="P243" s="121"/>
    </row>
    <row r="244" spans="2:16" s="108" customFormat="1" ht="21.75" hidden="1" customHeight="1">
      <c r="B244" s="109"/>
      <c r="C244" s="122"/>
      <c r="D244" s="123" t="s">
        <v>313</v>
      </c>
      <c r="E244" s="115">
        <v>1574298510</v>
      </c>
      <c r="F244" s="113">
        <v>389351314600</v>
      </c>
      <c r="G244" s="114">
        <f t="shared" si="3"/>
        <v>0.40433881971539132</v>
      </c>
      <c r="H244" s="115"/>
      <c r="I244" s="115"/>
      <c r="J244" s="116"/>
      <c r="K244" s="116"/>
      <c r="L244" s="116"/>
      <c r="M244" s="116"/>
      <c r="N244" s="116"/>
      <c r="O244" s="116"/>
      <c r="P244" s="116"/>
    </row>
    <row r="245" spans="2:16" s="108" customFormat="1" ht="21.75" hidden="1" customHeight="1">
      <c r="B245" s="109"/>
      <c r="C245" s="122"/>
      <c r="D245" s="123" t="s">
        <v>314</v>
      </c>
      <c r="E245" s="115">
        <v>418580000</v>
      </c>
      <c r="F245" s="113">
        <v>389351314600</v>
      </c>
      <c r="G245" s="114">
        <f t="shared" si="3"/>
        <v>0.10750702111537189</v>
      </c>
      <c r="H245" s="115"/>
      <c r="I245" s="115"/>
      <c r="J245" s="116"/>
      <c r="K245" s="116"/>
      <c r="L245" s="116"/>
      <c r="M245" s="116"/>
      <c r="N245" s="116"/>
      <c r="O245" s="116"/>
      <c r="P245" s="116"/>
    </row>
    <row r="246" spans="2:16" s="108" customFormat="1" ht="21.75" hidden="1" customHeight="1">
      <c r="B246" s="109"/>
      <c r="C246" s="122"/>
      <c r="D246" s="123" t="s">
        <v>315</v>
      </c>
      <c r="E246" s="115">
        <v>771296000</v>
      </c>
      <c r="F246" s="113">
        <v>389351314600</v>
      </c>
      <c r="G246" s="114">
        <f t="shared" si="3"/>
        <v>0.19809770022027298</v>
      </c>
      <c r="H246" s="115"/>
      <c r="I246" s="115"/>
      <c r="J246" s="116"/>
      <c r="K246" s="116"/>
      <c r="L246" s="116"/>
      <c r="M246" s="116"/>
      <c r="N246" s="116"/>
      <c r="O246" s="116"/>
      <c r="P246" s="116"/>
    </row>
    <row r="247" spans="2:16" s="108" customFormat="1" ht="21.75" hidden="1" customHeight="1">
      <c r="B247" s="109"/>
      <c r="C247" s="122"/>
      <c r="D247" s="123" t="s">
        <v>316</v>
      </c>
      <c r="E247" s="115">
        <v>315087680</v>
      </c>
      <c r="F247" s="113">
        <v>389351314600</v>
      </c>
      <c r="G247" s="114">
        <f t="shared" si="3"/>
        <v>8.0926317231959338E-2</v>
      </c>
      <c r="H247" s="115"/>
      <c r="I247" s="115"/>
      <c r="J247" s="116"/>
      <c r="K247" s="116"/>
      <c r="L247" s="116"/>
      <c r="M247" s="116"/>
      <c r="N247" s="116"/>
      <c r="O247" s="116"/>
      <c r="P247" s="116"/>
    </row>
    <row r="248" spans="2:16" s="117" customFormat="1" ht="21.75" hidden="1" customHeight="1">
      <c r="B248" s="118"/>
      <c r="C248" s="110"/>
      <c r="D248" s="111" t="s">
        <v>317</v>
      </c>
      <c r="E248" s="120">
        <f>E249+E250+E251</f>
        <v>1207600000</v>
      </c>
      <c r="F248" s="119">
        <v>389351314600</v>
      </c>
      <c r="G248" s="114">
        <f t="shared" si="3"/>
        <v>0.31015690835425269</v>
      </c>
      <c r="H248" s="120"/>
      <c r="I248" s="120"/>
      <c r="J248" s="121"/>
      <c r="K248" s="121"/>
      <c r="L248" s="121"/>
      <c r="M248" s="121"/>
      <c r="N248" s="121"/>
      <c r="O248" s="121"/>
      <c r="P248" s="121"/>
    </row>
    <row r="249" spans="2:16" s="108" customFormat="1" ht="21.75" hidden="1" customHeight="1">
      <c r="B249" s="109"/>
      <c r="C249" s="122"/>
      <c r="D249" s="123" t="s">
        <v>318</v>
      </c>
      <c r="E249" s="115">
        <v>187350000</v>
      </c>
      <c r="F249" s="113">
        <v>389351314600</v>
      </c>
      <c r="G249" s="114">
        <f t="shared" si="3"/>
        <v>4.8118496836841038E-2</v>
      </c>
      <c r="H249" s="115"/>
      <c r="I249" s="115"/>
      <c r="J249" s="116"/>
      <c r="K249" s="116"/>
      <c r="L249" s="116"/>
      <c r="M249" s="116"/>
      <c r="N249" s="116"/>
      <c r="O249" s="116"/>
      <c r="P249" s="116"/>
    </row>
    <row r="250" spans="2:16" s="108" customFormat="1" ht="21.75" hidden="1" customHeight="1">
      <c r="B250" s="109"/>
      <c r="C250" s="122"/>
      <c r="D250" s="123" t="s">
        <v>319</v>
      </c>
      <c r="E250" s="115">
        <v>807800000</v>
      </c>
      <c r="F250" s="113">
        <v>389351314600</v>
      </c>
      <c r="G250" s="114">
        <f t="shared" si="3"/>
        <v>0.20747329460795405</v>
      </c>
      <c r="H250" s="115"/>
      <c r="I250" s="115"/>
      <c r="J250" s="116"/>
      <c r="K250" s="116"/>
      <c r="L250" s="116"/>
      <c r="M250" s="116"/>
      <c r="N250" s="116"/>
      <c r="O250" s="116"/>
      <c r="P250" s="116"/>
    </row>
    <row r="251" spans="2:16" s="108" customFormat="1" ht="33" hidden="1" customHeight="1">
      <c r="B251" s="109"/>
      <c r="C251" s="122"/>
      <c r="D251" s="123" t="s">
        <v>320</v>
      </c>
      <c r="E251" s="115">
        <v>212450000</v>
      </c>
      <c r="F251" s="113">
        <v>389351314600</v>
      </c>
      <c r="G251" s="114">
        <f t="shared" si="3"/>
        <v>5.4565116909457589E-2</v>
      </c>
      <c r="H251" s="115"/>
      <c r="I251" s="115"/>
      <c r="J251" s="116"/>
      <c r="K251" s="116"/>
      <c r="L251" s="116"/>
      <c r="M251" s="116"/>
      <c r="N251" s="116"/>
      <c r="O251" s="116"/>
      <c r="P251" s="116"/>
    </row>
    <row r="252" spans="2:16" s="117" customFormat="1" ht="21.75" hidden="1" customHeight="1">
      <c r="B252" s="118"/>
      <c r="C252" s="110"/>
      <c r="D252" s="111" t="s">
        <v>321</v>
      </c>
      <c r="E252" s="120">
        <f>E253+E254+E255+E256</f>
        <v>2580392600</v>
      </c>
      <c r="F252" s="119">
        <v>389351314600</v>
      </c>
      <c r="G252" s="114">
        <f t="shared" si="3"/>
        <v>0.66274146336219919</v>
      </c>
      <c r="H252" s="120"/>
      <c r="I252" s="120"/>
      <c r="J252" s="121"/>
      <c r="K252" s="121"/>
      <c r="L252" s="121"/>
      <c r="M252" s="121"/>
      <c r="N252" s="121"/>
      <c r="O252" s="121"/>
      <c r="P252" s="121"/>
    </row>
    <row r="253" spans="2:16" s="108" customFormat="1" ht="21.75" hidden="1" customHeight="1">
      <c r="B253" s="109"/>
      <c r="C253" s="122"/>
      <c r="D253" s="123" t="s">
        <v>322</v>
      </c>
      <c r="E253" s="115">
        <v>1406000000</v>
      </c>
      <c r="F253" s="113">
        <v>389351314600</v>
      </c>
      <c r="G253" s="114">
        <f t="shared" si="3"/>
        <v>0.36111345904776354</v>
      </c>
      <c r="H253" s="115"/>
      <c r="I253" s="115"/>
      <c r="J253" s="116"/>
      <c r="K253" s="116"/>
      <c r="L253" s="116"/>
      <c r="M253" s="116"/>
      <c r="N253" s="116"/>
      <c r="O253" s="116"/>
      <c r="P253" s="116"/>
    </row>
    <row r="254" spans="2:16" s="108" customFormat="1" ht="21.75" hidden="1" customHeight="1">
      <c r="B254" s="109"/>
      <c r="C254" s="122"/>
      <c r="D254" s="123" t="s">
        <v>323</v>
      </c>
      <c r="E254" s="115">
        <v>222998150</v>
      </c>
      <c r="F254" s="113">
        <v>389351314600</v>
      </c>
      <c r="G254" s="114">
        <f t="shared" si="3"/>
        <v>5.7274276890293047E-2</v>
      </c>
      <c r="H254" s="115"/>
      <c r="I254" s="115"/>
      <c r="J254" s="116"/>
      <c r="K254" s="116"/>
      <c r="L254" s="116"/>
      <c r="M254" s="116"/>
      <c r="N254" s="116"/>
      <c r="O254" s="116"/>
      <c r="P254" s="116"/>
    </row>
    <row r="255" spans="2:16" s="108" customFormat="1" ht="21.75" hidden="1" customHeight="1">
      <c r="B255" s="109"/>
      <c r="C255" s="122"/>
      <c r="D255" s="123" t="s">
        <v>324</v>
      </c>
      <c r="E255" s="115">
        <v>619887450</v>
      </c>
      <c r="F255" s="113">
        <v>389351314600</v>
      </c>
      <c r="G255" s="114">
        <f t="shared" si="3"/>
        <v>0.15921031386187592</v>
      </c>
      <c r="H255" s="115"/>
      <c r="I255" s="115"/>
      <c r="J255" s="116"/>
      <c r="K255" s="116"/>
      <c r="L255" s="116"/>
      <c r="M255" s="116"/>
      <c r="N255" s="116"/>
      <c r="O255" s="116"/>
      <c r="P255" s="116"/>
    </row>
    <row r="256" spans="2:16" s="108" customFormat="1" ht="21.75" hidden="1" customHeight="1">
      <c r="B256" s="109"/>
      <c r="C256" s="122"/>
      <c r="D256" s="123" t="s">
        <v>325</v>
      </c>
      <c r="E256" s="115">
        <v>331507000</v>
      </c>
      <c r="F256" s="113">
        <v>389351314600</v>
      </c>
      <c r="G256" s="114">
        <f t="shared" si="3"/>
        <v>8.5143413562266679E-2</v>
      </c>
      <c r="H256" s="115"/>
      <c r="I256" s="115"/>
      <c r="J256" s="116"/>
      <c r="K256" s="116"/>
      <c r="L256" s="116"/>
      <c r="M256" s="116"/>
      <c r="N256" s="116"/>
      <c r="O256" s="116"/>
      <c r="P256" s="116"/>
    </row>
    <row r="257" spans="2:16" s="117" customFormat="1" ht="21.75" hidden="1" customHeight="1">
      <c r="B257" s="118"/>
      <c r="C257" s="110"/>
      <c r="D257" s="111" t="s">
        <v>326</v>
      </c>
      <c r="E257" s="120">
        <f>E258</f>
        <v>184100000</v>
      </c>
      <c r="F257" s="119">
        <v>389351314600</v>
      </c>
      <c r="G257" s="114">
        <f t="shared" si="3"/>
        <v>4.7283775114291091E-2</v>
      </c>
      <c r="H257" s="120"/>
      <c r="I257" s="120"/>
      <c r="J257" s="121"/>
      <c r="K257" s="121"/>
      <c r="L257" s="121"/>
      <c r="M257" s="121"/>
      <c r="N257" s="121"/>
      <c r="O257" s="121"/>
      <c r="P257" s="121"/>
    </row>
    <row r="258" spans="2:16" s="108" customFormat="1" ht="21.75" hidden="1" customHeight="1">
      <c r="B258" s="109"/>
      <c r="C258" s="122"/>
      <c r="D258" s="123" t="s">
        <v>327</v>
      </c>
      <c r="E258" s="115">
        <v>184100000</v>
      </c>
      <c r="F258" s="113">
        <v>389351314600</v>
      </c>
      <c r="G258" s="114">
        <f t="shared" si="3"/>
        <v>4.7283775114291091E-2</v>
      </c>
      <c r="H258" s="115"/>
      <c r="I258" s="115"/>
      <c r="J258" s="116"/>
      <c r="K258" s="116"/>
      <c r="L258" s="116"/>
      <c r="M258" s="116"/>
      <c r="N258" s="116"/>
      <c r="O258" s="116"/>
      <c r="P258" s="116"/>
    </row>
    <row r="259" spans="2:16" s="117" customFormat="1" ht="21.75" hidden="1" customHeight="1">
      <c r="B259" s="118"/>
      <c r="C259" s="110"/>
      <c r="D259" s="111" t="s">
        <v>328</v>
      </c>
      <c r="E259" s="120">
        <f>E260+E261</f>
        <v>554582400</v>
      </c>
      <c r="F259" s="119">
        <v>389351314600</v>
      </c>
      <c r="G259" s="114">
        <f t="shared" si="3"/>
        <v>0.14243753114581112</v>
      </c>
      <c r="H259" s="120"/>
      <c r="I259" s="120"/>
      <c r="J259" s="121"/>
      <c r="K259" s="121"/>
      <c r="L259" s="121"/>
      <c r="M259" s="121"/>
      <c r="N259" s="121"/>
      <c r="O259" s="121"/>
      <c r="P259" s="121"/>
    </row>
    <row r="260" spans="2:16" s="108" customFormat="1" ht="21.75" hidden="1" customHeight="1">
      <c r="B260" s="109"/>
      <c r="C260" s="122"/>
      <c r="D260" s="123" t="s">
        <v>329</v>
      </c>
      <c r="E260" s="115">
        <v>295807400</v>
      </c>
      <c r="F260" s="113">
        <v>389351314600</v>
      </c>
      <c r="G260" s="114">
        <f t="shared" si="3"/>
        <v>7.5974419221853065E-2</v>
      </c>
      <c r="H260" s="115"/>
      <c r="I260" s="115"/>
      <c r="J260" s="116"/>
      <c r="K260" s="116"/>
      <c r="L260" s="116"/>
      <c r="M260" s="116"/>
      <c r="N260" s="116"/>
      <c r="O260" s="116"/>
      <c r="P260" s="116"/>
    </row>
    <row r="261" spans="2:16" s="108" customFormat="1" ht="21.75" hidden="1" customHeight="1">
      <c r="B261" s="109"/>
      <c r="C261" s="122"/>
      <c r="D261" s="123" t="s">
        <v>330</v>
      </c>
      <c r="E261" s="115">
        <v>258775000</v>
      </c>
      <c r="F261" s="113">
        <v>389351314600</v>
      </c>
      <c r="G261" s="114">
        <f t="shared" si="3"/>
        <v>6.646311192395804E-2</v>
      </c>
      <c r="H261" s="115"/>
      <c r="I261" s="115"/>
      <c r="J261" s="116"/>
      <c r="K261" s="116"/>
      <c r="L261" s="116"/>
      <c r="M261" s="116"/>
      <c r="N261" s="116"/>
      <c r="O261" s="116"/>
      <c r="P261" s="116"/>
    </row>
    <row r="262" spans="2:16" s="117" customFormat="1" ht="21.75" hidden="1" customHeight="1">
      <c r="B262" s="118"/>
      <c r="C262" s="110"/>
      <c r="D262" s="111" t="s">
        <v>331</v>
      </c>
      <c r="E262" s="120">
        <f>E263</f>
        <v>135500000</v>
      </c>
      <c r="F262" s="119">
        <v>389351314600</v>
      </c>
      <c r="G262" s="114">
        <f t="shared" si="3"/>
        <v>3.480147489400566E-2</v>
      </c>
      <c r="H262" s="120"/>
      <c r="I262" s="120"/>
      <c r="J262" s="121"/>
      <c r="K262" s="121"/>
      <c r="L262" s="121"/>
      <c r="M262" s="121"/>
      <c r="N262" s="121"/>
      <c r="O262" s="121"/>
      <c r="P262" s="121"/>
    </row>
    <row r="263" spans="2:16" s="108" customFormat="1" ht="21.75" hidden="1" customHeight="1">
      <c r="B263" s="109"/>
      <c r="C263" s="122"/>
      <c r="D263" s="123" t="s">
        <v>332</v>
      </c>
      <c r="E263" s="115">
        <v>135500000</v>
      </c>
      <c r="F263" s="113">
        <v>389351314600</v>
      </c>
      <c r="G263" s="114">
        <f t="shared" si="3"/>
        <v>3.480147489400566E-2</v>
      </c>
      <c r="H263" s="115"/>
      <c r="I263" s="115"/>
      <c r="J263" s="116"/>
      <c r="K263" s="116"/>
      <c r="L263" s="116"/>
      <c r="M263" s="116"/>
      <c r="N263" s="116"/>
      <c r="O263" s="116"/>
      <c r="P263" s="116"/>
    </row>
    <row r="264" spans="2:16" s="117" customFormat="1" ht="21.75" hidden="1" customHeight="1">
      <c r="B264" s="118"/>
      <c r="C264" s="110"/>
      <c r="D264" s="123" t="s">
        <v>333</v>
      </c>
      <c r="E264" s="115">
        <f>E265</f>
        <v>259700000</v>
      </c>
      <c r="F264" s="113">
        <v>389351314600</v>
      </c>
      <c r="G264" s="114">
        <f t="shared" si="3"/>
        <v>6.6700686568068421E-2</v>
      </c>
      <c r="H264" s="120"/>
      <c r="I264" s="120"/>
      <c r="J264" s="121"/>
      <c r="K264" s="121"/>
      <c r="L264" s="121"/>
      <c r="M264" s="121"/>
      <c r="N264" s="121"/>
      <c r="O264" s="121"/>
      <c r="P264" s="121"/>
    </row>
    <row r="265" spans="2:16" s="108" customFormat="1" ht="21.75" hidden="1" customHeight="1">
      <c r="B265" s="109"/>
      <c r="C265" s="122"/>
      <c r="D265" s="123" t="s">
        <v>334</v>
      </c>
      <c r="E265" s="115">
        <v>259700000</v>
      </c>
      <c r="F265" s="113">
        <v>389351314600</v>
      </c>
      <c r="G265" s="114">
        <f t="shared" si="3"/>
        <v>6.6700686568068421E-2</v>
      </c>
      <c r="H265" s="115"/>
      <c r="I265" s="115"/>
      <c r="J265" s="116"/>
      <c r="K265" s="116"/>
      <c r="L265" s="116"/>
      <c r="M265" s="116"/>
      <c r="N265" s="116"/>
      <c r="O265" s="116"/>
      <c r="P265" s="116"/>
    </row>
    <row r="266" spans="2:16" s="117" customFormat="1" ht="21.75" hidden="1" customHeight="1">
      <c r="B266" s="118"/>
      <c r="C266" s="110"/>
      <c r="D266" s="111" t="s">
        <v>335</v>
      </c>
      <c r="E266" s="120">
        <f>E267</f>
        <v>401700000</v>
      </c>
      <c r="F266" s="119">
        <v>389351314600</v>
      </c>
      <c r="G266" s="114">
        <f t="shared" si="3"/>
        <v>0.10317160490717397</v>
      </c>
      <c r="H266" s="120"/>
      <c r="I266" s="120"/>
      <c r="J266" s="121"/>
      <c r="K266" s="121"/>
      <c r="L266" s="121"/>
      <c r="M266" s="121"/>
      <c r="N266" s="121"/>
      <c r="O266" s="121"/>
      <c r="P266" s="121"/>
    </row>
    <row r="267" spans="2:16" s="108" customFormat="1" ht="21.75" hidden="1" customHeight="1">
      <c r="B267" s="109"/>
      <c r="C267" s="122"/>
      <c r="D267" s="123" t="s">
        <v>336</v>
      </c>
      <c r="E267" s="115">
        <v>401700000</v>
      </c>
      <c r="F267" s="113">
        <v>389351314600</v>
      </c>
      <c r="G267" s="114">
        <f t="shared" si="3"/>
        <v>0.10317160490717397</v>
      </c>
      <c r="H267" s="115"/>
      <c r="I267" s="115"/>
      <c r="J267" s="116"/>
      <c r="K267" s="116"/>
      <c r="L267" s="116"/>
      <c r="M267" s="116"/>
      <c r="N267" s="116"/>
      <c r="O267" s="116"/>
      <c r="P267" s="116"/>
    </row>
    <row r="268" spans="2:16" s="108" customFormat="1" ht="15" hidden="1" customHeight="1">
      <c r="B268" s="109"/>
      <c r="C268" s="122"/>
      <c r="D268" s="123"/>
      <c r="E268" s="115"/>
      <c r="F268" s="113">
        <v>389351314600</v>
      </c>
      <c r="G268" s="114">
        <f t="shared" si="3"/>
        <v>0</v>
      </c>
      <c r="H268" s="115"/>
      <c r="I268" s="115"/>
      <c r="J268" s="116"/>
      <c r="K268" s="116"/>
      <c r="L268" s="116"/>
      <c r="M268" s="116"/>
      <c r="N268" s="116"/>
      <c r="O268" s="116"/>
      <c r="P268" s="116"/>
    </row>
    <row r="269" spans="2:16" s="117" customFormat="1" ht="21.75" hidden="1" customHeight="1">
      <c r="B269" s="118"/>
      <c r="C269" s="110"/>
      <c r="D269" s="111" t="s">
        <v>72</v>
      </c>
      <c r="E269" s="120">
        <f>E270+E274+E276+E279</f>
        <v>7000000000</v>
      </c>
      <c r="F269" s="119">
        <v>389351314600</v>
      </c>
      <c r="G269" s="114">
        <f t="shared" si="3"/>
        <v>1.7978621716460488</v>
      </c>
      <c r="H269" s="120"/>
      <c r="I269" s="120"/>
      <c r="J269" s="121"/>
      <c r="K269" s="121"/>
      <c r="L269" s="121"/>
      <c r="M269" s="121"/>
      <c r="N269" s="121"/>
      <c r="O269" s="121"/>
      <c r="P269" s="121"/>
    </row>
    <row r="270" spans="2:16" s="117" customFormat="1" ht="21.75" hidden="1" customHeight="1">
      <c r="B270" s="118"/>
      <c r="C270" s="110"/>
      <c r="D270" s="111" t="s">
        <v>337</v>
      </c>
      <c r="E270" s="120">
        <f>E271+E272+E273</f>
        <v>3754750000</v>
      </c>
      <c r="F270" s="119">
        <v>389351314600</v>
      </c>
      <c r="G270" s="114">
        <f t="shared" si="3"/>
        <v>0.96436042699828606</v>
      </c>
      <c r="H270" s="120"/>
      <c r="I270" s="120"/>
      <c r="J270" s="121"/>
      <c r="K270" s="121"/>
      <c r="L270" s="121"/>
      <c r="M270" s="121"/>
      <c r="N270" s="121"/>
      <c r="O270" s="121"/>
      <c r="P270" s="121"/>
    </row>
    <row r="271" spans="2:16" s="108" customFormat="1" ht="21.75" hidden="1" customHeight="1">
      <c r="B271" s="109"/>
      <c r="C271" s="122"/>
      <c r="D271" s="123" t="s">
        <v>338</v>
      </c>
      <c r="E271" s="115">
        <v>1254750000</v>
      </c>
      <c r="F271" s="113">
        <v>389351314600</v>
      </c>
      <c r="G271" s="114">
        <f t="shared" si="3"/>
        <v>0.32226679426755428</v>
      </c>
      <c r="H271" s="115"/>
      <c r="I271" s="115"/>
      <c r="J271" s="116"/>
      <c r="K271" s="116"/>
      <c r="L271" s="116"/>
      <c r="M271" s="116"/>
      <c r="N271" s="116"/>
      <c r="O271" s="116"/>
      <c r="P271" s="116"/>
    </row>
    <row r="272" spans="2:16" s="108" customFormat="1" ht="21.75" hidden="1" customHeight="1">
      <c r="B272" s="109"/>
      <c r="C272" s="122"/>
      <c r="D272" s="123" t="s">
        <v>339</v>
      </c>
      <c r="E272" s="115">
        <v>1900000000</v>
      </c>
      <c r="F272" s="113">
        <v>389351314600</v>
      </c>
      <c r="G272" s="114">
        <f t="shared" ref="G272:G324" si="4">+E272/F272*100</f>
        <v>0.4879911608753561</v>
      </c>
      <c r="H272" s="115"/>
      <c r="I272" s="115"/>
      <c r="J272" s="116"/>
      <c r="K272" s="116"/>
      <c r="L272" s="116"/>
      <c r="M272" s="116"/>
      <c r="N272" s="116"/>
      <c r="O272" s="116"/>
      <c r="P272" s="116"/>
    </row>
    <row r="273" spans="2:16" s="108" customFormat="1" ht="21.75" hidden="1" customHeight="1">
      <c r="B273" s="109"/>
      <c r="C273" s="122"/>
      <c r="D273" s="123" t="s">
        <v>340</v>
      </c>
      <c r="E273" s="115">
        <v>600000000</v>
      </c>
      <c r="F273" s="113">
        <v>389351314600</v>
      </c>
      <c r="G273" s="114">
        <f t="shared" si="4"/>
        <v>0.15410247185537562</v>
      </c>
      <c r="H273" s="115"/>
      <c r="I273" s="115"/>
      <c r="J273" s="116"/>
      <c r="K273" s="116"/>
      <c r="L273" s="116"/>
      <c r="M273" s="116"/>
      <c r="N273" s="116"/>
      <c r="O273" s="116"/>
      <c r="P273" s="116"/>
    </row>
    <row r="274" spans="2:16" s="117" customFormat="1" ht="21.75" hidden="1" customHeight="1">
      <c r="B274" s="118"/>
      <c r="C274" s="110"/>
      <c r="D274" s="111" t="s">
        <v>341</v>
      </c>
      <c r="E274" s="120">
        <f>E275</f>
        <v>600000000</v>
      </c>
      <c r="F274" s="119">
        <v>389351314600</v>
      </c>
      <c r="G274" s="114">
        <f t="shared" si="4"/>
        <v>0.15410247185537562</v>
      </c>
      <c r="H274" s="120"/>
      <c r="I274" s="120"/>
      <c r="J274" s="121"/>
      <c r="K274" s="121"/>
      <c r="L274" s="121"/>
      <c r="M274" s="121"/>
      <c r="N274" s="121"/>
      <c r="O274" s="121"/>
      <c r="P274" s="121"/>
    </row>
    <row r="275" spans="2:16" s="108" customFormat="1" ht="21.75" hidden="1" customHeight="1">
      <c r="B275" s="109"/>
      <c r="C275" s="122"/>
      <c r="D275" s="123" t="s">
        <v>342</v>
      </c>
      <c r="E275" s="115">
        <v>600000000</v>
      </c>
      <c r="F275" s="113">
        <v>389351314600</v>
      </c>
      <c r="G275" s="114">
        <f t="shared" si="4"/>
        <v>0.15410247185537562</v>
      </c>
      <c r="H275" s="115"/>
      <c r="I275" s="115"/>
      <c r="J275" s="116"/>
      <c r="K275" s="116"/>
      <c r="L275" s="116"/>
      <c r="M275" s="116"/>
      <c r="N275" s="116"/>
      <c r="O275" s="116"/>
      <c r="P275" s="116"/>
    </row>
    <row r="276" spans="2:16" s="108" customFormat="1" ht="21.75" hidden="1" customHeight="1">
      <c r="B276" s="109"/>
      <c r="C276" s="122"/>
      <c r="D276" s="123" t="s">
        <v>343</v>
      </c>
      <c r="E276" s="115">
        <f>E277+E278</f>
        <v>1000000000</v>
      </c>
      <c r="F276" s="113">
        <v>389351314600</v>
      </c>
      <c r="G276" s="114">
        <f t="shared" si="4"/>
        <v>0.25683745309229272</v>
      </c>
      <c r="H276" s="115"/>
      <c r="I276" s="115"/>
      <c r="J276" s="116"/>
      <c r="K276" s="116"/>
      <c r="L276" s="116"/>
      <c r="M276" s="116"/>
      <c r="N276" s="116"/>
      <c r="O276" s="116"/>
      <c r="P276" s="116"/>
    </row>
    <row r="277" spans="2:16" s="108" customFormat="1" ht="21.75" hidden="1" customHeight="1">
      <c r="B277" s="109"/>
      <c r="C277" s="122"/>
      <c r="D277" s="123" t="s">
        <v>344</v>
      </c>
      <c r="E277" s="115">
        <v>500000000</v>
      </c>
      <c r="F277" s="113">
        <v>389351314600</v>
      </c>
      <c r="G277" s="114">
        <f t="shared" si="4"/>
        <v>0.12841872654614636</v>
      </c>
      <c r="H277" s="115"/>
      <c r="I277" s="115"/>
      <c r="J277" s="116"/>
      <c r="K277" s="116"/>
      <c r="L277" s="116"/>
      <c r="M277" s="116"/>
      <c r="N277" s="116"/>
      <c r="O277" s="116"/>
      <c r="P277" s="116"/>
    </row>
    <row r="278" spans="2:16" s="108" customFormat="1" ht="21.75" hidden="1" customHeight="1">
      <c r="B278" s="109"/>
      <c r="C278" s="122"/>
      <c r="D278" s="123" t="s">
        <v>345</v>
      </c>
      <c r="E278" s="115">
        <v>500000000</v>
      </c>
      <c r="F278" s="113">
        <v>389351314600</v>
      </c>
      <c r="G278" s="114">
        <f t="shared" si="4"/>
        <v>0.12841872654614636</v>
      </c>
      <c r="H278" s="115"/>
      <c r="I278" s="115"/>
      <c r="J278" s="116"/>
      <c r="K278" s="116"/>
      <c r="L278" s="116"/>
      <c r="M278" s="116"/>
      <c r="N278" s="116"/>
      <c r="O278" s="116"/>
      <c r="P278" s="116"/>
    </row>
    <row r="279" spans="2:16" s="117" customFormat="1" ht="21.75" hidden="1" customHeight="1">
      <c r="B279" s="118"/>
      <c r="C279" s="110"/>
      <c r="D279" s="111" t="s">
        <v>346</v>
      </c>
      <c r="E279" s="120">
        <f>E280+E281+E282+E283</f>
        <v>1645250000</v>
      </c>
      <c r="F279" s="119">
        <v>389351314600</v>
      </c>
      <c r="G279" s="114">
        <f t="shared" si="4"/>
        <v>0.42256181970009454</v>
      </c>
      <c r="H279" s="120"/>
      <c r="I279" s="120"/>
      <c r="J279" s="121"/>
      <c r="K279" s="121"/>
      <c r="L279" s="121"/>
      <c r="M279" s="121"/>
      <c r="N279" s="121"/>
      <c r="O279" s="121"/>
      <c r="P279" s="121"/>
    </row>
    <row r="280" spans="2:16" s="108" customFormat="1" ht="21.75" hidden="1" customHeight="1">
      <c r="B280" s="109"/>
      <c r="C280" s="122"/>
      <c r="D280" s="123" t="s">
        <v>347</v>
      </c>
      <c r="E280" s="115">
        <v>400000000</v>
      </c>
      <c r="F280" s="113">
        <v>389351314600</v>
      </c>
      <c r="G280" s="114">
        <f t="shared" si="4"/>
        <v>0.10273498123691707</v>
      </c>
      <c r="H280" s="115"/>
      <c r="I280" s="115"/>
      <c r="J280" s="116"/>
      <c r="K280" s="116"/>
      <c r="L280" s="116"/>
      <c r="M280" s="116"/>
      <c r="N280" s="116"/>
      <c r="O280" s="116"/>
      <c r="P280" s="116"/>
    </row>
    <row r="281" spans="2:16" s="108" customFormat="1" ht="21.75" hidden="1" customHeight="1">
      <c r="B281" s="109"/>
      <c r="C281" s="122"/>
      <c r="D281" s="123" t="s">
        <v>348</v>
      </c>
      <c r="E281" s="115">
        <v>900000000</v>
      </c>
      <c r="F281" s="113">
        <v>389351314600</v>
      </c>
      <c r="G281" s="114">
        <f t="shared" si="4"/>
        <v>0.23115370778306346</v>
      </c>
      <c r="H281" s="115"/>
      <c r="I281" s="115"/>
      <c r="J281" s="116"/>
      <c r="K281" s="116"/>
      <c r="L281" s="116"/>
      <c r="M281" s="116"/>
      <c r="N281" s="116"/>
      <c r="O281" s="116"/>
      <c r="P281" s="116"/>
    </row>
    <row r="282" spans="2:16" s="108" customFormat="1" ht="21.75" hidden="1" customHeight="1">
      <c r="B282" s="109"/>
      <c r="C282" s="122"/>
      <c r="D282" s="123" t="s">
        <v>349</v>
      </c>
      <c r="E282" s="115">
        <v>150000000</v>
      </c>
      <c r="F282" s="113">
        <v>389351314600</v>
      </c>
      <c r="G282" s="114">
        <f t="shared" si="4"/>
        <v>3.8525617963843906E-2</v>
      </c>
      <c r="H282" s="115"/>
      <c r="I282" s="115"/>
      <c r="J282" s="116"/>
      <c r="K282" s="116"/>
      <c r="L282" s="116"/>
      <c r="M282" s="116"/>
      <c r="N282" s="116"/>
      <c r="O282" s="116"/>
      <c r="P282" s="116"/>
    </row>
    <row r="283" spans="2:16" s="108" customFormat="1" ht="21.75" hidden="1" customHeight="1">
      <c r="B283" s="109"/>
      <c r="C283" s="122"/>
      <c r="D283" s="123" t="s">
        <v>350</v>
      </c>
      <c r="E283" s="115">
        <v>195250000</v>
      </c>
      <c r="F283" s="113">
        <v>389351314600</v>
      </c>
      <c r="G283" s="114">
        <f t="shared" si="4"/>
        <v>5.0147512716270153E-2</v>
      </c>
      <c r="H283" s="115"/>
      <c r="I283" s="115"/>
      <c r="J283" s="116"/>
      <c r="K283" s="116"/>
      <c r="L283" s="116"/>
      <c r="M283" s="116"/>
      <c r="N283" s="116"/>
      <c r="O283" s="116"/>
      <c r="P283" s="116"/>
    </row>
    <row r="284" spans="2:16" s="108" customFormat="1" ht="15" hidden="1" customHeight="1">
      <c r="B284" s="109"/>
      <c r="C284" s="122"/>
      <c r="D284" s="123"/>
      <c r="E284" s="115"/>
      <c r="F284" s="113"/>
      <c r="G284" s="114"/>
      <c r="H284" s="115"/>
      <c r="I284" s="115"/>
      <c r="J284" s="116"/>
      <c r="K284" s="116"/>
      <c r="L284" s="116"/>
      <c r="M284" s="116"/>
      <c r="N284" s="116"/>
      <c r="O284" s="116"/>
      <c r="P284" s="116"/>
    </row>
    <row r="285" spans="2:16" s="117" customFormat="1" ht="21.75" hidden="1" customHeight="1">
      <c r="B285" s="118"/>
      <c r="C285" s="110"/>
      <c r="D285" s="111" t="s">
        <v>351</v>
      </c>
      <c r="E285" s="120">
        <f>E286+E288</f>
        <v>2000000000</v>
      </c>
      <c r="F285" s="119">
        <v>389351314600</v>
      </c>
      <c r="G285" s="114">
        <f t="shared" si="4"/>
        <v>0.51367490618458544</v>
      </c>
      <c r="H285" s="120"/>
      <c r="I285" s="120"/>
      <c r="J285" s="121"/>
      <c r="K285" s="121"/>
      <c r="L285" s="121"/>
      <c r="M285" s="121"/>
      <c r="N285" s="121"/>
      <c r="O285" s="121"/>
      <c r="P285" s="121"/>
    </row>
    <row r="286" spans="2:16" s="117" customFormat="1" ht="21.75" hidden="1" customHeight="1">
      <c r="B286" s="118"/>
      <c r="C286" s="110"/>
      <c r="D286" s="111" t="s">
        <v>352</v>
      </c>
      <c r="E286" s="120">
        <f>E287</f>
        <v>1300000000</v>
      </c>
      <c r="F286" s="119">
        <v>389351314600</v>
      </c>
      <c r="G286" s="114">
        <f t="shared" si="4"/>
        <v>0.33388868901998048</v>
      </c>
      <c r="H286" s="120"/>
      <c r="I286" s="120"/>
      <c r="J286" s="121"/>
      <c r="K286" s="121"/>
      <c r="L286" s="121"/>
      <c r="M286" s="121"/>
      <c r="N286" s="121"/>
      <c r="O286" s="121"/>
      <c r="P286" s="121"/>
    </row>
    <row r="287" spans="2:16" s="108" customFormat="1" ht="21.75" hidden="1" customHeight="1">
      <c r="B287" s="109"/>
      <c r="C287" s="122"/>
      <c r="D287" s="123" t="s">
        <v>353</v>
      </c>
      <c r="E287" s="115">
        <v>1300000000</v>
      </c>
      <c r="F287" s="113">
        <v>389351314600</v>
      </c>
      <c r="G287" s="114">
        <f t="shared" si="4"/>
        <v>0.33388868901998048</v>
      </c>
      <c r="H287" s="115"/>
      <c r="I287" s="115"/>
      <c r="J287" s="116"/>
      <c r="K287" s="116"/>
      <c r="L287" s="116"/>
      <c r="M287" s="116"/>
      <c r="N287" s="116"/>
      <c r="O287" s="116"/>
      <c r="P287" s="116"/>
    </row>
    <row r="288" spans="2:16" s="108" customFormat="1" ht="21.75" hidden="1" customHeight="1">
      <c r="B288" s="109"/>
      <c r="C288" s="122"/>
      <c r="D288" s="123" t="s">
        <v>354</v>
      </c>
      <c r="E288" s="115">
        <f>E289</f>
        <v>700000000</v>
      </c>
      <c r="F288" s="113">
        <v>389351314600</v>
      </c>
      <c r="G288" s="114">
        <f t="shared" si="4"/>
        <v>0.17978621716460488</v>
      </c>
      <c r="H288" s="115"/>
      <c r="I288" s="115"/>
      <c r="J288" s="116"/>
      <c r="K288" s="116"/>
      <c r="L288" s="116"/>
      <c r="M288" s="116"/>
      <c r="N288" s="116"/>
      <c r="O288" s="116"/>
      <c r="P288" s="116"/>
    </row>
    <row r="289" spans="2:16" s="108" customFormat="1" ht="21.75" hidden="1" customHeight="1">
      <c r="B289" s="109"/>
      <c r="C289" s="122"/>
      <c r="D289" s="123" t="s">
        <v>355</v>
      </c>
      <c r="E289" s="115">
        <v>700000000</v>
      </c>
      <c r="F289" s="113">
        <v>389351314600</v>
      </c>
      <c r="G289" s="114">
        <f t="shared" si="4"/>
        <v>0.17978621716460488</v>
      </c>
      <c r="H289" s="115"/>
      <c r="I289" s="115"/>
      <c r="J289" s="116"/>
      <c r="K289" s="116"/>
      <c r="L289" s="116"/>
      <c r="M289" s="116"/>
      <c r="N289" s="116"/>
      <c r="O289" s="116"/>
      <c r="P289" s="116"/>
    </row>
    <row r="290" spans="2:16" s="108" customFormat="1" ht="15" hidden="1" customHeight="1">
      <c r="B290" s="109"/>
      <c r="C290" s="122"/>
      <c r="D290" s="123"/>
      <c r="E290" s="115"/>
      <c r="F290" s="113"/>
      <c r="G290" s="114"/>
      <c r="H290" s="115"/>
      <c r="I290" s="115"/>
      <c r="J290" s="116"/>
      <c r="K290" s="116"/>
      <c r="L290" s="116"/>
      <c r="M290" s="116"/>
      <c r="N290" s="116"/>
      <c r="O290" s="116"/>
      <c r="P290" s="116"/>
    </row>
    <row r="291" spans="2:16" s="117" customFormat="1" ht="27" hidden="1" customHeight="1">
      <c r="B291" s="118"/>
      <c r="C291" s="110"/>
      <c r="D291" s="111" t="s">
        <v>73</v>
      </c>
      <c r="E291" s="120">
        <f>E294+E292</f>
        <v>6000000000</v>
      </c>
      <c r="F291" s="119">
        <v>389351314600</v>
      </c>
      <c r="G291" s="114">
        <f t="shared" si="4"/>
        <v>1.5410247185537562</v>
      </c>
      <c r="H291" s="120"/>
      <c r="I291" s="120"/>
      <c r="J291" s="121"/>
      <c r="K291" s="121"/>
      <c r="L291" s="121"/>
      <c r="M291" s="121"/>
      <c r="N291" s="121"/>
      <c r="O291" s="121"/>
      <c r="P291" s="121"/>
    </row>
    <row r="292" spans="2:16" s="117" customFormat="1" ht="34.5" hidden="1" customHeight="1">
      <c r="B292" s="118"/>
      <c r="C292" s="110"/>
      <c r="D292" s="111" t="s">
        <v>356</v>
      </c>
      <c r="E292" s="120">
        <v>3000000000</v>
      </c>
      <c r="F292" s="119">
        <v>389351314600</v>
      </c>
      <c r="G292" s="114">
        <f t="shared" si="4"/>
        <v>0.77051235927687811</v>
      </c>
      <c r="H292" s="120"/>
      <c r="I292" s="120"/>
      <c r="J292" s="121"/>
      <c r="K292" s="121"/>
      <c r="L292" s="121"/>
      <c r="M292" s="121"/>
      <c r="N292" s="121"/>
      <c r="O292" s="121"/>
      <c r="P292" s="121"/>
    </row>
    <row r="293" spans="2:16" s="108" customFormat="1" ht="21.75" hidden="1" customHeight="1">
      <c r="B293" s="109"/>
      <c r="C293" s="122"/>
      <c r="D293" s="123" t="s">
        <v>357</v>
      </c>
      <c r="E293" s="115">
        <v>3000000000</v>
      </c>
      <c r="F293" s="113">
        <v>389351314600</v>
      </c>
      <c r="G293" s="114">
        <f t="shared" si="4"/>
        <v>0.77051235927687811</v>
      </c>
      <c r="H293" s="115"/>
      <c r="I293" s="115"/>
      <c r="J293" s="116"/>
      <c r="K293" s="116"/>
      <c r="L293" s="116"/>
      <c r="M293" s="116"/>
      <c r="N293" s="116"/>
      <c r="O293" s="116"/>
      <c r="P293" s="116"/>
    </row>
    <row r="294" spans="2:16" s="108" customFormat="1" ht="24" hidden="1" customHeight="1">
      <c r="B294" s="109"/>
      <c r="C294" s="122"/>
      <c r="D294" s="123" t="s">
        <v>358</v>
      </c>
      <c r="E294" s="115">
        <v>3000000000</v>
      </c>
      <c r="F294" s="113">
        <v>389351314600</v>
      </c>
      <c r="G294" s="114">
        <f t="shared" si="4"/>
        <v>0.77051235927687811</v>
      </c>
      <c r="H294" s="115"/>
      <c r="I294" s="115"/>
      <c r="J294" s="116"/>
      <c r="K294" s="116"/>
      <c r="L294" s="116"/>
      <c r="M294" s="116"/>
      <c r="N294" s="116"/>
      <c r="O294" s="116"/>
      <c r="P294" s="116"/>
    </row>
    <row r="295" spans="2:16" s="108" customFormat="1" ht="33" hidden="1" customHeight="1">
      <c r="B295" s="109"/>
      <c r="C295" s="122"/>
      <c r="D295" s="123" t="s">
        <v>359</v>
      </c>
      <c r="E295" s="115">
        <v>3000000000</v>
      </c>
      <c r="F295" s="113">
        <v>389351314600</v>
      </c>
      <c r="G295" s="114">
        <f t="shared" si="4"/>
        <v>0.77051235927687811</v>
      </c>
      <c r="H295" s="115"/>
      <c r="I295" s="115"/>
      <c r="J295" s="116"/>
      <c r="K295" s="116"/>
      <c r="L295" s="116"/>
      <c r="M295" s="116"/>
      <c r="N295" s="116"/>
      <c r="O295" s="116"/>
      <c r="P295" s="116"/>
    </row>
    <row r="296" spans="2:16" s="108" customFormat="1" ht="15" hidden="1" customHeight="1">
      <c r="B296" s="109"/>
      <c r="C296" s="122"/>
      <c r="D296" s="123"/>
      <c r="E296" s="115"/>
      <c r="F296" s="113">
        <v>389351314600</v>
      </c>
      <c r="G296" s="114">
        <f t="shared" si="4"/>
        <v>0</v>
      </c>
      <c r="H296" s="115"/>
      <c r="I296" s="115"/>
      <c r="J296" s="116"/>
      <c r="K296" s="116"/>
      <c r="L296" s="116"/>
      <c r="M296" s="116"/>
      <c r="N296" s="116"/>
      <c r="O296" s="116"/>
      <c r="P296" s="116"/>
    </row>
    <row r="297" spans="2:16" s="117" customFormat="1" ht="21.75" hidden="1" customHeight="1">
      <c r="B297" s="118"/>
      <c r="C297" s="110"/>
      <c r="D297" s="111" t="s">
        <v>360</v>
      </c>
      <c r="E297" s="120">
        <f>E298</f>
        <v>6100000000</v>
      </c>
      <c r="F297" s="119">
        <v>389351314600</v>
      </c>
      <c r="G297" s="114">
        <f t="shared" si="4"/>
        <v>1.5667084638629856</v>
      </c>
      <c r="H297" s="120"/>
      <c r="I297" s="120"/>
      <c r="J297" s="121"/>
      <c r="K297" s="121"/>
      <c r="L297" s="121"/>
      <c r="M297" s="121"/>
      <c r="N297" s="121"/>
      <c r="O297" s="121"/>
      <c r="P297" s="121"/>
    </row>
    <row r="298" spans="2:16" s="117" customFormat="1" ht="21.75" hidden="1" customHeight="1">
      <c r="B298" s="118"/>
      <c r="C298" s="110"/>
      <c r="D298" s="111" t="s">
        <v>361</v>
      </c>
      <c r="E298" s="120">
        <f>E299</f>
        <v>6100000000</v>
      </c>
      <c r="F298" s="119">
        <v>389351314600</v>
      </c>
      <c r="G298" s="114">
        <f t="shared" si="4"/>
        <v>1.5667084638629856</v>
      </c>
      <c r="H298" s="120"/>
      <c r="I298" s="120"/>
      <c r="J298" s="121"/>
      <c r="K298" s="121"/>
      <c r="L298" s="121"/>
      <c r="M298" s="121"/>
      <c r="N298" s="121"/>
      <c r="O298" s="121"/>
      <c r="P298" s="121"/>
    </row>
    <row r="299" spans="2:16" s="108" customFormat="1" ht="21.75" hidden="1" customHeight="1">
      <c r="B299" s="109"/>
      <c r="C299" s="122"/>
      <c r="D299" s="123" t="s">
        <v>362</v>
      </c>
      <c r="E299" s="115">
        <v>6100000000</v>
      </c>
      <c r="F299" s="113">
        <v>389351314600</v>
      </c>
      <c r="G299" s="114">
        <f t="shared" si="4"/>
        <v>1.5667084638629856</v>
      </c>
      <c r="H299" s="115"/>
      <c r="I299" s="115"/>
      <c r="J299" s="116"/>
      <c r="K299" s="116"/>
      <c r="L299" s="116"/>
      <c r="M299" s="116"/>
      <c r="N299" s="116"/>
      <c r="O299" s="116"/>
      <c r="P299" s="116"/>
    </row>
    <row r="300" spans="2:16" s="108" customFormat="1" ht="15" hidden="1" customHeight="1">
      <c r="B300" s="109"/>
      <c r="C300" s="122"/>
      <c r="D300" s="123"/>
      <c r="E300" s="115"/>
      <c r="F300" s="113"/>
      <c r="G300" s="114"/>
      <c r="H300" s="115"/>
      <c r="I300" s="115"/>
      <c r="J300" s="116"/>
      <c r="K300" s="116"/>
      <c r="L300" s="116"/>
      <c r="M300" s="116"/>
      <c r="N300" s="116"/>
      <c r="O300" s="116"/>
      <c r="P300" s="116"/>
    </row>
    <row r="301" spans="2:16" s="117" customFormat="1" ht="21.75" hidden="1" customHeight="1">
      <c r="B301" s="118"/>
      <c r="C301" s="110"/>
      <c r="D301" s="111" t="s">
        <v>363</v>
      </c>
      <c r="E301" s="120">
        <f>E302</f>
        <v>5618400000</v>
      </c>
      <c r="F301" s="119">
        <v>389351314600</v>
      </c>
      <c r="G301" s="114">
        <f t="shared" si="4"/>
        <v>1.4430155464537373</v>
      </c>
      <c r="H301" s="120"/>
      <c r="I301" s="120"/>
      <c r="J301" s="121"/>
      <c r="K301" s="121"/>
      <c r="L301" s="121"/>
      <c r="M301" s="121"/>
      <c r="N301" s="121"/>
      <c r="O301" s="121"/>
      <c r="P301" s="121"/>
    </row>
    <row r="302" spans="2:16" s="117" customFormat="1" ht="21.75" hidden="1" customHeight="1">
      <c r="B302" s="118"/>
      <c r="C302" s="110"/>
      <c r="D302" s="111" t="s">
        <v>364</v>
      </c>
      <c r="E302" s="120">
        <f>E303</f>
        <v>5618400000</v>
      </c>
      <c r="F302" s="119">
        <v>389351314600</v>
      </c>
      <c r="G302" s="114">
        <f t="shared" si="4"/>
        <v>1.4430155464537373</v>
      </c>
      <c r="H302" s="120"/>
      <c r="I302" s="120"/>
      <c r="J302" s="121"/>
      <c r="K302" s="121"/>
      <c r="L302" s="121"/>
      <c r="M302" s="121"/>
      <c r="N302" s="121"/>
      <c r="O302" s="121"/>
      <c r="P302" s="121"/>
    </row>
    <row r="303" spans="2:16" s="108" customFormat="1" ht="21.75" hidden="1" customHeight="1">
      <c r="B303" s="109"/>
      <c r="C303" s="122"/>
      <c r="D303" s="123" t="s">
        <v>365</v>
      </c>
      <c r="E303" s="115">
        <v>5618400000</v>
      </c>
      <c r="F303" s="113">
        <v>389351314600</v>
      </c>
      <c r="G303" s="114">
        <f t="shared" si="4"/>
        <v>1.4430155464537373</v>
      </c>
      <c r="H303" s="115"/>
      <c r="I303" s="115"/>
      <c r="J303" s="116"/>
      <c r="K303" s="116"/>
      <c r="L303" s="116"/>
      <c r="M303" s="116"/>
      <c r="N303" s="116"/>
      <c r="O303" s="116"/>
      <c r="P303" s="116"/>
    </row>
    <row r="304" spans="2:16" s="108" customFormat="1" ht="15" hidden="1" customHeight="1">
      <c r="B304" s="109"/>
      <c r="C304" s="122"/>
      <c r="D304" s="123"/>
      <c r="E304" s="115"/>
      <c r="F304" s="113"/>
      <c r="G304" s="114"/>
      <c r="H304" s="115"/>
      <c r="I304" s="115"/>
      <c r="J304" s="116"/>
      <c r="K304" s="116"/>
      <c r="L304" s="116"/>
      <c r="M304" s="116"/>
      <c r="N304" s="116"/>
      <c r="O304" s="116"/>
      <c r="P304" s="116"/>
    </row>
    <row r="305" spans="2:16" s="117" customFormat="1" ht="21.75" hidden="1" customHeight="1">
      <c r="B305" s="118"/>
      <c r="C305" s="110"/>
      <c r="D305" s="111" t="s">
        <v>366</v>
      </c>
      <c r="E305" s="120">
        <f>E309+E306</f>
        <v>9467000000</v>
      </c>
      <c r="F305" s="119">
        <v>389351314600</v>
      </c>
      <c r="G305" s="114">
        <f t="shared" si="4"/>
        <v>2.4314801684247351</v>
      </c>
      <c r="H305" s="120"/>
      <c r="I305" s="120"/>
      <c r="J305" s="121"/>
      <c r="K305" s="121"/>
      <c r="L305" s="121"/>
      <c r="M305" s="121"/>
      <c r="N305" s="121"/>
      <c r="O305" s="121"/>
      <c r="P305" s="121"/>
    </row>
    <row r="306" spans="2:16" s="117" customFormat="1" ht="21.75" hidden="1" customHeight="1">
      <c r="B306" s="118"/>
      <c r="C306" s="110"/>
      <c r="D306" s="111" t="s">
        <v>367</v>
      </c>
      <c r="E306" s="120">
        <f>E307+E308</f>
        <v>8000000000</v>
      </c>
      <c r="F306" s="119">
        <v>389351314600</v>
      </c>
      <c r="G306" s="114">
        <f t="shared" si="4"/>
        <v>2.0546996247383418</v>
      </c>
      <c r="H306" s="120"/>
      <c r="I306" s="120"/>
      <c r="J306" s="121"/>
      <c r="K306" s="121"/>
      <c r="L306" s="121"/>
      <c r="M306" s="121"/>
      <c r="N306" s="121"/>
      <c r="O306" s="121"/>
      <c r="P306" s="121"/>
    </row>
    <row r="307" spans="2:16" s="108" customFormat="1" ht="31.5" hidden="1" customHeight="1">
      <c r="B307" s="109"/>
      <c r="C307" s="122"/>
      <c r="D307" s="123" t="s">
        <v>368</v>
      </c>
      <c r="E307" s="115">
        <v>5000000000</v>
      </c>
      <c r="F307" s="113">
        <v>389351314600</v>
      </c>
      <c r="G307" s="114">
        <f t="shared" si="4"/>
        <v>1.2841872654614637</v>
      </c>
      <c r="H307" s="115"/>
      <c r="I307" s="115"/>
      <c r="J307" s="116"/>
      <c r="K307" s="116"/>
      <c r="L307" s="116"/>
      <c r="M307" s="116"/>
      <c r="N307" s="116"/>
      <c r="O307" s="116"/>
      <c r="P307" s="116"/>
    </row>
    <row r="308" spans="2:16" s="108" customFormat="1" ht="21.75" hidden="1" customHeight="1">
      <c r="B308" s="109"/>
      <c r="C308" s="122"/>
      <c r="D308" s="123" t="s">
        <v>369</v>
      </c>
      <c r="E308" s="115">
        <v>3000000000</v>
      </c>
      <c r="F308" s="113">
        <v>389351314600</v>
      </c>
      <c r="G308" s="114">
        <f t="shared" si="4"/>
        <v>0.77051235927687811</v>
      </c>
      <c r="H308" s="115"/>
      <c r="I308" s="115"/>
      <c r="J308" s="116"/>
      <c r="K308" s="116"/>
      <c r="L308" s="116"/>
      <c r="M308" s="116"/>
      <c r="N308" s="116"/>
      <c r="O308" s="116"/>
      <c r="P308" s="116"/>
    </row>
    <row r="309" spans="2:16" s="117" customFormat="1" ht="21.75" hidden="1" customHeight="1">
      <c r="B309" s="118"/>
      <c r="C309" s="110"/>
      <c r="D309" s="111" t="s">
        <v>370</v>
      </c>
      <c r="E309" s="120">
        <f>E310</f>
        <v>1467000000</v>
      </c>
      <c r="F309" s="119">
        <v>389351314600</v>
      </c>
      <c r="G309" s="114">
        <f t="shared" si="4"/>
        <v>0.37678054368639341</v>
      </c>
      <c r="H309" s="120"/>
      <c r="I309" s="120"/>
      <c r="J309" s="121"/>
      <c r="K309" s="121"/>
      <c r="L309" s="121"/>
      <c r="M309" s="121"/>
      <c r="N309" s="121"/>
      <c r="O309" s="121"/>
      <c r="P309" s="121"/>
    </row>
    <row r="310" spans="2:16" s="108" customFormat="1" ht="21.75" hidden="1" customHeight="1">
      <c r="B310" s="109"/>
      <c r="C310" s="122"/>
      <c r="D310" s="123" t="s">
        <v>371</v>
      </c>
      <c r="E310" s="115">
        <v>1467000000</v>
      </c>
      <c r="F310" s="113">
        <v>389351314600</v>
      </c>
      <c r="G310" s="114">
        <f t="shared" si="4"/>
        <v>0.37678054368639341</v>
      </c>
      <c r="H310" s="115"/>
      <c r="I310" s="115"/>
      <c r="J310" s="116"/>
      <c r="K310" s="116"/>
      <c r="L310" s="116"/>
      <c r="M310" s="116"/>
      <c r="N310" s="116"/>
      <c r="O310" s="116"/>
      <c r="P310" s="116"/>
    </row>
    <row r="311" spans="2:16" s="108" customFormat="1" ht="15" hidden="1" customHeight="1">
      <c r="B311" s="109"/>
      <c r="C311" s="122"/>
      <c r="D311" s="123"/>
      <c r="E311" s="115"/>
      <c r="F311" s="113"/>
      <c r="G311" s="114"/>
      <c r="H311" s="115"/>
      <c r="I311" s="115"/>
      <c r="J311" s="116"/>
      <c r="K311" s="116"/>
      <c r="L311" s="116"/>
      <c r="M311" s="116"/>
      <c r="N311" s="116"/>
      <c r="O311" s="116"/>
      <c r="P311" s="116"/>
    </row>
    <row r="312" spans="2:16" s="117" customFormat="1" ht="21.75" hidden="1" customHeight="1">
      <c r="B312" s="118"/>
      <c r="C312" s="110"/>
      <c r="D312" s="111" t="s">
        <v>372</v>
      </c>
      <c r="E312" s="120">
        <f>+E313</f>
        <v>123288914607</v>
      </c>
      <c r="F312" s="119">
        <v>389351314600</v>
      </c>
      <c r="G312" s="114">
        <f t="shared" si="4"/>
        <v>31.665210822175045</v>
      </c>
      <c r="H312" s="120"/>
      <c r="I312" s="120"/>
      <c r="J312" s="121"/>
      <c r="K312" s="121"/>
      <c r="L312" s="121"/>
      <c r="M312" s="121"/>
      <c r="N312" s="121"/>
      <c r="O312" s="121"/>
      <c r="P312" s="121"/>
    </row>
    <row r="313" spans="2:16" s="117" customFormat="1" ht="21.75" hidden="1" customHeight="1">
      <c r="B313" s="118"/>
      <c r="C313" s="110"/>
      <c r="D313" s="111" t="s">
        <v>373</v>
      </c>
      <c r="E313" s="120">
        <f>+E314</f>
        <v>123288914607</v>
      </c>
      <c r="F313" s="119">
        <v>389351314600</v>
      </c>
      <c r="G313" s="114">
        <f t="shared" si="4"/>
        <v>31.665210822175045</v>
      </c>
      <c r="H313" s="120"/>
      <c r="I313" s="120"/>
      <c r="J313" s="121"/>
      <c r="K313" s="121"/>
      <c r="L313" s="121"/>
      <c r="M313" s="121"/>
      <c r="N313" s="121"/>
      <c r="O313" s="121"/>
      <c r="P313" s="121"/>
    </row>
    <row r="314" spans="2:16" s="117" customFormat="1" ht="21.75" hidden="1" customHeight="1">
      <c r="B314" s="118"/>
      <c r="C314" s="110"/>
      <c r="D314" s="111" t="s">
        <v>374</v>
      </c>
      <c r="E314" s="120">
        <f>+E315</f>
        <v>123288914607</v>
      </c>
      <c r="F314" s="119">
        <v>389351314600</v>
      </c>
      <c r="G314" s="114">
        <f t="shared" si="4"/>
        <v>31.665210822175045</v>
      </c>
      <c r="H314" s="120"/>
      <c r="I314" s="120"/>
      <c r="J314" s="121"/>
      <c r="K314" s="121"/>
      <c r="L314" s="121"/>
      <c r="M314" s="121"/>
      <c r="N314" s="121"/>
      <c r="O314" s="121"/>
      <c r="P314" s="121"/>
    </row>
    <row r="315" spans="2:16" s="117" customFormat="1" ht="21.75" hidden="1" customHeight="1">
      <c r="B315" s="118"/>
      <c r="C315" s="110"/>
      <c r="D315" s="111" t="s">
        <v>375</v>
      </c>
      <c r="E315" s="120">
        <f>+E316</f>
        <v>123288914607</v>
      </c>
      <c r="F315" s="119">
        <v>389351314600</v>
      </c>
      <c r="G315" s="114">
        <f t="shared" si="4"/>
        <v>31.665210822175045</v>
      </c>
      <c r="H315" s="120"/>
      <c r="I315" s="120"/>
      <c r="J315" s="121"/>
      <c r="K315" s="121"/>
      <c r="L315" s="121"/>
      <c r="M315" s="121"/>
      <c r="N315" s="121"/>
      <c r="O315" s="121"/>
      <c r="P315" s="121"/>
    </row>
    <row r="316" spans="2:16" s="117" customFormat="1" ht="21.75" hidden="1" customHeight="1">
      <c r="B316" s="118"/>
      <c r="C316" s="110"/>
      <c r="D316" s="111" t="s">
        <v>376</v>
      </c>
      <c r="E316" s="120">
        <f>+E317+E318</f>
        <v>123288914607</v>
      </c>
      <c r="F316" s="119">
        <v>389351314600</v>
      </c>
      <c r="G316" s="114">
        <f t="shared" si="4"/>
        <v>31.665210822175045</v>
      </c>
      <c r="H316" s="120"/>
      <c r="I316" s="120"/>
      <c r="J316" s="121"/>
      <c r="K316" s="121"/>
      <c r="L316" s="121"/>
      <c r="M316" s="121"/>
      <c r="N316" s="121"/>
      <c r="O316" s="121"/>
      <c r="P316" s="121"/>
    </row>
    <row r="317" spans="2:16" s="108" customFormat="1" ht="21.75" hidden="1" customHeight="1">
      <c r="B317" s="109"/>
      <c r="C317" s="122"/>
      <c r="D317" s="123" t="s">
        <v>377</v>
      </c>
      <c r="E317" s="115">
        <v>121188914607</v>
      </c>
      <c r="F317" s="113">
        <v>389351314600</v>
      </c>
      <c r="G317" s="114">
        <f t="shared" si="4"/>
        <v>31.125852170681227</v>
      </c>
      <c r="H317" s="115"/>
      <c r="I317" s="115"/>
      <c r="J317" s="116"/>
      <c r="K317" s="116"/>
      <c r="L317" s="116"/>
      <c r="M317" s="116"/>
      <c r="N317" s="116"/>
      <c r="O317" s="116"/>
      <c r="P317" s="116"/>
    </row>
    <row r="318" spans="2:16" s="108" customFormat="1" ht="21.75" hidden="1" customHeight="1">
      <c r="B318" s="109"/>
      <c r="C318" s="122"/>
      <c r="D318" s="123" t="s">
        <v>378</v>
      </c>
      <c r="E318" s="115">
        <v>2100000000</v>
      </c>
      <c r="F318" s="113">
        <v>389351314600</v>
      </c>
      <c r="G318" s="114">
        <f t="shared" si="4"/>
        <v>0.53935865149381468</v>
      </c>
      <c r="H318" s="115"/>
      <c r="I318" s="115"/>
      <c r="J318" s="116"/>
      <c r="K318" s="116"/>
      <c r="L318" s="116"/>
      <c r="M318" s="116"/>
      <c r="N318" s="116"/>
      <c r="O318" s="116"/>
      <c r="P318" s="116"/>
    </row>
    <row r="319" spans="2:16" s="117" customFormat="1" ht="15" hidden="1" customHeight="1">
      <c r="B319" s="118"/>
      <c r="C319" s="110"/>
      <c r="D319" s="123"/>
      <c r="E319" s="115"/>
      <c r="F319" s="113"/>
      <c r="G319" s="114"/>
      <c r="H319" s="120"/>
      <c r="I319" s="120"/>
      <c r="J319" s="121"/>
      <c r="K319" s="121"/>
      <c r="L319" s="121"/>
      <c r="M319" s="121"/>
      <c r="N319" s="121"/>
      <c r="O319" s="121"/>
      <c r="P319" s="121"/>
    </row>
    <row r="320" spans="2:16" s="117" customFormat="1" ht="21.75" hidden="1" customHeight="1">
      <c r="B320" s="118"/>
      <c r="C320" s="110"/>
      <c r="D320" s="111" t="s">
        <v>379</v>
      </c>
      <c r="E320" s="120">
        <f>E321</f>
        <v>11200000000</v>
      </c>
      <c r="F320" s="119">
        <v>389351314600</v>
      </c>
      <c r="G320" s="114">
        <f t="shared" si="4"/>
        <v>2.8765794746336781</v>
      </c>
      <c r="H320" s="120"/>
      <c r="I320" s="120"/>
      <c r="J320" s="121"/>
      <c r="K320" s="121"/>
      <c r="L320" s="121"/>
      <c r="M320" s="121"/>
      <c r="N320" s="121"/>
      <c r="O320" s="121"/>
      <c r="P320" s="121"/>
    </row>
    <row r="321" spans="2:16" s="117" customFormat="1" ht="21.75" hidden="1" customHeight="1">
      <c r="B321" s="118"/>
      <c r="C321" s="110"/>
      <c r="D321" s="111" t="s">
        <v>361</v>
      </c>
      <c r="E321" s="120">
        <f>E322+E323+E324</f>
        <v>11200000000</v>
      </c>
      <c r="F321" s="119">
        <v>389351314600</v>
      </c>
      <c r="G321" s="114">
        <f t="shared" si="4"/>
        <v>2.8765794746336781</v>
      </c>
      <c r="H321" s="120"/>
      <c r="I321" s="120"/>
      <c r="J321" s="121"/>
      <c r="K321" s="121"/>
      <c r="L321" s="121"/>
      <c r="M321" s="121"/>
      <c r="N321" s="121"/>
      <c r="O321" s="121"/>
      <c r="P321" s="121"/>
    </row>
    <row r="322" spans="2:16" s="108" customFormat="1" ht="21.75" hidden="1" customHeight="1">
      <c r="B322" s="109"/>
      <c r="C322" s="122"/>
      <c r="D322" s="123" t="s">
        <v>380</v>
      </c>
      <c r="E322" s="115">
        <v>9700000250</v>
      </c>
      <c r="F322" s="113">
        <v>389351314600</v>
      </c>
      <c r="G322" s="114">
        <f t="shared" si="4"/>
        <v>2.4913233592046025</v>
      </c>
      <c r="H322" s="115"/>
      <c r="I322" s="115"/>
      <c r="J322" s="116"/>
      <c r="K322" s="116"/>
      <c r="L322" s="116"/>
      <c r="M322" s="116"/>
      <c r="N322" s="116"/>
      <c r="O322" s="116"/>
      <c r="P322" s="116"/>
    </row>
    <row r="323" spans="2:16" s="108" customFormat="1" ht="21.75" hidden="1" customHeight="1">
      <c r="B323" s="109"/>
      <c r="C323" s="122"/>
      <c r="D323" s="123" t="s">
        <v>381</v>
      </c>
      <c r="E323" s="115">
        <v>701842350</v>
      </c>
      <c r="F323" s="113">
        <v>389351314600</v>
      </c>
      <c r="G323" s="114">
        <f t="shared" si="4"/>
        <v>0.18025940164630949</v>
      </c>
      <c r="H323" s="115"/>
      <c r="I323" s="115"/>
      <c r="J323" s="116"/>
      <c r="K323" s="116"/>
      <c r="L323" s="116"/>
      <c r="M323" s="116"/>
      <c r="N323" s="116"/>
      <c r="O323" s="116"/>
      <c r="P323" s="116"/>
    </row>
    <row r="324" spans="2:16" s="108" customFormat="1" ht="21.75" hidden="1" customHeight="1">
      <c r="B324" s="109"/>
      <c r="C324" s="122"/>
      <c r="D324" s="123" t="s">
        <v>382</v>
      </c>
      <c r="E324" s="115">
        <v>798157400</v>
      </c>
      <c r="F324" s="113">
        <v>389351314600</v>
      </c>
      <c r="G324" s="114">
        <f t="shared" si="4"/>
        <v>0.20499671378276632</v>
      </c>
      <c r="H324" s="120"/>
      <c r="I324" s="120"/>
      <c r="J324" s="116"/>
      <c r="K324" s="116"/>
      <c r="L324" s="116"/>
      <c r="M324" s="116"/>
      <c r="N324" s="116"/>
      <c r="O324" s="116"/>
      <c r="P324" s="116"/>
    </row>
    <row r="325" spans="2:16" s="108" customFormat="1" ht="15" hidden="1" customHeight="1">
      <c r="B325" s="109"/>
      <c r="C325" s="122"/>
      <c r="D325" s="124"/>
      <c r="E325" s="125"/>
      <c r="F325" s="113"/>
      <c r="G325" s="126"/>
      <c r="H325" s="120"/>
      <c r="I325" s="120"/>
      <c r="J325" s="116"/>
      <c r="K325" s="116"/>
      <c r="L325" s="116"/>
      <c r="M325" s="116"/>
      <c r="N325" s="116"/>
      <c r="O325" s="116"/>
      <c r="P325" s="116"/>
    </row>
    <row r="326" spans="2:16" s="117" customFormat="1" ht="21.75" customHeight="1">
      <c r="B326" s="118"/>
      <c r="C326" s="110" t="s">
        <v>383</v>
      </c>
      <c r="D326" s="124" t="s">
        <v>384</v>
      </c>
      <c r="E326" s="128">
        <f>+E327+E398+E577+E668+E813+E921+E1045+E1248+E1367+E1441+E1497+E1611+E1706+E1863+E1976+E2042+E2165+E2234+E2299+E2491+E2603+E2701+E2771+E2884+E2996+E3074+E3152+E3287+E3442</f>
        <v>1557405258400</v>
      </c>
      <c r="F326" s="119">
        <v>5861910600000</v>
      </c>
      <c r="G326" s="127">
        <f>+E326/F326*100</f>
        <v>26.568219215079807</v>
      </c>
      <c r="H326" s="120"/>
      <c r="I326" s="120"/>
      <c r="J326" s="121"/>
      <c r="K326" s="121"/>
      <c r="L326" s="121"/>
      <c r="M326" s="121"/>
      <c r="N326" s="121"/>
      <c r="O326" s="121"/>
      <c r="P326" s="121"/>
    </row>
    <row r="327" spans="2:16" s="117" customFormat="1" ht="21.75" hidden="1" customHeight="1">
      <c r="B327" s="118"/>
      <c r="C327" s="110" t="s">
        <v>385</v>
      </c>
      <c r="D327" s="124" t="s">
        <v>386</v>
      </c>
      <c r="E327" s="128">
        <f>+E328+E357+E374+E378+E386+E391+E394</f>
        <v>48495887123.160004</v>
      </c>
      <c r="F327" s="129">
        <v>1557405258400.0002</v>
      </c>
      <c r="G327" s="127">
        <f>+E327/F327*100</f>
        <v>3.1138900335409319</v>
      </c>
      <c r="H327" s="120"/>
      <c r="I327" s="120"/>
      <c r="J327" s="121"/>
      <c r="K327" s="121"/>
      <c r="L327" s="121"/>
      <c r="M327" s="121"/>
      <c r="N327" s="121"/>
      <c r="O327" s="121"/>
      <c r="P327" s="121"/>
    </row>
    <row r="328" spans="2:16" s="117" customFormat="1" ht="21.75" hidden="1" customHeight="1">
      <c r="B328" s="118"/>
      <c r="C328" s="110"/>
      <c r="D328" s="111" t="s">
        <v>387</v>
      </c>
      <c r="E328" s="250">
        <f>SUM(E329+E335+E345+E354)</f>
        <v>27678637440</v>
      </c>
      <c r="F328" s="129">
        <v>48495887123.160004</v>
      </c>
      <c r="G328" s="127">
        <f>+E328/F328*100</f>
        <v>57.074195528596924</v>
      </c>
      <c r="H328" s="120"/>
      <c r="I328" s="120"/>
      <c r="J328" s="121"/>
      <c r="K328" s="121"/>
      <c r="L328" s="121"/>
      <c r="M328" s="121"/>
      <c r="N328" s="121"/>
      <c r="O328" s="121"/>
      <c r="P328" s="121"/>
    </row>
    <row r="329" spans="2:16" s="117" customFormat="1" ht="21.75" hidden="1" customHeight="1">
      <c r="B329" s="118"/>
      <c r="C329" s="110"/>
      <c r="D329" s="111" t="s">
        <v>388</v>
      </c>
      <c r="E329" s="250">
        <f>SUM(E330:E334)</f>
        <v>1316372080</v>
      </c>
      <c r="F329" s="129">
        <v>48495887123.160004</v>
      </c>
      <c r="G329" s="127">
        <f t="shared" ref="G329:G396" si="5">+E329/F329*100</f>
        <v>2.7143994224849326</v>
      </c>
      <c r="H329" s="120"/>
      <c r="I329" s="120"/>
      <c r="J329" s="121"/>
      <c r="K329" s="121"/>
      <c r="L329" s="121"/>
      <c r="M329" s="121"/>
      <c r="N329" s="121"/>
      <c r="O329" s="121"/>
      <c r="P329" s="121"/>
    </row>
    <row r="330" spans="2:16" s="108" customFormat="1" ht="21.75" hidden="1" customHeight="1">
      <c r="B330" s="109"/>
      <c r="C330" s="122"/>
      <c r="D330" s="123" t="s">
        <v>389</v>
      </c>
      <c r="E330" s="696">
        <v>263420000</v>
      </c>
      <c r="F330" s="125">
        <v>48495887123.160004</v>
      </c>
      <c r="G330" s="127">
        <f t="shared" si="5"/>
        <v>0.54318008315018429</v>
      </c>
      <c r="H330" s="120"/>
      <c r="I330" s="120"/>
      <c r="J330" s="116"/>
      <c r="K330" s="116"/>
      <c r="L330" s="116"/>
      <c r="M330" s="116"/>
      <c r="N330" s="116"/>
      <c r="O330" s="116"/>
      <c r="P330" s="116"/>
    </row>
    <row r="331" spans="2:16" s="108" customFormat="1" ht="21.75" hidden="1" customHeight="1">
      <c r="B331" s="109"/>
      <c r="C331" s="122"/>
      <c r="D331" s="123" t="s">
        <v>390</v>
      </c>
      <c r="E331" s="696">
        <v>85274985</v>
      </c>
      <c r="F331" s="125">
        <v>48495887123.160004</v>
      </c>
      <c r="G331" s="127">
        <f t="shared" si="5"/>
        <v>0.17583962281880919</v>
      </c>
      <c r="H331" s="120"/>
      <c r="I331" s="120"/>
      <c r="J331" s="116"/>
      <c r="K331" s="116"/>
      <c r="L331" s="116"/>
      <c r="M331" s="116"/>
      <c r="N331" s="116"/>
      <c r="O331" s="116"/>
      <c r="P331" s="116"/>
    </row>
    <row r="332" spans="2:16" s="108" customFormat="1" ht="21.75" hidden="1" customHeight="1">
      <c r="B332" s="109"/>
      <c r="C332" s="122"/>
      <c r="D332" s="123" t="s">
        <v>391</v>
      </c>
      <c r="E332" s="696">
        <v>564000000</v>
      </c>
      <c r="F332" s="125">
        <v>48495887123.160004</v>
      </c>
      <c r="G332" s="127">
        <f t="shared" si="5"/>
        <v>1.1629852209274312</v>
      </c>
      <c r="H332" s="120"/>
      <c r="I332" s="120"/>
      <c r="J332" s="116"/>
      <c r="K332" s="116"/>
      <c r="L332" s="116"/>
      <c r="M332" s="116"/>
      <c r="N332" s="116"/>
      <c r="O332" s="116"/>
      <c r="P332" s="116"/>
    </row>
    <row r="333" spans="2:16" s="108" customFormat="1" ht="33" hidden="1" customHeight="1">
      <c r="B333" s="109"/>
      <c r="C333" s="122"/>
      <c r="D333" s="123" t="s">
        <v>392</v>
      </c>
      <c r="E333" s="696">
        <v>157500000</v>
      </c>
      <c r="F333" s="125">
        <v>48495887123.160004</v>
      </c>
      <c r="G333" s="127">
        <f t="shared" si="5"/>
        <v>0.32476980903558578</v>
      </c>
      <c r="H333" s="120"/>
      <c r="I333" s="120"/>
      <c r="J333" s="116"/>
      <c r="K333" s="116"/>
      <c r="L333" s="116"/>
      <c r="M333" s="116"/>
      <c r="N333" s="116"/>
      <c r="O333" s="116"/>
      <c r="P333" s="116"/>
    </row>
    <row r="334" spans="2:16" s="108" customFormat="1" ht="21.75" hidden="1" customHeight="1">
      <c r="B334" s="109"/>
      <c r="C334" s="122"/>
      <c r="D334" s="123" t="s">
        <v>393</v>
      </c>
      <c r="E334" s="696">
        <v>246177095</v>
      </c>
      <c r="F334" s="125">
        <v>48495887123.160004</v>
      </c>
      <c r="G334" s="127">
        <f t="shared" si="5"/>
        <v>0.50762468655292237</v>
      </c>
      <c r="H334" s="120"/>
      <c r="I334" s="120"/>
      <c r="J334" s="116"/>
      <c r="K334" s="116"/>
      <c r="L334" s="116"/>
      <c r="M334" s="116"/>
      <c r="N334" s="116"/>
      <c r="O334" s="116"/>
      <c r="P334" s="116"/>
    </row>
    <row r="335" spans="2:16" s="117" customFormat="1" ht="21.75" hidden="1" customHeight="1">
      <c r="B335" s="118"/>
      <c r="C335" s="110"/>
      <c r="D335" s="111" t="s">
        <v>394</v>
      </c>
      <c r="E335" s="250">
        <f>SUM(E336:E344)</f>
        <v>21430611660</v>
      </c>
      <c r="F335" s="129">
        <v>48495887123.160004</v>
      </c>
      <c r="G335" s="127">
        <f t="shared" si="5"/>
        <v>44.190575595771421</v>
      </c>
      <c r="H335" s="120"/>
      <c r="I335" s="120"/>
      <c r="J335" s="121"/>
      <c r="K335" s="121"/>
      <c r="L335" s="121"/>
      <c r="M335" s="121"/>
      <c r="N335" s="121"/>
      <c r="O335" s="121"/>
      <c r="P335" s="121"/>
    </row>
    <row r="336" spans="2:16" s="108" customFormat="1" ht="33" hidden="1" customHeight="1">
      <c r="B336" s="109"/>
      <c r="C336" s="122"/>
      <c r="D336" s="123" t="s">
        <v>395</v>
      </c>
      <c r="E336" s="696">
        <v>2130000000</v>
      </c>
      <c r="F336" s="125">
        <v>48495887123.160004</v>
      </c>
      <c r="G336" s="127">
        <f t="shared" si="5"/>
        <v>4.3921250364812554</v>
      </c>
      <c r="H336" s="120"/>
      <c r="I336" s="120"/>
      <c r="J336" s="116"/>
      <c r="K336" s="116"/>
      <c r="L336" s="116"/>
      <c r="M336" s="116"/>
      <c r="N336" s="116"/>
      <c r="O336" s="116"/>
      <c r="P336" s="116"/>
    </row>
    <row r="337" spans="2:16" s="108" customFormat="1" ht="21.75" hidden="1" customHeight="1">
      <c r="B337" s="109"/>
      <c r="C337" s="122"/>
      <c r="D337" s="123" t="s">
        <v>396</v>
      </c>
      <c r="E337" s="696">
        <v>8610000000</v>
      </c>
      <c r="F337" s="125">
        <v>48495887123.160004</v>
      </c>
      <c r="G337" s="127">
        <f t="shared" si="5"/>
        <v>17.754082893945359</v>
      </c>
      <c r="H337" s="120"/>
      <c r="I337" s="120"/>
      <c r="J337" s="116"/>
      <c r="K337" s="116"/>
      <c r="L337" s="116"/>
      <c r="M337" s="116"/>
      <c r="N337" s="116"/>
      <c r="O337" s="116"/>
      <c r="P337" s="116"/>
    </row>
    <row r="338" spans="2:16" s="108" customFormat="1" ht="33" hidden="1" customHeight="1">
      <c r="B338" s="109"/>
      <c r="C338" s="122"/>
      <c r="D338" s="123" t="s">
        <v>397</v>
      </c>
      <c r="E338" s="696">
        <v>3315600000</v>
      </c>
      <c r="F338" s="125">
        <v>48495887123.160004</v>
      </c>
      <c r="G338" s="127">
        <f t="shared" si="5"/>
        <v>6.8368684370691319</v>
      </c>
      <c r="H338" s="120"/>
      <c r="I338" s="120"/>
      <c r="J338" s="116"/>
      <c r="K338" s="116"/>
      <c r="L338" s="116"/>
      <c r="M338" s="116"/>
      <c r="N338" s="116"/>
      <c r="O338" s="116"/>
      <c r="P338" s="116"/>
    </row>
    <row r="339" spans="2:16" s="108" customFormat="1" ht="57" hidden="1" customHeight="1">
      <c r="B339" s="109"/>
      <c r="C339" s="122"/>
      <c r="D339" s="123" t="s">
        <v>398</v>
      </c>
      <c r="E339" s="696">
        <v>495675000</v>
      </c>
      <c r="F339" s="125">
        <v>48495887123.160004</v>
      </c>
      <c r="G339" s="127">
        <f t="shared" si="5"/>
        <v>1.0220969847219936</v>
      </c>
      <c r="H339" s="120"/>
      <c r="I339" s="120"/>
      <c r="J339" s="116"/>
      <c r="K339" s="116"/>
      <c r="L339" s="116"/>
      <c r="M339" s="116"/>
      <c r="N339" s="116"/>
      <c r="O339" s="116"/>
      <c r="P339" s="116"/>
    </row>
    <row r="340" spans="2:16" s="108" customFormat="1" ht="43.5" hidden="1" customHeight="1">
      <c r="B340" s="109"/>
      <c r="C340" s="122"/>
      <c r="D340" s="123" t="s">
        <v>399</v>
      </c>
      <c r="E340" s="696">
        <v>4306426260</v>
      </c>
      <c r="F340" s="125">
        <v>48495887123.160004</v>
      </c>
      <c r="G340" s="127">
        <f t="shared" si="5"/>
        <v>8.8799824386414734</v>
      </c>
      <c r="H340" s="120"/>
      <c r="I340" s="120"/>
      <c r="J340" s="116"/>
      <c r="K340" s="116"/>
      <c r="L340" s="116"/>
      <c r="M340" s="116"/>
      <c r="N340" s="116"/>
      <c r="O340" s="116"/>
      <c r="P340" s="116"/>
    </row>
    <row r="341" spans="2:16" s="108" customFormat="1" ht="21.75" hidden="1" customHeight="1">
      <c r="B341" s="109"/>
      <c r="C341" s="122"/>
      <c r="D341" s="123" t="s">
        <v>400</v>
      </c>
      <c r="E341" s="696">
        <v>188510400</v>
      </c>
      <c r="F341" s="125">
        <v>48495887123.160004</v>
      </c>
      <c r="G341" s="127">
        <f t="shared" si="5"/>
        <v>0.3887142006934724</v>
      </c>
      <c r="H341" s="120"/>
      <c r="I341" s="120"/>
      <c r="J341" s="116"/>
      <c r="K341" s="116"/>
      <c r="L341" s="116"/>
      <c r="M341" s="116"/>
      <c r="N341" s="116"/>
      <c r="O341" s="116"/>
      <c r="P341" s="116"/>
    </row>
    <row r="342" spans="2:16" s="108" customFormat="1" ht="21.75" hidden="1" customHeight="1">
      <c r="B342" s="109"/>
      <c r="C342" s="122"/>
      <c r="D342" s="123" t="s">
        <v>401</v>
      </c>
      <c r="E342" s="696">
        <v>1778400000</v>
      </c>
      <c r="F342" s="125">
        <v>48495887123.160004</v>
      </c>
      <c r="G342" s="127">
        <f t="shared" si="5"/>
        <v>3.6671151008818148</v>
      </c>
      <c r="H342" s="120"/>
      <c r="I342" s="120"/>
      <c r="J342" s="116"/>
      <c r="K342" s="116"/>
      <c r="L342" s="116"/>
      <c r="M342" s="116"/>
      <c r="N342" s="116"/>
      <c r="O342" s="116"/>
      <c r="P342" s="116"/>
    </row>
    <row r="343" spans="2:16" s="108" customFormat="1" ht="21.75" hidden="1" customHeight="1">
      <c r="B343" s="109"/>
      <c r="C343" s="122"/>
      <c r="D343" s="123" t="s">
        <v>402</v>
      </c>
      <c r="E343" s="696">
        <v>106000000</v>
      </c>
      <c r="F343" s="125">
        <v>48495887123.160004</v>
      </c>
      <c r="G343" s="127">
        <f t="shared" si="5"/>
        <v>0.21857523655728317</v>
      </c>
      <c r="H343" s="120"/>
      <c r="I343" s="120"/>
      <c r="J343" s="116"/>
      <c r="K343" s="116"/>
      <c r="L343" s="116"/>
      <c r="M343" s="116"/>
      <c r="N343" s="116"/>
      <c r="O343" s="116"/>
      <c r="P343" s="116"/>
    </row>
    <row r="344" spans="2:16" s="108" customFormat="1" ht="33" hidden="1" customHeight="1">
      <c r="B344" s="109"/>
      <c r="C344" s="122"/>
      <c r="D344" s="123" t="s">
        <v>403</v>
      </c>
      <c r="E344" s="696">
        <v>500000000</v>
      </c>
      <c r="F344" s="125">
        <v>48495887123.160004</v>
      </c>
      <c r="G344" s="127">
        <f t="shared" si="5"/>
        <v>1.0310152667796375</v>
      </c>
      <c r="H344" s="120"/>
      <c r="I344" s="120"/>
      <c r="J344" s="116"/>
      <c r="K344" s="116"/>
      <c r="L344" s="116"/>
      <c r="M344" s="116"/>
      <c r="N344" s="116"/>
      <c r="O344" s="116"/>
      <c r="P344" s="116"/>
    </row>
    <row r="345" spans="2:16" s="117" customFormat="1" ht="21.75" hidden="1" customHeight="1">
      <c r="B345" s="118"/>
      <c r="C345" s="110"/>
      <c r="D345" s="111" t="s">
        <v>404</v>
      </c>
      <c r="E345" s="250">
        <f>SUM(E346:E353)</f>
        <v>4791643700</v>
      </c>
      <c r="F345" s="129">
        <v>48495887123.160004</v>
      </c>
      <c r="G345" s="127">
        <f t="shared" si="5"/>
        <v>9.8805156153369396</v>
      </c>
      <c r="H345" s="120"/>
      <c r="I345" s="120"/>
      <c r="J345" s="121"/>
      <c r="K345" s="121"/>
      <c r="L345" s="121"/>
      <c r="M345" s="121"/>
      <c r="N345" s="121"/>
      <c r="O345" s="121"/>
      <c r="P345" s="121"/>
    </row>
    <row r="346" spans="2:16" s="108" customFormat="1" ht="21.75" hidden="1" customHeight="1">
      <c r="B346" s="109"/>
      <c r="C346" s="122"/>
      <c r="D346" s="123" t="s">
        <v>405</v>
      </c>
      <c r="E346" s="696">
        <v>420000000</v>
      </c>
      <c r="F346" s="125">
        <v>48495887123.160004</v>
      </c>
      <c r="G346" s="127">
        <f t="shared" si="5"/>
        <v>0.86605282409489559</v>
      </c>
      <c r="H346" s="120"/>
      <c r="I346" s="120"/>
      <c r="J346" s="116"/>
      <c r="K346" s="116"/>
      <c r="L346" s="116"/>
      <c r="M346" s="116"/>
      <c r="N346" s="116"/>
      <c r="O346" s="116"/>
      <c r="P346" s="116"/>
    </row>
    <row r="347" spans="2:16" s="108" customFormat="1" ht="21.75" hidden="1" customHeight="1">
      <c r="B347" s="109"/>
      <c r="C347" s="122"/>
      <c r="D347" s="123" t="s">
        <v>406</v>
      </c>
      <c r="E347" s="696">
        <v>777000000</v>
      </c>
      <c r="F347" s="125">
        <v>48495887123.160004</v>
      </c>
      <c r="G347" s="127">
        <f t="shared" si="5"/>
        <v>1.6021977245755568</v>
      </c>
      <c r="H347" s="120"/>
      <c r="I347" s="120"/>
      <c r="J347" s="116"/>
      <c r="K347" s="116"/>
      <c r="L347" s="116"/>
      <c r="M347" s="116"/>
      <c r="N347" s="116"/>
      <c r="O347" s="116"/>
      <c r="P347" s="116"/>
    </row>
    <row r="348" spans="2:16" s="108" customFormat="1" ht="21.75" hidden="1" customHeight="1">
      <c r="B348" s="109"/>
      <c r="C348" s="122"/>
      <c r="D348" s="123" t="s">
        <v>407</v>
      </c>
      <c r="E348" s="696">
        <v>351600000</v>
      </c>
      <c r="F348" s="125">
        <v>48495887123.160004</v>
      </c>
      <c r="G348" s="127">
        <f t="shared" si="5"/>
        <v>0.72500993559944116</v>
      </c>
      <c r="H348" s="120"/>
      <c r="I348" s="120"/>
      <c r="J348" s="116"/>
      <c r="K348" s="116"/>
      <c r="L348" s="116"/>
      <c r="M348" s="116"/>
      <c r="N348" s="116"/>
      <c r="O348" s="116"/>
      <c r="P348" s="116"/>
    </row>
    <row r="349" spans="2:16" s="108" customFormat="1" ht="36" hidden="1" customHeight="1">
      <c r="B349" s="109"/>
      <c r="C349" s="122"/>
      <c r="D349" s="123" t="s">
        <v>408</v>
      </c>
      <c r="E349" s="696">
        <v>1168041620</v>
      </c>
      <c r="F349" s="125">
        <v>48495887123.160004</v>
      </c>
      <c r="G349" s="127">
        <f t="shared" si="5"/>
        <v>2.4085374849080399</v>
      </c>
      <c r="H349" s="120"/>
      <c r="I349" s="120"/>
      <c r="J349" s="116"/>
      <c r="K349" s="116"/>
      <c r="L349" s="116"/>
      <c r="M349" s="116"/>
      <c r="N349" s="116"/>
      <c r="O349" s="116"/>
      <c r="P349" s="116"/>
    </row>
    <row r="350" spans="2:16" s="108" customFormat="1" ht="36" hidden="1" customHeight="1">
      <c r="B350" s="109"/>
      <c r="C350" s="122"/>
      <c r="D350" s="123" t="s">
        <v>409</v>
      </c>
      <c r="E350" s="696">
        <v>405850000</v>
      </c>
      <c r="F350" s="125">
        <v>48495887123.160004</v>
      </c>
      <c r="G350" s="127">
        <f t="shared" si="5"/>
        <v>0.83687509204503174</v>
      </c>
      <c r="H350" s="120"/>
      <c r="I350" s="120"/>
      <c r="J350" s="116"/>
      <c r="K350" s="116"/>
      <c r="L350" s="116"/>
      <c r="M350" s="116"/>
      <c r="N350" s="116"/>
      <c r="O350" s="116"/>
      <c r="P350" s="116"/>
    </row>
    <row r="351" spans="2:16" s="108" customFormat="1" ht="36" hidden="1" customHeight="1">
      <c r="B351" s="109"/>
      <c r="C351" s="122"/>
      <c r="D351" s="123" t="s">
        <v>410</v>
      </c>
      <c r="E351" s="696">
        <v>1213250000</v>
      </c>
      <c r="F351" s="125">
        <v>48495887123.160004</v>
      </c>
      <c r="G351" s="127">
        <f t="shared" si="5"/>
        <v>2.5017585448407909</v>
      </c>
      <c r="H351" s="120"/>
      <c r="I351" s="120"/>
      <c r="J351" s="116"/>
      <c r="K351" s="116"/>
      <c r="L351" s="116"/>
      <c r="M351" s="116"/>
      <c r="N351" s="116"/>
      <c r="O351" s="116"/>
      <c r="P351" s="116"/>
    </row>
    <row r="352" spans="2:16" s="108" customFormat="1" ht="36" hidden="1" customHeight="1">
      <c r="B352" s="109"/>
      <c r="C352" s="122"/>
      <c r="D352" s="123" t="s">
        <v>411</v>
      </c>
      <c r="E352" s="696">
        <v>156902080</v>
      </c>
      <c r="F352" s="125">
        <v>48495887123.160004</v>
      </c>
      <c r="G352" s="127">
        <f t="shared" si="5"/>
        <v>0.32353687973896006</v>
      </c>
      <c r="H352" s="120"/>
      <c r="I352" s="120"/>
      <c r="J352" s="116"/>
      <c r="K352" s="116"/>
      <c r="L352" s="116"/>
      <c r="M352" s="116"/>
      <c r="N352" s="116"/>
      <c r="O352" s="116"/>
      <c r="P352" s="116"/>
    </row>
    <row r="353" spans="2:16" s="108" customFormat="1" ht="36" hidden="1" customHeight="1">
      <c r="B353" s="109"/>
      <c r="C353" s="122"/>
      <c r="D353" s="123" t="s">
        <v>412</v>
      </c>
      <c r="E353" s="696">
        <v>299000000</v>
      </c>
      <c r="F353" s="125">
        <v>48495887123.160004</v>
      </c>
      <c r="G353" s="127">
        <f t="shared" si="5"/>
        <v>0.61654712953422319</v>
      </c>
      <c r="H353" s="120"/>
      <c r="I353" s="120"/>
      <c r="J353" s="116"/>
      <c r="K353" s="116"/>
      <c r="L353" s="116"/>
      <c r="M353" s="116"/>
      <c r="N353" s="116"/>
      <c r="O353" s="116"/>
      <c r="P353" s="116"/>
    </row>
    <row r="354" spans="2:16" s="117" customFormat="1" ht="21.75" hidden="1" customHeight="1">
      <c r="B354" s="118"/>
      <c r="C354" s="110"/>
      <c r="D354" s="111" t="s">
        <v>106</v>
      </c>
      <c r="E354" s="250">
        <f>SUM(E355)</f>
        <v>140010000</v>
      </c>
      <c r="F354" s="129">
        <v>48495887123.160004</v>
      </c>
      <c r="G354" s="127">
        <f t="shared" si="5"/>
        <v>0.28870489500363411</v>
      </c>
      <c r="H354" s="120"/>
      <c r="I354" s="120"/>
      <c r="J354" s="121"/>
      <c r="K354" s="121"/>
      <c r="L354" s="121"/>
      <c r="M354" s="121"/>
      <c r="N354" s="121"/>
      <c r="O354" s="121"/>
      <c r="P354" s="121"/>
    </row>
    <row r="355" spans="2:16" s="108" customFormat="1" ht="21" hidden="1" customHeight="1">
      <c r="B355" s="109"/>
      <c r="C355" s="122"/>
      <c r="D355" s="123" t="s">
        <v>413</v>
      </c>
      <c r="E355" s="696">
        <v>140010000</v>
      </c>
      <c r="F355" s="125">
        <v>48495887123.160004</v>
      </c>
      <c r="G355" s="127">
        <f t="shared" si="5"/>
        <v>0.28870489500363411</v>
      </c>
      <c r="H355" s="120"/>
      <c r="I355" s="120"/>
      <c r="J355" s="116"/>
      <c r="K355" s="116"/>
      <c r="L355" s="116"/>
      <c r="M355" s="116"/>
      <c r="N355" s="116"/>
      <c r="O355" s="116"/>
      <c r="P355" s="116"/>
    </row>
    <row r="356" spans="2:16" s="108" customFormat="1" ht="15" hidden="1" customHeight="1">
      <c r="B356" s="109"/>
      <c r="C356" s="122"/>
      <c r="D356" s="123"/>
      <c r="E356" s="696"/>
      <c r="F356" s="125"/>
      <c r="G356" s="127"/>
      <c r="H356" s="120"/>
      <c r="I356" s="120"/>
      <c r="J356" s="116"/>
      <c r="K356" s="116"/>
      <c r="L356" s="116"/>
      <c r="M356" s="116"/>
      <c r="N356" s="116"/>
      <c r="O356" s="116"/>
      <c r="P356" s="116"/>
    </row>
    <row r="357" spans="2:16" s="117" customFormat="1" ht="21.75" hidden="1" customHeight="1">
      <c r="B357" s="118"/>
      <c r="C357" s="110"/>
      <c r="D357" s="111" t="s">
        <v>161</v>
      </c>
      <c r="E357" s="250">
        <f>SUM(E358+E362+E364+E368+E371)</f>
        <v>10377020800</v>
      </c>
      <c r="F357" s="129">
        <v>48495887123.160004</v>
      </c>
      <c r="G357" s="127">
        <f t="shared" si="5"/>
        <v>21.397733736979696</v>
      </c>
      <c r="H357" s="120"/>
      <c r="I357" s="120"/>
      <c r="J357" s="121"/>
      <c r="K357" s="121"/>
      <c r="L357" s="121"/>
      <c r="M357" s="121"/>
      <c r="N357" s="121"/>
      <c r="O357" s="121"/>
      <c r="P357" s="121"/>
    </row>
    <row r="358" spans="2:16" s="117" customFormat="1" ht="21.75" hidden="1" customHeight="1">
      <c r="B358" s="118"/>
      <c r="C358" s="110"/>
      <c r="D358" s="111" t="s">
        <v>173</v>
      </c>
      <c r="E358" s="250">
        <f>SUM(E359:E361)</f>
        <v>4630355000</v>
      </c>
      <c r="F358" s="129">
        <v>48495887123.160004</v>
      </c>
      <c r="G358" s="127">
        <f t="shared" si="5"/>
        <v>9.5479333912188569</v>
      </c>
      <c r="H358" s="120"/>
      <c r="I358" s="120"/>
      <c r="J358" s="121"/>
      <c r="K358" s="121"/>
      <c r="L358" s="121"/>
      <c r="M358" s="121"/>
      <c r="N358" s="121"/>
      <c r="O358" s="121"/>
      <c r="P358" s="121"/>
    </row>
    <row r="359" spans="2:16" s="108" customFormat="1" ht="21.75" hidden="1" customHeight="1">
      <c r="B359" s="109"/>
      <c r="C359" s="122"/>
      <c r="D359" s="123" t="s">
        <v>414</v>
      </c>
      <c r="E359" s="696">
        <v>233200000</v>
      </c>
      <c r="F359" s="125">
        <v>48495887123.160004</v>
      </c>
      <c r="G359" s="127">
        <f t="shared" si="5"/>
        <v>0.48086552042602299</v>
      </c>
      <c r="H359" s="120"/>
      <c r="I359" s="120"/>
      <c r="J359" s="116"/>
      <c r="K359" s="116"/>
      <c r="L359" s="116"/>
      <c r="M359" s="116"/>
      <c r="N359" s="116"/>
      <c r="O359" s="116"/>
      <c r="P359" s="116"/>
    </row>
    <row r="360" spans="2:16" s="108" customFormat="1" ht="21.75" hidden="1" customHeight="1">
      <c r="B360" s="109"/>
      <c r="C360" s="122"/>
      <c r="D360" s="123" t="s">
        <v>415</v>
      </c>
      <c r="E360" s="696">
        <v>2107455000</v>
      </c>
      <c r="F360" s="125">
        <v>48495887123.160004</v>
      </c>
      <c r="G360" s="127">
        <f t="shared" si="5"/>
        <v>4.3456365581021625</v>
      </c>
      <c r="H360" s="120"/>
      <c r="I360" s="120"/>
      <c r="J360" s="116"/>
      <c r="K360" s="116"/>
      <c r="L360" s="116"/>
      <c r="M360" s="116"/>
      <c r="N360" s="116"/>
      <c r="O360" s="116"/>
      <c r="P360" s="116"/>
    </row>
    <row r="361" spans="2:16" s="108" customFormat="1" ht="21.75" hidden="1" customHeight="1">
      <c r="B361" s="109"/>
      <c r="C361" s="122"/>
      <c r="D361" s="123" t="s">
        <v>416</v>
      </c>
      <c r="E361" s="696">
        <v>2289700000</v>
      </c>
      <c r="F361" s="125">
        <v>48495887123.160004</v>
      </c>
      <c r="G361" s="127">
        <f t="shared" si="5"/>
        <v>4.7214313126906724</v>
      </c>
      <c r="H361" s="120"/>
      <c r="I361" s="120"/>
      <c r="J361" s="116"/>
      <c r="K361" s="116"/>
      <c r="L361" s="116"/>
      <c r="M361" s="116"/>
      <c r="N361" s="116"/>
      <c r="O361" s="116"/>
      <c r="P361" s="116"/>
    </row>
    <row r="362" spans="2:16" s="117" customFormat="1" ht="21.75" hidden="1" customHeight="1">
      <c r="B362" s="118"/>
      <c r="C362" s="110"/>
      <c r="D362" s="111" t="s">
        <v>190</v>
      </c>
      <c r="E362" s="250">
        <f>SUM(E363)</f>
        <v>1856250000</v>
      </c>
      <c r="F362" s="129">
        <v>48495887123.160004</v>
      </c>
      <c r="G362" s="127">
        <f t="shared" si="5"/>
        <v>3.8276441779194044</v>
      </c>
      <c r="H362" s="120"/>
      <c r="I362" s="120"/>
      <c r="J362" s="121"/>
      <c r="K362" s="121"/>
      <c r="L362" s="121"/>
      <c r="M362" s="121"/>
      <c r="N362" s="121"/>
      <c r="O362" s="121"/>
      <c r="P362" s="121"/>
    </row>
    <row r="363" spans="2:16" s="108" customFormat="1" ht="21.75" hidden="1" customHeight="1">
      <c r="B363" s="109"/>
      <c r="C363" s="122"/>
      <c r="D363" s="123" t="s">
        <v>417</v>
      </c>
      <c r="E363" s="696">
        <v>1856250000</v>
      </c>
      <c r="F363" s="125">
        <v>48495887123.160004</v>
      </c>
      <c r="G363" s="127">
        <f t="shared" si="5"/>
        <v>3.8276441779194044</v>
      </c>
      <c r="H363" s="120"/>
      <c r="I363" s="120"/>
      <c r="J363" s="116"/>
      <c r="K363" s="116"/>
      <c r="L363" s="116"/>
      <c r="M363" s="116"/>
      <c r="N363" s="116"/>
      <c r="O363" s="116"/>
      <c r="P363" s="116"/>
    </row>
    <row r="364" spans="2:16" s="117" customFormat="1" ht="21.75" hidden="1" customHeight="1">
      <c r="B364" s="118"/>
      <c r="C364" s="110"/>
      <c r="D364" s="111" t="s">
        <v>196</v>
      </c>
      <c r="E364" s="250">
        <f>SUM(E365:E367)</f>
        <v>940760400</v>
      </c>
      <c r="F364" s="129">
        <v>48495887123.160004</v>
      </c>
      <c r="G364" s="127">
        <f t="shared" si="5"/>
        <v>1.9398766695634371</v>
      </c>
      <c r="H364" s="120"/>
      <c r="I364" s="120"/>
      <c r="J364" s="121"/>
      <c r="K364" s="121"/>
      <c r="L364" s="121"/>
      <c r="M364" s="121"/>
      <c r="N364" s="121"/>
      <c r="O364" s="121"/>
      <c r="P364" s="121"/>
    </row>
    <row r="365" spans="2:16" s="108" customFormat="1" ht="33.75" hidden="1" customHeight="1">
      <c r="B365" s="109"/>
      <c r="C365" s="122"/>
      <c r="D365" s="123" t="s">
        <v>418</v>
      </c>
      <c r="E365" s="696">
        <v>482000000</v>
      </c>
      <c r="F365" s="125">
        <v>48495887123.160004</v>
      </c>
      <c r="G365" s="127">
        <f t="shared" si="5"/>
        <v>0.99389871717557066</v>
      </c>
      <c r="H365" s="120"/>
      <c r="I365" s="120"/>
      <c r="J365" s="116"/>
      <c r="K365" s="116"/>
      <c r="L365" s="116"/>
      <c r="M365" s="116"/>
      <c r="N365" s="116"/>
      <c r="O365" s="116"/>
      <c r="P365" s="116"/>
    </row>
    <row r="366" spans="2:16" s="108" customFormat="1" ht="21.75" hidden="1" customHeight="1">
      <c r="B366" s="109"/>
      <c r="C366" s="122"/>
      <c r="D366" s="123" t="s">
        <v>419</v>
      </c>
      <c r="E366" s="696">
        <v>201260400</v>
      </c>
      <c r="F366" s="125">
        <v>48495887123.160004</v>
      </c>
      <c r="G366" s="127">
        <f t="shared" si="5"/>
        <v>0.41500508999635316</v>
      </c>
      <c r="H366" s="120"/>
      <c r="I366" s="120"/>
      <c r="J366" s="116"/>
      <c r="K366" s="116"/>
      <c r="L366" s="116"/>
      <c r="M366" s="116"/>
      <c r="N366" s="116"/>
      <c r="O366" s="116"/>
      <c r="P366" s="116"/>
    </row>
    <row r="367" spans="2:16" s="108" customFormat="1" ht="21.75" hidden="1" customHeight="1">
      <c r="B367" s="109"/>
      <c r="C367" s="122"/>
      <c r="D367" s="123" t="s">
        <v>420</v>
      </c>
      <c r="E367" s="696">
        <v>257500000</v>
      </c>
      <c r="F367" s="125">
        <v>48495887123.160004</v>
      </c>
      <c r="G367" s="127">
        <f t="shared" si="5"/>
        <v>0.53097286239151331</v>
      </c>
      <c r="H367" s="120"/>
      <c r="I367" s="120"/>
      <c r="J367" s="116"/>
      <c r="K367" s="116"/>
      <c r="L367" s="116"/>
      <c r="M367" s="116"/>
      <c r="N367" s="116"/>
      <c r="O367" s="116"/>
      <c r="P367" s="116"/>
    </row>
    <row r="368" spans="2:16" s="117" customFormat="1" ht="32.25" hidden="1" customHeight="1">
      <c r="B368" s="118"/>
      <c r="C368" s="110"/>
      <c r="D368" s="111" t="s">
        <v>421</v>
      </c>
      <c r="E368" s="250">
        <f>SUM(E369:E370)</f>
        <v>1249655400</v>
      </c>
      <c r="F368" s="129">
        <v>48495887123.160004</v>
      </c>
      <c r="G368" s="127">
        <f t="shared" si="5"/>
        <v>2.5768275912272292</v>
      </c>
      <c r="H368" s="120"/>
      <c r="I368" s="120"/>
      <c r="J368" s="121"/>
      <c r="K368" s="121"/>
      <c r="L368" s="121"/>
      <c r="M368" s="121"/>
      <c r="N368" s="121"/>
      <c r="O368" s="121"/>
      <c r="P368" s="121"/>
    </row>
    <row r="369" spans="2:16" s="108" customFormat="1" ht="21.75" hidden="1" customHeight="1">
      <c r="B369" s="109"/>
      <c r="C369" s="122"/>
      <c r="D369" s="123" t="s">
        <v>422</v>
      </c>
      <c r="E369" s="696">
        <v>295205400</v>
      </c>
      <c r="F369" s="125">
        <v>48495887123.160004</v>
      </c>
      <c r="G369" s="127">
        <f t="shared" si="5"/>
        <v>0.60872254847157925</v>
      </c>
      <c r="H369" s="120"/>
      <c r="I369" s="120"/>
      <c r="J369" s="116"/>
      <c r="K369" s="116"/>
      <c r="L369" s="116"/>
      <c r="M369" s="116"/>
      <c r="N369" s="116"/>
      <c r="O369" s="116"/>
      <c r="P369" s="116"/>
    </row>
    <row r="370" spans="2:16" s="108" customFormat="1" ht="21.75" hidden="1" customHeight="1">
      <c r="B370" s="109"/>
      <c r="C370" s="122"/>
      <c r="D370" s="123" t="s">
        <v>423</v>
      </c>
      <c r="E370" s="696">
        <v>954450000</v>
      </c>
      <c r="F370" s="125">
        <v>48495887123.160004</v>
      </c>
      <c r="G370" s="127">
        <f t="shared" si="5"/>
        <v>1.9681050427556503</v>
      </c>
      <c r="H370" s="120"/>
      <c r="I370" s="120"/>
      <c r="J370" s="116"/>
      <c r="K370" s="116"/>
      <c r="L370" s="116"/>
      <c r="M370" s="116"/>
      <c r="N370" s="116"/>
      <c r="O370" s="116"/>
      <c r="P370" s="116"/>
    </row>
    <row r="371" spans="2:16" s="117" customFormat="1" ht="19.5" hidden="1" customHeight="1">
      <c r="B371" s="118"/>
      <c r="C371" s="110"/>
      <c r="D371" s="111" t="s">
        <v>212</v>
      </c>
      <c r="E371" s="250">
        <f>SUM(E372)</f>
        <v>1700000000</v>
      </c>
      <c r="F371" s="129">
        <v>48495887123.160004</v>
      </c>
      <c r="G371" s="127">
        <f t="shared" si="5"/>
        <v>3.5054519070507677</v>
      </c>
      <c r="H371" s="120"/>
      <c r="I371" s="120"/>
      <c r="J371" s="121"/>
      <c r="K371" s="121"/>
      <c r="L371" s="121"/>
      <c r="M371" s="121"/>
      <c r="N371" s="121"/>
      <c r="O371" s="121"/>
      <c r="P371" s="121"/>
    </row>
    <row r="372" spans="2:16" s="108" customFormat="1" ht="21.75" hidden="1" customHeight="1">
      <c r="B372" s="109"/>
      <c r="C372" s="122"/>
      <c r="D372" s="123" t="s">
        <v>424</v>
      </c>
      <c r="E372" s="696">
        <v>1700000000</v>
      </c>
      <c r="F372" s="125">
        <v>48495887123.160004</v>
      </c>
      <c r="G372" s="127">
        <f t="shared" si="5"/>
        <v>3.5054519070507677</v>
      </c>
      <c r="H372" s="120"/>
      <c r="I372" s="120"/>
      <c r="J372" s="116"/>
      <c r="K372" s="116"/>
      <c r="L372" s="116"/>
      <c r="M372" s="116"/>
      <c r="N372" s="116"/>
      <c r="O372" s="116"/>
      <c r="P372" s="116"/>
    </row>
    <row r="373" spans="2:16" s="108" customFormat="1" ht="15" hidden="1" customHeight="1">
      <c r="B373" s="109"/>
      <c r="C373" s="122"/>
      <c r="D373" s="123"/>
      <c r="E373" s="696"/>
      <c r="F373" s="125"/>
      <c r="G373" s="127"/>
      <c r="H373" s="120"/>
      <c r="I373" s="120"/>
      <c r="J373" s="116"/>
      <c r="K373" s="116"/>
      <c r="L373" s="116"/>
      <c r="M373" s="116"/>
      <c r="N373" s="116"/>
      <c r="O373" s="116"/>
      <c r="P373" s="116"/>
    </row>
    <row r="374" spans="2:16" s="117" customFormat="1" ht="21.75" hidden="1" customHeight="1">
      <c r="B374" s="118"/>
      <c r="C374" s="110"/>
      <c r="D374" s="111" t="s">
        <v>425</v>
      </c>
      <c r="E374" s="250">
        <f>SUM(E375)</f>
        <v>5000000000</v>
      </c>
      <c r="F374" s="129">
        <v>48495887123.160004</v>
      </c>
      <c r="G374" s="127">
        <f t="shared" si="5"/>
        <v>10.310152667796375</v>
      </c>
      <c r="H374" s="120"/>
      <c r="I374" s="120"/>
      <c r="J374" s="121"/>
      <c r="K374" s="121"/>
      <c r="L374" s="121"/>
      <c r="M374" s="121"/>
      <c r="N374" s="121"/>
      <c r="O374" s="121"/>
      <c r="P374" s="121"/>
    </row>
    <row r="375" spans="2:16" s="117" customFormat="1" ht="21.75" hidden="1" customHeight="1">
      <c r="B375" s="118"/>
      <c r="C375" s="110"/>
      <c r="D375" s="111" t="s">
        <v>426</v>
      </c>
      <c r="E375" s="250">
        <f>SUM(E376)</f>
        <v>5000000000</v>
      </c>
      <c r="F375" s="129">
        <v>48495887123.160004</v>
      </c>
      <c r="G375" s="127">
        <f t="shared" si="5"/>
        <v>10.310152667796375</v>
      </c>
      <c r="H375" s="120"/>
      <c r="I375" s="120"/>
      <c r="J375" s="121"/>
      <c r="K375" s="121"/>
      <c r="L375" s="121"/>
      <c r="M375" s="121"/>
      <c r="N375" s="121"/>
      <c r="O375" s="121"/>
      <c r="P375" s="121"/>
    </row>
    <row r="376" spans="2:16" s="108" customFormat="1" ht="21.75" hidden="1" customHeight="1">
      <c r="B376" s="109"/>
      <c r="C376" s="122"/>
      <c r="D376" s="123" t="s">
        <v>427</v>
      </c>
      <c r="E376" s="696">
        <v>5000000000</v>
      </c>
      <c r="F376" s="125">
        <v>48495887123.160004</v>
      </c>
      <c r="G376" s="127">
        <f t="shared" si="5"/>
        <v>10.310152667796375</v>
      </c>
      <c r="H376" s="120"/>
      <c r="I376" s="120"/>
      <c r="J376" s="116"/>
      <c r="K376" s="116"/>
      <c r="L376" s="116"/>
      <c r="M376" s="116"/>
      <c r="N376" s="116"/>
      <c r="O376" s="116"/>
      <c r="P376" s="116"/>
    </row>
    <row r="377" spans="2:16" s="108" customFormat="1" ht="15" hidden="1" customHeight="1">
      <c r="B377" s="109"/>
      <c r="C377" s="122"/>
      <c r="D377" s="123"/>
      <c r="E377" s="696"/>
      <c r="F377" s="125"/>
      <c r="G377" s="127"/>
      <c r="H377" s="120"/>
      <c r="I377" s="120"/>
      <c r="J377" s="116"/>
      <c r="K377" s="116"/>
      <c r="L377" s="116"/>
      <c r="M377" s="116"/>
      <c r="N377" s="116"/>
      <c r="O377" s="116"/>
      <c r="P377" s="116"/>
    </row>
    <row r="378" spans="2:16" s="117" customFormat="1" ht="30" hidden="1" customHeight="1">
      <c r="B378" s="118"/>
      <c r="C378" s="110"/>
      <c r="D378" s="111" t="s">
        <v>428</v>
      </c>
      <c r="E378" s="250">
        <f>SUM(E379+E381+E383)</f>
        <v>464555283.15999997</v>
      </c>
      <c r="F378" s="129">
        <v>48495887123.160004</v>
      </c>
      <c r="G378" s="127">
        <f t="shared" si="5"/>
        <v>0.95792717840219488</v>
      </c>
      <c r="H378" s="120"/>
      <c r="I378" s="120"/>
      <c r="J378" s="121"/>
      <c r="K378" s="121"/>
      <c r="L378" s="121"/>
      <c r="M378" s="121"/>
      <c r="N378" s="121"/>
      <c r="O378" s="121"/>
      <c r="P378" s="121"/>
    </row>
    <row r="379" spans="2:16" s="117" customFormat="1" ht="21.75" hidden="1" customHeight="1">
      <c r="B379" s="118"/>
      <c r="C379" s="110"/>
      <c r="D379" s="111" t="s">
        <v>429</v>
      </c>
      <c r="E379" s="250">
        <f>SUM(E380)</f>
        <v>157355283.16</v>
      </c>
      <c r="F379" s="129">
        <v>48495887123.160004</v>
      </c>
      <c r="G379" s="127">
        <f t="shared" si="5"/>
        <v>0.32447139849278561</v>
      </c>
      <c r="H379" s="120"/>
      <c r="I379" s="120"/>
      <c r="J379" s="121"/>
      <c r="K379" s="121"/>
      <c r="L379" s="121"/>
      <c r="M379" s="121"/>
      <c r="N379" s="121"/>
      <c r="O379" s="121"/>
      <c r="P379" s="121"/>
    </row>
    <row r="380" spans="2:16" s="108" customFormat="1" ht="31.5" hidden="1" customHeight="1">
      <c r="B380" s="109"/>
      <c r="C380" s="122"/>
      <c r="D380" s="123" t="s">
        <v>430</v>
      </c>
      <c r="E380" s="696">
        <v>157355283.16</v>
      </c>
      <c r="F380" s="125">
        <v>48495887123.160004</v>
      </c>
      <c r="G380" s="127">
        <f t="shared" si="5"/>
        <v>0.32447139849278561</v>
      </c>
      <c r="H380" s="120"/>
      <c r="I380" s="120"/>
      <c r="J380" s="116"/>
      <c r="K380" s="116"/>
      <c r="L380" s="116"/>
      <c r="M380" s="116"/>
      <c r="N380" s="116"/>
      <c r="O380" s="116"/>
      <c r="P380" s="116"/>
    </row>
    <row r="381" spans="2:16" s="117" customFormat="1" ht="21.75" hidden="1" customHeight="1">
      <c r="B381" s="118"/>
      <c r="C381" s="110"/>
      <c r="D381" s="111" t="s">
        <v>257</v>
      </c>
      <c r="E381" s="250">
        <f>SUM(E382)</f>
        <v>150000000</v>
      </c>
      <c r="F381" s="129">
        <v>48495887123.160004</v>
      </c>
      <c r="G381" s="127">
        <f t="shared" si="5"/>
        <v>0.30930458003389127</v>
      </c>
      <c r="H381" s="120"/>
      <c r="I381" s="120"/>
      <c r="J381" s="121"/>
      <c r="K381" s="121"/>
      <c r="L381" s="121"/>
      <c r="M381" s="121"/>
      <c r="N381" s="121"/>
      <c r="O381" s="121"/>
      <c r="P381" s="121"/>
    </row>
    <row r="382" spans="2:16" s="108" customFormat="1" ht="21.75" hidden="1" customHeight="1">
      <c r="B382" s="109"/>
      <c r="C382" s="122"/>
      <c r="D382" s="123" t="s">
        <v>431</v>
      </c>
      <c r="E382" s="696">
        <v>150000000</v>
      </c>
      <c r="F382" s="125">
        <v>48495887123.160004</v>
      </c>
      <c r="G382" s="127">
        <f t="shared" si="5"/>
        <v>0.30930458003389127</v>
      </c>
      <c r="H382" s="120"/>
      <c r="I382" s="120"/>
      <c r="J382" s="116"/>
      <c r="K382" s="116"/>
      <c r="L382" s="116"/>
      <c r="M382" s="116"/>
      <c r="N382" s="116"/>
      <c r="O382" s="116"/>
      <c r="P382" s="116"/>
    </row>
    <row r="383" spans="2:16" s="117" customFormat="1" ht="27.75" hidden="1" customHeight="1">
      <c r="B383" s="118"/>
      <c r="C383" s="110"/>
      <c r="D383" s="111" t="s">
        <v>432</v>
      </c>
      <c r="E383" s="250">
        <f>SUM(E384)</f>
        <v>157200000</v>
      </c>
      <c r="F383" s="129">
        <v>48495887123.160004</v>
      </c>
      <c r="G383" s="127">
        <f t="shared" si="5"/>
        <v>0.32415119987551805</v>
      </c>
      <c r="H383" s="120"/>
      <c r="I383" s="120"/>
      <c r="J383" s="121"/>
      <c r="K383" s="121"/>
      <c r="L383" s="121"/>
      <c r="M383" s="121"/>
      <c r="N383" s="121"/>
      <c r="O383" s="121"/>
      <c r="P383" s="121"/>
    </row>
    <row r="384" spans="2:16" s="108" customFormat="1" ht="30" hidden="1" customHeight="1">
      <c r="B384" s="109"/>
      <c r="C384" s="122"/>
      <c r="D384" s="123" t="s">
        <v>433</v>
      </c>
      <c r="E384" s="696">
        <v>157200000</v>
      </c>
      <c r="F384" s="125">
        <v>48495887123.160004</v>
      </c>
      <c r="G384" s="127">
        <f t="shared" si="5"/>
        <v>0.32415119987551805</v>
      </c>
      <c r="H384" s="120"/>
      <c r="I384" s="120"/>
      <c r="J384" s="116"/>
      <c r="K384" s="116"/>
      <c r="L384" s="116"/>
      <c r="M384" s="116"/>
      <c r="N384" s="116"/>
      <c r="O384" s="116"/>
      <c r="P384" s="116"/>
    </row>
    <row r="385" spans="2:16" s="108" customFormat="1" ht="15" hidden="1" customHeight="1">
      <c r="B385" s="109"/>
      <c r="C385" s="122"/>
      <c r="D385" s="123"/>
      <c r="E385" s="696"/>
      <c r="F385" s="125"/>
      <c r="G385" s="127"/>
      <c r="H385" s="120"/>
      <c r="I385" s="120"/>
      <c r="J385" s="116"/>
      <c r="K385" s="116"/>
      <c r="L385" s="116"/>
      <c r="M385" s="116"/>
      <c r="N385" s="116"/>
      <c r="O385" s="116"/>
      <c r="P385" s="116"/>
    </row>
    <row r="386" spans="2:16" s="117" customFormat="1" ht="21.75" hidden="1" customHeight="1">
      <c r="B386" s="118"/>
      <c r="C386" s="110"/>
      <c r="D386" s="111" t="s">
        <v>434</v>
      </c>
      <c r="E386" s="250">
        <f>SUM(E387)</f>
        <v>3075404160</v>
      </c>
      <c r="F386" s="129">
        <v>48495887123.160004</v>
      </c>
      <c r="G386" s="127">
        <f t="shared" si="5"/>
        <v>6.3415772809552147</v>
      </c>
      <c r="H386" s="120"/>
      <c r="I386" s="120"/>
      <c r="J386" s="121"/>
      <c r="K386" s="121"/>
      <c r="L386" s="121"/>
      <c r="M386" s="121"/>
      <c r="N386" s="121"/>
      <c r="O386" s="121"/>
      <c r="P386" s="121"/>
    </row>
    <row r="387" spans="2:16" s="117" customFormat="1" ht="21.75" hidden="1" customHeight="1">
      <c r="B387" s="118"/>
      <c r="C387" s="110"/>
      <c r="D387" s="111" t="s">
        <v>435</v>
      </c>
      <c r="E387" s="250">
        <f>SUM(E388)</f>
        <v>3075404160</v>
      </c>
      <c r="F387" s="129">
        <v>48495887123.160004</v>
      </c>
      <c r="G387" s="127">
        <f t="shared" si="5"/>
        <v>6.3415772809552147</v>
      </c>
      <c r="H387" s="120"/>
      <c r="I387" s="120"/>
      <c r="J387" s="121"/>
      <c r="K387" s="121"/>
      <c r="L387" s="121"/>
      <c r="M387" s="121"/>
      <c r="N387" s="121"/>
      <c r="O387" s="121"/>
      <c r="P387" s="121"/>
    </row>
    <row r="388" spans="2:16" s="117" customFormat="1" ht="21.75" hidden="1" customHeight="1">
      <c r="B388" s="118"/>
      <c r="C388" s="110"/>
      <c r="D388" s="111" t="s">
        <v>436</v>
      </c>
      <c r="E388" s="250">
        <f>SUM(E389)</f>
        <v>3075404160</v>
      </c>
      <c r="F388" s="129">
        <v>48495887123.160004</v>
      </c>
      <c r="G388" s="127">
        <f t="shared" si="5"/>
        <v>6.3415772809552147</v>
      </c>
      <c r="H388" s="120"/>
      <c r="I388" s="120"/>
      <c r="J388" s="121"/>
      <c r="K388" s="121"/>
      <c r="L388" s="121"/>
      <c r="M388" s="121"/>
      <c r="N388" s="121"/>
      <c r="O388" s="121"/>
      <c r="P388" s="121"/>
    </row>
    <row r="389" spans="2:16" s="108" customFormat="1" ht="21.75" hidden="1" customHeight="1">
      <c r="B389" s="109"/>
      <c r="C389" s="122"/>
      <c r="D389" s="123" t="s">
        <v>437</v>
      </c>
      <c r="E389" s="696">
        <v>3075404160</v>
      </c>
      <c r="F389" s="125">
        <v>48495887123.160004</v>
      </c>
      <c r="G389" s="127">
        <f t="shared" si="5"/>
        <v>6.3415772809552147</v>
      </c>
      <c r="H389" s="120"/>
      <c r="I389" s="120"/>
      <c r="J389" s="116"/>
      <c r="K389" s="116"/>
      <c r="L389" s="116"/>
      <c r="M389" s="116"/>
      <c r="N389" s="116"/>
      <c r="O389" s="116"/>
      <c r="P389" s="116"/>
    </row>
    <row r="390" spans="2:16" s="108" customFormat="1" ht="15" hidden="1" customHeight="1">
      <c r="B390" s="109"/>
      <c r="C390" s="122"/>
      <c r="D390" s="123"/>
      <c r="E390" s="696"/>
      <c r="F390" s="125"/>
      <c r="G390" s="127"/>
      <c r="H390" s="120"/>
      <c r="I390" s="120"/>
      <c r="J390" s="116"/>
      <c r="K390" s="116"/>
      <c r="L390" s="116"/>
      <c r="M390" s="116"/>
      <c r="N390" s="116"/>
      <c r="O390" s="116"/>
      <c r="P390" s="116"/>
    </row>
    <row r="391" spans="2:16" s="117" customFormat="1" ht="21.75" hidden="1" customHeight="1">
      <c r="B391" s="118"/>
      <c r="C391" s="110"/>
      <c r="D391" s="111" t="s">
        <v>438</v>
      </c>
      <c r="E391" s="250">
        <v>951000000</v>
      </c>
      <c r="F391" s="129">
        <v>48495887123.160004</v>
      </c>
      <c r="G391" s="127">
        <f t="shared" si="5"/>
        <v>1.9609910374148707</v>
      </c>
      <c r="H391" s="120"/>
      <c r="I391" s="120"/>
      <c r="J391" s="121"/>
      <c r="K391" s="121"/>
      <c r="L391" s="121"/>
      <c r="M391" s="121"/>
      <c r="N391" s="121"/>
      <c r="O391" s="121"/>
      <c r="P391" s="121"/>
    </row>
    <row r="392" spans="2:16" s="117" customFormat="1" ht="21.75" hidden="1" customHeight="1">
      <c r="B392" s="118"/>
      <c r="C392" s="110"/>
      <c r="D392" s="111" t="s">
        <v>439</v>
      </c>
      <c r="E392" s="250">
        <v>951000000</v>
      </c>
      <c r="F392" s="129">
        <v>48495887123.160004</v>
      </c>
      <c r="G392" s="127">
        <f t="shared" si="5"/>
        <v>1.9609910374148707</v>
      </c>
      <c r="H392" s="120"/>
      <c r="I392" s="120"/>
      <c r="J392" s="121"/>
      <c r="K392" s="121"/>
      <c r="L392" s="121"/>
      <c r="M392" s="121"/>
      <c r="N392" s="121"/>
      <c r="O392" s="121"/>
      <c r="P392" s="121"/>
    </row>
    <row r="393" spans="2:16" s="117" customFormat="1" ht="15" hidden="1" customHeight="1">
      <c r="B393" s="118"/>
      <c r="C393" s="110"/>
      <c r="D393" s="111"/>
      <c r="E393" s="250"/>
      <c r="F393" s="129"/>
      <c r="G393" s="127"/>
      <c r="H393" s="120"/>
      <c r="I393" s="120"/>
      <c r="J393" s="121"/>
      <c r="K393" s="121"/>
      <c r="L393" s="121"/>
      <c r="M393" s="121"/>
      <c r="N393" s="121"/>
      <c r="O393" s="121"/>
      <c r="P393" s="121"/>
    </row>
    <row r="394" spans="2:16" s="117" customFormat="1" ht="21.75" hidden="1" customHeight="1">
      <c r="B394" s="118"/>
      <c r="C394" s="110"/>
      <c r="D394" s="111" t="s">
        <v>440</v>
      </c>
      <c r="E394" s="250">
        <f>SUM(E395)</f>
        <v>949269440</v>
      </c>
      <c r="F394" s="129">
        <v>48495887123.160004</v>
      </c>
      <c r="G394" s="127">
        <f t="shared" si="5"/>
        <v>1.9574225698547141</v>
      </c>
      <c r="H394" s="120"/>
      <c r="I394" s="120"/>
      <c r="J394" s="121"/>
      <c r="K394" s="121"/>
      <c r="L394" s="121"/>
      <c r="M394" s="121"/>
      <c r="N394" s="121"/>
      <c r="O394" s="121"/>
      <c r="P394" s="121"/>
    </row>
    <row r="395" spans="2:16" s="117" customFormat="1" ht="21.75" hidden="1" customHeight="1">
      <c r="B395" s="118"/>
      <c r="C395" s="110"/>
      <c r="D395" s="111" t="s">
        <v>375</v>
      </c>
      <c r="E395" s="250">
        <f>SUM(E396)</f>
        <v>949269440</v>
      </c>
      <c r="F395" s="129">
        <v>48495887123.160004</v>
      </c>
      <c r="G395" s="127">
        <f t="shared" si="5"/>
        <v>1.9574225698547141</v>
      </c>
      <c r="H395" s="120"/>
      <c r="I395" s="120"/>
      <c r="J395" s="121"/>
      <c r="K395" s="121"/>
      <c r="L395" s="121"/>
      <c r="M395" s="121"/>
      <c r="N395" s="121"/>
      <c r="O395" s="121"/>
      <c r="P395" s="121"/>
    </row>
    <row r="396" spans="2:16" s="108" customFormat="1" ht="21.75" hidden="1" customHeight="1">
      <c r="B396" s="109"/>
      <c r="C396" s="122"/>
      <c r="D396" s="123" t="s">
        <v>436</v>
      </c>
      <c r="E396" s="696">
        <v>949269440</v>
      </c>
      <c r="F396" s="125">
        <v>48495887123.160004</v>
      </c>
      <c r="G396" s="126">
        <f t="shared" si="5"/>
        <v>1.9574225698547141</v>
      </c>
      <c r="H396" s="115"/>
      <c r="I396" s="115"/>
      <c r="J396" s="116"/>
      <c r="K396" s="116"/>
      <c r="L396" s="116"/>
      <c r="M396" s="116"/>
      <c r="N396" s="116"/>
      <c r="O396" s="116"/>
      <c r="P396" s="116"/>
    </row>
    <row r="397" spans="2:16" s="108" customFormat="1" ht="15" hidden="1" customHeight="1">
      <c r="B397" s="109"/>
      <c r="C397" s="122"/>
      <c r="D397" s="130"/>
      <c r="E397" s="708"/>
      <c r="F397" s="113"/>
      <c r="G397" s="126"/>
      <c r="H397" s="120"/>
      <c r="I397" s="120"/>
      <c r="J397" s="116"/>
      <c r="K397" s="116"/>
      <c r="L397" s="116"/>
      <c r="M397" s="116"/>
      <c r="N397" s="116"/>
      <c r="O397" s="116"/>
      <c r="P397" s="116"/>
    </row>
    <row r="398" spans="2:16" s="117" customFormat="1" ht="21.75" hidden="1" customHeight="1">
      <c r="B398" s="118"/>
      <c r="C398" s="110" t="s">
        <v>441</v>
      </c>
      <c r="D398" s="111" t="s">
        <v>442</v>
      </c>
      <c r="E398" s="129">
        <f>+E399+E424+E438+E457+E467+E474+E482+E493+E497+E503+E514+E525+E532+E540+E549+E557+E562+E573</f>
        <v>51356987511.629997</v>
      </c>
      <c r="F398" s="131">
        <v>1557405258400.0002</v>
      </c>
      <c r="G398" s="127">
        <f>+E398/F398*100</f>
        <v>3.2975994677449325</v>
      </c>
      <c r="H398" s="120">
        <v>51356987511.629997</v>
      </c>
      <c r="I398" s="120"/>
      <c r="J398" s="121"/>
      <c r="K398" s="121"/>
      <c r="L398" s="121"/>
      <c r="M398" s="121"/>
      <c r="N398" s="121"/>
      <c r="O398" s="121"/>
      <c r="P398" s="121"/>
    </row>
    <row r="399" spans="2:16" s="117" customFormat="1" ht="21.75" hidden="1" customHeight="1">
      <c r="B399" s="118"/>
      <c r="C399" s="110"/>
      <c r="D399" s="132" t="s">
        <v>444</v>
      </c>
      <c r="E399" s="135">
        <f>+E400+E406+E417+E421</f>
        <v>8028875669</v>
      </c>
      <c r="F399" s="129">
        <v>51356987511.629997</v>
      </c>
      <c r="G399" s="127">
        <f t="shared" ref="G399:G462" si="6">+E399/F399*100</f>
        <v>15.633463055405711</v>
      </c>
      <c r="H399" s="120"/>
      <c r="I399" s="120"/>
      <c r="J399" s="121"/>
      <c r="K399" s="121"/>
      <c r="L399" s="121"/>
      <c r="M399" s="121"/>
      <c r="N399" s="121"/>
      <c r="O399" s="121"/>
      <c r="P399" s="121"/>
    </row>
    <row r="400" spans="2:16" s="117" customFormat="1" ht="21.75" hidden="1" customHeight="1">
      <c r="B400" s="118"/>
      <c r="C400" s="110"/>
      <c r="D400" s="132" t="s">
        <v>388</v>
      </c>
      <c r="E400" s="135">
        <f>SUM(E401:E405)</f>
        <v>2147500000</v>
      </c>
      <c r="F400" s="129">
        <v>51356987511.629997</v>
      </c>
      <c r="G400" s="127">
        <f t="shared" si="6"/>
        <v>4.1815147345114232</v>
      </c>
      <c r="H400" s="120"/>
      <c r="I400" s="120"/>
      <c r="J400" s="121"/>
      <c r="K400" s="121"/>
      <c r="L400" s="121"/>
      <c r="M400" s="121"/>
      <c r="N400" s="121"/>
      <c r="O400" s="121"/>
      <c r="P400" s="121"/>
    </row>
    <row r="401" spans="2:16" s="117" customFormat="1" ht="21.75" hidden="1" customHeight="1">
      <c r="B401" s="118"/>
      <c r="C401" s="110"/>
      <c r="D401" s="133" t="s">
        <v>445</v>
      </c>
      <c r="E401" s="136">
        <v>500000000</v>
      </c>
      <c r="F401" s="129">
        <v>51356987511.629997</v>
      </c>
      <c r="G401" s="127">
        <f t="shared" si="6"/>
        <v>0.97357735378612886</v>
      </c>
      <c r="H401" s="120"/>
      <c r="I401" s="120"/>
      <c r="J401" s="121"/>
      <c r="K401" s="121"/>
      <c r="L401" s="121"/>
      <c r="M401" s="121"/>
      <c r="N401" s="121"/>
      <c r="O401" s="121"/>
      <c r="P401" s="121"/>
    </row>
    <row r="402" spans="2:16" s="117" customFormat="1" ht="21.75" hidden="1" customHeight="1">
      <c r="B402" s="118"/>
      <c r="C402" s="110"/>
      <c r="D402" s="133" t="s">
        <v>446</v>
      </c>
      <c r="E402" s="136">
        <v>80000000</v>
      </c>
      <c r="F402" s="129">
        <v>51356987511.629997</v>
      </c>
      <c r="G402" s="127">
        <f t="shared" si="6"/>
        <v>0.15577237660578061</v>
      </c>
      <c r="H402" s="120"/>
      <c r="I402" s="120"/>
      <c r="J402" s="121"/>
      <c r="K402" s="121"/>
      <c r="L402" s="121"/>
      <c r="M402" s="121"/>
      <c r="N402" s="121"/>
      <c r="O402" s="121"/>
      <c r="P402" s="121"/>
    </row>
    <row r="403" spans="2:16" s="117" customFormat="1" ht="21.75" hidden="1" customHeight="1">
      <c r="B403" s="118"/>
      <c r="C403" s="110"/>
      <c r="D403" s="133" t="s">
        <v>447</v>
      </c>
      <c r="E403" s="136">
        <v>1147500000</v>
      </c>
      <c r="F403" s="129">
        <v>51356987511.629997</v>
      </c>
      <c r="G403" s="127">
        <f t="shared" si="6"/>
        <v>2.2343600269391657</v>
      </c>
      <c r="H403" s="120"/>
      <c r="I403" s="120"/>
      <c r="J403" s="121"/>
      <c r="K403" s="121"/>
      <c r="L403" s="121"/>
      <c r="M403" s="121"/>
      <c r="N403" s="121"/>
      <c r="O403" s="121"/>
      <c r="P403" s="121"/>
    </row>
    <row r="404" spans="2:16" s="117" customFormat="1" ht="21.75" hidden="1" customHeight="1">
      <c r="B404" s="118"/>
      <c r="C404" s="110"/>
      <c r="D404" s="133" t="s">
        <v>448</v>
      </c>
      <c r="E404" s="136">
        <v>120000000</v>
      </c>
      <c r="F404" s="129">
        <v>51356987511.629997</v>
      </c>
      <c r="G404" s="127">
        <f t="shared" si="6"/>
        <v>0.23365856490867093</v>
      </c>
      <c r="H404" s="120"/>
      <c r="I404" s="120"/>
      <c r="J404" s="121"/>
      <c r="K404" s="121"/>
      <c r="L404" s="121"/>
      <c r="M404" s="121"/>
      <c r="N404" s="121"/>
      <c r="O404" s="121"/>
      <c r="P404" s="121"/>
    </row>
    <row r="405" spans="2:16" s="117" customFormat="1" ht="21.75" hidden="1" customHeight="1">
      <c r="B405" s="118"/>
      <c r="C405" s="110"/>
      <c r="D405" s="133" t="s">
        <v>449</v>
      </c>
      <c r="E405" s="136">
        <v>300000000</v>
      </c>
      <c r="F405" s="129">
        <v>51356987511.629997</v>
      </c>
      <c r="G405" s="127">
        <f t="shared" si="6"/>
        <v>0.58414641227167741</v>
      </c>
      <c r="H405" s="120"/>
      <c r="I405" s="120"/>
      <c r="J405" s="121"/>
      <c r="K405" s="121"/>
      <c r="L405" s="121"/>
      <c r="M405" s="121"/>
      <c r="N405" s="121"/>
      <c r="O405" s="121"/>
      <c r="P405" s="121"/>
    </row>
    <row r="406" spans="2:16" s="117" customFormat="1" ht="21.75" hidden="1" customHeight="1">
      <c r="B406" s="118"/>
      <c r="C406" s="110"/>
      <c r="D406" s="132" t="s">
        <v>394</v>
      </c>
      <c r="E406" s="135">
        <f>SUM(E407:E416)</f>
        <v>4172144000</v>
      </c>
      <c r="F406" s="129">
        <v>51356987511.629997</v>
      </c>
      <c r="G406" s="127">
        <f t="shared" si="6"/>
        <v>8.1238098302693498</v>
      </c>
      <c r="H406" s="120"/>
      <c r="I406" s="120"/>
      <c r="J406" s="121"/>
      <c r="K406" s="121"/>
      <c r="L406" s="121"/>
      <c r="M406" s="121"/>
      <c r="N406" s="121"/>
      <c r="O406" s="121"/>
      <c r="P406" s="121"/>
    </row>
    <row r="407" spans="2:16" s="117" customFormat="1" ht="21.75" hidden="1" customHeight="1">
      <c r="B407" s="118"/>
      <c r="C407" s="110"/>
      <c r="D407" s="133" t="s">
        <v>450</v>
      </c>
      <c r="E407" s="136">
        <v>200000000</v>
      </c>
      <c r="F407" s="129">
        <v>51356987511.629997</v>
      </c>
      <c r="G407" s="127">
        <f t="shared" si="6"/>
        <v>0.38943094151445157</v>
      </c>
      <c r="H407" s="120"/>
      <c r="I407" s="120"/>
      <c r="J407" s="121"/>
      <c r="K407" s="121"/>
      <c r="L407" s="121"/>
      <c r="M407" s="121"/>
      <c r="N407" s="121"/>
      <c r="O407" s="121"/>
      <c r="P407" s="121"/>
    </row>
    <row r="408" spans="2:16" s="117" customFormat="1" ht="21.75" hidden="1" customHeight="1">
      <c r="B408" s="118"/>
      <c r="C408" s="110"/>
      <c r="D408" s="133" t="s">
        <v>451</v>
      </c>
      <c r="E408" s="136">
        <v>120000000</v>
      </c>
      <c r="F408" s="129">
        <v>51356987511.629997</v>
      </c>
      <c r="G408" s="127">
        <f t="shared" si="6"/>
        <v>0.23365856490867093</v>
      </c>
      <c r="H408" s="120"/>
      <c r="I408" s="120"/>
      <c r="J408" s="121"/>
      <c r="K408" s="121"/>
      <c r="L408" s="121"/>
      <c r="M408" s="121"/>
      <c r="N408" s="121"/>
      <c r="O408" s="121"/>
      <c r="P408" s="121"/>
    </row>
    <row r="409" spans="2:16" s="117" customFormat="1" ht="21.75" hidden="1" customHeight="1">
      <c r="B409" s="118"/>
      <c r="C409" s="110"/>
      <c r="D409" s="133" t="s">
        <v>452</v>
      </c>
      <c r="E409" s="136">
        <v>100000000</v>
      </c>
      <c r="F409" s="129">
        <v>51356987511.629997</v>
      </c>
      <c r="G409" s="127">
        <f t="shared" si="6"/>
        <v>0.19471547075722578</v>
      </c>
      <c r="H409" s="120"/>
      <c r="I409" s="120"/>
      <c r="J409" s="121"/>
      <c r="K409" s="121"/>
      <c r="L409" s="121"/>
      <c r="M409" s="121"/>
      <c r="N409" s="121"/>
      <c r="O409" s="121"/>
      <c r="P409" s="121"/>
    </row>
    <row r="410" spans="2:16" s="117" customFormat="1" ht="21.75" hidden="1" customHeight="1">
      <c r="B410" s="118"/>
      <c r="C410" s="110"/>
      <c r="D410" s="133" t="s">
        <v>453</v>
      </c>
      <c r="E410" s="136">
        <v>130000000</v>
      </c>
      <c r="F410" s="129">
        <v>51356987511.629997</v>
      </c>
      <c r="G410" s="127">
        <f t="shared" si="6"/>
        <v>0.2531301119843935</v>
      </c>
      <c r="H410" s="120"/>
      <c r="I410" s="120"/>
      <c r="J410" s="121"/>
      <c r="K410" s="121"/>
      <c r="L410" s="121"/>
      <c r="M410" s="121"/>
      <c r="N410" s="121"/>
      <c r="O410" s="121"/>
      <c r="P410" s="121"/>
    </row>
    <row r="411" spans="2:16" s="117" customFormat="1" ht="21.75" hidden="1" customHeight="1">
      <c r="B411" s="118"/>
      <c r="C411" s="110"/>
      <c r="D411" s="133" t="s">
        <v>454</v>
      </c>
      <c r="E411" s="136">
        <v>2044080000</v>
      </c>
      <c r="F411" s="129">
        <v>51356987511.629997</v>
      </c>
      <c r="G411" s="127">
        <f t="shared" si="6"/>
        <v>3.9801399946543006</v>
      </c>
      <c r="H411" s="120"/>
      <c r="I411" s="120"/>
      <c r="J411" s="121"/>
      <c r="K411" s="121"/>
      <c r="L411" s="121"/>
      <c r="M411" s="121"/>
      <c r="N411" s="121"/>
      <c r="O411" s="121"/>
      <c r="P411" s="121"/>
    </row>
    <row r="412" spans="2:16" s="117" customFormat="1" ht="21.75" hidden="1" customHeight="1">
      <c r="B412" s="118"/>
      <c r="C412" s="110"/>
      <c r="D412" s="133" t="s">
        <v>455</v>
      </c>
      <c r="E412" s="136">
        <v>811728000</v>
      </c>
      <c r="F412" s="129">
        <v>51356987511.629997</v>
      </c>
      <c r="G412" s="127">
        <f t="shared" si="6"/>
        <v>1.5805599964682135</v>
      </c>
      <c r="H412" s="120"/>
      <c r="I412" s="120"/>
      <c r="J412" s="121"/>
      <c r="K412" s="121"/>
      <c r="L412" s="121"/>
      <c r="M412" s="121"/>
      <c r="N412" s="121"/>
      <c r="O412" s="121"/>
      <c r="P412" s="121"/>
    </row>
    <row r="413" spans="2:16" s="117" customFormat="1" ht="21.75" hidden="1" customHeight="1">
      <c r="B413" s="118"/>
      <c r="C413" s="110"/>
      <c r="D413" s="133" t="s">
        <v>456</v>
      </c>
      <c r="E413" s="136">
        <v>395000000</v>
      </c>
      <c r="F413" s="129">
        <v>51356987511.629997</v>
      </c>
      <c r="G413" s="127">
        <f t="shared" si="6"/>
        <v>0.76912610949104177</v>
      </c>
      <c r="H413" s="120"/>
      <c r="I413" s="120"/>
      <c r="J413" s="121"/>
      <c r="K413" s="121"/>
      <c r="L413" s="121"/>
      <c r="M413" s="121"/>
      <c r="N413" s="121"/>
      <c r="O413" s="121"/>
      <c r="P413" s="121"/>
    </row>
    <row r="414" spans="2:16" s="117" customFormat="1" ht="21.75" hidden="1" customHeight="1">
      <c r="B414" s="118"/>
      <c r="C414" s="110"/>
      <c r="D414" s="133" t="s">
        <v>457</v>
      </c>
      <c r="E414" s="136">
        <v>120000000</v>
      </c>
      <c r="F414" s="129">
        <v>51356987511.629997</v>
      </c>
      <c r="G414" s="127">
        <f t="shared" si="6"/>
        <v>0.23365856490867093</v>
      </c>
      <c r="H414" s="120"/>
      <c r="I414" s="120"/>
      <c r="J414" s="121"/>
      <c r="K414" s="121"/>
      <c r="L414" s="121"/>
      <c r="M414" s="121"/>
      <c r="N414" s="121"/>
      <c r="O414" s="121"/>
      <c r="P414" s="121"/>
    </row>
    <row r="415" spans="2:16" s="117" customFormat="1" ht="32.25" hidden="1" customHeight="1">
      <c r="B415" s="118"/>
      <c r="C415" s="110"/>
      <c r="D415" s="133" t="s">
        <v>458</v>
      </c>
      <c r="E415" s="136">
        <v>200000000</v>
      </c>
      <c r="F415" s="129">
        <v>51356987511.629997</v>
      </c>
      <c r="G415" s="127">
        <f t="shared" si="6"/>
        <v>0.38943094151445157</v>
      </c>
      <c r="H415" s="120"/>
      <c r="I415" s="120"/>
      <c r="J415" s="121"/>
      <c r="K415" s="121"/>
      <c r="L415" s="121"/>
      <c r="M415" s="121"/>
      <c r="N415" s="121"/>
      <c r="O415" s="121"/>
      <c r="P415" s="121"/>
    </row>
    <row r="416" spans="2:16" s="117" customFormat="1" ht="21.75" hidden="1" customHeight="1">
      <c r="B416" s="118"/>
      <c r="C416" s="110"/>
      <c r="D416" s="133" t="s">
        <v>459</v>
      </c>
      <c r="E416" s="136">
        <v>51336000</v>
      </c>
      <c r="F416" s="129">
        <v>51356987511.629997</v>
      </c>
      <c r="G416" s="127">
        <f t="shared" si="6"/>
        <v>9.9959134067929417E-2</v>
      </c>
      <c r="H416" s="120"/>
      <c r="I416" s="120"/>
      <c r="J416" s="121"/>
      <c r="K416" s="121"/>
      <c r="L416" s="121"/>
      <c r="M416" s="121"/>
      <c r="N416" s="121"/>
      <c r="O416" s="121"/>
      <c r="P416" s="121"/>
    </row>
    <row r="417" spans="2:16" s="117" customFormat="1" ht="21.75" hidden="1" customHeight="1">
      <c r="B417" s="118"/>
      <c r="C417" s="110"/>
      <c r="D417" s="132" t="s">
        <v>106</v>
      </c>
      <c r="E417" s="135">
        <f>SUM(E418:E420)</f>
        <v>800000000</v>
      </c>
      <c r="F417" s="129">
        <v>51356987511.629997</v>
      </c>
      <c r="G417" s="127">
        <f t="shared" si="6"/>
        <v>1.5577237660578063</v>
      </c>
      <c r="H417" s="120"/>
      <c r="I417" s="120"/>
      <c r="J417" s="121"/>
      <c r="K417" s="121"/>
      <c r="L417" s="121"/>
      <c r="M417" s="121"/>
      <c r="N417" s="121"/>
      <c r="O417" s="121"/>
      <c r="P417" s="121"/>
    </row>
    <row r="418" spans="2:16" s="117" customFormat="1" ht="21.75" hidden="1" customHeight="1">
      <c r="B418" s="118"/>
      <c r="C418" s="110"/>
      <c r="D418" s="133" t="s">
        <v>460</v>
      </c>
      <c r="E418" s="136">
        <v>120000000</v>
      </c>
      <c r="F418" s="129">
        <v>51356987511.629997</v>
      </c>
      <c r="G418" s="127">
        <f t="shared" si="6"/>
        <v>0.23365856490867093</v>
      </c>
      <c r="H418" s="120"/>
      <c r="I418" s="120"/>
      <c r="J418" s="121"/>
      <c r="K418" s="121"/>
      <c r="L418" s="121"/>
      <c r="M418" s="121"/>
      <c r="N418" s="121"/>
      <c r="O418" s="121"/>
      <c r="P418" s="121"/>
    </row>
    <row r="419" spans="2:16" s="117" customFormat="1" ht="21.75" hidden="1" customHeight="1">
      <c r="B419" s="118"/>
      <c r="C419" s="110"/>
      <c r="D419" s="133" t="s">
        <v>461</v>
      </c>
      <c r="E419" s="136">
        <v>380000000</v>
      </c>
      <c r="F419" s="129">
        <v>51356987511.629997</v>
      </c>
      <c r="G419" s="127">
        <f t="shared" si="6"/>
        <v>0.73991878887745799</v>
      </c>
      <c r="H419" s="120"/>
      <c r="I419" s="120"/>
      <c r="J419" s="121"/>
      <c r="K419" s="121"/>
      <c r="L419" s="121"/>
      <c r="M419" s="121"/>
      <c r="N419" s="121"/>
      <c r="O419" s="121"/>
      <c r="P419" s="121"/>
    </row>
    <row r="420" spans="2:16" s="117" customFormat="1" ht="21.75" hidden="1" customHeight="1">
      <c r="B420" s="118"/>
      <c r="C420" s="110"/>
      <c r="D420" s="133" t="s">
        <v>462</v>
      </c>
      <c r="E420" s="136">
        <v>300000000</v>
      </c>
      <c r="F420" s="129">
        <v>51356987511.629997</v>
      </c>
      <c r="G420" s="127">
        <f t="shared" si="6"/>
        <v>0.58414641227167741</v>
      </c>
      <c r="H420" s="120"/>
      <c r="I420" s="120"/>
      <c r="J420" s="121"/>
      <c r="K420" s="121"/>
      <c r="L420" s="121"/>
      <c r="M420" s="121"/>
      <c r="N420" s="121"/>
      <c r="O420" s="121"/>
      <c r="P420" s="121"/>
    </row>
    <row r="421" spans="2:16" s="117" customFormat="1" ht="21.75" hidden="1" customHeight="1">
      <c r="B421" s="118"/>
      <c r="C421" s="110"/>
      <c r="D421" s="132" t="s">
        <v>116</v>
      </c>
      <c r="E421" s="135">
        <f>E422</f>
        <v>909231669</v>
      </c>
      <c r="F421" s="129">
        <v>51356987511.629997</v>
      </c>
      <c r="G421" s="127">
        <f t="shared" si="6"/>
        <v>1.7704147245671309</v>
      </c>
      <c r="H421" s="120"/>
      <c r="I421" s="120"/>
      <c r="J421" s="121"/>
      <c r="K421" s="121"/>
      <c r="L421" s="121"/>
      <c r="M421" s="121"/>
      <c r="N421" s="121"/>
      <c r="O421" s="121"/>
      <c r="P421" s="121"/>
    </row>
    <row r="422" spans="2:16" s="117" customFormat="1" ht="21.75" hidden="1" customHeight="1">
      <c r="B422" s="118"/>
      <c r="C422" s="110"/>
      <c r="D422" s="133" t="s">
        <v>463</v>
      </c>
      <c r="E422" s="136">
        <v>909231669</v>
      </c>
      <c r="F422" s="129">
        <v>51356987511.629997</v>
      </c>
      <c r="G422" s="127">
        <f t="shared" si="6"/>
        <v>1.7704147245671309</v>
      </c>
      <c r="H422" s="120"/>
      <c r="I422" s="120"/>
      <c r="J422" s="121"/>
      <c r="K422" s="121"/>
      <c r="L422" s="121"/>
      <c r="M422" s="121"/>
      <c r="N422" s="121"/>
      <c r="O422" s="121"/>
      <c r="P422" s="121"/>
    </row>
    <row r="423" spans="2:16" s="117" customFormat="1" ht="15" hidden="1" customHeight="1">
      <c r="B423" s="118"/>
      <c r="C423" s="110"/>
      <c r="D423" s="133"/>
      <c r="E423" s="136"/>
      <c r="F423" s="129"/>
      <c r="G423" s="127"/>
      <c r="H423" s="120"/>
      <c r="I423" s="120"/>
      <c r="J423" s="121"/>
      <c r="K423" s="121"/>
      <c r="L423" s="121"/>
      <c r="M423" s="121"/>
      <c r="N423" s="121"/>
      <c r="O423" s="121"/>
      <c r="P423" s="121"/>
    </row>
    <row r="424" spans="2:16" s="117" customFormat="1" ht="21.75" hidden="1" customHeight="1">
      <c r="B424" s="118"/>
      <c r="C424" s="110"/>
      <c r="D424" s="132" t="s">
        <v>464</v>
      </c>
      <c r="E424" s="135">
        <f>+E425+E427+E430+E433</f>
        <v>4650000000</v>
      </c>
      <c r="F424" s="129">
        <v>51356987511.629997</v>
      </c>
      <c r="G424" s="127">
        <f t="shared" si="6"/>
        <v>9.0542693902109992</v>
      </c>
      <c r="H424" s="120"/>
      <c r="I424" s="120"/>
      <c r="J424" s="121"/>
      <c r="K424" s="121"/>
      <c r="L424" s="121"/>
      <c r="M424" s="121"/>
      <c r="N424" s="121"/>
      <c r="O424" s="121"/>
      <c r="P424" s="121"/>
    </row>
    <row r="425" spans="2:16" s="117" customFormat="1" ht="21.75" hidden="1" customHeight="1">
      <c r="B425" s="118"/>
      <c r="C425" s="110"/>
      <c r="D425" s="132" t="s">
        <v>465</v>
      </c>
      <c r="E425" s="135">
        <f>E426</f>
        <v>150000000</v>
      </c>
      <c r="F425" s="129">
        <v>51356987511.629997</v>
      </c>
      <c r="G425" s="127">
        <f t="shared" si="6"/>
        <v>0.2920732061358387</v>
      </c>
      <c r="H425" s="120"/>
      <c r="I425" s="120"/>
      <c r="J425" s="121"/>
      <c r="K425" s="121"/>
      <c r="L425" s="121"/>
      <c r="M425" s="121"/>
      <c r="N425" s="121"/>
      <c r="O425" s="121"/>
      <c r="P425" s="121"/>
    </row>
    <row r="426" spans="2:16" s="117" customFormat="1" ht="21.75" hidden="1" customHeight="1">
      <c r="B426" s="118"/>
      <c r="C426" s="110"/>
      <c r="D426" s="133" t="s">
        <v>466</v>
      </c>
      <c r="E426" s="136">
        <v>150000000</v>
      </c>
      <c r="F426" s="129">
        <v>51356987511.629997</v>
      </c>
      <c r="G426" s="127">
        <f t="shared" si="6"/>
        <v>0.2920732061358387</v>
      </c>
      <c r="H426" s="120"/>
      <c r="I426" s="120"/>
      <c r="J426" s="121"/>
      <c r="K426" s="121"/>
      <c r="L426" s="121"/>
      <c r="M426" s="121"/>
      <c r="N426" s="121"/>
      <c r="O426" s="121"/>
      <c r="P426" s="121"/>
    </row>
    <row r="427" spans="2:16" s="117" customFormat="1" ht="21.75" hidden="1" customHeight="1">
      <c r="B427" s="118"/>
      <c r="C427" s="110"/>
      <c r="D427" s="132" t="s">
        <v>308</v>
      </c>
      <c r="E427" s="135">
        <f>+E428+E429</f>
        <v>2000000000</v>
      </c>
      <c r="F427" s="129">
        <v>51356987511.629997</v>
      </c>
      <c r="G427" s="127">
        <f t="shared" si="6"/>
        <v>3.8943094151445155</v>
      </c>
      <c r="H427" s="120"/>
      <c r="I427" s="120"/>
      <c r="J427" s="121"/>
      <c r="K427" s="121"/>
      <c r="L427" s="121"/>
      <c r="M427" s="121"/>
      <c r="N427" s="121"/>
      <c r="O427" s="121"/>
      <c r="P427" s="121"/>
    </row>
    <row r="428" spans="2:16" s="117" customFormat="1" ht="21.75" hidden="1" customHeight="1">
      <c r="B428" s="118"/>
      <c r="C428" s="110"/>
      <c r="D428" s="133" t="s">
        <v>467</v>
      </c>
      <c r="E428" s="136">
        <v>1200000000</v>
      </c>
      <c r="F428" s="129">
        <v>51356987511.629997</v>
      </c>
      <c r="G428" s="127">
        <f t="shared" si="6"/>
        <v>2.3365856490867096</v>
      </c>
      <c r="H428" s="120"/>
      <c r="I428" s="120"/>
      <c r="J428" s="121"/>
      <c r="K428" s="121"/>
      <c r="L428" s="121"/>
      <c r="M428" s="121"/>
      <c r="N428" s="121"/>
      <c r="O428" s="121"/>
      <c r="P428" s="121"/>
    </row>
    <row r="429" spans="2:16" s="117" customFormat="1" ht="35.25" hidden="1" customHeight="1">
      <c r="B429" s="118"/>
      <c r="C429" s="110"/>
      <c r="D429" s="133" t="s">
        <v>468</v>
      </c>
      <c r="E429" s="136">
        <v>800000000</v>
      </c>
      <c r="F429" s="129">
        <v>51356987511.629997</v>
      </c>
      <c r="G429" s="127">
        <f t="shared" si="6"/>
        <v>1.5577237660578063</v>
      </c>
      <c r="H429" s="120"/>
      <c r="I429" s="120"/>
      <c r="J429" s="121"/>
      <c r="K429" s="121"/>
      <c r="L429" s="121"/>
      <c r="M429" s="121"/>
      <c r="N429" s="121"/>
      <c r="O429" s="121"/>
      <c r="P429" s="121"/>
    </row>
    <row r="430" spans="2:16" s="117" customFormat="1" ht="21.75" hidden="1" customHeight="1">
      <c r="B430" s="118"/>
      <c r="C430" s="110"/>
      <c r="D430" s="132" t="s">
        <v>312</v>
      </c>
      <c r="E430" s="135">
        <f>+E431+E432</f>
        <v>900000000</v>
      </c>
      <c r="F430" s="129">
        <v>51356987511.629997</v>
      </c>
      <c r="G430" s="127">
        <f t="shared" si="6"/>
        <v>1.7524392368150319</v>
      </c>
      <c r="H430" s="120"/>
      <c r="I430" s="120"/>
      <c r="J430" s="121"/>
      <c r="K430" s="121"/>
      <c r="L430" s="121"/>
      <c r="M430" s="121"/>
      <c r="N430" s="121"/>
      <c r="O430" s="121"/>
      <c r="P430" s="121"/>
    </row>
    <row r="431" spans="2:16" s="117" customFormat="1" ht="21.75" hidden="1" customHeight="1">
      <c r="B431" s="118"/>
      <c r="C431" s="110"/>
      <c r="D431" s="133" t="s">
        <v>469</v>
      </c>
      <c r="E431" s="136">
        <v>500000000</v>
      </c>
      <c r="F431" s="129">
        <v>51356987511.629997</v>
      </c>
      <c r="G431" s="127">
        <f t="shared" si="6"/>
        <v>0.97357735378612886</v>
      </c>
      <c r="H431" s="120"/>
      <c r="I431" s="120"/>
      <c r="J431" s="121"/>
      <c r="K431" s="121"/>
      <c r="L431" s="121"/>
      <c r="M431" s="121"/>
      <c r="N431" s="121"/>
      <c r="O431" s="121"/>
      <c r="P431" s="121"/>
    </row>
    <row r="432" spans="2:16" s="117" customFormat="1" ht="21.75" hidden="1" customHeight="1">
      <c r="B432" s="118"/>
      <c r="C432" s="110"/>
      <c r="D432" s="133" t="s">
        <v>470</v>
      </c>
      <c r="E432" s="136">
        <v>400000000</v>
      </c>
      <c r="F432" s="129">
        <v>51356987511.629997</v>
      </c>
      <c r="G432" s="127">
        <f t="shared" si="6"/>
        <v>0.77886188302890313</v>
      </c>
      <c r="H432" s="120"/>
      <c r="I432" s="120"/>
      <c r="J432" s="121"/>
      <c r="K432" s="121"/>
      <c r="L432" s="121"/>
      <c r="M432" s="121"/>
      <c r="N432" s="121"/>
      <c r="O432" s="121"/>
      <c r="P432" s="121"/>
    </row>
    <row r="433" spans="2:16" s="117" customFormat="1" ht="21.75" hidden="1" customHeight="1">
      <c r="B433" s="118"/>
      <c r="C433" s="110"/>
      <c r="D433" s="132" t="s">
        <v>471</v>
      </c>
      <c r="E433" s="135">
        <f>+E434+E435</f>
        <v>1600000000</v>
      </c>
      <c r="F433" s="129">
        <v>51356987511.629997</v>
      </c>
      <c r="G433" s="127">
        <f t="shared" si="6"/>
        <v>3.1154475321156125</v>
      </c>
      <c r="H433" s="120"/>
      <c r="I433" s="120"/>
      <c r="J433" s="121"/>
      <c r="K433" s="121"/>
      <c r="L433" s="121"/>
      <c r="M433" s="121"/>
      <c r="N433" s="121"/>
      <c r="O433" s="121"/>
      <c r="P433" s="121"/>
    </row>
    <row r="434" spans="2:16" s="117" customFormat="1" ht="21.75" hidden="1" customHeight="1">
      <c r="B434" s="118"/>
      <c r="C434" s="110"/>
      <c r="D434" s="133" t="s">
        <v>472</v>
      </c>
      <c r="E434" s="136">
        <v>1300000000</v>
      </c>
      <c r="F434" s="129">
        <v>51356987511.629997</v>
      </c>
      <c r="G434" s="127">
        <f t="shared" si="6"/>
        <v>2.5313011198439352</v>
      </c>
      <c r="H434" s="120"/>
      <c r="I434" s="120"/>
      <c r="J434" s="121"/>
      <c r="K434" s="121"/>
      <c r="L434" s="121"/>
      <c r="M434" s="121"/>
      <c r="N434" s="121"/>
      <c r="O434" s="121"/>
      <c r="P434" s="121"/>
    </row>
    <row r="435" spans="2:16" s="117" customFormat="1" ht="21.75" hidden="1" customHeight="1">
      <c r="B435" s="118"/>
      <c r="C435" s="110"/>
      <c r="D435" s="133" t="s">
        <v>473</v>
      </c>
      <c r="E435" s="136">
        <v>300000000</v>
      </c>
      <c r="F435" s="129">
        <v>51356987511.629997</v>
      </c>
      <c r="G435" s="127">
        <f t="shared" si="6"/>
        <v>0.58414641227167741</v>
      </c>
      <c r="H435" s="120"/>
      <c r="I435" s="120"/>
      <c r="J435" s="121"/>
      <c r="K435" s="121"/>
      <c r="L435" s="121"/>
      <c r="M435" s="121"/>
      <c r="N435" s="121"/>
      <c r="O435" s="121"/>
      <c r="P435" s="121"/>
    </row>
    <row r="436" spans="2:16" s="117" customFormat="1" ht="15" hidden="1" customHeight="1">
      <c r="B436" s="118"/>
      <c r="C436" s="110"/>
      <c r="D436" s="133"/>
      <c r="E436" s="136"/>
      <c r="F436" s="129"/>
      <c r="G436" s="127"/>
      <c r="H436" s="120"/>
      <c r="I436" s="120"/>
      <c r="J436" s="121"/>
      <c r="K436" s="121"/>
      <c r="L436" s="121"/>
      <c r="M436" s="121"/>
      <c r="N436" s="121"/>
      <c r="O436" s="121"/>
      <c r="P436" s="121"/>
    </row>
    <row r="437" spans="2:16" s="117" customFormat="1" ht="21.75" hidden="1" customHeight="1">
      <c r="B437" s="118"/>
      <c r="C437" s="110"/>
      <c r="D437" s="132" t="s">
        <v>474</v>
      </c>
      <c r="E437" s="135">
        <v>10166088511.91</v>
      </c>
      <c r="F437" s="129">
        <v>51356987511.629997</v>
      </c>
      <c r="G437" s="127">
        <f t="shared" si="6"/>
        <v>19.794947103561807</v>
      </c>
      <c r="H437" s="120"/>
      <c r="I437" s="120"/>
      <c r="J437" s="121"/>
      <c r="K437" s="121"/>
      <c r="L437" s="121"/>
      <c r="M437" s="121"/>
      <c r="N437" s="121"/>
      <c r="O437" s="121"/>
      <c r="P437" s="121"/>
    </row>
    <row r="438" spans="2:16" s="117" customFormat="1" ht="21.75" hidden="1" customHeight="1">
      <c r="B438" s="118"/>
      <c r="C438" s="110"/>
      <c r="D438" s="132" t="s">
        <v>161</v>
      </c>
      <c r="E438" s="135">
        <f>+E439+E441+E444+E446+E449+E451+E453</f>
        <v>10166088511.91</v>
      </c>
      <c r="F438" s="129">
        <v>51356987511.629997</v>
      </c>
      <c r="G438" s="127">
        <f t="shared" si="6"/>
        <v>19.794947103561807</v>
      </c>
      <c r="H438" s="120"/>
      <c r="I438" s="120"/>
      <c r="J438" s="121"/>
      <c r="K438" s="121"/>
      <c r="L438" s="121"/>
      <c r="M438" s="121"/>
      <c r="N438" s="121"/>
      <c r="O438" s="121"/>
      <c r="P438" s="121"/>
    </row>
    <row r="439" spans="2:16" s="117" customFormat="1" ht="21.75" hidden="1" customHeight="1">
      <c r="B439" s="118"/>
      <c r="C439" s="110"/>
      <c r="D439" s="132" t="s">
        <v>475</v>
      </c>
      <c r="E439" s="135">
        <f>E440</f>
        <v>100000000</v>
      </c>
      <c r="F439" s="129">
        <v>51356987511.629997</v>
      </c>
      <c r="G439" s="127">
        <f t="shared" si="6"/>
        <v>0.19471547075722578</v>
      </c>
      <c r="H439" s="120"/>
      <c r="I439" s="120"/>
      <c r="J439" s="121"/>
      <c r="K439" s="121"/>
      <c r="L439" s="121"/>
      <c r="M439" s="121"/>
      <c r="N439" s="121"/>
      <c r="O439" s="121"/>
      <c r="P439" s="121"/>
    </row>
    <row r="440" spans="2:16" s="117" customFormat="1" ht="21.75" hidden="1" customHeight="1">
      <c r="B440" s="118"/>
      <c r="C440" s="110"/>
      <c r="D440" s="133" t="s">
        <v>476</v>
      </c>
      <c r="E440" s="136">
        <v>100000000</v>
      </c>
      <c r="F440" s="129">
        <v>51356987511.629997</v>
      </c>
      <c r="G440" s="127">
        <f t="shared" si="6"/>
        <v>0.19471547075722578</v>
      </c>
      <c r="H440" s="120"/>
      <c r="I440" s="120"/>
      <c r="J440" s="121"/>
      <c r="K440" s="121"/>
      <c r="L440" s="121"/>
      <c r="M440" s="121"/>
      <c r="N440" s="121"/>
      <c r="O440" s="121"/>
      <c r="P440" s="121"/>
    </row>
    <row r="441" spans="2:16" s="117" customFormat="1" ht="21.75" hidden="1" customHeight="1">
      <c r="B441" s="118"/>
      <c r="C441" s="110"/>
      <c r="D441" s="132" t="s">
        <v>162</v>
      </c>
      <c r="E441" s="135">
        <f>+E442+E443</f>
        <v>3286865455</v>
      </c>
      <c r="F441" s="129">
        <v>51356987511.629997</v>
      </c>
      <c r="G441" s="127">
        <f t="shared" si="6"/>
        <v>6.4000355438598806</v>
      </c>
      <c r="H441" s="120"/>
      <c r="I441" s="120"/>
      <c r="J441" s="121"/>
      <c r="K441" s="121"/>
      <c r="L441" s="121"/>
      <c r="M441" s="121"/>
      <c r="N441" s="121"/>
      <c r="O441" s="121"/>
      <c r="P441" s="121"/>
    </row>
    <row r="442" spans="2:16" s="117" customFormat="1" ht="21.75" hidden="1" customHeight="1">
      <c r="B442" s="118"/>
      <c r="C442" s="110"/>
      <c r="D442" s="133" t="s">
        <v>477</v>
      </c>
      <c r="E442" s="136">
        <v>300000000</v>
      </c>
      <c r="F442" s="129">
        <v>51356987511.629997</v>
      </c>
      <c r="G442" s="127">
        <f t="shared" si="6"/>
        <v>0.58414641227167741</v>
      </c>
      <c r="H442" s="120"/>
      <c r="I442" s="120"/>
      <c r="J442" s="121"/>
      <c r="K442" s="121"/>
      <c r="L442" s="121"/>
      <c r="M442" s="121"/>
      <c r="N442" s="121"/>
      <c r="O442" s="121"/>
      <c r="P442" s="121"/>
    </row>
    <row r="443" spans="2:16" s="117" customFormat="1" ht="21.75" hidden="1" customHeight="1">
      <c r="B443" s="118"/>
      <c r="C443" s="110"/>
      <c r="D443" s="133" t="s">
        <v>478</v>
      </c>
      <c r="E443" s="136">
        <v>2986865455</v>
      </c>
      <c r="F443" s="129">
        <v>51356987511.629997</v>
      </c>
      <c r="G443" s="127">
        <f t="shared" si="6"/>
        <v>5.8158891315882038</v>
      </c>
      <c r="H443" s="120"/>
      <c r="I443" s="120"/>
      <c r="J443" s="121"/>
      <c r="K443" s="121"/>
      <c r="L443" s="121"/>
      <c r="M443" s="121"/>
      <c r="N443" s="121"/>
      <c r="O443" s="121"/>
      <c r="P443" s="121"/>
    </row>
    <row r="444" spans="2:16" s="117" customFormat="1" ht="21.75" hidden="1" customHeight="1">
      <c r="B444" s="118"/>
      <c r="C444" s="110"/>
      <c r="D444" s="132" t="s">
        <v>173</v>
      </c>
      <c r="E444" s="135">
        <f>+E445</f>
        <v>1500000000</v>
      </c>
      <c r="F444" s="129">
        <v>51356987511.629997</v>
      </c>
      <c r="G444" s="127">
        <f t="shared" si="6"/>
        <v>2.9207320613583865</v>
      </c>
      <c r="H444" s="120"/>
      <c r="I444" s="120"/>
      <c r="J444" s="121"/>
      <c r="K444" s="121"/>
      <c r="L444" s="121"/>
      <c r="M444" s="121"/>
      <c r="N444" s="121"/>
      <c r="O444" s="121"/>
      <c r="P444" s="121"/>
    </row>
    <row r="445" spans="2:16" s="117" customFormat="1" ht="21.75" hidden="1" customHeight="1">
      <c r="B445" s="118"/>
      <c r="C445" s="110"/>
      <c r="D445" s="133" t="s">
        <v>479</v>
      </c>
      <c r="E445" s="136">
        <v>1500000000</v>
      </c>
      <c r="F445" s="129">
        <v>51356987511.629997</v>
      </c>
      <c r="G445" s="127">
        <f t="shared" si="6"/>
        <v>2.9207320613583865</v>
      </c>
      <c r="H445" s="120"/>
      <c r="I445" s="120"/>
      <c r="J445" s="121"/>
      <c r="K445" s="121"/>
      <c r="L445" s="121"/>
      <c r="M445" s="121"/>
      <c r="N445" s="121"/>
      <c r="O445" s="121"/>
      <c r="P445" s="121"/>
    </row>
    <row r="446" spans="2:16" s="117" customFormat="1" ht="21.75" hidden="1" customHeight="1">
      <c r="B446" s="118"/>
      <c r="C446" s="110"/>
      <c r="D446" s="132" t="s">
        <v>186</v>
      </c>
      <c r="E446" s="135">
        <f>+E447+E448</f>
        <v>110000000</v>
      </c>
      <c r="F446" s="129">
        <v>51356987511.629997</v>
      </c>
      <c r="G446" s="127">
        <f t="shared" si="6"/>
        <v>0.21418701783294836</v>
      </c>
      <c r="H446" s="120"/>
      <c r="I446" s="120"/>
      <c r="J446" s="121"/>
      <c r="K446" s="121"/>
      <c r="L446" s="121"/>
      <c r="M446" s="121"/>
      <c r="N446" s="121"/>
      <c r="O446" s="121"/>
      <c r="P446" s="121"/>
    </row>
    <row r="447" spans="2:16" s="117" customFormat="1" ht="21.75" hidden="1" customHeight="1">
      <c r="B447" s="118"/>
      <c r="C447" s="110"/>
      <c r="D447" s="133" t="s">
        <v>480</v>
      </c>
      <c r="E447" s="136">
        <v>60000000</v>
      </c>
      <c r="F447" s="129">
        <v>51356987511.629997</v>
      </c>
      <c r="G447" s="127">
        <f t="shared" si="6"/>
        <v>0.11682928245433546</v>
      </c>
      <c r="H447" s="120"/>
      <c r="I447" s="120"/>
      <c r="J447" s="121"/>
      <c r="K447" s="121"/>
      <c r="L447" s="121"/>
      <c r="M447" s="121"/>
      <c r="N447" s="121"/>
      <c r="O447" s="121"/>
      <c r="P447" s="121"/>
    </row>
    <row r="448" spans="2:16" s="117" customFormat="1" ht="21.75" hidden="1" customHeight="1">
      <c r="B448" s="118"/>
      <c r="C448" s="110"/>
      <c r="D448" s="133" t="s">
        <v>481</v>
      </c>
      <c r="E448" s="136">
        <v>50000000</v>
      </c>
      <c r="F448" s="129">
        <v>51356987511.629997</v>
      </c>
      <c r="G448" s="127">
        <f t="shared" si="6"/>
        <v>9.7357735378612892E-2</v>
      </c>
      <c r="H448" s="120"/>
      <c r="I448" s="120"/>
      <c r="J448" s="121"/>
      <c r="K448" s="121"/>
      <c r="L448" s="121"/>
      <c r="M448" s="121"/>
      <c r="N448" s="121"/>
      <c r="O448" s="121"/>
      <c r="P448" s="121"/>
    </row>
    <row r="449" spans="2:16" s="117" customFormat="1" ht="21.75" hidden="1" customHeight="1">
      <c r="B449" s="118"/>
      <c r="C449" s="110"/>
      <c r="D449" s="132" t="s">
        <v>190</v>
      </c>
      <c r="E449" s="135">
        <f>+E450</f>
        <v>310000000</v>
      </c>
      <c r="F449" s="129">
        <v>51356987511.629997</v>
      </c>
      <c r="G449" s="127">
        <f t="shared" si="6"/>
        <v>0.60361795934739992</v>
      </c>
      <c r="H449" s="120"/>
      <c r="I449" s="120"/>
      <c r="J449" s="121"/>
      <c r="K449" s="121"/>
      <c r="L449" s="121"/>
      <c r="M449" s="121"/>
      <c r="N449" s="121"/>
      <c r="O449" s="121"/>
      <c r="P449" s="121"/>
    </row>
    <row r="450" spans="2:16" s="117" customFormat="1" ht="21.75" hidden="1" customHeight="1">
      <c r="B450" s="118"/>
      <c r="C450" s="110"/>
      <c r="D450" s="133" t="s">
        <v>482</v>
      </c>
      <c r="E450" s="136">
        <v>310000000</v>
      </c>
      <c r="F450" s="129">
        <v>51356987511.629997</v>
      </c>
      <c r="G450" s="127">
        <f t="shared" si="6"/>
        <v>0.60361795934739992</v>
      </c>
      <c r="H450" s="120"/>
      <c r="I450" s="120"/>
      <c r="J450" s="121"/>
      <c r="K450" s="121"/>
      <c r="L450" s="121"/>
      <c r="M450" s="121"/>
      <c r="N450" s="121"/>
      <c r="O450" s="121"/>
      <c r="P450" s="121"/>
    </row>
    <row r="451" spans="2:16" s="117" customFormat="1" ht="21.75" hidden="1" customHeight="1">
      <c r="B451" s="118"/>
      <c r="C451" s="110"/>
      <c r="D451" s="132" t="s">
        <v>483</v>
      </c>
      <c r="E451" s="135">
        <f>E452</f>
        <v>150000000</v>
      </c>
      <c r="F451" s="129">
        <v>51356987511.629997</v>
      </c>
      <c r="G451" s="127">
        <f t="shared" si="6"/>
        <v>0.2920732061358387</v>
      </c>
      <c r="H451" s="120"/>
      <c r="I451" s="120"/>
      <c r="J451" s="121"/>
      <c r="K451" s="121"/>
      <c r="L451" s="121"/>
      <c r="M451" s="121"/>
      <c r="N451" s="121"/>
      <c r="O451" s="121"/>
      <c r="P451" s="121"/>
    </row>
    <row r="452" spans="2:16" s="117" customFormat="1" ht="21.75" hidden="1" customHeight="1">
      <c r="B452" s="118"/>
      <c r="C452" s="110"/>
      <c r="D452" s="133" t="s">
        <v>484</v>
      </c>
      <c r="E452" s="136">
        <v>150000000</v>
      </c>
      <c r="F452" s="129">
        <v>51356987511.629997</v>
      </c>
      <c r="G452" s="127">
        <f t="shared" si="6"/>
        <v>0.2920732061358387</v>
      </c>
      <c r="H452" s="120"/>
      <c r="I452" s="120"/>
      <c r="J452" s="121"/>
      <c r="K452" s="121"/>
      <c r="L452" s="121"/>
      <c r="M452" s="121"/>
      <c r="N452" s="121"/>
      <c r="O452" s="121"/>
      <c r="P452" s="121"/>
    </row>
    <row r="453" spans="2:16" s="117" customFormat="1" ht="36" hidden="1" customHeight="1">
      <c r="B453" s="118"/>
      <c r="C453" s="110"/>
      <c r="D453" s="132" t="s">
        <v>485</v>
      </c>
      <c r="E453" s="135">
        <f>+E454+E455</f>
        <v>4709223056.9099998</v>
      </c>
      <c r="F453" s="129">
        <v>51356987511.629997</v>
      </c>
      <c r="G453" s="127">
        <f t="shared" si="6"/>
        <v>9.1695858442701237</v>
      </c>
      <c r="H453" s="120"/>
      <c r="I453" s="120"/>
      <c r="J453" s="121"/>
      <c r="K453" s="121"/>
      <c r="L453" s="121"/>
      <c r="M453" s="121"/>
      <c r="N453" s="121"/>
      <c r="O453" s="121"/>
      <c r="P453" s="121"/>
    </row>
    <row r="454" spans="2:16" s="117" customFormat="1" ht="21.75" hidden="1" customHeight="1">
      <c r="B454" s="118"/>
      <c r="C454" s="110"/>
      <c r="D454" s="133" t="s">
        <v>486</v>
      </c>
      <c r="E454" s="136">
        <v>4203589528.9099998</v>
      </c>
      <c r="F454" s="129">
        <v>51356987511.629997</v>
      </c>
      <c r="G454" s="127">
        <f t="shared" si="6"/>
        <v>8.1850391399185547</v>
      </c>
      <c r="H454" s="120"/>
      <c r="I454" s="120"/>
      <c r="J454" s="121"/>
      <c r="K454" s="121"/>
      <c r="L454" s="121"/>
      <c r="M454" s="121"/>
      <c r="N454" s="121"/>
      <c r="O454" s="121"/>
      <c r="P454" s="121"/>
    </row>
    <row r="455" spans="2:16" s="117" customFormat="1" ht="21.75" hidden="1" customHeight="1">
      <c r="B455" s="118"/>
      <c r="C455" s="110"/>
      <c r="D455" s="133" t="s">
        <v>487</v>
      </c>
      <c r="E455" s="136">
        <v>505633528</v>
      </c>
      <c r="F455" s="129">
        <v>51356987511.629997</v>
      </c>
      <c r="G455" s="127">
        <f t="shared" si="6"/>
        <v>0.98454670435156899</v>
      </c>
      <c r="H455" s="120"/>
      <c r="I455" s="120"/>
      <c r="J455" s="121"/>
      <c r="K455" s="121"/>
      <c r="L455" s="121"/>
      <c r="M455" s="121"/>
      <c r="N455" s="121"/>
      <c r="O455" s="121"/>
      <c r="P455" s="121"/>
    </row>
    <row r="456" spans="2:16" s="117" customFormat="1" ht="15" hidden="1" customHeight="1">
      <c r="B456" s="118"/>
      <c r="C456" s="110"/>
      <c r="D456" s="133"/>
      <c r="E456" s="136"/>
      <c r="F456" s="129"/>
      <c r="G456" s="127"/>
      <c r="H456" s="120"/>
      <c r="I456" s="120"/>
      <c r="J456" s="121"/>
      <c r="K456" s="121"/>
      <c r="L456" s="121"/>
      <c r="M456" s="121"/>
      <c r="N456" s="121"/>
      <c r="O456" s="121"/>
      <c r="P456" s="121"/>
    </row>
    <row r="457" spans="2:16" s="117" customFormat="1" ht="21.75" hidden="1" customHeight="1">
      <c r="B457" s="118"/>
      <c r="C457" s="110"/>
      <c r="D457" s="132" t="s">
        <v>488</v>
      </c>
      <c r="E457" s="135">
        <v>2277500000</v>
      </c>
      <c r="F457" s="129">
        <v>51356987511.629997</v>
      </c>
      <c r="G457" s="127">
        <f t="shared" si="6"/>
        <v>4.434644846495817</v>
      </c>
      <c r="H457" s="120"/>
      <c r="I457" s="120"/>
      <c r="J457" s="121"/>
      <c r="K457" s="121"/>
      <c r="L457" s="121"/>
      <c r="M457" s="121"/>
      <c r="N457" s="121"/>
      <c r="O457" s="121"/>
      <c r="P457" s="121"/>
    </row>
    <row r="458" spans="2:16" s="117" customFormat="1" ht="21.75" hidden="1" customHeight="1">
      <c r="B458" s="118"/>
      <c r="C458" s="110"/>
      <c r="D458" s="132" t="s">
        <v>489</v>
      </c>
      <c r="E458" s="135">
        <f>+E459+E461</f>
        <v>2277500000</v>
      </c>
      <c r="F458" s="129">
        <v>51356987511.629997</v>
      </c>
      <c r="G458" s="127">
        <f t="shared" si="6"/>
        <v>4.434644846495817</v>
      </c>
      <c r="H458" s="120"/>
      <c r="I458" s="120"/>
      <c r="J458" s="121"/>
      <c r="K458" s="121"/>
      <c r="L458" s="121"/>
      <c r="M458" s="121"/>
      <c r="N458" s="121"/>
      <c r="O458" s="121"/>
      <c r="P458" s="121"/>
    </row>
    <row r="459" spans="2:16" s="117" customFormat="1" ht="21.75" hidden="1" customHeight="1">
      <c r="B459" s="118"/>
      <c r="C459" s="110"/>
      <c r="D459" s="132" t="s">
        <v>490</v>
      </c>
      <c r="E459" s="135">
        <f>E460</f>
        <v>550000000</v>
      </c>
      <c r="F459" s="129">
        <v>51356987511.629997</v>
      </c>
      <c r="G459" s="127">
        <f t="shared" si="6"/>
        <v>1.0709350891647418</v>
      </c>
      <c r="H459" s="120"/>
      <c r="I459" s="120"/>
      <c r="J459" s="121"/>
      <c r="K459" s="121"/>
      <c r="L459" s="121"/>
      <c r="M459" s="121"/>
      <c r="N459" s="121"/>
      <c r="O459" s="121"/>
      <c r="P459" s="121"/>
    </row>
    <row r="460" spans="2:16" s="117" customFormat="1" ht="21.75" hidden="1" customHeight="1">
      <c r="B460" s="118"/>
      <c r="C460" s="110"/>
      <c r="D460" s="133" t="s">
        <v>491</v>
      </c>
      <c r="E460" s="136">
        <v>550000000</v>
      </c>
      <c r="F460" s="129">
        <v>51356987511.629997</v>
      </c>
      <c r="G460" s="127">
        <f t="shared" si="6"/>
        <v>1.0709350891647418</v>
      </c>
      <c r="H460" s="120"/>
      <c r="I460" s="120"/>
      <c r="J460" s="121"/>
      <c r="K460" s="121"/>
      <c r="L460" s="121"/>
      <c r="M460" s="121"/>
      <c r="N460" s="121"/>
      <c r="O460" s="121"/>
      <c r="P460" s="121"/>
    </row>
    <row r="461" spans="2:16" s="117" customFormat="1" ht="21.75" hidden="1" customHeight="1">
      <c r="B461" s="118"/>
      <c r="C461" s="110"/>
      <c r="D461" s="132" t="s">
        <v>492</v>
      </c>
      <c r="E461" s="135">
        <f>+E462+E463+E464</f>
        <v>1727500000</v>
      </c>
      <c r="F461" s="129">
        <v>51356987511.629997</v>
      </c>
      <c r="G461" s="127">
        <f t="shared" si="6"/>
        <v>3.3637097573310752</v>
      </c>
      <c r="H461" s="120"/>
      <c r="I461" s="120"/>
      <c r="J461" s="121"/>
      <c r="K461" s="121"/>
      <c r="L461" s="121"/>
      <c r="M461" s="121"/>
      <c r="N461" s="121"/>
      <c r="O461" s="121"/>
      <c r="P461" s="121"/>
    </row>
    <row r="462" spans="2:16" s="117" customFormat="1" ht="21.75" hidden="1" customHeight="1">
      <c r="B462" s="118"/>
      <c r="C462" s="110"/>
      <c r="D462" s="133" t="s">
        <v>493</v>
      </c>
      <c r="E462" s="136">
        <v>500000000</v>
      </c>
      <c r="F462" s="129">
        <v>51356987511.629997</v>
      </c>
      <c r="G462" s="127">
        <f t="shared" si="6"/>
        <v>0.97357735378612886</v>
      </c>
      <c r="H462" s="120"/>
      <c r="I462" s="120"/>
      <c r="J462" s="121"/>
      <c r="K462" s="121"/>
      <c r="L462" s="121"/>
      <c r="M462" s="121"/>
      <c r="N462" s="121"/>
      <c r="O462" s="121"/>
      <c r="P462" s="121"/>
    </row>
    <row r="463" spans="2:16" s="117" customFormat="1" ht="33" hidden="1" customHeight="1">
      <c r="B463" s="118"/>
      <c r="C463" s="110"/>
      <c r="D463" s="133" t="s">
        <v>494</v>
      </c>
      <c r="E463" s="136">
        <v>750000000</v>
      </c>
      <c r="F463" s="129">
        <v>51356987511.629997</v>
      </c>
      <c r="G463" s="127">
        <f t="shared" ref="G463:G535" si="7">+E463/F463*100</f>
        <v>1.4603660306791932</v>
      </c>
      <c r="H463" s="120"/>
      <c r="I463" s="120"/>
      <c r="J463" s="121"/>
      <c r="K463" s="121"/>
      <c r="L463" s="121"/>
      <c r="M463" s="121"/>
      <c r="N463" s="121"/>
      <c r="O463" s="121"/>
      <c r="P463" s="121"/>
    </row>
    <row r="464" spans="2:16" s="117" customFormat="1" ht="21.75" hidden="1" customHeight="1">
      <c r="B464" s="118"/>
      <c r="C464" s="110"/>
      <c r="D464" s="133" t="s">
        <v>495</v>
      </c>
      <c r="E464" s="136">
        <v>477500000</v>
      </c>
      <c r="F464" s="129">
        <v>51356987511.629997</v>
      </c>
      <c r="G464" s="127">
        <f t="shared" si="7"/>
        <v>0.92976637286575314</v>
      </c>
      <c r="H464" s="120"/>
      <c r="I464" s="120"/>
      <c r="J464" s="121"/>
      <c r="K464" s="121"/>
      <c r="L464" s="121"/>
      <c r="M464" s="121"/>
      <c r="N464" s="121"/>
      <c r="O464" s="121"/>
      <c r="P464" s="121"/>
    </row>
    <row r="465" spans="2:16" s="117" customFormat="1" ht="15" hidden="1" customHeight="1">
      <c r="B465" s="118"/>
      <c r="C465" s="110"/>
      <c r="D465" s="133"/>
      <c r="E465" s="136"/>
      <c r="F465" s="129"/>
      <c r="G465" s="127"/>
      <c r="H465" s="120"/>
      <c r="I465" s="120"/>
      <c r="J465" s="121"/>
      <c r="K465" s="121"/>
      <c r="L465" s="121"/>
      <c r="M465" s="121"/>
      <c r="N465" s="121"/>
      <c r="O465" s="121"/>
      <c r="P465" s="121"/>
    </row>
    <row r="466" spans="2:16" s="117" customFormat="1" ht="21.75" hidden="1" customHeight="1">
      <c r="B466" s="118"/>
      <c r="C466" s="110"/>
      <c r="D466" s="132" t="s">
        <v>496</v>
      </c>
      <c r="E466" s="135">
        <f>E467</f>
        <v>3475000000</v>
      </c>
      <c r="F466" s="129">
        <v>51356987511.629997</v>
      </c>
      <c r="G466" s="127">
        <f t="shared" si="7"/>
        <v>6.766362608813596</v>
      </c>
      <c r="H466" s="120"/>
      <c r="I466" s="120"/>
      <c r="J466" s="121"/>
      <c r="K466" s="121"/>
      <c r="L466" s="121"/>
      <c r="M466" s="121"/>
      <c r="N466" s="121"/>
      <c r="O466" s="121"/>
      <c r="P466" s="121"/>
    </row>
    <row r="467" spans="2:16" s="117" customFormat="1" ht="21.75" hidden="1" customHeight="1">
      <c r="B467" s="118"/>
      <c r="C467" s="110"/>
      <c r="D467" s="132" t="s">
        <v>497</v>
      </c>
      <c r="E467" s="135">
        <f>+E468+E470</f>
        <v>3475000000</v>
      </c>
      <c r="F467" s="129">
        <v>51356987511.629997</v>
      </c>
      <c r="G467" s="127">
        <f t="shared" si="7"/>
        <v>6.766362608813596</v>
      </c>
      <c r="H467" s="120"/>
      <c r="I467" s="120"/>
      <c r="J467" s="121"/>
      <c r="K467" s="121"/>
      <c r="L467" s="121"/>
      <c r="M467" s="121"/>
      <c r="N467" s="121"/>
      <c r="O467" s="121"/>
      <c r="P467" s="121"/>
    </row>
    <row r="468" spans="2:16" s="117" customFormat="1" ht="21.75" hidden="1" customHeight="1">
      <c r="B468" s="118"/>
      <c r="C468" s="110"/>
      <c r="D468" s="132" t="s">
        <v>498</v>
      </c>
      <c r="E468" s="135">
        <f>E469</f>
        <v>3400000000</v>
      </c>
      <c r="F468" s="129">
        <v>51356987511.629997</v>
      </c>
      <c r="G468" s="127">
        <f t="shared" si="7"/>
        <v>6.6203260057456763</v>
      </c>
      <c r="H468" s="120"/>
      <c r="I468" s="120"/>
      <c r="J468" s="121"/>
      <c r="K468" s="121"/>
      <c r="L468" s="121"/>
      <c r="M468" s="121"/>
      <c r="N468" s="121"/>
      <c r="O468" s="121"/>
      <c r="P468" s="121"/>
    </row>
    <row r="469" spans="2:16" s="117" customFormat="1" ht="21.75" hidden="1" customHeight="1">
      <c r="B469" s="118"/>
      <c r="C469" s="110"/>
      <c r="D469" s="133" t="s">
        <v>499</v>
      </c>
      <c r="E469" s="136">
        <v>3400000000</v>
      </c>
      <c r="F469" s="129">
        <v>51356987511.629997</v>
      </c>
      <c r="G469" s="127">
        <f t="shared" si="7"/>
        <v>6.6203260057456763</v>
      </c>
      <c r="H469" s="120"/>
      <c r="I469" s="120"/>
      <c r="J469" s="121"/>
      <c r="K469" s="121"/>
      <c r="L469" s="121"/>
      <c r="M469" s="121"/>
      <c r="N469" s="121"/>
      <c r="O469" s="121"/>
      <c r="P469" s="121"/>
    </row>
    <row r="470" spans="2:16" s="117" customFormat="1" ht="21.75" hidden="1" customHeight="1">
      <c r="B470" s="118"/>
      <c r="C470" s="110"/>
      <c r="D470" s="132" t="s">
        <v>500</v>
      </c>
      <c r="E470" s="135">
        <f>E471</f>
        <v>75000000</v>
      </c>
      <c r="F470" s="129">
        <v>51356987511.629997</v>
      </c>
      <c r="G470" s="127">
        <f t="shared" si="7"/>
        <v>0.14603660306791935</v>
      </c>
      <c r="H470" s="120"/>
      <c r="I470" s="120"/>
      <c r="J470" s="121"/>
      <c r="K470" s="121"/>
      <c r="L470" s="121"/>
      <c r="M470" s="121"/>
      <c r="N470" s="121"/>
      <c r="O470" s="121"/>
      <c r="P470" s="121"/>
    </row>
    <row r="471" spans="2:16" s="117" customFormat="1" ht="21.75" hidden="1" customHeight="1">
      <c r="B471" s="118"/>
      <c r="C471" s="110"/>
      <c r="D471" s="133" t="s">
        <v>501</v>
      </c>
      <c r="E471" s="136">
        <v>75000000</v>
      </c>
      <c r="F471" s="129">
        <v>51356987511.629997</v>
      </c>
      <c r="G471" s="127">
        <f t="shared" si="7"/>
        <v>0.14603660306791935</v>
      </c>
      <c r="H471" s="120"/>
      <c r="I471" s="120"/>
      <c r="J471" s="121"/>
      <c r="K471" s="121"/>
      <c r="L471" s="121"/>
      <c r="M471" s="121"/>
      <c r="N471" s="121"/>
      <c r="O471" s="121"/>
      <c r="P471" s="121"/>
    </row>
    <row r="472" spans="2:16" s="117" customFormat="1" ht="15" hidden="1" customHeight="1">
      <c r="B472" s="118"/>
      <c r="C472" s="110"/>
      <c r="D472" s="133"/>
      <c r="E472" s="136"/>
      <c r="F472" s="129"/>
      <c r="G472" s="127"/>
      <c r="H472" s="120"/>
      <c r="I472" s="120"/>
      <c r="J472" s="121"/>
      <c r="K472" s="121"/>
      <c r="L472" s="121"/>
      <c r="M472" s="121"/>
      <c r="N472" s="121"/>
      <c r="O472" s="121"/>
      <c r="P472" s="121"/>
    </row>
    <row r="473" spans="2:16" s="117" customFormat="1" ht="21.75" hidden="1" customHeight="1">
      <c r="B473" s="118"/>
      <c r="C473" s="110"/>
      <c r="D473" s="132" t="s">
        <v>502</v>
      </c>
      <c r="E473" s="135">
        <v>916000000</v>
      </c>
      <c r="F473" s="129">
        <v>51356987511.629997</v>
      </c>
      <c r="G473" s="127">
        <f t="shared" si="7"/>
        <v>1.7835937121361882</v>
      </c>
      <c r="H473" s="120"/>
      <c r="I473" s="120"/>
      <c r="J473" s="121"/>
      <c r="K473" s="121"/>
      <c r="L473" s="121"/>
      <c r="M473" s="121"/>
      <c r="N473" s="121"/>
      <c r="O473" s="121"/>
      <c r="P473" s="121"/>
    </row>
    <row r="474" spans="2:16" s="117" customFormat="1" ht="21.75" hidden="1" customHeight="1">
      <c r="B474" s="118"/>
      <c r="C474" s="110"/>
      <c r="D474" s="132" t="s">
        <v>503</v>
      </c>
      <c r="E474" s="135">
        <f>+E475+E478</f>
        <v>916000000</v>
      </c>
      <c r="F474" s="129">
        <v>51356987511.629997</v>
      </c>
      <c r="G474" s="127">
        <f t="shared" si="7"/>
        <v>1.7835937121361882</v>
      </c>
      <c r="H474" s="120"/>
      <c r="I474" s="120"/>
      <c r="J474" s="121"/>
      <c r="K474" s="121"/>
      <c r="L474" s="121"/>
      <c r="M474" s="121"/>
      <c r="N474" s="121"/>
      <c r="O474" s="121"/>
      <c r="P474" s="121"/>
    </row>
    <row r="475" spans="2:16" s="117" customFormat="1" ht="21.75" hidden="1" customHeight="1">
      <c r="B475" s="118"/>
      <c r="C475" s="110"/>
      <c r="D475" s="132" t="s">
        <v>286</v>
      </c>
      <c r="E475" s="135">
        <f>+E476+E477</f>
        <v>658600000</v>
      </c>
      <c r="F475" s="129">
        <v>51356987511.629997</v>
      </c>
      <c r="G475" s="127">
        <f t="shared" si="7"/>
        <v>1.282396090407089</v>
      </c>
      <c r="H475" s="120"/>
      <c r="I475" s="120"/>
      <c r="J475" s="121"/>
      <c r="K475" s="121"/>
      <c r="L475" s="121"/>
      <c r="M475" s="121"/>
      <c r="N475" s="121"/>
      <c r="O475" s="121"/>
      <c r="P475" s="121"/>
    </row>
    <row r="476" spans="2:16" s="117" customFormat="1" ht="21.75" hidden="1" customHeight="1">
      <c r="B476" s="118"/>
      <c r="C476" s="110"/>
      <c r="D476" s="133" t="s">
        <v>504</v>
      </c>
      <c r="E476" s="136">
        <v>58600000</v>
      </c>
      <c r="F476" s="129">
        <v>51356987511.629997</v>
      </c>
      <c r="G476" s="127">
        <f t="shared" si="7"/>
        <v>0.1141032658637343</v>
      </c>
      <c r="H476" s="120"/>
      <c r="I476" s="120"/>
      <c r="J476" s="121"/>
      <c r="K476" s="121"/>
      <c r="L476" s="121"/>
      <c r="M476" s="121"/>
      <c r="N476" s="121"/>
      <c r="O476" s="121"/>
      <c r="P476" s="121"/>
    </row>
    <row r="477" spans="2:16" s="117" customFormat="1" ht="21.75" hidden="1" customHeight="1">
      <c r="B477" s="118"/>
      <c r="C477" s="110"/>
      <c r="D477" s="133" t="s">
        <v>505</v>
      </c>
      <c r="E477" s="136">
        <v>600000000</v>
      </c>
      <c r="F477" s="129">
        <v>51356987511.629997</v>
      </c>
      <c r="G477" s="127">
        <f t="shared" si="7"/>
        <v>1.1682928245433548</v>
      </c>
      <c r="H477" s="120"/>
      <c r="I477" s="120"/>
      <c r="J477" s="121"/>
      <c r="K477" s="121"/>
      <c r="L477" s="121"/>
      <c r="M477" s="121"/>
      <c r="N477" s="121"/>
      <c r="O477" s="121"/>
      <c r="P477" s="121"/>
    </row>
    <row r="478" spans="2:16" s="117" customFormat="1" ht="21.75" hidden="1" customHeight="1">
      <c r="B478" s="118"/>
      <c r="C478" s="110"/>
      <c r="D478" s="132" t="s">
        <v>506</v>
      </c>
      <c r="E478" s="135">
        <f>E479</f>
        <v>257400000</v>
      </c>
      <c r="F478" s="129">
        <v>51356987511.629997</v>
      </c>
      <c r="G478" s="127">
        <f t="shared" si="7"/>
        <v>0.5011976217290991</v>
      </c>
      <c r="H478" s="120"/>
      <c r="I478" s="120"/>
      <c r="J478" s="121"/>
      <c r="K478" s="121"/>
      <c r="L478" s="121"/>
      <c r="M478" s="121"/>
      <c r="N478" s="121"/>
      <c r="O478" s="121"/>
      <c r="P478" s="121"/>
    </row>
    <row r="479" spans="2:16" s="117" customFormat="1" ht="21.75" hidden="1" customHeight="1">
      <c r="B479" s="118"/>
      <c r="C479" s="110"/>
      <c r="D479" s="133" t="s">
        <v>507</v>
      </c>
      <c r="E479" s="136">
        <v>257400000</v>
      </c>
      <c r="F479" s="129">
        <v>51356987511.629997</v>
      </c>
      <c r="G479" s="127">
        <f t="shared" si="7"/>
        <v>0.5011976217290991</v>
      </c>
      <c r="H479" s="120"/>
      <c r="I479" s="120"/>
      <c r="J479" s="121"/>
      <c r="K479" s="121"/>
      <c r="L479" s="121"/>
      <c r="M479" s="121"/>
      <c r="N479" s="121"/>
      <c r="O479" s="121"/>
      <c r="P479" s="121"/>
    </row>
    <row r="480" spans="2:16" s="117" customFormat="1" ht="15" hidden="1" customHeight="1">
      <c r="B480" s="118"/>
      <c r="C480" s="110"/>
      <c r="D480" s="133"/>
      <c r="E480" s="136"/>
      <c r="F480" s="129"/>
      <c r="G480" s="127"/>
      <c r="H480" s="120"/>
      <c r="I480" s="120"/>
      <c r="J480" s="121"/>
      <c r="K480" s="121"/>
      <c r="L480" s="121"/>
      <c r="M480" s="121"/>
      <c r="N480" s="121"/>
      <c r="O480" s="121"/>
      <c r="P480" s="121"/>
    </row>
    <row r="481" spans="2:16" s="117" customFormat="1" ht="21.75" hidden="1" customHeight="1">
      <c r="B481" s="118"/>
      <c r="C481" s="110"/>
      <c r="D481" s="132" t="s">
        <v>508</v>
      </c>
      <c r="E481" s="135">
        <v>377139750.23000002</v>
      </c>
      <c r="F481" s="129">
        <v>51356987511.629997</v>
      </c>
      <c r="G481" s="127">
        <f t="shared" si="7"/>
        <v>0.73434944007296998</v>
      </c>
      <c r="H481" s="120"/>
      <c r="I481" s="120"/>
      <c r="J481" s="121"/>
      <c r="K481" s="121"/>
      <c r="L481" s="121"/>
      <c r="M481" s="121"/>
      <c r="N481" s="121"/>
      <c r="O481" s="121"/>
      <c r="P481" s="121"/>
    </row>
    <row r="482" spans="2:16" s="117" customFormat="1" ht="21.75" hidden="1" customHeight="1">
      <c r="B482" s="118"/>
      <c r="C482" s="110"/>
      <c r="D482" s="132" t="s">
        <v>366</v>
      </c>
      <c r="E482" s="135">
        <f>+E483+E487+E489</f>
        <v>377139750.23000002</v>
      </c>
      <c r="F482" s="129">
        <v>51356987511.629997</v>
      </c>
      <c r="G482" s="127">
        <f t="shared" si="7"/>
        <v>0.73434944007296998</v>
      </c>
      <c r="H482" s="120"/>
      <c r="I482" s="120"/>
      <c r="J482" s="121"/>
      <c r="K482" s="121"/>
      <c r="L482" s="121"/>
      <c r="M482" s="121"/>
      <c r="N482" s="121"/>
      <c r="O482" s="121"/>
      <c r="P482" s="121"/>
    </row>
    <row r="483" spans="2:16" s="117" customFormat="1" ht="21.75" hidden="1" customHeight="1">
      <c r="B483" s="118"/>
      <c r="C483" s="110"/>
      <c r="D483" s="132" t="s">
        <v>509</v>
      </c>
      <c r="E483" s="135">
        <f>E484+E485+E486</f>
        <v>277139750.23000002</v>
      </c>
      <c r="F483" s="129">
        <v>51356987511.629997</v>
      </c>
      <c r="G483" s="127">
        <f t="shared" si="7"/>
        <v>0.53963396931574426</v>
      </c>
      <c r="H483" s="120"/>
      <c r="I483" s="120"/>
      <c r="J483" s="121"/>
      <c r="K483" s="121"/>
      <c r="L483" s="121"/>
      <c r="M483" s="121"/>
      <c r="N483" s="121"/>
      <c r="O483" s="121"/>
      <c r="P483" s="121"/>
    </row>
    <row r="484" spans="2:16" s="117" customFormat="1" ht="21.75" hidden="1" customHeight="1">
      <c r="B484" s="118"/>
      <c r="C484" s="110"/>
      <c r="D484" s="133" t="s">
        <v>510</v>
      </c>
      <c r="E484" s="136">
        <v>100000000</v>
      </c>
      <c r="F484" s="129">
        <v>51356987511.629997</v>
      </c>
      <c r="G484" s="127">
        <f t="shared" si="7"/>
        <v>0.19471547075722578</v>
      </c>
      <c r="H484" s="120"/>
      <c r="I484" s="120"/>
      <c r="J484" s="121"/>
      <c r="K484" s="121"/>
      <c r="L484" s="121"/>
      <c r="M484" s="121"/>
      <c r="N484" s="121"/>
      <c r="O484" s="121"/>
      <c r="P484" s="121"/>
    </row>
    <row r="485" spans="2:16" s="117" customFormat="1" ht="32.25" hidden="1" customHeight="1">
      <c r="B485" s="118"/>
      <c r="C485" s="110"/>
      <c r="D485" s="133" t="s">
        <v>511</v>
      </c>
      <c r="E485" s="136">
        <v>127139750.23</v>
      </c>
      <c r="F485" s="129">
        <v>51356987511.629997</v>
      </c>
      <c r="G485" s="127">
        <f t="shared" si="7"/>
        <v>0.24756076317990558</v>
      </c>
      <c r="H485" s="120"/>
      <c r="I485" s="120"/>
      <c r="J485" s="121"/>
      <c r="K485" s="121"/>
      <c r="L485" s="121"/>
      <c r="M485" s="121"/>
      <c r="N485" s="121"/>
      <c r="O485" s="121"/>
      <c r="P485" s="121"/>
    </row>
    <row r="486" spans="2:16" s="117" customFormat="1" ht="21.75" hidden="1" customHeight="1">
      <c r="B486" s="118"/>
      <c r="C486" s="110"/>
      <c r="D486" s="133" t="s">
        <v>512</v>
      </c>
      <c r="E486" s="136">
        <v>50000000</v>
      </c>
      <c r="F486" s="129">
        <v>51356987511.629997</v>
      </c>
      <c r="G486" s="127">
        <f t="shared" si="7"/>
        <v>9.7357735378612892E-2</v>
      </c>
      <c r="H486" s="120"/>
      <c r="I486" s="120"/>
      <c r="J486" s="121"/>
      <c r="K486" s="121"/>
      <c r="L486" s="121"/>
      <c r="M486" s="121"/>
      <c r="N486" s="121"/>
      <c r="O486" s="121"/>
      <c r="P486" s="121"/>
    </row>
    <row r="487" spans="2:16" s="117" customFormat="1" ht="21.75" hidden="1" customHeight="1">
      <c r="B487" s="118"/>
      <c r="C487" s="110"/>
      <c r="D487" s="132" t="s">
        <v>513</v>
      </c>
      <c r="E487" s="135">
        <f>E488</f>
        <v>50000000</v>
      </c>
      <c r="F487" s="129">
        <v>51356987511.629997</v>
      </c>
      <c r="G487" s="127">
        <f t="shared" si="7"/>
        <v>9.7357735378612892E-2</v>
      </c>
      <c r="H487" s="120"/>
      <c r="I487" s="120"/>
      <c r="J487" s="121"/>
      <c r="K487" s="121"/>
      <c r="L487" s="121"/>
      <c r="M487" s="121"/>
      <c r="N487" s="121"/>
      <c r="O487" s="121"/>
      <c r="P487" s="121"/>
    </row>
    <row r="488" spans="2:16" s="117" customFormat="1" ht="32.25" hidden="1" customHeight="1">
      <c r="B488" s="118"/>
      <c r="C488" s="110"/>
      <c r="D488" s="133" t="s">
        <v>514</v>
      </c>
      <c r="E488" s="136">
        <v>50000000</v>
      </c>
      <c r="F488" s="129">
        <v>51356987511.629997</v>
      </c>
      <c r="G488" s="127">
        <f t="shared" si="7"/>
        <v>9.7357735378612892E-2</v>
      </c>
      <c r="H488" s="120"/>
      <c r="I488" s="120"/>
      <c r="J488" s="121"/>
      <c r="K488" s="121"/>
      <c r="L488" s="121"/>
      <c r="M488" s="121"/>
      <c r="N488" s="121"/>
      <c r="O488" s="121"/>
      <c r="P488" s="121"/>
    </row>
    <row r="489" spans="2:16" s="117" customFormat="1" ht="21.75" hidden="1" customHeight="1">
      <c r="B489" s="118"/>
      <c r="C489" s="110"/>
      <c r="D489" s="132" t="s">
        <v>515</v>
      </c>
      <c r="E489" s="135">
        <f>E490</f>
        <v>50000000</v>
      </c>
      <c r="F489" s="129">
        <v>51356987511.629997</v>
      </c>
      <c r="G489" s="127">
        <f t="shared" si="7"/>
        <v>9.7357735378612892E-2</v>
      </c>
      <c r="H489" s="120"/>
      <c r="I489" s="120"/>
      <c r="J489" s="121"/>
      <c r="K489" s="121"/>
      <c r="L489" s="121"/>
      <c r="M489" s="121"/>
      <c r="N489" s="121"/>
      <c r="O489" s="121"/>
      <c r="P489" s="121"/>
    </row>
    <row r="490" spans="2:16" s="117" customFormat="1" ht="31.5" hidden="1" customHeight="1">
      <c r="B490" s="118"/>
      <c r="C490" s="110"/>
      <c r="D490" s="133" t="s">
        <v>516</v>
      </c>
      <c r="E490" s="136">
        <v>50000000</v>
      </c>
      <c r="F490" s="129">
        <v>51356987511.629997</v>
      </c>
      <c r="G490" s="127">
        <f t="shared" si="7"/>
        <v>9.7357735378612892E-2</v>
      </c>
      <c r="H490" s="120"/>
      <c r="I490" s="120"/>
      <c r="J490" s="121"/>
      <c r="K490" s="121"/>
      <c r="L490" s="121"/>
      <c r="M490" s="121"/>
      <c r="N490" s="121"/>
      <c r="O490" s="121"/>
      <c r="P490" s="121"/>
    </row>
    <row r="491" spans="2:16" s="117" customFormat="1" ht="15" hidden="1" customHeight="1">
      <c r="B491" s="118"/>
      <c r="C491" s="110"/>
      <c r="D491" s="133"/>
      <c r="E491" s="136"/>
      <c r="F491" s="129"/>
      <c r="G491" s="127"/>
      <c r="H491" s="120"/>
      <c r="I491" s="120"/>
      <c r="J491" s="121"/>
      <c r="K491" s="121"/>
      <c r="L491" s="121"/>
      <c r="M491" s="121"/>
      <c r="N491" s="121"/>
      <c r="O491" s="121"/>
      <c r="P491" s="121"/>
    </row>
    <row r="492" spans="2:16" s="117" customFormat="1" ht="21.75" hidden="1" customHeight="1">
      <c r="B492" s="118"/>
      <c r="C492" s="110"/>
      <c r="D492" s="132" t="s">
        <v>517</v>
      </c>
      <c r="E492" s="135">
        <f>E493</f>
        <v>3000000000</v>
      </c>
      <c r="F492" s="129">
        <v>51356987511.629997</v>
      </c>
      <c r="G492" s="127">
        <f t="shared" si="7"/>
        <v>5.841464122716773</v>
      </c>
      <c r="H492" s="120"/>
      <c r="I492" s="120"/>
      <c r="J492" s="121"/>
      <c r="K492" s="121"/>
      <c r="L492" s="121"/>
      <c r="M492" s="121"/>
      <c r="N492" s="121"/>
      <c r="O492" s="121"/>
      <c r="P492" s="121"/>
    </row>
    <row r="493" spans="2:16" s="117" customFormat="1" ht="21.75" hidden="1" customHeight="1">
      <c r="B493" s="118"/>
      <c r="C493" s="110"/>
      <c r="D493" s="132" t="s">
        <v>518</v>
      </c>
      <c r="E493" s="135">
        <f>E494</f>
        <v>3000000000</v>
      </c>
      <c r="F493" s="129">
        <v>51356987511.629997</v>
      </c>
      <c r="G493" s="127">
        <f t="shared" si="7"/>
        <v>5.841464122716773</v>
      </c>
      <c r="H493" s="120"/>
      <c r="I493" s="120"/>
      <c r="J493" s="121"/>
      <c r="K493" s="121"/>
      <c r="L493" s="121"/>
      <c r="M493" s="121"/>
      <c r="N493" s="121"/>
      <c r="O493" s="121"/>
      <c r="P493" s="121"/>
    </row>
    <row r="494" spans="2:16" s="117" customFormat="1" ht="21.75" hidden="1" customHeight="1">
      <c r="B494" s="118"/>
      <c r="C494" s="110"/>
      <c r="D494" s="132" t="s">
        <v>519</v>
      </c>
      <c r="E494" s="135">
        <f>E495</f>
        <v>3000000000</v>
      </c>
      <c r="F494" s="129">
        <v>51356987511.629997</v>
      </c>
      <c r="G494" s="127">
        <f t="shared" si="7"/>
        <v>5.841464122716773</v>
      </c>
      <c r="H494" s="120"/>
      <c r="I494" s="120"/>
      <c r="J494" s="121"/>
      <c r="K494" s="121"/>
      <c r="L494" s="121"/>
      <c r="M494" s="121"/>
      <c r="N494" s="121"/>
      <c r="O494" s="121"/>
      <c r="P494" s="121"/>
    </row>
    <row r="495" spans="2:16" s="117" customFormat="1" ht="21.75" hidden="1" customHeight="1">
      <c r="B495" s="118"/>
      <c r="C495" s="110"/>
      <c r="D495" s="133" t="s">
        <v>520</v>
      </c>
      <c r="E495" s="136">
        <v>3000000000</v>
      </c>
      <c r="F495" s="129">
        <v>51356987511.629997</v>
      </c>
      <c r="G495" s="127">
        <f t="shared" si="7"/>
        <v>5.841464122716773</v>
      </c>
      <c r="H495" s="120"/>
      <c r="I495" s="120"/>
      <c r="J495" s="121"/>
      <c r="K495" s="121"/>
      <c r="L495" s="121"/>
      <c r="M495" s="121"/>
      <c r="N495" s="121"/>
      <c r="O495" s="121"/>
      <c r="P495" s="121"/>
    </row>
    <row r="496" spans="2:16" s="117" customFormat="1" ht="15" hidden="1" customHeight="1">
      <c r="B496" s="118"/>
      <c r="C496" s="110"/>
      <c r="D496" s="133"/>
      <c r="E496" s="136"/>
      <c r="F496" s="129"/>
      <c r="G496" s="127"/>
      <c r="H496" s="120"/>
      <c r="I496" s="120"/>
      <c r="J496" s="121"/>
      <c r="K496" s="121"/>
      <c r="L496" s="121"/>
      <c r="M496" s="121"/>
      <c r="N496" s="121"/>
      <c r="O496" s="121"/>
      <c r="P496" s="121"/>
    </row>
    <row r="497" spans="2:16" s="117" customFormat="1" ht="21.75" hidden="1" customHeight="1">
      <c r="B497" s="118"/>
      <c r="C497" s="110"/>
      <c r="D497" s="132" t="s">
        <v>521</v>
      </c>
      <c r="E497" s="135">
        <f>E498</f>
        <v>75000000</v>
      </c>
      <c r="F497" s="129">
        <v>51356987511.629997</v>
      </c>
      <c r="G497" s="127">
        <f t="shared" si="7"/>
        <v>0.14603660306791935</v>
      </c>
      <c r="H497" s="120"/>
      <c r="I497" s="120"/>
      <c r="J497" s="121"/>
      <c r="K497" s="121"/>
      <c r="L497" s="121"/>
      <c r="M497" s="121"/>
      <c r="N497" s="121"/>
      <c r="O497" s="121"/>
      <c r="P497" s="121"/>
    </row>
    <row r="498" spans="2:16" s="117" customFormat="1" ht="21.75" hidden="1" customHeight="1">
      <c r="B498" s="118"/>
      <c r="C498" s="110"/>
      <c r="D498" s="132" t="s">
        <v>522</v>
      </c>
      <c r="E498" s="135">
        <f>E499</f>
        <v>75000000</v>
      </c>
      <c r="F498" s="129">
        <v>51356987511.629997</v>
      </c>
      <c r="G498" s="127">
        <f t="shared" si="7"/>
        <v>0.14603660306791935</v>
      </c>
      <c r="H498" s="120"/>
      <c r="I498" s="120"/>
      <c r="J498" s="121"/>
      <c r="K498" s="121"/>
      <c r="L498" s="121"/>
      <c r="M498" s="121"/>
      <c r="N498" s="121"/>
      <c r="O498" s="121"/>
      <c r="P498" s="121"/>
    </row>
    <row r="499" spans="2:16" s="117" customFormat="1" ht="21.75" hidden="1" customHeight="1">
      <c r="B499" s="118"/>
      <c r="C499" s="110"/>
      <c r="D499" s="132" t="s">
        <v>257</v>
      </c>
      <c r="E499" s="135">
        <f>E500</f>
        <v>75000000</v>
      </c>
      <c r="F499" s="129">
        <v>51356987511.629997</v>
      </c>
      <c r="G499" s="127">
        <f t="shared" si="7"/>
        <v>0.14603660306791935</v>
      </c>
      <c r="H499" s="120"/>
      <c r="I499" s="120"/>
      <c r="J499" s="121"/>
      <c r="K499" s="121"/>
      <c r="L499" s="121"/>
      <c r="M499" s="121"/>
      <c r="N499" s="121"/>
      <c r="O499" s="121"/>
      <c r="P499" s="121"/>
    </row>
    <row r="500" spans="2:16" s="117" customFormat="1" ht="21.75" hidden="1" customHeight="1">
      <c r="B500" s="118"/>
      <c r="C500" s="110"/>
      <c r="D500" s="133" t="s">
        <v>523</v>
      </c>
      <c r="E500" s="136">
        <v>75000000</v>
      </c>
      <c r="F500" s="129">
        <v>51356987511.629997</v>
      </c>
      <c r="G500" s="127">
        <f t="shared" si="7"/>
        <v>0.14603660306791935</v>
      </c>
      <c r="H500" s="120"/>
      <c r="I500" s="120"/>
      <c r="J500" s="121"/>
      <c r="K500" s="121"/>
      <c r="L500" s="121"/>
      <c r="M500" s="121"/>
      <c r="N500" s="121"/>
      <c r="O500" s="121"/>
      <c r="P500" s="121"/>
    </row>
    <row r="501" spans="2:16" s="117" customFormat="1" ht="15" hidden="1" customHeight="1">
      <c r="B501" s="118"/>
      <c r="C501" s="110"/>
      <c r="D501" s="133"/>
      <c r="E501" s="136"/>
      <c r="F501" s="129"/>
      <c r="G501" s="127"/>
      <c r="H501" s="120"/>
      <c r="I501" s="120"/>
      <c r="J501" s="121"/>
      <c r="K501" s="121"/>
      <c r="L501" s="121"/>
      <c r="M501" s="121"/>
      <c r="N501" s="121"/>
      <c r="O501" s="121"/>
      <c r="P501" s="121"/>
    </row>
    <row r="502" spans="2:16" s="117" customFormat="1" ht="21.75" hidden="1" customHeight="1">
      <c r="B502" s="118"/>
      <c r="C502" s="110"/>
      <c r="D502" s="132" t="s">
        <v>524</v>
      </c>
      <c r="E502" s="135">
        <f>E503</f>
        <v>450000000</v>
      </c>
      <c r="F502" s="129">
        <v>51356987511.629997</v>
      </c>
      <c r="G502" s="127">
        <f t="shared" si="7"/>
        <v>0.87621961840751594</v>
      </c>
      <c r="H502" s="120"/>
      <c r="I502" s="120"/>
      <c r="J502" s="121"/>
      <c r="K502" s="121"/>
      <c r="L502" s="121"/>
      <c r="M502" s="121"/>
      <c r="N502" s="121"/>
      <c r="O502" s="121"/>
      <c r="P502" s="121"/>
    </row>
    <row r="503" spans="2:16" s="117" customFormat="1" ht="21.75" hidden="1" customHeight="1">
      <c r="B503" s="118"/>
      <c r="C503" s="110"/>
      <c r="D503" s="132" t="s">
        <v>525</v>
      </c>
      <c r="E503" s="135">
        <f>+E504+E506+E508+E510</f>
        <v>450000000</v>
      </c>
      <c r="F503" s="129">
        <v>51356987511.629997</v>
      </c>
      <c r="G503" s="127">
        <f t="shared" si="7"/>
        <v>0.87621961840751594</v>
      </c>
      <c r="H503" s="120"/>
      <c r="I503" s="120"/>
      <c r="J503" s="121"/>
      <c r="K503" s="121"/>
      <c r="L503" s="121"/>
      <c r="M503" s="121"/>
      <c r="N503" s="121"/>
      <c r="O503" s="121"/>
      <c r="P503" s="121"/>
    </row>
    <row r="504" spans="2:16" s="117" customFormat="1" ht="32.25" hidden="1" customHeight="1">
      <c r="B504" s="118"/>
      <c r="C504" s="110"/>
      <c r="D504" s="132" t="s">
        <v>526</v>
      </c>
      <c r="E504" s="135">
        <f>E505</f>
        <v>100000000</v>
      </c>
      <c r="F504" s="129">
        <v>51356987511.629997</v>
      </c>
      <c r="G504" s="127">
        <f t="shared" si="7"/>
        <v>0.19471547075722578</v>
      </c>
      <c r="H504" s="120"/>
      <c r="I504" s="120"/>
      <c r="J504" s="121"/>
      <c r="K504" s="121"/>
      <c r="L504" s="121"/>
      <c r="M504" s="121"/>
      <c r="N504" s="121"/>
      <c r="O504" s="121"/>
      <c r="P504" s="121"/>
    </row>
    <row r="505" spans="2:16" s="117" customFormat="1" ht="21.75" hidden="1" customHeight="1">
      <c r="B505" s="118"/>
      <c r="C505" s="110"/>
      <c r="D505" s="133" t="s">
        <v>527</v>
      </c>
      <c r="E505" s="136">
        <v>100000000</v>
      </c>
      <c r="F505" s="129">
        <v>51356987511.629997</v>
      </c>
      <c r="G505" s="127">
        <f t="shared" si="7"/>
        <v>0.19471547075722578</v>
      </c>
      <c r="H505" s="120"/>
      <c r="I505" s="120"/>
      <c r="J505" s="121"/>
      <c r="K505" s="121"/>
      <c r="L505" s="121"/>
      <c r="M505" s="121"/>
      <c r="N505" s="121"/>
      <c r="O505" s="121"/>
      <c r="P505" s="121"/>
    </row>
    <row r="506" spans="2:16" s="117" customFormat="1" ht="21.75" hidden="1" customHeight="1">
      <c r="B506" s="118"/>
      <c r="C506" s="110"/>
      <c r="D506" s="132" t="s">
        <v>528</v>
      </c>
      <c r="E506" s="135">
        <f>E507</f>
        <v>150000000</v>
      </c>
      <c r="F506" s="129">
        <v>51356987511.629997</v>
      </c>
      <c r="G506" s="127">
        <f t="shared" si="7"/>
        <v>0.2920732061358387</v>
      </c>
      <c r="H506" s="120"/>
      <c r="I506" s="120"/>
      <c r="J506" s="121"/>
      <c r="K506" s="121"/>
      <c r="L506" s="121"/>
      <c r="M506" s="121"/>
      <c r="N506" s="121"/>
      <c r="O506" s="121"/>
      <c r="P506" s="121"/>
    </row>
    <row r="507" spans="2:16" s="117" customFormat="1" ht="21.75" hidden="1" customHeight="1">
      <c r="B507" s="118"/>
      <c r="C507" s="110"/>
      <c r="D507" s="133" t="s">
        <v>529</v>
      </c>
      <c r="E507" s="136">
        <v>150000000</v>
      </c>
      <c r="F507" s="129">
        <v>51356987511.629997</v>
      </c>
      <c r="G507" s="127">
        <f t="shared" si="7"/>
        <v>0.2920732061358387</v>
      </c>
      <c r="H507" s="120"/>
      <c r="I507" s="120"/>
      <c r="J507" s="121"/>
      <c r="K507" s="121"/>
      <c r="L507" s="121"/>
      <c r="M507" s="121"/>
      <c r="N507" s="121"/>
      <c r="O507" s="121"/>
      <c r="P507" s="121"/>
    </row>
    <row r="508" spans="2:16" s="117" customFormat="1" ht="21.75" hidden="1" customHeight="1">
      <c r="B508" s="118"/>
      <c r="C508" s="110"/>
      <c r="D508" s="132" t="s">
        <v>530</v>
      </c>
      <c r="E508" s="135">
        <f>E509</f>
        <v>100000000</v>
      </c>
      <c r="F508" s="129">
        <v>51356987511.629997</v>
      </c>
      <c r="G508" s="127">
        <f t="shared" si="7"/>
        <v>0.19471547075722578</v>
      </c>
      <c r="H508" s="120"/>
      <c r="I508" s="120"/>
      <c r="J508" s="121"/>
      <c r="K508" s="121"/>
      <c r="L508" s="121"/>
      <c r="M508" s="121"/>
      <c r="N508" s="121"/>
      <c r="O508" s="121"/>
      <c r="P508" s="121"/>
    </row>
    <row r="509" spans="2:16" s="117" customFormat="1" ht="21.75" hidden="1" customHeight="1">
      <c r="B509" s="118"/>
      <c r="C509" s="110"/>
      <c r="D509" s="133" t="s">
        <v>531</v>
      </c>
      <c r="E509" s="136">
        <v>100000000</v>
      </c>
      <c r="F509" s="129">
        <v>51356987511.629997</v>
      </c>
      <c r="G509" s="127">
        <f t="shared" si="7"/>
        <v>0.19471547075722578</v>
      </c>
      <c r="H509" s="120"/>
      <c r="I509" s="120"/>
      <c r="J509" s="121"/>
      <c r="K509" s="121"/>
      <c r="L509" s="121"/>
      <c r="M509" s="121"/>
      <c r="N509" s="121"/>
      <c r="O509" s="121"/>
      <c r="P509" s="121"/>
    </row>
    <row r="510" spans="2:16" s="117" customFormat="1" ht="31.5" hidden="1" customHeight="1">
      <c r="B510" s="118"/>
      <c r="C510" s="110"/>
      <c r="D510" s="132" t="s">
        <v>532</v>
      </c>
      <c r="E510" s="135">
        <f>E511</f>
        <v>100000000</v>
      </c>
      <c r="F510" s="129">
        <v>51356987511.629997</v>
      </c>
      <c r="G510" s="127">
        <f t="shared" si="7"/>
        <v>0.19471547075722578</v>
      </c>
      <c r="H510" s="120"/>
      <c r="I510" s="120"/>
      <c r="J510" s="121"/>
      <c r="K510" s="121"/>
      <c r="L510" s="121"/>
      <c r="M510" s="121"/>
      <c r="N510" s="121"/>
      <c r="O510" s="121"/>
      <c r="P510" s="121"/>
    </row>
    <row r="511" spans="2:16" s="117" customFormat="1" ht="35.25" hidden="1" customHeight="1">
      <c r="B511" s="118"/>
      <c r="C511" s="110"/>
      <c r="D511" s="133" t="s">
        <v>533</v>
      </c>
      <c r="E511" s="136">
        <v>100000000</v>
      </c>
      <c r="F511" s="129">
        <v>51356987511.629997</v>
      </c>
      <c r="G511" s="127">
        <f t="shared" si="7"/>
        <v>0.19471547075722578</v>
      </c>
      <c r="H511" s="120"/>
      <c r="I511" s="120"/>
      <c r="J511" s="121"/>
      <c r="K511" s="121"/>
      <c r="L511" s="121"/>
      <c r="M511" s="121"/>
      <c r="N511" s="121"/>
      <c r="O511" s="121"/>
      <c r="P511" s="121"/>
    </row>
    <row r="512" spans="2:16" s="117" customFormat="1" ht="15" hidden="1" customHeight="1">
      <c r="B512" s="118"/>
      <c r="C512" s="110"/>
      <c r="D512" s="133"/>
      <c r="E512" s="136"/>
      <c r="F512" s="129"/>
      <c r="G512" s="127"/>
      <c r="H512" s="120"/>
      <c r="I512" s="120"/>
      <c r="J512" s="121"/>
      <c r="K512" s="121"/>
      <c r="L512" s="121"/>
      <c r="M512" s="121"/>
      <c r="N512" s="121"/>
      <c r="O512" s="121"/>
      <c r="P512" s="121"/>
    </row>
    <row r="513" spans="2:16" s="117" customFormat="1" ht="21.75" hidden="1" customHeight="1">
      <c r="B513" s="118"/>
      <c r="C513" s="110"/>
      <c r="D513" s="132" t="s">
        <v>534</v>
      </c>
      <c r="E513" s="135">
        <f>E514</f>
        <v>750000000</v>
      </c>
      <c r="F513" s="129">
        <v>51356987511.629997</v>
      </c>
      <c r="G513" s="127">
        <f t="shared" si="7"/>
        <v>1.4603660306791932</v>
      </c>
      <c r="H513" s="120"/>
      <c r="I513" s="120"/>
      <c r="J513" s="121"/>
      <c r="K513" s="121"/>
      <c r="L513" s="121"/>
      <c r="M513" s="121"/>
      <c r="N513" s="121"/>
      <c r="O513" s="121"/>
      <c r="P513" s="121"/>
    </row>
    <row r="514" spans="2:16" s="117" customFormat="1" ht="21.75" hidden="1" customHeight="1">
      <c r="B514" s="118"/>
      <c r="C514" s="110"/>
      <c r="D514" s="132" t="s">
        <v>535</v>
      </c>
      <c r="E514" s="135">
        <f>+E515+E517+E519+E521</f>
        <v>750000000</v>
      </c>
      <c r="F514" s="129">
        <v>51356987511.629997</v>
      </c>
      <c r="G514" s="127">
        <f t="shared" si="7"/>
        <v>1.4603660306791932</v>
      </c>
      <c r="H514" s="120"/>
      <c r="I514" s="120"/>
      <c r="J514" s="121"/>
      <c r="K514" s="121"/>
      <c r="L514" s="121"/>
      <c r="M514" s="121"/>
      <c r="N514" s="121"/>
      <c r="O514" s="121"/>
      <c r="P514" s="121"/>
    </row>
    <row r="515" spans="2:16" s="117" customFormat="1" ht="21.75" hidden="1" customHeight="1">
      <c r="B515" s="118"/>
      <c r="C515" s="110"/>
      <c r="D515" s="132" t="s">
        <v>536</v>
      </c>
      <c r="E515" s="135">
        <f>E516</f>
        <v>100000000</v>
      </c>
      <c r="F515" s="129">
        <v>51356987511.629997</v>
      </c>
      <c r="G515" s="127">
        <f t="shared" si="7"/>
        <v>0.19471547075722578</v>
      </c>
      <c r="H515" s="120"/>
      <c r="I515" s="120"/>
      <c r="J515" s="121"/>
      <c r="K515" s="121"/>
      <c r="L515" s="121"/>
      <c r="M515" s="121"/>
      <c r="N515" s="121"/>
      <c r="O515" s="121"/>
      <c r="P515" s="121"/>
    </row>
    <row r="516" spans="2:16" s="117" customFormat="1" ht="21.75" hidden="1" customHeight="1">
      <c r="B516" s="118"/>
      <c r="C516" s="110"/>
      <c r="D516" s="133" t="s">
        <v>537</v>
      </c>
      <c r="E516" s="136">
        <v>100000000</v>
      </c>
      <c r="F516" s="129">
        <v>51356987511.629997</v>
      </c>
      <c r="G516" s="127">
        <f t="shared" si="7"/>
        <v>0.19471547075722578</v>
      </c>
      <c r="H516" s="120"/>
      <c r="I516" s="120"/>
      <c r="J516" s="121"/>
      <c r="K516" s="121"/>
      <c r="L516" s="121"/>
      <c r="M516" s="121"/>
      <c r="N516" s="121"/>
      <c r="O516" s="121"/>
      <c r="P516" s="121"/>
    </row>
    <row r="517" spans="2:16" s="117" customFormat="1" ht="21.75" hidden="1" customHeight="1">
      <c r="B517" s="118"/>
      <c r="C517" s="110"/>
      <c r="D517" s="132" t="s">
        <v>538</v>
      </c>
      <c r="E517" s="135">
        <f>E518</f>
        <v>100000000</v>
      </c>
      <c r="F517" s="129">
        <v>51356987511.629997</v>
      </c>
      <c r="G517" s="127">
        <f t="shared" si="7"/>
        <v>0.19471547075722578</v>
      </c>
      <c r="H517" s="120"/>
      <c r="I517" s="120"/>
      <c r="J517" s="121"/>
      <c r="K517" s="121"/>
      <c r="L517" s="121"/>
      <c r="M517" s="121"/>
      <c r="N517" s="121"/>
      <c r="O517" s="121"/>
      <c r="P517" s="121"/>
    </row>
    <row r="518" spans="2:16" s="117" customFormat="1" ht="32.25" hidden="1" customHeight="1">
      <c r="B518" s="118"/>
      <c r="C518" s="110"/>
      <c r="D518" s="133" t="s">
        <v>539</v>
      </c>
      <c r="E518" s="136">
        <v>100000000</v>
      </c>
      <c r="F518" s="129">
        <v>51356987511.629997</v>
      </c>
      <c r="G518" s="127">
        <f t="shared" si="7"/>
        <v>0.19471547075722578</v>
      </c>
      <c r="H518" s="120"/>
      <c r="I518" s="120"/>
      <c r="J518" s="121"/>
      <c r="K518" s="121"/>
      <c r="L518" s="121"/>
      <c r="M518" s="121"/>
      <c r="N518" s="121"/>
      <c r="O518" s="121"/>
      <c r="P518" s="121"/>
    </row>
    <row r="519" spans="2:16" s="117" customFormat="1" ht="21.75" hidden="1" customHeight="1">
      <c r="B519" s="118"/>
      <c r="C519" s="110"/>
      <c r="D519" s="132" t="s">
        <v>540</v>
      </c>
      <c r="E519" s="135">
        <f>E520</f>
        <v>250000000</v>
      </c>
      <c r="F519" s="129">
        <v>51356987511.629997</v>
      </c>
      <c r="G519" s="127">
        <f t="shared" si="7"/>
        <v>0.48678867689306443</v>
      </c>
      <c r="H519" s="120"/>
      <c r="I519" s="120"/>
      <c r="J519" s="121"/>
      <c r="K519" s="121"/>
      <c r="L519" s="121"/>
      <c r="M519" s="121"/>
      <c r="N519" s="121"/>
      <c r="O519" s="121"/>
      <c r="P519" s="121"/>
    </row>
    <row r="520" spans="2:16" s="117" customFormat="1" ht="21.75" hidden="1" customHeight="1">
      <c r="B520" s="118"/>
      <c r="C520" s="110"/>
      <c r="D520" s="133" t="s">
        <v>541</v>
      </c>
      <c r="E520" s="136">
        <v>250000000</v>
      </c>
      <c r="F520" s="129">
        <v>51356987511.629997</v>
      </c>
      <c r="G520" s="127">
        <f t="shared" si="7"/>
        <v>0.48678867689306443</v>
      </c>
      <c r="H520" s="120"/>
      <c r="I520" s="120"/>
      <c r="J520" s="121"/>
      <c r="K520" s="121"/>
      <c r="L520" s="121"/>
      <c r="M520" s="121"/>
      <c r="N520" s="121"/>
      <c r="O520" s="121"/>
      <c r="P520" s="121"/>
    </row>
    <row r="521" spans="2:16" s="117" customFormat="1" ht="21.75" hidden="1" customHeight="1">
      <c r="B521" s="118"/>
      <c r="C521" s="110"/>
      <c r="D521" s="132" t="s">
        <v>542</v>
      </c>
      <c r="E521" s="135">
        <f>E522</f>
        <v>300000000</v>
      </c>
      <c r="F521" s="129">
        <v>51356987511.629997</v>
      </c>
      <c r="G521" s="127">
        <f t="shared" si="7"/>
        <v>0.58414641227167741</v>
      </c>
      <c r="H521" s="120"/>
      <c r="I521" s="120"/>
      <c r="J521" s="121"/>
      <c r="K521" s="121"/>
      <c r="L521" s="121"/>
      <c r="M521" s="121"/>
      <c r="N521" s="121"/>
      <c r="O521" s="121"/>
      <c r="P521" s="121"/>
    </row>
    <row r="522" spans="2:16" s="117" customFormat="1" ht="21.75" hidden="1" customHeight="1">
      <c r="B522" s="118"/>
      <c r="C522" s="110"/>
      <c r="D522" s="133" t="s">
        <v>543</v>
      </c>
      <c r="E522" s="136">
        <v>300000000</v>
      </c>
      <c r="F522" s="129">
        <v>51356987511.629997</v>
      </c>
      <c r="G522" s="127">
        <f t="shared" si="7"/>
        <v>0.58414641227167741</v>
      </c>
      <c r="H522" s="120"/>
      <c r="I522" s="120"/>
      <c r="J522" s="121"/>
      <c r="K522" s="121"/>
      <c r="L522" s="121"/>
      <c r="M522" s="121"/>
      <c r="N522" s="121"/>
      <c r="O522" s="121"/>
      <c r="P522" s="121"/>
    </row>
    <row r="523" spans="2:16" s="117" customFormat="1" ht="15" hidden="1" customHeight="1">
      <c r="B523" s="118"/>
      <c r="C523" s="110"/>
      <c r="D523" s="133"/>
      <c r="E523" s="136"/>
      <c r="F523" s="129"/>
      <c r="G523" s="127"/>
      <c r="H523" s="120"/>
      <c r="I523" s="120"/>
      <c r="J523" s="121"/>
      <c r="K523" s="121"/>
      <c r="L523" s="121"/>
      <c r="M523" s="121"/>
      <c r="N523" s="121"/>
      <c r="O523" s="121"/>
      <c r="P523" s="121"/>
    </row>
    <row r="524" spans="2:16" s="117" customFormat="1" ht="21.75" hidden="1" customHeight="1">
      <c r="B524" s="118"/>
      <c r="C524" s="110"/>
      <c r="D524" s="132" t="s">
        <v>544</v>
      </c>
      <c r="E524" s="135">
        <f>E525</f>
        <v>275000000</v>
      </c>
      <c r="F524" s="129">
        <v>51356987511.629997</v>
      </c>
      <c r="G524" s="127">
        <f t="shared" si="7"/>
        <v>0.53546754458237089</v>
      </c>
      <c r="H524" s="120"/>
      <c r="I524" s="120"/>
      <c r="J524" s="121"/>
      <c r="K524" s="121"/>
      <c r="L524" s="121"/>
      <c r="M524" s="121"/>
      <c r="N524" s="121"/>
      <c r="O524" s="121"/>
      <c r="P524" s="121"/>
    </row>
    <row r="525" spans="2:16" s="117" customFormat="1" ht="21.75" hidden="1" customHeight="1">
      <c r="B525" s="118"/>
      <c r="C525" s="110"/>
      <c r="D525" s="132" t="s">
        <v>545</v>
      </c>
      <c r="E525" s="135">
        <f>+E526+E528</f>
        <v>275000000</v>
      </c>
      <c r="F525" s="129">
        <v>51356987511.629997</v>
      </c>
      <c r="G525" s="127">
        <f t="shared" si="7"/>
        <v>0.53546754458237089</v>
      </c>
      <c r="H525" s="120"/>
      <c r="I525" s="120"/>
      <c r="J525" s="121"/>
      <c r="K525" s="121"/>
      <c r="L525" s="121"/>
      <c r="M525" s="121"/>
      <c r="N525" s="121"/>
      <c r="O525" s="121"/>
      <c r="P525" s="121"/>
    </row>
    <row r="526" spans="2:16" s="117" customFormat="1" ht="33" hidden="1" customHeight="1">
      <c r="B526" s="118"/>
      <c r="C526" s="110"/>
      <c r="D526" s="132" t="s">
        <v>546</v>
      </c>
      <c r="E526" s="135">
        <f>E527</f>
        <v>200000000</v>
      </c>
      <c r="F526" s="129">
        <v>51356987511.629997</v>
      </c>
      <c r="G526" s="127">
        <f t="shared" si="7"/>
        <v>0.38943094151445157</v>
      </c>
      <c r="H526" s="120"/>
      <c r="I526" s="120"/>
      <c r="J526" s="121"/>
      <c r="K526" s="121"/>
      <c r="L526" s="121"/>
      <c r="M526" s="121"/>
      <c r="N526" s="121"/>
      <c r="O526" s="121"/>
      <c r="P526" s="121"/>
    </row>
    <row r="527" spans="2:16" s="117" customFormat="1" ht="21.75" hidden="1" customHeight="1">
      <c r="B527" s="118"/>
      <c r="C527" s="110"/>
      <c r="D527" s="133" t="s">
        <v>547</v>
      </c>
      <c r="E527" s="136">
        <v>200000000</v>
      </c>
      <c r="F527" s="129">
        <v>51356987511.629997</v>
      </c>
      <c r="G527" s="127">
        <f t="shared" si="7"/>
        <v>0.38943094151445157</v>
      </c>
      <c r="H527" s="120"/>
      <c r="I527" s="120"/>
      <c r="J527" s="121"/>
      <c r="K527" s="121"/>
      <c r="L527" s="121"/>
      <c r="M527" s="121"/>
      <c r="N527" s="121"/>
      <c r="O527" s="121"/>
      <c r="P527" s="121"/>
    </row>
    <row r="528" spans="2:16" s="117" customFormat="1" ht="21.75" hidden="1" customHeight="1">
      <c r="B528" s="118"/>
      <c r="C528" s="110"/>
      <c r="D528" s="132" t="s">
        <v>548</v>
      </c>
      <c r="E528" s="135">
        <f>E529</f>
        <v>75000000</v>
      </c>
      <c r="F528" s="129">
        <v>51356987511.629997</v>
      </c>
      <c r="G528" s="127">
        <f t="shared" si="7"/>
        <v>0.14603660306791935</v>
      </c>
      <c r="H528" s="120"/>
      <c r="I528" s="120"/>
      <c r="J528" s="121"/>
      <c r="K528" s="121"/>
      <c r="L528" s="121"/>
      <c r="M528" s="121"/>
      <c r="N528" s="121"/>
      <c r="O528" s="121"/>
      <c r="P528" s="121"/>
    </row>
    <row r="529" spans="2:16" s="117" customFormat="1" ht="21.75" hidden="1" customHeight="1">
      <c r="B529" s="118"/>
      <c r="C529" s="110"/>
      <c r="D529" s="133" t="s">
        <v>549</v>
      </c>
      <c r="E529" s="136">
        <v>75000000</v>
      </c>
      <c r="F529" s="129">
        <v>51356987511.629997</v>
      </c>
      <c r="G529" s="127">
        <f t="shared" si="7"/>
        <v>0.14603660306791935</v>
      </c>
      <c r="H529" s="120"/>
      <c r="I529" s="120"/>
      <c r="J529" s="121"/>
      <c r="K529" s="121"/>
      <c r="L529" s="121"/>
      <c r="M529" s="121"/>
      <c r="N529" s="121"/>
      <c r="O529" s="121"/>
      <c r="P529" s="121"/>
    </row>
    <row r="530" spans="2:16" s="117" customFormat="1" ht="15" hidden="1" customHeight="1">
      <c r="B530" s="118"/>
      <c r="C530" s="110"/>
      <c r="D530" s="133"/>
      <c r="E530" s="136"/>
      <c r="F530" s="129"/>
      <c r="G530" s="127"/>
      <c r="H530" s="120"/>
      <c r="I530" s="120"/>
      <c r="J530" s="121"/>
      <c r="K530" s="121"/>
      <c r="L530" s="121"/>
      <c r="M530" s="121"/>
      <c r="N530" s="121"/>
      <c r="O530" s="121"/>
      <c r="P530" s="121"/>
    </row>
    <row r="531" spans="2:16" s="117" customFormat="1" ht="21.75" hidden="1" customHeight="1">
      <c r="B531" s="118"/>
      <c r="C531" s="110"/>
      <c r="D531" s="132" t="s">
        <v>550</v>
      </c>
      <c r="E531" s="135">
        <f>E532</f>
        <v>1300000000</v>
      </c>
      <c r="F531" s="129">
        <v>51356987511.629997</v>
      </c>
      <c r="G531" s="127">
        <f t="shared" si="7"/>
        <v>2.5313011198439352</v>
      </c>
      <c r="H531" s="120"/>
      <c r="I531" s="120"/>
      <c r="J531" s="121"/>
      <c r="K531" s="121"/>
      <c r="L531" s="121"/>
      <c r="M531" s="121"/>
      <c r="N531" s="121"/>
      <c r="O531" s="121"/>
      <c r="P531" s="121"/>
    </row>
    <row r="532" spans="2:16" s="117" customFormat="1" ht="21.75" hidden="1" customHeight="1">
      <c r="B532" s="118"/>
      <c r="C532" s="110"/>
      <c r="D532" s="132" t="s">
        <v>69</v>
      </c>
      <c r="E532" s="135">
        <f>+E533+E535</f>
        <v>1300000000</v>
      </c>
      <c r="F532" s="129">
        <v>51356987511.629997</v>
      </c>
      <c r="G532" s="127">
        <f t="shared" si="7"/>
        <v>2.5313011198439352</v>
      </c>
      <c r="H532" s="120"/>
      <c r="I532" s="120"/>
      <c r="J532" s="121"/>
      <c r="K532" s="121"/>
      <c r="L532" s="121"/>
      <c r="M532" s="121"/>
      <c r="N532" s="121"/>
      <c r="O532" s="121"/>
      <c r="P532" s="121"/>
    </row>
    <row r="533" spans="2:16" s="117" customFormat="1" ht="21.75" hidden="1" customHeight="1">
      <c r="B533" s="118"/>
      <c r="C533" s="110"/>
      <c r="D533" s="132" t="s">
        <v>276</v>
      </c>
      <c r="E533" s="135">
        <f>E534</f>
        <v>150000000</v>
      </c>
      <c r="F533" s="129">
        <v>51356987511.629997</v>
      </c>
      <c r="G533" s="127">
        <f t="shared" si="7"/>
        <v>0.2920732061358387</v>
      </c>
      <c r="H533" s="120"/>
      <c r="I533" s="120"/>
      <c r="J533" s="121"/>
      <c r="K533" s="121"/>
      <c r="L533" s="121"/>
      <c r="M533" s="121"/>
      <c r="N533" s="121"/>
      <c r="O533" s="121"/>
      <c r="P533" s="121"/>
    </row>
    <row r="534" spans="2:16" s="117" customFormat="1" ht="21.75" hidden="1" customHeight="1">
      <c r="B534" s="118"/>
      <c r="C534" s="110"/>
      <c r="D534" s="133" t="s">
        <v>551</v>
      </c>
      <c r="E534" s="136">
        <v>150000000</v>
      </c>
      <c r="F534" s="129">
        <v>51356987511.629997</v>
      </c>
      <c r="G534" s="127">
        <f t="shared" si="7"/>
        <v>0.2920732061358387</v>
      </c>
      <c r="H534" s="120"/>
      <c r="I534" s="120"/>
      <c r="J534" s="121"/>
      <c r="K534" s="121"/>
      <c r="L534" s="121"/>
      <c r="M534" s="121"/>
      <c r="N534" s="121"/>
      <c r="O534" s="121"/>
      <c r="P534" s="121"/>
    </row>
    <row r="535" spans="2:16" s="117" customFormat="1" ht="21.75" hidden="1" customHeight="1">
      <c r="B535" s="118"/>
      <c r="C535" s="110"/>
      <c r="D535" s="132" t="s">
        <v>280</v>
      </c>
      <c r="E535" s="135">
        <f>+E536+E537</f>
        <v>1150000000</v>
      </c>
      <c r="F535" s="129">
        <v>51356987511.629997</v>
      </c>
      <c r="G535" s="127">
        <f t="shared" si="7"/>
        <v>2.2392279137080964</v>
      </c>
      <c r="H535" s="120"/>
      <c r="I535" s="120"/>
      <c r="J535" s="121"/>
      <c r="K535" s="121"/>
      <c r="L535" s="121"/>
      <c r="M535" s="121"/>
      <c r="N535" s="121"/>
      <c r="O535" s="121"/>
      <c r="P535" s="121"/>
    </row>
    <row r="536" spans="2:16" s="117" customFormat="1" ht="21.75" hidden="1" customHeight="1">
      <c r="B536" s="118"/>
      <c r="C536" s="110"/>
      <c r="D536" s="133" t="s">
        <v>552</v>
      </c>
      <c r="E536" s="136">
        <v>150000000</v>
      </c>
      <c r="F536" s="129">
        <v>51356987511.629997</v>
      </c>
      <c r="G536" s="127">
        <f t="shared" ref="G536:G575" si="8">+E536/F536*100</f>
        <v>0.2920732061358387</v>
      </c>
      <c r="H536" s="120"/>
      <c r="I536" s="120"/>
      <c r="J536" s="121"/>
      <c r="K536" s="121"/>
      <c r="L536" s="121"/>
      <c r="M536" s="121"/>
      <c r="N536" s="121"/>
      <c r="O536" s="121"/>
      <c r="P536" s="121"/>
    </row>
    <row r="537" spans="2:16" s="117" customFormat="1" ht="21.75" hidden="1" customHeight="1">
      <c r="B537" s="118"/>
      <c r="C537" s="110"/>
      <c r="D537" s="133" t="s">
        <v>553</v>
      </c>
      <c r="E537" s="136">
        <v>1000000000</v>
      </c>
      <c r="F537" s="129">
        <v>51356987511.629997</v>
      </c>
      <c r="G537" s="127">
        <f t="shared" si="8"/>
        <v>1.9471547075722577</v>
      </c>
      <c r="H537" s="120"/>
      <c r="I537" s="120"/>
      <c r="J537" s="121"/>
      <c r="K537" s="121"/>
      <c r="L537" s="121"/>
      <c r="M537" s="121"/>
      <c r="N537" s="121"/>
      <c r="O537" s="121"/>
      <c r="P537" s="121"/>
    </row>
    <row r="538" spans="2:16" s="117" customFormat="1" ht="15" hidden="1" customHeight="1">
      <c r="B538" s="118"/>
      <c r="C538" s="110"/>
      <c r="D538" s="133"/>
      <c r="E538" s="136"/>
      <c r="F538" s="129"/>
      <c r="G538" s="127"/>
      <c r="H538" s="120"/>
      <c r="I538" s="120"/>
      <c r="J538" s="121"/>
      <c r="K538" s="121"/>
      <c r="L538" s="121"/>
      <c r="M538" s="121"/>
      <c r="N538" s="121"/>
      <c r="O538" s="121"/>
      <c r="P538" s="121"/>
    </row>
    <row r="539" spans="2:16" s="117" customFormat="1" ht="21.75" hidden="1" customHeight="1">
      <c r="B539" s="118"/>
      <c r="C539" s="110"/>
      <c r="D539" s="132" t="s">
        <v>554</v>
      </c>
      <c r="E539" s="135">
        <f>E540</f>
        <v>367864584.49000001</v>
      </c>
      <c r="F539" s="129">
        <v>51356987511.629997</v>
      </c>
      <c r="G539" s="127">
        <f t="shared" si="8"/>
        <v>0.71628925743881611</v>
      </c>
      <c r="H539" s="120"/>
      <c r="I539" s="120"/>
      <c r="J539" s="121"/>
      <c r="K539" s="121"/>
      <c r="L539" s="121"/>
      <c r="M539" s="121"/>
      <c r="N539" s="121"/>
      <c r="O539" s="121"/>
      <c r="P539" s="121"/>
    </row>
    <row r="540" spans="2:16" s="117" customFormat="1" ht="21.75" hidden="1" customHeight="1">
      <c r="B540" s="118"/>
      <c r="C540" s="110"/>
      <c r="D540" s="132" t="s">
        <v>555</v>
      </c>
      <c r="E540" s="135">
        <f>+E541+E543+E545</f>
        <v>367864584.49000001</v>
      </c>
      <c r="F540" s="129">
        <v>51356987511.629997</v>
      </c>
      <c r="G540" s="127">
        <f t="shared" si="8"/>
        <v>0.71628925743881611</v>
      </c>
      <c r="H540" s="120"/>
      <c r="I540" s="120"/>
      <c r="J540" s="121"/>
      <c r="K540" s="121"/>
      <c r="L540" s="121"/>
      <c r="M540" s="121"/>
      <c r="N540" s="121"/>
      <c r="O540" s="121"/>
      <c r="P540" s="121"/>
    </row>
    <row r="541" spans="2:16" s="117" customFormat="1" ht="21.75" hidden="1" customHeight="1">
      <c r="B541" s="118"/>
      <c r="C541" s="110"/>
      <c r="D541" s="132" t="s">
        <v>556</v>
      </c>
      <c r="E541" s="135">
        <f>E542</f>
        <v>150000000</v>
      </c>
      <c r="F541" s="129">
        <v>51356987511.629997</v>
      </c>
      <c r="G541" s="127">
        <f t="shared" si="8"/>
        <v>0.2920732061358387</v>
      </c>
      <c r="H541" s="120"/>
      <c r="I541" s="120"/>
      <c r="J541" s="121"/>
      <c r="K541" s="121"/>
      <c r="L541" s="121"/>
      <c r="M541" s="121"/>
      <c r="N541" s="121"/>
      <c r="O541" s="121"/>
      <c r="P541" s="121"/>
    </row>
    <row r="542" spans="2:16" s="117" customFormat="1" ht="21.75" hidden="1" customHeight="1">
      <c r="B542" s="118"/>
      <c r="C542" s="110"/>
      <c r="D542" s="133" t="s">
        <v>557</v>
      </c>
      <c r="E542" s="136">
        <v>150000000</v>
      </c>
      <c r="F542" s="129">
        <v>51356987511.629997</v>
      </c>
      <c r="G542" s="127">
        <f t="shared" si="8"/>
        <v>0.2920732061358387</v>
      </c>
      <c r="H542" s="120"/>
      <c r="I542" s="120"/>
      <c r="J542" s="121"/>
      <c r="K542" s="121"/>
      <c r="L542" s="121"/>
      <c r="M542" s="121"/>
      <c r="N542" s="121"/>
      <c r="O542" s="121"/>
      <c r="P542" s="121"/>
    </row>
    <row r="543" spans="2:16" s="117" customFormat="1" ht="21.75" hidden="1" customHeight="1">
      <c r="B543" s="118"/>
      <c r="C543" s="110"/>
      <c r="D543" s="132" t="s">
        <v>558</v>
      </c>
      <c r="E543" s="135">
        <f>E544</f>
        <v>117864584.48999999</v>
      </c>
      <c r="F543" s="129">
        <v>51356987511.629997</v>
      </c>
      <c r="G543" s="127">
        <f t="shared" si="8"/>
        <v>0.22950058054575159</v>
      </c>
      <c r="H543" s="120"/>
      <c r="I543" s="120"/>
      <c r="J543" s="121"/>
      <c r="K543" s="121"/>
      <c r="L543" s="121"/>
      <c r="M543" s="121"/>
      <c r="N543" s="121"/>
      <c r="O543" s="121"/>
      <c r="P543" s="121"/>
    </row>
    <row r="544" spans="2:16" s="117" customFormat="1" ht="21.75" hidden="1" customHeight="1">
      <c r="B544" s="118"/>
      <c r="C544" s="110"/>
      <c r="D544" s="133" t="s">
        <v>559</v>
      </c>
      <c r="E544" s="136">
        <v>117864584.48999999</v>
      </c>
      <c r="F544" s="129">
        <v>51356987511.629997</v>
      </c>
      <c r="G544" s="127">
        <f t="shared" si="8"/>
        <v>0.22950058054575159</v>
      </c>
      <c r="H544" s="120"/>
      <c r="I544" s="120"/>
      <c r="J544" s="121"/>
      <c r="K544" s="121"/>
      <c r="L544" s="121"/>
      <c r="M544" s="121"/>
      <c r="N544" s="121"/>
      <c r="O544" s="121"/>
      <c r="P544" s="121"/>
    </row>
    <row r="545" spans="2:16" s="117" customFormat="1" ht="21.75" hidden="1" customHeight="1">
      <c r="B545" s="118"/>
      <c r="C545" s="110"/>
      <c r="D545" s="132" t="s">
        <v>560</v>
      </c>
      <c r="E545" s="135">
        <f>E546</f>
        <v>100000000</v>
      </c>
      <c r="F545" s="129">
        <v>51356987511.629997</v>
      </c>
      <c r="G545" s="127">
        <f t="shared" si="8"/>
        <v>0.19471547075722578</v>
      </c>
      <c r="H545" s="120"/>
      <c r="I545" s="120"/>
      <c r="J545" s="121"/>
      <c r="K545" s="121"/>
      <c r="L545" s="121"/>
      <c r="M545" s="121"/>
      <c r="N545" s="121"/>
      <c r="O545" s="121"/>
      <c r="P545" s="121"/>
    </row>
    <row r="546" spans="2:16" s="117" customFormat="1" ht="21.75" hidden="1" customHeight="1">
      <c r="B546" s="118"/>
      <c r="C546" s="110"/>
      <c r="D546" s="133" t="s">
        <v>561</v>
      </c>
      <c r="E546" s="136">
        <v>100000000</v>
      </c>
      <c r="F546" s="129">
        <v>51356987511.629997</v>
      </c>
      <c r="G546" s="127">
        <f t="shared" si="8"/>
        <v>0.19471547075722578</v>
      </c>
      <c r="H546" s="120"/>
      <c r="I546" s="120"/>
      <c r="J546" s="121"/>
      <c r="K546" s="121"/>
      <c r="L546" s="121"/>
      <c r="M546" s="121"/>
      <c r="N546" s="121"/>
      <c r="O546" s="121"/>
      <c r="P546" s="121"/>
    </row>
    <row r="547" spans="2:16" s="117" customFormat="1" ht="15" hidden="1" customHeight="1">
      <c r="B547" s="118"/>
      <c r="C547" s="110"/>
      <c r="D547" s="133"/>
      <c r="E547" s="136"/>
      <c r="F547" s="129"/>
      <c r="G547" s="127"/>
      <c r="H547" s="120"/>
      <c r="I547" s="120"/>
      <c r="J547" s="121"/>
      <c r="K547" s="121"/>
      <c r="L547" s="121"/>
      <c r="M547" s="121"/>
      <c r="N547" s="121"/>
      <c r="O547" s="121"/>
      <c r="P547" s="121"/>
    </row>
    <row r="548" spans="2:16" s="117" customFormat="1" ht="29.25" hidden="1" customHeight="1">
      <c r="B548" s="118"/>
      <c r="C548" s="110"/>
      <c r="D548" s="132" t="s">
        <v>562</v>
      </c>
      <c r="E548" s="135">
        <v>14050000000</v>
      </c>
      <c r="F548" s="129">
        <v>51356987511.629997</v>
      </c>
      <c r="G548" s="127">
        <f t="shared" si="8"/>
        <v>27.35752364139022</v>
      </c>
      <c r="H548" s="120"/>
      <c r="I548" s="120"/>
      <c r="J548" s="121"/>
      <c r="K548" s="121"/>
      <c r="L548" s="121"/>
      <c r="M548" s="121"/>
      <c r="N548" s="121"/>
      <c r="O548" s="121"/>
      <c r="P548" s="121"/>
    </row>
    <row r="549" spans="2:16" s="117" customFormat="1" ht="21.75" hidden="1" customHeight="1">
      <c r="B549" s="118"/>
      <c r="C549" s="110"/>
      <c r="D549" s="132" t="s">
        <v>563</v>
      </c>
      <c r="E549" s="135">
        <f>E550</f>
        <v>13800000000</v>
      </c>
      <c r="F549" s="129">
        <v>51356987511.629997</v>
      </c>
      <c r="G549" s="127">
        <f t="shared" si="8"/>
        <v>26.870734964497156</v>
      </c>
      <c r="H549" s="120"/>
      <c r="I549" s="120"/>
      <c r="J549" s="121"/>
      <c r="K549" s="121"/>
      <c r="L549" s="121"/>
      <c r="M549" s="121"/>
      <c r="N549" s="121"/>
      <c r="O549" s="121"/>
      <c r="P549" s="121"/>
    </row>
    <row r="550" spans="2:16" s="117" customFormat="1" ht="21.75" hidden="1" customHeight="1">
      <c r="B550" s="118"/>
      <c r="C550" s="110"/>
      <c r="D550" s="132" t="s">
        <v>564</v>
      </c>
      <c r="E550" s="135">
        <f>SUM(E551:E555)</f>
        <v>13800000000</v>
      </c>
      <c r="F550" s="129">
        <v>51356987511.629997</v>
      </c>
      <c r="G550" s="127">
        <f t="shared" si="8"/>
        <v>26.870734964497156</v>
      </c>
      <c r="H550" s="120"/>
      <c r="I550" s="120"/>
      <c r="J550" s="121"/>
      <c r="K550" s="121"/>
      <c r="L550" s="121"/>
      <c r="M550" s="121"/>
      <c r="N550" s="121"/>
      <c r="O550" s="121"/>
      <c r="P550" s="121"/>
    </row>
    <row r="551" spans="2:16" s="117" customFormat="1" ht="21.75" hidden="1" customHeight="1">
      <c r="B551" s="118"/>
      <c r="C551" s="110"/>
      <c r="D551" s="133" t="s">
        <v>565</v>
      </c>
      <c r="E551" s="136">
        <v>1000000000</v>
      </c>
      <c r="F551" s="129">
        <v>51356987511.629997</v>
      </c>
      <c r="G551" s="127">
        <f t="shared" si="8"/>
        <v>1.9471547075722577</v>
      </c>
      <c r="H551" s="120"/>
      <c r="I551" s="120"/>
      <c r="J551" s="121"/>
      <c r="K551" s="121"/>
      <c r="L551" s="121"/>
      <c r="M551" s="121"/>
      <c r="N551" s="121"/>
      <c r="O551" s="121"/>
      <c r="P551" s="121"/>
    </row>
    <row r="552" spans="2:16" s="117" customFormat="1" ht="21.75" hidden="1" customHeight="1">
      <c r="B552" s="118"/>
      <c r="C552" s="110"/>
      <c r="D552" s="133" t="s">
        <v>566</v>
      </c>
      <c r="E552" s="136">
        <v>5000000000</v>
      </c>
      <c r="F552" s="129">
        <v>51356987511.629997</v>
      </c>
      <c r="G552" s="127">
        <f t="shared" si="8"/>
        <v>9.7357735378612897</v>
      </c>
      <c r="H552" s="120"/>
      <c r="I552" s="120"/>
      <c r="J552" s="121"/>
      <c r="K552" s="121"/>
      <c r="L552" s="121"/>
      <c r="M552" s="121"/>
      <c r="N552" s="121"/>
      <c r="O552" s="121"/>
      <c r="P552" s="121"/>
    </row>
    <row r="553" spans="2:16" s="117" customFormat="1" ht="21.75" hidden="1" customHeight="1">
      <c r="B553" s="118"/>
      <c r="C553" s="110"/>
      <c r="D553" s="133" t="s">
        <v>567</v>
      </c>
      <c r="E553" s="136">
        <v>1000000000</v>
      </c>
      <c r="F553" s="129">
        <v>51356987511.629997</v>
      </c>
      <c r="G553" s="127">
        <f t="shared" si="8"/>
        <v>1.9471547075722577</v>
      </c>
      <c r="H553" s="120"/>
      <c r="I553" s="120"/>
      <c r="J553" s="121"/>
      <c r="K553" s="121"/>
      <c r="L553" s="121"/>
      <c r="M553" s="121"/>
      <c r="N553" s="121"/>
      <c r="O553" s="121"/>
      <c r="P553" s="121"/>
    </row>
    <row r="554" spans="2:16" s="117" customFormat="1" ht="21.75" hidden="1" customHeight="1">
      <c r="B554" s="118"/>
      <c r="C554" s="110"/>
      <c r="D554" s="133" t="s">
        <v>568</v>
      </c>
      <c r="E554" s="136">
        <v>2300000000</v>
      </c>
      <c r="F554" s="129">
        <v>51356987511.629997</v>
      </c>
      <c r="G554" s="127">
        <f t="shared" si="8"/>
        <v>4.4784558274161927</v>
      </c>
      <c r="H554" s="120"/>
      <c r="I554" s="120"/>
      <c r="J554" s="121"/>
      <c r="K554" s="121"/>
      <c r="L554" s="121"/>
      <c r="M554" s="121"/>
      <c r="N554" s="121"/>
      <c r="O554" s="121"/>
      <c r="P554" s="121"/>
    </row>
    <row r="555" spans="2:16" s="117" customFormat="1" ht="21.75" hidden="1" customHeight="1">
      <c r="B555" s="118"/>
      <c r="C555" s="110"/>
      <c r="D555" s="133" t="s">
        <v>569</v>
      </c>
      <c r="E555" s="136">
        <v>4500000000</v>
      </c>
      <c r="F555" s="129">
        <v>51356987511.629997</v>
      </c>
      <c r="G555" s="127">
        <f t="shared" si="8"/>
        <v>8.7621961840751599</v>
      </c>
      <c r="H555" s="120"/>
      <c r="I555" s="120"/>
      <c r="J555" s="121"/>
      <c r="K555" s="121"/>
      <c r="L555" s="121"/>
      <c r="M555" s="121"/>
      <c r="N555" s="121"/>
      <c r="O555" s="121"/>
      <c r="P555" s="121"/>
    </row>
    <row r="556" spans="2:16" s="117" customFormat="1" ht="15" hidden="1" customHeight="1">
      <c r="B556" s="118"/>
      <c r="C556" s="110"/>
      <c r="D556" s="133"/>
      <c r="E556" s="136"/>
      <c r="F556" s="129"/>
      <c r="G556" s="127"/>
      <c r="H556" s="120"/>
      <c r="I556" s="120"/>
      <c r="J556" s="121"/>
      <c r="K556" s="121"/>
      <c r="L556" s="121"/>
      <c r="M556" s="121"/>
      <c r="N556" s="121"/>
      <c r="O556" s="121"/>
      <c r="P556" s="121"/>
    </row>
    <row r="557" spans="2:16" s="117" customFormat="1" ht="21.75" hidden="1" customHeight="1">
      <c r="B557" s="118"/>
      <c r="C557" s="110"/>
      <c r="D557" s="132" t="s">
        <v>363</v>
      </c>
      <c r="E557" s="135">
        <f>E558</f>
        <v>250000000</v>
      </c>
      <c r="F557" s="129">
        <v>51356987511.629997</v>
      </c>
      <c r="G557" s="127">
        <f t="shared" si="8"/>
        <v>0.48678867689306443</v>
      </c>
      <c r="H557" s="120"/>
      <c r="I557" s="120"/>
      <c r="J557" s="121"/>
      <c r="K557" s="121"/>
      <c r="L557" s="121"/>
      <c r="M557" s="121"/>
      <c r="N557" s="121"/>
      <c r="O557" s="121"/>
      <c r="P557" s="121"/>
    </row>
    <row r="558" spans="2:16" s="117" customFormat="1" ht="32.25" hidden="1" customHeight="1">
      <c r="B558" s="118"/>
      <c r="C558" s="110"/>
      <c r="D558" s="132" t="s">
        <v>570</v>
      </c>
      <c r="E558" s="135">
        <f>E559</f>
        <v>250000000</v>
      </c>
      <c r="F558" s="129">
        <v>51356987511.629997</v>
      </c>
      <c r="G558" s="127">
        <f t="shared" si="8"/>
        <v>0.48678867689306443</v>
      </c>
      <c r="H558" s="120"/>
      <c r="I558" s="120"/>
      <c r="J558" s="121"/>
      <c r="K558" s="121"/>
      <c r="L558" s="121"/>
      <c r="M558" s="121"/>
      <c r="N558" s="121"/>
      <c r="O558" s="121"/>
      <c r="P558" s="121"/>
    </row>
    <row r="559" spans="2:16" s="117" customFormat="1" ht="21.75" hidden="1" customHeight="1">
      <c r="B559" s="118"/>
      <c r="C559" s="110"/>
      <c r="D559" s="133" t="s">
        <v>571</v>
      </c>
      <c r="E559" s="136">
        <v>250000000</v>
      </c>
      <c r="F559" s="129">
        <v>51356987511.629997</v>
      </c>
      <c r="G559" s="127">
        <f t="shared" si="8"/>
        <v>0.48678867689306443</v>
      </c>
      <c r="H559" s="120"/>
      <c r="I559" s="120"/>
      <c r="J559" s="121"/>
      <c r="K559" s="121"/>
      <c r="L559" s="121"/>
      <c r="M559" s="121"/>
      <c r="N559" s="121"/>
      <c r="O559" s="121"/>
      <c r="P559" s="121"/>
    </row>
    <row r="560" spans="2:16" s="117" customFormat="1" ht="15" hidden="1" customHeight="1">
      <c r="B560" s="118"/>
      <c r="C560" s="110"/>
      <c r="D560" s="133"/>
      <c r="E560" s="136"/>
      <c r="F560" s="129"/>
      <c r="G560" s="127"/>
      <c r="H560" s="120"/>
      <c r="I560" s="120"/>
      <c r="J560" s="121"/>
      <c r="K560" s="121"/>
      <c r="L560" s="121"/>
      <c r="M560" s="121"/>
      <c r="N560" s="121"/>
      <c r="O560" s="121"/>
      <c r="P560" s="121"/>
    </row>
    <row r="561" spans="2:16" s="117" customFormat="1" ht="21.75" hidden="1" customHeight="1">
      <c r="B561" s="118"/>
      <c r="C561" s="110"/>
      <c r="D561" s="132" t="s">
        <v>572</v>
      </c>
      <c r="E561" s="135">
        <f>E562</f>
        <v>948518996</v>
      </c>
      <c r="F561" s="129">
        <v>51356987511.629997</v>
      </c>
      <c r="G561" s="127">
        <f t="shared" si="8"/>
        <v>1.8469132282831116</v>
      </c>
      <c r="H561" s="120"/>
      <c r="I561" s="120"/>
      <c r="J561" s="121"/>
      <c r="K561" s="121"/>
      <c r="L561" s="121"/>
      <c r="M561" s="121"/>
      <c r="N561" s="121"/>
      <c r="O561" s="121"/>
      <c r="P561" s="121"/>
    </row>
    <row r="562" spans="2:16" s="117" customFormat="1" ht="21.75" hidden="1" customHeight="1">
      <c r="B562" s="118"/>
      <c r="C562" s="110"/>
      <c r="D562" s="132" t="s">
        <v>573</v>
      </c>
      <c r="E562" s="135">
        <f>+E563+E565+E567+E569</f>
        <v>948518996</v>
      </c>
      <c r="F562" s="129">
        <v>51356987511.629997</v>
      </c>
      <c r="G562" s="127">
        <f t="shared" si="8"/>
        <v>1.8469132282831116</v>
      </c>
      <c r="H562" s="120"/>
      <c r="I562" s="120"/>
      <c r="J562" s="121"/>
      <c r="K562" s="121"/>
      <c r="L562" s="121"/>
      <c r="M562" s="121"/>
      <c r="N562" s="121"/>
      <c r="O562" s="121"/>
      <c r="P562" s="121"/>
    </row>
    <row r="563" spans="2:16" s="117" customFormat="1" ht="21.75" hidden="1" customHeight="1">
      <c r="B563" s="118"/>
      <c r="C563" s="110"/>
      <c r="D563" s="132" t="s">
        <v>574</v>
      </c>
      <c r="E563" s="135">
        <f>E564</f>
        <v>468518996</v>
      </c>
      <c r="F563" s="129">
        <v>51356987511.629997</v>
      </c>
      <c r="G563" s="127">
        <f t="shared" si="8"/>
        <v>0.91227896864842783</v>
      </c>
      <c r="H563" s="120"/>
      <c r="I563" s="120"/>
      <c r="J563" s="121"/>
      <c r="K563" s="121"/>
      <c r="L563" s="121"/>
      <c r="M563" s="121"/>
      <c r="N563" s="121"/>
      <c r="O563" s="121"/>
      <c r="P563" s="121"/>
    </row>
    <row r="564" spans="2:16" s="117" customFormat="1" ht="21.75" hidden="1" customHeight="1">
      <c r="B564" s="118"/>
      <c r="C564" s="110"/>
      <c r="D564" s="133" t="s">
        <v>575</v>
      </c>
      <c r="E564" s="136">
        <v>468518996</v>
      </c>
      <c r="F564" s="129">
        <v>51356987511.629997</v>
      </c>
      <c r="G564" s="127">
        <f t="shared" si="8"/>
        <v>0.91227896864842783</v>
      </c>
      <c r="H564" s="120"/>
      <c r="I564" s="120"/>
      <c r="J564" s="121"/>
      <c r="K564" s="121"/>
      <c r="L564" s="121"/>
      <c r="M564" s="121"/>
      <c r="N564" s="121"/>
      <c r="O564" s="121"/>
      <c r="P564" s="121"/>
    </row>
    <row r="565" spans="2:16" s="117" customFormat="1" ht="21.75" hidden="1" customHeight="1">
      <c r="B565" s="118"/>
      <c r="C565" s="110"/>
      <c r="D565" s="132" t="s">
        <v>576</v>
      </c>
      <c r="E565" s="135">
        <f>E566</f>
        <v>180000000</v>
      </c>
      <c r="F565" s="129">
        <v>51356987511.629997</v>
      </c>
      <c r="G565" s="127">
        <f t="shared" si="8"/>
        <v>0.35048784736300637</v>
      </c>
      <c r="H565" s="120"/>
      <c r="I565" s="120"/>
      <c r="J565" s="121"/>
      <c r="K565" s="121"/>
      <c r="L565" s="121"/>
      <c r="M565" s="121"/>
      <c r="N565" s="121"/>
      <c r="O565" s="121"/>
      <c r="P565" s="121"/>
    </row>
    <row r="566" spans="2:16" s="117" customFormat="1" ht="21.75" hidden="1" customHeight="1">
      <c r="B566" s="118"/>
      <c r="C566" s="110"/>
      <c r="D566" s="133" t="s">
        <v>577</v>
      </c>
      <c r="E566" s="136">
        <v>180000000</v>
      </c>
      <c r="F566" s="129">
        <v>51356987511.629997</v>
      </c>
      <c r="G566" s="127">
        <f t="shared" si="8"/>
        <v>0.35048784736300637</v>
      </c>
      <c r="H566" s="120"/>
      <c r="I566" s="120"/>
      <c r="J566" s="121"/>
      <c r="K566" s="121"/>
      <c r="L566" s="121"/>
      <c r="M566" s="121"/>
      <c r="N566" s="121"/>
      <c r="O566" s="121"/>
      <c r="P566" s="121"/>
    </row>
    <row r="567" spans="2:16" s="117" customFormat="1" ht="21.75" hidden="1" customHeight="1">
      <c r="B567" s="118"/>
      <c r="C567" s="110"/>
      <c r="D567" s="132" t="s">
        <v>578</v>
      </c>
      <c r="E567" s="135">
        <f>E568</f>
        <v>150000000</v>
      </c>
      <c r="F567" s="129">
        <v>51356987511.629997</v>
      </c>
      <c r="G567" s="127">
        <f t="shared" si="8"/>
        <v>0.2920732061358387</v>
      </c>
      <c r="H567" s="120"/>
      <c r="I567" s="120"/>
      <c r="J567" s="121"/>
      <c r="K567" s="121"/>
      <c r="L567" s="121"/>
      <c r="M567" s="121"/>
      <c r="N567" s="121"/>
      <c r="O567" s="121"/>
      <c r="P567" s="121"/>
    </row>
    <row r="568" spans="2:16" s="117" customFormat="1" ht="21.75" hidden="1" customHeight="1">
      <c r="B568" s="118"/>
      <c r="C568" s="110"/>
      <c r="D568" s="133" t="s">
        <v>579</v>
      </c>
      <c r="E568" s="136">
        <v>150000000</v>
      </c>
      <c r="F568" s="129">
        <v>51356987511.629997</v>
      </c>
      <c r="G568" s="127">
        <f t="shared" si="8"/>
        <v>0.2920732061358387</v>
      </c>
      <c r="H568" s="120"/>
      <c r="I568" s="120"/>
      <c r="J568" s="121"/>
      <c r="K568" s="121"/>
      <c r="L568" s="121"/>
      <c r="M568" s="121"/>
      <c r="N568" s="121"/>
      <c r="O568" s="121"/>
      <c r="P568" s="121"/>
    </row>
    <row r="569" spans="2:16" s="117" customFormat="1" ht="21.75" hidden="1" customHeight="1">
      <c r="B569" s="118"/>
      <c r="C569" s="110"/>
      <c r="D569" s="132" t="s">
        <v>580</v>
      </c>
      <c r="E569" s="135">
        <f>E570</f>
        <v>150000000</v>
      </c>
      <c r="F569" s="129">
        <v>51356987511.629997</v>
      </c>
      <c r="G569" s="127">
        <f t="shared" si="8"/>
        <v>0.2920732061358387</v>
      </c>
      <c r="H569" s="120"/>
      <c r="I569" s="120"/>
      <c r="J569" s="121"/>
      <c r="K569" s="121"/>
      <c r="L569" s="121"/>
      <c r="M569" s="121"/>
      <c r="N569" s="121"/>
      <c r="O569" s="121"/>
      <c r="P569" s="121"/>
    </row>
    <row r="570" spans="2:16" s="117" customFormat="1" ht="21.75" hidden="1" customHeight="1">
      <c r="B570" s="118"/>
      <c r="C570" s="110"/>
      <c r="D570" s="133" t="s">
        <v>581</v>
      </c>
      <c r="E570" s="136">
        <v>150000000</v>
      </c>
      <c r="F570" s="129">
        <v>51356987511.629997</v>
      </c>
      <c r="G570" s="127">
        <f t="shared" si="8"/>
        <v>0.2920732061358387</v>
      </c>
      <c r="H570" s="120"/>
      <c r="I570" s="120"/>
      <c r="J570" s="121"/>
      <c r="K570" s="121"/>
      <c r="L570" s="121"/>
      <c r="M570" s="121"/>
      <c r="N570" s="121"/>
      <c r="O570" s="121"/>
      <c r="P570" s="121"/>
    </row>
    <row r="571" spans="2:16" s="117" customFormat="1" ht="15" hidden="1" customHeight="1">
      <c r="B571" s="118"/>
      <c r="C571" s="110"/>
      <c r="D571" s="133"/>
      <c r="E571" s="136"/>
      <c r="F571" s="129"/>
      <c r="G571" s="127"/>
      <c r="H571" s="120"/>
      <c r="I571" s="120"/>
      <c r="J571" s="121"/>
      <c r="K571" s="121"/>
      <c r="L571" s="121"/>
      <c r="M571" s="121"/>
      <c r="N571" s="121"/>
      <c r="O571" s="121"/>
      <c r="P571" s="121"/>
    </row>
    <row r="572" spans="2:16" s="117" customFormat="1" ht="21.75" hidden="1" customHeight="1">
      <c r="B572" s="118"/>
      <c r="C572" s="110"/>
      <c r="D572" s="132" t="s">
        <v>582</v>
      </c>
      <c r="E572" s="135">
        <f>E573</f>
        <v>250000000</v>
      </c>
      <c r="F572" s="129">
        <v>51356987511.629997</v>
      </c>
      <c r="G572" s="127">
        <f t="shared" si="8"/>
        <v>0.48678867689306443</v>
      </c>
      <c r="H572" s="120"/>
      <c r="I572" s="120"/>
      <c r="J572" s="121"/>
      <c r="K572" s="121"/>
      <c r="L572" s="121"/>
      <c r="M572" s="121"/>
      <c r="N572" s="121"/>
      <c r="O572" s="121"/>
      <c r="P572" s="121"/>
    </row>
    <row r="573" spans="2:16" s="117" customFormat="1" ht="21.75" hidden="1" customHeight="1">
      <c r="B573" s="118"/>
      <c r="C573" s="110"/>
      <c r="D573" s="132" t="s">
        <v>583</v>
      </c>
      <c r="E573" s="135">
        <f>E574</f>
        <v>250000000</v>
      </c>
      <c r="F573" s="129">
        <v>51356987511.629997</v>
      </c>
      <c r="G573" s="127">
        <f t="shared" si="8"/>
        <v>0.48678867689306443</v>
      </c>
      <c r="H573" s="120"/>
      <c r="I573" s="120"/>
      <c r="J573" s="121"/>
      <c r="K573" s="121"/>
      <c r="L573" s="121"/>
      <c r="M573" s="121"/>
      <c r="N573" s="121"/>
      <c r="O573" s="121"/>
      <c r="P573" s="121"/>
    </row>
    <row r="574" spans="2:16" s="117" customFormat="1" ht="21.75" hidden="1" customHeight="1">
      <c r="B574" s="118"/>
      <c r="C574" s="110"/>
      <c r="D574" s="132" t="s">
        <v>584</v>
      </c>
      <c r="E574" s="135">
        <f>E575</f>
        <v>250000000</v>
      </c>
      <c r="F574" s="129">
        <v>51356987511.629997</v>
      </c>
      <c r="G574" s="127">
        <f t="shared" si="8"/>
        <v>0.48678867689306443</v>
      </c>
      <c r="H574" s="120"/>
      <c r="I574" s="120"/>
      <c r="J574" s="121"/>
      <c r="K574" s="121"/>
      <c r="L574" s="121"/>
      <c r="M574" s="121"/>
      <c r="N574" s="121"/>
      <c r="O574" s="121"/>
      <c r="P574" s="121"/>
    </row>
    <row r="575" spans="2:16" s="117" customFormat="1" ht="30" hidden="1" customHeight="1">
      <c r="B575" s="118"/>
      <c r="C575" s="110"/>
      <c r="D575" s="133" t="s">
        <v>585</v>
      </c>
      <c r="E575" s="136">
        <v>250000000</v>
      </c>
      <c r="F575" s="129">
        <v>51356987511.629997</v>
      </c>
      <c r="G575" s="127">
        <f t="shared" si="8"/>
        <v>0.48678867689306443</v>
      </c>
      <c r="H575" s="120"/>
      <c r="I575" s="120"/>
      <c r="J575" s="121"/>
      <c r="K575" s="121"/>
      <c r="L575" s="121"/>
      <c r="M575" s="121"/>
      <c r="N575" s="121"/>
      <c r="O575" s="121"/>
      <c r="P575" s="121"/>
    </row>
    <row r="576" spans="2:16" s="117" customFormat="1" ht="15" hidden="1" customHeight="1">
      <c r="B576" s="118"/>
      <c r="C576" s="110"/>
      <c r="D576" s="111"/>
      <c r="E576" s="129"/>
      <c r="F576" s="119"/>
      <c r="G576" s="127"/>
      <c r="H576" s="120"/>
      <c r="I576" s="120"/>
      <c r="J576" s="121"/>
      <c r="K576" s="121"/>
      <c r="L576" s="121"/>
      <c r="M576" s="121"/>
      <c r="N576" s="121"/>
      <c r="O576" s="121"/>
      <c r="P576" s="121"/>
    </row>
    <row r="577" spans="2:16" s="117" customFormat="1" ht="21.75" hidden="1" customHeight="1">
      <c r="B577" s="118"/>
      <c r="C577" s="110" t="s">
        <v>586</v>
      </c>
      <c r="D577" s="111" t="s">
        <v>587</v>
      </c>
      <c r="E577" s="129">
        <f>+E578+E586+E590+E600+E606+E610+E616+E624+E628+E634+E646+E653+E657+E661+E665</f>
        <v>46073463891.389999</v>
      </c>
      <c r="F577" s="131">
        <v>1557405258400.0002</v>
      </c>
      <c r="G577" s="127">
        <f>+E577/F577*100</f>
        <v>2.9583477802510796</v>
      </c>
      <c r="H577" s="120"/>
      <c r="I577" s="120"/>
      <c r="J577" s="121"/>
      <c r="K577" s="121"/>
      <c r="L577" s="121"/>
      <c r="M577" s="121"/>
      <c r="N577" s="121"/>
      <c r="O577" s="121"/>
      <c r="P577" s="121"/>
    </row>
    <row r="578" spans="2:16" s="108" customFormat="1" ht="21.75" hidden="1" customHeight="1">
      <c r="B578" s="109"/>
      <c r="C578" s="122"/>
      <c r="D578" s="111" t="s">
        <v>64</v>
      </c>
      <c r="E578" s="135">
        <f>+E579+E581+E583</f>
        <v>21007156000</v>
      </c>
      <c r="F578" s="134">
        <v>46073463891.389999</v>
      </c>
      <c r="G578" s="126">
        <f>+E578/F578*100</f>
        <v>45.594913483215926</v>
      </c>
      <c r="H578" s="120"/>
      <c r="I578" s="120"/>
      <c r="J578" s="116"/>
      <c r="K578" s="116"/>
      <c r="L578" s="116"/>
      <c r="M578" s="116"/>
      <c r="N578" s="116"/>
      <c r="O578" s="116"/>
      <c r="P578" s="116"/>
    </row>
    <row r="579" spans="2:16" s="108" customFormat="1" ht="21.75" hidden="1" customHeight="1">
      <c r="B579" s="109"/>
      <c r="C579" s="122"/>
      <c r="D579" s="111" t="s">
        <v>588</v>
      </c>
      <c r="E579" s="135">
        <f>E580</f>
        <v>528028000</v>
      </c>
      <c r="F579" s="113">
        <v>46073463891.389999</v>
      </c>
      <c r="G579" s="126">
        <f t="shared" ref="G579:G641" si="9">+E579/F579*100</f>
        <v>1.1460566569180302</v>
      </c>
      <c r="H579" s="120"/>
      <c r="I579" s="120"/>
      <c r="J579" s="116"/>
      <c r="K579" s="116"/>
      <c r="L579" s="116"/>
      <c r="M579" s="116"/>
      <c r="N579" s="116"/>
      <c r="O579" s="116"/>
      <c r="P579" s="116"/>
    </row>
    <row r="580" spans="2:16" s="108" customFormat="1" ht="21.75" hidden="1" customHeight="1">
      <c r="B580" s="109"/>
      <c r="C580" s="122"/>
      <c r="D580" s="123" t="s">
        <v>589</v>
      </c>
      <c r="E580" s="136">
        <v>528028000</v>
      </c>
      <c r="F580" s="113">
        <v>46073463891.389999</v>
      </c>
      <c r="G580" s="126">
        <f t="shared" si="9"/>
        <v>1.1460566569180302</v>
      </c>
      <c r="H580" s="120"/>
      <c r="I580" s="120"/>
      <c r="J580" s="116"/>
      <c r="K580" s="116"/>
      <c r="L580" s="116"/>
      <c r="M580" s="116"/>
      <c r="N580" s="116"/>
      <c r="O580" s="116"/>
      <c r="P580" s="116"/>
    </row>
    <row r="581" spans="2:16" s="108" customFormat="1" ht="21.75" hidden="1" customHeight="1">
      <c r="B581" s="109"/>
      <c r="C581" s="122"/>
      <c r="D581" s="111" t="s">
        <v>590</v>
      </c>
      <c r="E581" s="135">
        <f>E582</f>
        <v>19006628000</v>
      </c>
      <c r="F581" s="113">
        <v>46073463891.389999</v>
      </c>
      <c r="G581" s="126">
        <f t="shared" si="9"/>
        <v>41.252873985782237</v>
      </c>
      <c r="H581" s="120"/>
      <c r="I581" s="120"/>
      <c r="J581" s="116"/>
      <c r="K581" s="116"/>
      <c r="L581" s="116"/>
      <c r="M581" s="116"/>
      <c r="N581" s="116"/>
      <c r="O581" s="116"/>
      <c r="P581" s="116"/>
    </row>
    <row r="582" spans="2:16" s="108" customFormat="1" ht="21.75" hidden="1" customHeight="1">
      <c r="B582" s="109"/>
      <c r="C582" s="122"/>
      <c r="D582" s="123" t="s">
        <v>591</v>
      </c>
      <c r="E582" s="136">
        <v>19006628000</v>
      </c>
      <c r="F582" s="113">
        <v>46073463891.389999</v>
      </c>
      <c r="G582" s="126">
        <f t="shared" si="9"/>
        <v>41.252873985782237</v>
      </c>
      <c r="H582" s="120"/>
      <c r="I582" s="120"/>
      <c r="J582" s="116"/>
      <c r="K582" s="116"/>
      <c r="L582" s="116"/>
      <c r="M582" s="116"/>
      <c r="N582" s="116"/>
      <c r="O582" s="116"/>
      <c r="P582" s="116"/>
    </row>
    <row r="583" spans="2:16" s="108" customFormat="1" ht="21.75" hidden="1" customHeight="1">
      <c r="B583" s="109"/>
      <c r="C583" s="122"/>
      <c r="D583" s="111" t="s">
        <v>592</v>
      </c>
      <c r="E583" s="135">
        <f>E584</f>
        <v>1472500000</v>
      </c>
      <c r="F583" s="113">
        <v>46073463891.389999</v>
      </c>
      <c r="G583" s="126">
        <f t="shared" si="9"/>
        <v>3.1959828405156534</v>
      </c>
      <c r="H583" s="120"/>
      <c r="I583" s="120"/>
      <c r="J583" s="116"/>
      <c r="K583" s="116"/>
      <c r="L583" s="116"/>
      <c r="M583" s="116"/>
      <c r="N583" s="116"/>
      <c r="O583" s="116"/>
      <c r="P583" s="116"/>
    </row>
    <row r="584" spans="2:16" s="108" customFormat="1" ht="21.75" hidden="1" customHeight="1">
      <c r="B584" s="109"/>
      <c r="C584" s="122"/>
      <c r="D584" s="123" t="s">
        <v>593</v>
      </c>
      <c r="E584" s="136">
        <v>1472500000</v>
      </c>
      <c r="F584" s="113">
        <v>46073463891.389999</v>
      </c>
      <c r="G584" s="126">
        <f t="shared" si="9"/>
        <v>3.1959828405156534</v>
      </c>
      <c r="H584" s="120"/>
      <c r="I584" s="120"/>
      <c r="J584" s="116"/>
      <c r="K584" s="116"/>
      <c r="L584" s="116"/>
      <c r="M584" s="116"/>
      <c r="N584" s="116"/>
      <c r="O584" s="116"/>
      <c r="P584" s="116"/>
    </row>
    <row r="585" spans="2:16" s="108" customFormat="1" ht="15" hidden="1" customHeight="1">
      <c r="B585" s="109"/>
      <c r="C585" s="122"/>
      <c r="D585" s="123"/>
      <c r="E585" s="136"/>
      <c r="F585" s="113"/>
      <c r="G585" s="126"/>
      <c r="H585" s="120"/>
      <c r="I585" s="120"/>
      <c r="J585" s="116"/>
      <c r="K585" s="116"/>
      <c r="L585" s="116"/>
      <c r="M585" s="116"/>
      <c r="N585" s="116"/>
      <c r="O585" s="116"/>
      <c r="P585" s="116"/>
    </row>
    <row r="586" spans="2:16" s="108" customFormat="1" ht="30" hidden="1" customHeight="1">
      <c r="B586" s="109"/>
      <c r="C586" s="122"/>
      <c r="D586" s="111" t="s">
        <v>594</v>
      </c>
      <c r="E586" s="135">
        <f>E587</f>
        <v>5000000000</v>
      </c>
      <c r="F586" s="134">
        <v>46073463891.389999</v>
      </c>
      <c r="G586" s="126">
        <f t="shared" si="9"/>
        <v>10.852233753873186</v>
      </c>
      <c r="H586" s="120"/>
      <c r="I586" s="120"/>
      <c r="J586" s="116"/>
      <c r="K586" s="116"/>
      <c r="L586" s="116"/>
      <c r="M586" s="116"/>
      <c r="N586" s="116"/>
      <c r="O586" s="116"/>
      <c r="P586" s="116"/>
    </row>
    <row r="587" spans="2:16" s="108" customFormat="1" ht="21.75" hidden="1" customHeight="1">
      <c r="B587" s="109"/>
      <c r="C587" s="122"/>
      <c r="D587" s="111" t="s">
        <v>595</v>
      </c>
      <c r="E587" s="135">
        <f>E588</f>
        <v>5000000000</v>
      </c>
      <c r="F587" s="134">
        <v>46073463891.389999</v>
      </c>
      <c r="G587" s="126">
        <f t="shared" si="9"/>
        <v>10.852233753873186</v>
      </c>
      <c r="H587" s="120"/>
      <c r="I587" s="120"/>
      <c r="J587" s="116"/>
      <c r="K587" s="116"/>
      <c r="L587" s="116"/>
      <c r="M587" s="116"/>
      <c r="N587" s="116"/>
      <c r="O587" s="116"/>
      <c r="P587" s="116"/>
    </row>
    <row r="588" spans="2:16" s="108" customFormat="1" ht="21.75" hidden="1" customHeight="1">
      <c r="B588" s="109"/>
      <c r="C588" s="122"/>
      <c r="D588" s="123" t="s">
        <v>596</v>
      </c>
      <c r="E588" s="136">
        <v>5000000000</v>
      </c>
      <c r="F588" s="134">
        <v>46073463891.389999</v>
      </c>
      <c r="G588" s="126">
        <f t="shared" si="9"/>
        <v>10.852233753873186</v>
      </c>
      <c r="H588" s="120"/>
      <c r="I588" s="120"/>
      <c r="J588" s="116"/>
      <c r="K588" s="116"/>
      <c r="L588" s="116"/>
      <c r="M588" s="116"/>
      <c r="N588" s="116"/>
      <c r="O588" s="116"/>
      <c r="P588" s="116"/>
    </row>
    <row r="589" spans="2:16" s="108" customFormat="1" ht="15" hidden="1" customHeight="1">
      <c r="B589" s="109"/>
      <c r="C589" s="122"/>
      <c r="D589" s="123"/>
      <c r="E589" s="136"/>
      <c r="F589" s="134"/>
      <c r="G589" s="126"/>
      <c r="H589" s="120"/>
      <c r="I589" s="120"/>
      <c r="J589" s="116"/>
      <c r="K589" s="116"/>
      <c r="L589" s="116"/>
      <c r="M589" s="116"/>
      <c r="N589" s="116"/>
      <c r="O589" s="116"/>
      <c r="P589" s="116"/>
    </row>
    <row r="590" spans="2:16" s="108" customFormat="1" ht="21.75" hidden="1" customHeight="1">
      <c r="B590" s="109"/>
      <c r="C590" s="122"/>
      <c r="D590" s="111" t="s">
        <v>65</v>
      </c>
      <c r="E590" s="135">
        <f>+E591+E596</f>
        <v>6210246373.3899994</v>
      </c>
      <c r="F590" s="134">
        <v>46073463891.389999</v>
      </c>
      <c r="G590" s="126">
        <f t="shared" si="9"/>
        <v>13.479009062634297</v>
      </c>
      <c r="H590" s="120"/>
      <c r="I590" s="120"/>
      <c r="J590" s="116"/>
      <c r="K590" s="116"/>
      <c r="L590" s="116"/>
      <c r="M590" s="116"/>
      <c r="N590" s="116"/>
      <c r="O590" s="116"/>
      <c r="P590" s="116"/>
    </row>
    <row r="591" spans="2:16" s="108" customFormat="1" ht="21.75" hidden="1" customHeight="1">
      <c r="B591" s="109"/>
      <c r="C591" s="122"/>
      <c r="D591" s="111" t="s">
        <v>597</v>
      </c>
      <c r="E591" s="135">
        <f>SUM(E592:E595)</f>
        <v>5852815650.3899994</v>
      </c>
      <c r="F591" s="134">
        <v>46073463891.389999</v>
      </c>
      <c r="G591" s="126">
        <f t="shared" si="9"/>
        <v>12.703224711271922</v>
      </c>
      <c r="H591" s="120"/>
      <c r="I591" s="120"/>
      <c r="J591" s="116"/>
      <c r="K591" s="116"/>
      <c r="L591" s="116"/>
      <c r="M591" s="116"/>
      <c r="N591" s="116"/>
      <c r="O591" s="116"/>
      <c r="P591" s="116"/>
    </row>
    <row r="592" spans="2:16" s="108" customFormat="1" ht="32.25" hidden="1" customHeight="1">
      <c r="B592" s="109"/>
      <c r="C592" s="122"/>
      <c r="D592" s="123" t="s">
        <v>598</v>
      </c>
      <c r="E592" s="136">
        <v>275000000</v>
      </c>
      <c r="F592" s="134">
        <v>46073463891.389999</v>
      </c>
      <c r="G592" s="126">
        <f t="shared" si="9"/>
        <v>0.59687285646302524</v>
      </c>
      <c r="H592" s="120"/>
      <c r="I592" s="120"/>
      <c r="J592" s="116"/>
      <c r="K592" s="116"/>
      <c r="L592" s="116"/>
      <c r="M592" s="116"/>
      <c r="N592" s="116"/>
      <c r="O592" s="116"/>
      <c r="P592" s="116"/>
    </row>
    <row r="593" spans="2:16" s="108" customFormat="1" ht="21.75" hidden="1" customHeight="1">
      <c r="B593" s="109"/>
      <c r="C593" s="122"/>
      <c r="D593" s="123" t="s">
        <v>599</v>
      </c>
      <c r="E593" s="136">
        <v>470815650.38999999</v>
      </c>
      <c r="F593" s="134">
        <v>46073463891.389999</v>
      </c>
      <c r="G593" s="126">
        <f t="shared" si="9"/>
        <v>1.021880298602823</v>
      </c>
      <c r="H593" s="120"/>
      <c r="I593" s="120"/>
      <c r="J593" s="116"/>
      <c r="K593" s="116"/>
      <c r="L593" s="116"/>
      <c r="M593" s="116"/>
      <c r="N593" s="116"/>
      <c r="O593" s="116"/>
      <c r="P593" s="116"/>
    </row>
    <row r="594" spans="2:16" s="108" customFormat="1" ht="21.75" hidden="1" customHeight="1">
      <c r="B594" s="109"/>
      <c r="C594" s="122"/>
      <c r="D594" s="123" t="s">
        <v>600</v>
      </c>
      <c r="E594" s="136">
        <v>1327000000</v>
      </c>
      <c r="F594" s="134">
        <v>46073463891.389999</v>
      </c>
      <c r="G594" s="126">
        <f t="shared" si="9"/>
        <v>2.880182838277944</v>
      </c>
      <c r="H594" s="120"/>
      <c r="I594" s="120"/>
      <c r="J594" s="116"/>
      <c r="K594" s="116"/>
      <c r="L594" s="116"/>
      <c r="M594" s="116"/>
      <c r="N594" s="116"/>
      <c r="O594" s="116"/>
      <c r="P594" s="116"/>
    </row>
    <row r="595" spans="2:16" s="108" customFormat="1" ht="21.75" hidden="1" customHeight="1">
      <c r="B595" s="109"/>
      <c r="C595" s="122"/>
      <c r="D595" s="123" t="s">
        <v>601</v>
      </c>
      <c r="E595" s="136">
        <v>3780000000</v>
      </c>
      <c r="F595" s="134">
        <v>46073463891.389999</v>
      </c>
      <c r="G595" s="126">
        <f t="shared" si="9"/>
        <v>8.2042887179281294</v>
      </c>
      <c r="H595" s="120"/>
      <c r="I595" s="120"/>
      <c r="J595" s="116"/>
      <c r="K595" s="116"/>
      <c r="L595" s="116"/>
      <c r="M595" s="116"/>
      <c r="N595" s="116"/>
      <c r="O595" s="116"/>
      <c r="P595" s="116"/>
    </row>
    <row r="596" spans="2:16" s="108" customFormat="1" ht="21.75" hidden="1" customHeight="1">
      <c r="B596" s="109"/>
      <c r="C596" s="122"/>
      <c r="D596" s="111" t="s">
        <v>602</v>
      </c>
      <c r="E596" s="135">
        <f>+E597+E598</f>
        <v>357430723</v>
      </c>
      <c r="F596" s="134">
        <v>46073463891.389999</v>
      </c>
      <c r="G596" s="126">
        <f t="shared" si="9"/>
        <v>0.77578435136237944</v>
      </c>
      <c r="H596" s="120"/>
      <c r="I596" s="120"/>
      <c r="J596" s="116"/>
      <c r="K596" s="116"/>
      <c r="L596" s="116"/>
      <c r="M596" s="116"/>
      <c r="N596" s="116"/>
      <c r="O596" s="116"/>
      <c r="P596" s="116"/>
    </row>
    <row r="597" spans="2:16" s="108" customFormat="1" ht="21.75" hidden="1" customHeight="1">
      <c r="B597" s="109"/>
      <c r="C597" s="122"/>
      <c r="D597" s="123" t="s">
        <v>603</v>
      </c>
      <c r="E597" s="136">
        <v>60000000</v>
      </c>
      <c r="F597" s="134">
        <v>46073463891.389999</v>
      </c>
      <c r="G597" s="126">
        <f t="shared" si="9"/>
        <v>0.13022680504647824</v>
      </c>
      <c r="H597" s="120"/>
      <c r="I597" s="120"/>
      <c r="J597" s="116"/>
      <c r="K597" s="116"/>
      <c r="L597" s="116"/>
      <c r="M597" s="116"/>
      <c r="N597" s="116"/>
      <c r="O597" s="116"/>
      <c r="P597" s="116"/>
    </row>
    <row r="598" spans="2:16" s="108" customFormat="1" ht="21.75" hidden="1" customHeight="1">
      <c r="B598" s="109"/>
      <c r="C598" s="122"/>
      <c r="D598" s="123" t="s">
        <v>604</v>
      </c>
      <c r="E598" s="136">
        <v>297430723</v>
      </c>
      <c r="F598" s="134">
        <v>46073463891.389999</v>
      </c>
      <c r="G598" s="126">
        <f t="shared" si="9"/>
        <v>0.64555754631590123</v>
      </c>
      <c r="H598" s="120"/>
      <c r="I598" s="120"/>
      <c r="J598" s="116"/>
      <c r="K598" s="116"/>
      <c r="L598" s="116"/>
      <c r="M598" s="116"/>
      <c r="N598" s="116"/>
      <c r="O598" s="116"/>
      <c r="P598" s="116"/>
    </row>
    <row r="599" spans="2:16" s="108" customFormat="1" ht="15" hidden="1" customHeight="1">
      <c r="B599" s="109"/>
      <c r="C599" s="122"/>
      <c r="D599" s="123"/>
      <c r="E599" s="136"/>
      <c r="F599" s="134"/>
      <c r="G599" s="126"/>
      <c r="H599" s="120"/>
      <c r="I599" s="120"/>
      <c r="J599" s="116"/>
      <c r="K599" s="116"/>
      <c r="L599" s="116"/>
      <c r="M599" s="116"/>
      <c r="N599" s="116"/>
      <c r="O599" s="116"/>
      <c r="P599" s="116"/>
    </row>
    <row r="600" spans="2:16" s="108" customFormat="1" ht="21.75" hidden="1" customHeight="1">
      <c r="B600" s="109"/>
      <c r="C600" s="122"/>
      <c r="D600" s="111" t="s">
        <v>605</v>
      </c>
      <c r="E600" s="135">
        <f>+E601+E603</f>
        <v>1500000000</v>
      </c>
      <c r="F600" s="134">
        <v>46073463891.389999</v>
      </c>
      <c r="G600" s="126">
        <f t="shared" si="9"/>
        <v>3.2556701261619558</v>
      </c>
      <c r="H600" s="120"/>
      <c r="I600" s="120"/>
      <c r="J600" s="116"/>
      <c r="K600" s="116"/>
      <c r="L600" s="116"/>
      <c r="M600" s="116"/>
      <c r="N600" s="116"/>
      <c r="O600" s="116"/>
      <c r="P600" s="116"/>
    </row>
    <row r="601" spans="2:16" s="108" customFormat="1" ht="21.75" hidden="1" customHeight="1">
      <c r="B601" s="109"/>
      <c r="C601" s="122"/>
      <c r="D601" s="111" t="s">
        <v>606</v>
      </c>
      <c r="E601" s="135">
        <f>+E602</f>
        <v>500000000</v>
      </c>
      <c r="F601" s="134">
        <v>46073463891.389999</v>
      </c>
      <c r="G601" s="126">
        <f t="shared" si="9"/>
        <v>1.0852233753873186</v>
      </c>
      <c r="H601" s="120"/>
      <c r="I601" s="120"/>
      <c r="J601" s="116"/>
      <c r="K601" s="116"/>
      <c r="L601" s="116"/>
      <c r="M601" s="116"/>
      <c r="N601" s="116"/>
      <c r="O601" s="116"/>
      <c r="P601" s="116"/>
    </row>
    <row r="602" spans="2:16" s="108" customFormat="1" ht="21.75" hidden="1" customHeight="1">
      <c r="B602" s="109"/>
      <c r="C602" s="122"/>
      <c r="D602" s="123" t="s">
        <v>607</v>
      </c>
      <c r="E602" s="136">
        <v>500000000</v>
      </c>
      <c r="F602" s="134">
        <v>46073463891.389999</v>
      </c>
      <c r="G602" s="126">
        <f t="shared" si="9"/>
        <v>1.0852233753873186</v>
      </c>
      <c r="H602" s="120"/>
      <c r="I602" s="120"/>
      <c r="J602" s="116"/>
      <c r="K602" s="116"/>
      <c r="L602" s="116"/>
      <c r="M602" s="116"/>
      <c r="N602" s="116"/>
      <c r="O602" s="116"/>
      <c r="P602" s="116"/>
    </row>
    <row r="603" spans="2:16" s="108" customFormat="1" ht="30.75" hidden="1" customHeight="1">
      <c r="B603" s="109"/>
      <c r="C603" s="122"/>
      <c r="D603" s="111" t="s">
        <v>608</v>
      </c>
      <c r="E603" s="257">
        <f>+E604</f>
        <v>1000000000</v>
      </c>
      <c r="F603" s="134">
        <v>46073463891.389999</v>
      </c>
      <c r="G603" s="126">
        <f t="shared" si="9"/>
        <v>2.1704467507746372</v>
      </c>
      <c r="H603" s="120"/>
      <c r="I603" s="120"/>
      <c r="J603" s="116"/>
      <c r="K603" s="116"/>
      <c r="L603" s="116"/>
      <c r="M603" s="116"/>
      <c r="N603" s="116"/>
      <c r="O603" s="116"/>
      <c r="P603" s="116"/>
    </row>
    <row r="604" spans="2:16" s="108" customFormat="1" ht="21.75" hidden="1" customHeight="1">
      <c r="B604" s="109"/>
      <c r="C604" s="122"/>
      <c r="D604" s="123" t="s">
        <v>609</v>
      </c>
      <c r="E604" s="136">
        <v>1000000000</v>
      </c>
      <c r="F604" s="134">
        <v>46073463891.389999</v>
      </c>
      <c r="G604" s="126">
        <f t="shared" si="9"/>
        <v>2.1704467507746372</v>
      </c>
      <c r="H604" s="120"/>
      <c r="I604" s="120"/>
      <c r="J604" s="116"/>
      <c r="K604" s="116"/>
      <c r="L604" s="116"/>
      <c r="M604" s="116"/>
      <c r="N604" s="116"/>
      <c r="O604" s="116"/>
      <c r="P604" s="116"/>
    </row>
    <row r="605" spans="2:16" s="108" customFormat="1" ht="15" hidden="1" customHeight="1">
      <c r="B605" s="109"/>
      <c r="C605" s="122"/>
      <c r="D605" s="123"/>
      <c r="E605" s="136"/>
      <c r="F605" s="134"/>
      <c r="G605" s="126"/>
      <c r="H605" s="120"/>
      <c r="I605" s="120"/>
      <c r="J605" s="116"/>
      <c r="K605" s="116"/>
      <c r="L605" s="116"/>
      <c r="M605" s="116"/>
      <c r="N605" s="116"/>
      <c r="O605" s="116"/>
      <c r="P605" s="116"/>
    </row>
    <row r="606" spans="2:16" s="108" customFormat="1" ht="21.75" hidden="1" customHeight="1">
      <c r="B606" s="109"/>
      <c r="C606" s="122"/>
      <c r="D606" s="111" t="s">
        <v>610</v>
      </c>
      <c r="E606" s="135">
        <f>+E607</f>
        <v>1000000000</v>
      </c>
      <c r="F606" s="134">
        <v>46073463891.389999</v>
      </c>
      <c r="G606" s="126">
        <f t="shared" si="9"/>
        <v>2.1704467507746372</v>
      </c>
      <c r="H606" s="120"/>
      <c r="I606" s="120"/>
      <c r="J606" s="116"/>
      <c r="K606" s="116"/>
      <c r="L606" s="116"/>
      <c r="M606" s="116"/>
      <c r="N606" s="116"/>
      <c r="O606" s="116"/>
      <c r="P606" s="116"/>
    </row>
    <row r="607" spans="2:16" s="108" customFormat="1" ht="21.75" hidden="1" customHeight="1">
      <c r="B607" s="109"/>
      <c r="C607" s="122"/>
      <c r="D607" s="111" t="s">
        <v>611</v>
      </c>
      <c r="E607" s="135">
        <f>+E608</f>
        <v>1000000000</v>
      </c>
      <c r="F607" s="134">
        <v>46073463891.389999</v>
      </c>
      <c r="G607" s="126">
        <f t="shared" si="9"/>
        <v>2.1704467507746372</v>
      </c>
      <c r="H607" s="120"/>
      <c r="I607" s="120"/>
      <c r="J607" s="116"/>
      <c r="K607" s="116"/>
      <c r="L607" s="116"/>
      <c r="M607" s="116"/>
      <c r="N607" s="116"/>
      <c r="O607" s="116"/>
      <c r="P607" s="116"/>
    </row>
    <row r="608" spans="2:16" s="108" customFormat="1" ht="21.75" hidden="1" customHeight="1">
      <c r="B608" s="109"/>
      <c r="C608" s="122"/>
      <c r="D608" s="123" t="s">
        <v>612</v>
      </c>
      <c r="E608" s="136">
        <v>1000000000</v>
      </c>
      <c r="F608" s="134">
        <v>46073463891.389999</v>
      </c>
      <c r="G608" s="126">
        <f t="shared" si="9"/>
        <v>2.1704467507746372</v>
      </c>
      <c r="H608" s="120"/>
      <c r="I608" s="120"/>
      <c r="J608" s="116"/>
      <c r="K608" s="116"/>
      <c r="L608" s="116"/>
      <c r="M608" s="116"/>
      <c r="N608" s="116"/>
      <c r="O608" s="116"/>
      <c r="P608" s="116"/>
    </row>
    <row r="609" spans="2:16" s="108" customFormat="1" ht="15" hidden="1" customHeight="1">
      <c r="B609" s="109"/>
      <c r="C609" s="122"/>
      <c r="D609" s="123"/>
      <c r="E609" s="136"/>
      <c r="F609" s="134"/>
      <c r="G609" s="126"/>
      <c r="H609" s="120"/>
      <c r="I609" s="120"/>
      <c r="J609" s="116"/>
      <c r="K609" s="116"/>
      <c r="L609" s="116"/>
      <c r="M609" s="116"/>
      <c r="N609" s="116"/>
      <c r="O609" s="116"/>
      <c r="P609" s="116"/>
    </row>
    <row r="610" spans="2:16" s="108" customFormat="1" ht="21.75" hidden="1" customHeight="1">
      <c r="B610" s="109"/>
      <c r="C610" s="122"/>
      <c r="D610" s="111" t="s">
        <v>613</v>
      </c>
      <c r="E610" s="135">
        <f>+E611+E613</f>
        <v>999999620</v>
      </c>
      <c r="F610" s="134">
        <v>46073463891.389999</v>
      </c>
      <c r="G610" s="126">
        <f t="shared" si="9"/>
        <v>2.1704459260048723</v>
      </c>
      <c r="H610" s="120"/>
      <c r="I610" s="120"/>
      <c r="J610" s="116"/>
      <c r="K610" s="116"/>
      <c r="L610" s="116"/>
      <c r="M610" s="116"/>
      <c r="N610" s="116"/>
      <c r="O610" s="116"/>
      <c r="P610" s="116"/>
    </row>
    <row r="611" spans="2:16" s="108" customFormat="1" ht="32.25" hidden="1" customHeight="1">
      <c r="B611" s="109"/>
      <c r="C611" s="122"/>
      <c r="D611" s="111" t="s">
        <v>2758</v>
      </c>
      <c r="E611" s="135">
        <f>E612</f>
        <v>500000000</v>
      </c>
      <c r="F611" s="134">
        <v>46073463891.389999</v>
      </c>
      <c r="G611" s="126">
        <f t="shared" si="9"/>
        <v>1.0852233753873186</v>
      </c>
      <c r="H611" s="120"/>
      <c r="I611" s="120"/>
      <c r="J611" s="116"/>
      <c r="K611" s="116"/>
      <c r="L611" s="116"/>
      <c r="M611" s="116"/>
      <c r="N611" s="116"/>
      <c r="O611" s="116"/>
      <c r="P611" s="116"/>
    </row>
    <row r="612" spans="2:16" s="108" customFormat="1" ht="21.75" hidden="1" customHeight="1">
      <c r="B612" s="109"/>
      <c r="C612" s="122"/>
      <c r="D612" s="123" t="s">
        <v>614</v>
      </c>
      <c r="E612" s="136">
        <v>500000000</v>
      </c>
      <c r="F612" s="134">
        <v>46073463891.389999</v>
      </c>
      <c r="G612" s="126">
        <f t="shared" si="9"/>
        <v>1.0852233753873186</v>
      </c>
      <c r="H612" s="120"/>
      <c r="I612" s="120"/>
      <c r="J612" s="116"/>
      <c r="K612" s="116"/>
      <c r="L612" s="116"/>
      <c r="M612" s="116"/>
      <c r="N612" s="116"/>
      <c r="O612" s="116"/>
      <c r="P612" s="116"/>
    </row>
    <row r="613" spans="2:16" s="108" customFormat="1" ht="34.5" hidden="1" customHeight="1">
      <c r="B613" s="109"/>
      <c r="C613" s="122"/>
      <c r="D613" s="111" t="s">
        <v>615</v>
      </c>
      <c r="E613" s="135">
        <f>E614</f>
        <v>499999620</v>
      </c>
      <c r="F613" s="134">
        <v>46073463891.389999</v>
      </c>
      <c r="G613" s="126">
        <f t="shared" si="9"/>
        <v>1.0852225506175535</v>
      </c>
      <c r="H613" s="120"/>
      <c r="I613" s="120"/>
      <c r="J613" s="116"/>
      <c r="K613" s="116"/>
      <c r="L613" s="116"/>
      <c r="M613" s="116"/>
      <c r="N613" s="116"/>
      <c r="O613" s="116"/>
      <c r="P613" s="116"/>
    </row>
    <row r="614" spans="2:16" s="108" customFormat="1" ht="21.75" hidden="1" customHeight="1">
      <c r="B614" s="109"/>
      <c r="C614" s="122"/>
      <c r="D614" s="123" t="s">
        <v>616</v>
      </c>
      <c r="E614" s="136">
        <v>499999620</v>
      </c>
      <c r="F614" s="134">
        <v>46073463891.389999</v>
      </c>
      <c r="G614" s="126">
        <f t="shared" si="9"/>
        <v>1.0852225506175535</v>
      </c>
      <c r="H614" s="120"/>
      <c r="I614" s="120"/>
      <c r="J614" s="116"/>
      <c r="K614" s="116"/>
      <c r="L614" s="116"/>
      <c r="M614" s="116"/>
      <c r="N614" s="116"/>
      <c r="O614" s="116"/>
      <c r="P614" s="116"/>
    </row>
    <row r="615" spans="2:16" s="108" customFormat="1" ht="15" hidden="1" customHeight="1">
      <c r="B615" s="109"/>
      <c r="C615" s="122"/>
      <c r="D615" s="123"/>
      <c r="E615" s="136"/>
      <c r="F615" s="134"/>
      <c r="G615" s="126"/>
      <c r="H615" s="120"/>
      <c r="I615" s="120"/>
      <c r="J615" s="116"/>
      <c r="K615" s="116"/>
      <c r="L615" s="116"/>
      <c r="M615" s="116"/>
      <c r="N615" s="116"/>
      <c r="O615" s="116"/>
      <c r="P615" s="116"/>
    </row>
    <row r="616" spans="2:16" s="108" customFormat="1" ht="21.75" hidden="1" customHeight="1">
      <c r="B616" s="109"/>
      <c r="C616" s="122"/>
      <c r="D616" s="111" t="s">
        <v>617</v>
      </c>
      <c r="E616" s="135">
        <f>+E617+E619+E621</f>
        <v>1000000000</v>
      </c>
      <c r="F616" s="134">
        <v>46073463891.389999</v>
      </c>
      <c r="G616" s="126">
        <f t="shared" si="9"/>
        <v>2.1704467507746372</v>
      </c>
      <c r="H616" s="120"/>
      <c r="I616" s="120"/>
      <c r="J616" s="116"/>
      <c r="K616" s="116"/>
      <c r="L616" s="116"/>
      <c r="M616" s="116"/>
      <c r="N616" s="116"/>
      <c r="O616" s="116"/>
      <c r="P616" s="116"/>
    </row>
    <row r="617" spans="2:16" s="108" customFormat="1" ht="21.75" hidden="1" customHeight="1">
      <c r="B617" s="109"/>
      <c r="C617" s="122"/>
      <c r="D617" s="111" t="s">
        <v>618</v>
      </c>
      <c r="E617" s="135">
        <f>E618</f>
        <v>180000000</v>
      </c>
      <c r="F617" s="134">
        <v>46073463891.389999</v>
      </c>
      <c r="G617" s="126">
        <f t="shared" si="9"/>
        <v>0.39068041513943474</v>
      </c>
      <c r="H617" s="120"/>
      <c r="I617" s="120"/>
      <c r="J617" s="116"/>
      <c r="K617" s="116"/>
      <c r="L617" s="116"/>
      <c r="M617" s="116"/>
      <c r="N617" s="116"/>
      <c r="O617" s="116"/>
      <c r="P617" s="116"/>
    </row>
    <row r="618" spans="2:16" s="108" customFormat="1" ht="21.75" hidden="1" customHeight="1">
      <c r="B618" s="109"/>
      <c r="C618" s="122"/>
      <c r="D618" s="123" t="s">
        <v>619</v>
      </c>
      <c r="E618" s="136">
        <v>180000000</v>
      </c>
      <c r="F618" s="134">
        <v>46073463891.389999</v>
      </c>
      <c r="G618" s="126">
        <f t="shared" si="9"/>
        <v>0.39068041513943474</v>
      </c>
      <c r="H618" s="120"/>
      <c r="I618" s="120"/>
      <c r="J618" s="116"/>
      <c r="K618" s="116"/>
      <c r="L618" s="116"/>
      <c r="M618" s="116"/>
      <c r="N618" s="116"/>
      <c r="O618" s="116"/>
      <c r="P618" s="116"/>
    </row>
    <row r="619" spans="2:16" s="108" customFormat="1" ht="21.75" hidden="1" customHeight="1">
      <c r="B619" s="109"/>
      <c r="C619" s="122"/>
      <c r="D619" s="111" t="s">
        <v>620</v>
      </c>
      <c r="E619" s="135">
        <f>E620</f>
        <v>609920000</v>
      </c>
      <c r="F619" s="134">
        <v>46073463891.389999</v>
      </c>
      <c r="G619" s="126">
        <f t="shared" si="9"/>
        <v>1.3237988822324667</v>
      </c>
      <c r="H619" s="120"/>
      <c r="I619" s="120"/>
      <c r="J619" s="116"/>
      <c r="K619" s="116"/>
      <c r="L619" s="116"/>
      <c r="M619" s="116"/>
      <c r="N619" s="116"/>
      <c r="O619" s="116"/>
      <c r="P619" s="116"/>
    </row>
    <row r="620" spans="2:16" s="108" customFormat="1" ht="21.75" hidden="1" customHeight="1">
      <c r="B620" s="109"/>
      <c r="C620" s="122"/>
      <c r="D620" s="123" t="s">
        <v>621</v>
      </c>
      <c r="E620" s="136">
        <v>609920000</v>
      </c>
      <c r="F620" s="134">
        <v>46073463891.389999</v>
      </c>
      <c r="G620" s="126">
        <f t="shared" si="9"/>
        <v>1.3237988822324667</v>
      </c>
      <c r="H620" s="120"/>
      <c r="I620" s="120"/>
      <c r="J620" s="116"/>
      <c r="K620" s="116"/>
      <c r="L620" s="116"/>
      <c r="M620" s="116"/>
      <c r="N620" s="116"/>
      <c r="O620" s="116"/>
      <c r="P620" s="116"/>
    </row>
    <row r="621" spans="2:16" s="108" customFormat="1" ht="21.75" hidden="1" customHeight="1">
      <c r="B621" s="109"/>
      <c r="C621" s="122"/>
      <c r="D621" s="111" t="s">
        <v>622</v>
      </c>
      <c r="E621" s="135">
        <f>E622</f>
        <v>210080000</v>
      </c>
      <c r="F621" s="134">
        <v>46073463891.389999</v>
      </c>
      <c r="G621" s="126">
        <f t="shared" si="9"/>
        <v>0.45596745340273576</v>
      </c>
      <c r="H621" s="120"/>
      <c r="I621" s="120"/>
      <c r="J621" s="116"/>
      <c r="K621" s="116"/>
      <c r="L621" s="116"/>
      <c r="M621" s="116"/>
      <c r="N621" s="116"/>
      <c r="O621" s="116"/>
      <c r="P621" s="116"/>
    </row>
    <row r="622" spans="2:16" s="108" customFormat="1" ht="21.75" hidden="1" customHeight="1">
      <c r="B622" s="109"/>
      <c r="C622" s="122"/>
      <c r="D622" s="123" t="s">
        <v>623</v>
      </c>
      <c r="E622" s="136">
        <v>210080000</v>
      </c>
      <c r="F622" s="134">
        <v>46073463891.389999</v>
      </c>
      <c r="G622" s="126">
        <f t="shared" si="9"/>
        <v>0.45596745340273576</v>
      </c>
      <c r="H622" s="120"/>
      <c r="I622" s="120"/>
      <c r="J622" s="116"/>
      <c r="K622" s="116"/>
      <c r="L622" s="116"/>
      <c r="M622" s="116"/>
      <c r="N622" s="116"/>
      <c r="O622" s="116"/>
      <c r="P622" s="116"/>
    </row>
    <row r="623" spans="2:16" s="108" customFormat="1" ht="15" hidden="1" customHeight="1">
      <c r="B623" s="109"/>
      <c r="C623" s="122"/>
      <c r="D623" s="123"/>
      <c r="E623" s="136"/>
      <c r="F623" s="134"/>
      <c r="G623" s="126"/>
      <c r="H623" s="120"/>
      <c r="I623" s="120"/>
      <c r="J623" s="116"/>
      <c r="K623" s="116"/>
      <c r="L623" s="116"/>
      <c r="M623" s="116"/>
      <c r="N623" s="116"/>
      <c r="O623" s="116"/>
      <c r="P623" s="116"/>
    </row>
    <row r="624" spans="2:16" s="108" customFormat="1" ht="21.75" hidden="1" customHeight="1">
      <c r="B624" s="109"/>
      <c r="C624" s="122"/>
      <c r="D624" s="111" t="s">
        <v>624</v>
      </c>
      <c r="E624" s="135">
        <f>E625</f>
        <v>1000000000</v>
      </c>
      <c r="F624" s="134">
        <v>46073463891.389999</v>
      </c>
      <c r="G624" s="126">
        <f t="shared" si="9"/>
        <v>2.1704467507746372</v>
      </c>
      <c r="H624" s="120"/>
      <c r="I624" s="120"/>
      <c r="J624" s="116"/>
      <c r="K624" s="116"/>
      <c r="L624" s="116"/>
      <c r="M624" s="116"/>
      <c r="N624" s="116"/>
      <c r="O624" s="116"/>
      <c r="P624" s="116"/>
    </row>
    <row r="625" spans="2:16" s="108" customFormat="1" ht="21.75" hidden="1" customHeight="1">
      <c r="B625" s="109"/>
      <c r="C625" s="122"/>
      <c r="D625" s="111" t="s">
        <v>625</v>
      </c>
      <c r="E625" s="135">
        <f>E626</f>
        <v>1000000000</v>
      </c>
      <c r="F625" s="134">
        <v>46073463891.389999</v>
      </c>
      <c r="G625" s="126">
        <f t="shared" si="9"/>
        <v>2.1704467507746372</v>
      </c>
      <c r="H625" s="120"/>
      <c r="I625" s="120"/>
      <c r="J625" s="116"/>
      <c r="K625" s="116"/>
      <c r="L625" s="116"/>
      <c r="M625" s="116"/>
      <c r="N625" s="116"/>
      <c r="O625" s="116"/>
      <c r="P625" s="116"/>
    </row>
    <row r="626" spans="2:16" s="108" customFormat="1" ht="21.75" hidden="1" customHeight="1">
      <c r="B626" s="109"/>
      <c r="C626" s="122"/>
      <c r="D626" s="123" t="s">
        <v>626</v>
      </c>
      <c r="E626" s="136">
        <v>1000000000</v>
      </c>
      <c r="F626" s="134">
        <v>46073463891.389999</v>
      </c>
      <c r="G626" s="126">
        <f t="shared" si="9"/>
        <v>2.1704467507746372</v>
      </c>
      <c r="H626" s="120"/>
      <c r="I626" s="120"/>
      <c r="J626" s="116"/>
      <c r="K626" s="116"/>
      <c r="L626" s="116"/>
      <c r="M626" s="116"/>
      <c r="N626" s="116"/>
      <c r="O626" s="116"/>
      <c r="P626" s="116"/>
    </row>
    <row r="627" spans="2:16" s="108" customFormat="1" ht="15" hidden="1" customHeight="1">
      <c r="B627" s="109"/>
      <c r="C627" s="122"/>
      <c r="D627" s="123"/>
      <c r="E627" s="136"/>
      <c r="F627" s="134"/>
      <c r="G627" s="126"/>
      <c r="H627" s="120"/>
      <c r="I627" s="120"/>
      <c r="J627" s="116"/>
      <c r="K627" s="116"/>
      <c r="L627" s="116"/>
      <c r="M627" s="116"/>
      <c r="N627" s="116"/>
      <c r="O627" s="116"/>
      <c r="P627" s="116"/>
    </row>
    <row r="628" spans="2:16" s="108" customFormat="1" ht="21.75" hidden="1" customHeight="1">
      <c r="B628" s="109"/>
      <c r="C628" s="122"/>
      <c r="D628" s="111" t="s">
        <v>627</v>
      </c>
      <c r="E628" s="135">
        <f>E629</f>
        <v>1000000000</v>
      </c>
      <c r="F628" s="134">
        <v>46073463891.389999</v>
      </c>
      <c r="G628" s="126">
        <f t="shared" si="9"/>
        <v>2.1704467507746372</v>
      </c>
      <c r="H628" s="120"/>
      <c r="I628" s="120"/>
      <c r="J628" s="116"/>
      <c r="K628" s="116"/>
      <c r="L628" s="116"/>
      <c r="M628" s="116"/>
      <c r="N628" s="116"/>
      <c r="O628" s="116"/>
      <c r="P628" s="116"/>
    </row>
    <row r="629" spans="2:16" s="108" customFormat="1" ht="21.75" hidden="1" customHeight="1">
      <c r="B629" s="109"/>
      <c r="C629" s="122"/>
      <c r="D629" s="111" t="s">
        <v>628</v>
      </c>
      <c r="E629" s="135">
        <f>SUM(E630:E632)</f>
        <v>1000000000</v>
      </c>
      <c r="F629" s="134">
        <v>46073463891.389999</v>
      </c>
      <c r="G629" s="126">
        <f t="shared" si="9"/>
        <v>2.1704467507746372</v>
      </c>
      <c r="H629" s="120"/>
      <c r="I629" s="120"/>
      <c r="J629" s="116"/>
      <c r="K629" s="116"/>
      <c r="L629" s="116"/>
      <c r="M629" s="116"/>
      <c r="N629" s="116"/>
      <c r="O629" s="116"/>
      <c r="P629" s="116"/>
    </row>
    <row r="630" spans="2:16" s="108" customFormat="1" ht="21.75" hidden="1" customHeight="1">
      <c r="B630" s="109"/>
      <c r="C630" s="122"/>
      <c r="D630" s="123" t="s">
        <v>629</v>
      </c>
      <c r="E630" s="136">
        <v>225000000</v>
      </c>
      <c r="F630" s="134">
        <v>46073463891.389999</v>
      </c>
      <c r="G630" s="126">
        <f t="shared" si="9"/>
        <v>0.48835051892429338</v>
      </c>
      <c r="H630" s="120"/>
      <c r="I630" s="120"/>
      <c r="J630" s="116"/>
      <c r="K630" s="116"/>
      <c r="L630" s="116"/>
      <c r="M630" s="116"/>
      <c r="N630" s="116"/>
      <c r="O630" s="116"/>
      <c r="P630" s="116"/>
    </row>
    <row r="631" spans="2:16" s="108" customFormat="1" ht="21.75" hidden="1" customHeight="1">
      <c r="B631" s="109"/>
      <c r="C631" s="122"/>
      <c r="D631" s="123" t="s">
        <v>630</v>
      </c>
      <c r="E631" s="136">
        <v>225000000</v>
      </c>
      <c r="F631" s="134">
        <v>46073463891.389999</v>
      </c>
      <c r="G631" s="126">
        <f t="shared" si="9"/>
        <v>0.48835051892429338</v>
      </c>
      <c r="H631" s="120"/>
      <c r="I631" s="120"/>
      <c r="J631" s="116"/>
      <c r="K631" s="116"/>
      <c r="L631" s="116"/>
      <c r="M631" s="116"/>
      <c r="N631" s="116"/>
      <c r="O631" s="116"/>
      <c r="P631" s="116"/>
    </row>
    <row r="632" spans="2:16" s="108" customFormat="1" ht="21.75" hidden="1" customHeight="1">
      <c r="B632" s="109"/>
      <c r="C632" s="122"/>
      <c r="D632" s="123" t="s">
        <v>631</v>
      </c>
      <c r="E632" s="136">
        <v>550000000</v>
      </c>
      <c r="F632" s="134">
        <v>46073463891.389999</v>
      </c>
      <c r="G632" s="126">
        <f t="shared" si="9"/>
        <v>1.1937457129260505</v>
      </c>
      <c r="H632" s="120"/>
      <c r="I632" s="120"/>
      <c r="J632" s="116"/>
      <c r="K632" s="116"/>
      <c r="L632" s="116"/>
      <c r="M632" s="116"/>
      <c r="N632" s="116"/>
      <c r="O632" s="116"/>
      <c r="P632" s="116"/>
    </row>
    <row r="633" spans="2:16" s="108" customFormat="1" ht="15" hidden="1" customHeight="1">
      <c r="B633" s="109"/>
      <c r="C633" s="122"/>
      <c r="D633" s="123"/>
      <c r="E633" s="136"/>
      <c r="F633" s="134"/>
      <c r="G633" s="126"/>
      <c r="H633" s="120"/>
      <c r="I633" s="120"/>
      <c r="J633" s="116"/>
      <c r="K633" s="116"/>
      <c r="L633" s="116"/>
      <c r="M633" s="116"/>
      <c r="N633" s="116"/>
      <c r="O633" s="116"/>
      <c r="P633" s="116"/>
    </row>
    <row r="634" spans="2:16" s="108" customFormat="1" ht="21.75" hidden="1" customHeight="1">
      <c r="B634" s="109"/>
      <c r="C634" s="122"/>
      <c r="D634" s="111" t="s">
        <v>632</v>
      </c>
      <c r="E634" s="135">
        <f>+E635+E637+E641+E643</f>
        <v>2000000000</v>
      </c>
      <c r="F634" s="134">
        <v>46073463891.389999</v>
      </c>
      <c r="G634" s="126">
        <f t="shared" si="9"/>
        <v>4.3408935015492744</v>
      </c>
      <c r="H634" s="120"/>
      <c r="I634" s="120"/>
      <c r="J634" s="116"/>
      <c r="K634" s="116"/>
      <c r="L634" s="116"/>
      <c r="M634" s="116"/>
      <c r="N634" s="116"/>
      <c r="O634" s="116"/>
      <c r="P634" s="116"/>
    </row>
    <row r="635" spans="2:16" s="108" customFormat="1" ht="21.75" hidden="1" customHeight="1">
      <c r="B635" s="109"/>
      <c r="C635" s="122"/>
      <c r="D635" s="111" t="s">
        <v>633</v>
      </c>
      <c r="E635" s="135">
        <f>E636</f>
        <v>146580000</v>
      </c>
      <c r="F635" s="134">
        <v>46073463891.389999</v>
      </c>
      <c r="G635" s="126">
        <f t="shared" si="9"/>
        <v>0.31814408472854633</v>
      </c>
      <c r="H635" s="120"/>
      <c r="I635" s="120"/>
      <c r="J635" s="116"/>
      <c r="K635" s="116"/>
      <c r="L635" s="116"/>
      <c r="M635" s="116"/>
      <c r="N635" s="116"/>
      <c r="O635" s="116"/>
      <c r="P635" s="116"/>
    </row>
    <row r="636" spans="2:16" s="108" customFormat="1" ht="33" hidden="1" customHeight="1">
      <c r="B636" s="109"/>
      <c r="C636" s="122"/>
      <c r="D636" s="123" t="s">
        <v>634</v>
      </c>
      <c r="E636" s="136">
        <v>146580000</v>
      </c>
      <c r="F636" s="134">
        <v>46073463891.389999</v>
      </c>
      <c r="G636" s="126">
        <f t="shared" si="9"/>
        <v>0.31814408472854633</v>
      </c>
      <c r="H636" s="120"/>
      <c r="I636" s="120"/>
      <c r="J636" s="116"/>
      <c r="K636" s="116"/>
      <c r="L636" s="116"/>
      <c r="M636" s="116"/>
      <c r="N636" s="116"/>
      <c r="O636" s="116"/>
      <c r="P636" s="116"/>
    </row>
    <row r="637" spans="2:16" s="108" customFormat="1" ht="21.75" hidden="1" customHeight="1">
      <c r="B637" s="109"/>
      <c r="C637" s="122"/>
      <c r="D637" s="111" t="s">
        <v>635</v>
      </c>
      <c r="E637" s="135">
        <f>SUM(E638:E640)</f>
        <v>1153420000</v>
      </c>
      <c r="F637" s="134">
        <v>46073463891.389999</v>
      </c>
      <c r="G637" s="126">
        <f t="shared" si="9"/>
        <v>2.5034366912784822</v>
      </c>
      <c r="H637" s="120"/>
      <c r="I637" s="120"/>
      <c r="J637" s="116"/>
      <c r="K637" s="116"/>
      <c r="L637" s="116"/>
      <c r="M637" s="116"/>
      <c r="N637" s="116"/>
      <c r="O637" s="116"/>
      <c r="P637" s="116"/>
    </row>
    <row r="638" spans="2:16" s="108" customFormat="1" ht="21.75" hidden="1" customHeight="1">
      <c r="B638" s="109"/>
      <c r="C638" s="122"/>
      <c r="D638" s="123" t="s">
        <v>636</v>
      </c>
      <c r="E638" s="136">
        <v>208044700</v>
      </c>
      <c r="F638" s="134">
        <v>46073463891.389999</v>
      </c>
      <c r="G638" s="126">
        <f t="shared" si="9"/>
        <v>0.4515499431308842</v>
      </c>
      <c r="H638" s="120"/>
      <c r="I638" s="120"/>
      <c r="J638" s="116"/>
      <c r="K638" s="116"/>
      <c r="L638" s="116"/>
      <c r="M638" s="116"/>
      <c r="N638" s="116"/>
      <c r="O638" s="116"/>
      <c r="P638" s="116"/>
    </row>
    <row r="639" spans="2:16" s="108" customFormat="1" ht="21.75" hidden="1" customHeight="1">
      <c r="B639" s="109"/>
      <c r="C639" s="122"/>
      <c r="D639" s="123" t="s">
        <v>313</v>
      </c>
      <c r="E639" s="136">
        <v>301005300</v>
      </c>
      <c r="F639" s="134">
        <v>46073463891.389999</v>
      </c>
      <c r="G639" s="126">
        <f t="shared" si="9"/>
        <v>0.65331597535094499</v>
      </c>
      <c r="H639" s="120"/>
      <c r="I639" s="120"/>
      <c r="J639" s="116"/>
      <c r="K639" s="116"/>
      <c r="L639" s="116"/>
      <c r="M639" s="116"/>
      <c r="N639" s="116"/>
      <c r="O639" s="116"/>
      <c r="P639" s="116"/>
    </row>
    <row r="640" spans="2:16" s="108" customFormat="1" ht="21.75" hidden="1" customHeight="1">
      <c r="B640" s="109"/>
      <c r="C640" s="122"/>
      <c r="D640" s="123" t="s">
        <v>637</v>
      </c>
      <c r="E640" s="136">
        <v>644370000</v>
      </c>
      <c r="F640" s="134">
        <v>46073463891.389999</v>
      </c>
      <c r="G640" s="126">
        <f t="shared" si="9"/>
        <v>1.398570772796653</v>
      </c>
      <c r="H640" s="120"/>
      <c r="I640" s="120"/>
      <c r="J640" s="116"/>
      <c r="K640" s="116"/>
      <c r="L640" s="116"/>
      <c r="M640" s="116"/>
      <c r="N640" s="116"/>
      <c r="O640" s="116"/>
      <c r="P640" s="116"/>
    </row>
    <row r="641" spans="2:16" s="108" customFormat="1" ht="21.75" hidden="1" customHeight="1">
      <c r="B641" s="109"/>
      <c r="C641" s="122"/>
      <c r="D641" s="111" t="s">
        <v>638</v>
      </c>
      <c r="E641" s="135">
        <f>E642</f>
        <v>300000000</v>
      </c>
      <c r="F641" s="134">
        <v>46073463891.389999</v>
      </c>
      <c r="G641" s="126">
        <f t="shared" si="9"/>
        <v>0.65113402523239117</v>
      </c>
      <c r="H641" s="120"/>
      <c r="I641" s="120"/>
      <c r="J641" s="116"/>
      <c r="K641" s="116"/>
      <c r="L641" s="116"/>
      <c r="M641" s="116"/>
      <c r="N641" s="116"/>
      <c r="O641" s="116"/>
      <c r="P641" s="116"/>
    </row>
    <row r="642" spans="2:16" s="108" customFormat="1" ht="21.75" hidden="1" customHeight="1">
      <c r="B642" s="109"/>
      <c r="C642" s="122"/>
      <c r="D642" s="123" t="s">
        <v>639</v>
      </c>
      <c r="E642" s="136">
        <v>300000000</v>
      </c>
      <c r="F642" s="134">
        <v>46073463891.389999</v>
      </c>
      <c r="G642" s="126">
        <f t="shared" ref="G642:G666" si="10">+E642/F642*100</f>
        <v>0.65113402523239117</v>
      </c>
      <c r="H642" s="120"/>
      <c r="I642" s="120"/>
      <c r="J642" s="116"/>
      <c r="K642" s="116"/>
      <c r="L642" s="116"/>
      <c r="M642" s="116"/>
      <c r="N642" s="116"/>
      <c r="O642" s="116"/>
      <c r="P642" s="116"/>
    </row>
    <row r="643" spans="2:16" s="108" customFormat="1" ht="21.75" hidden="1" customHeight="1">
      <c r="B643" s="109"/>
      <c r="C643" s="122"/>
      <c r="D643" s="111" t="s">
        <v>640</v>
      </c>
      <c r="E643" s="135">
        <f>E644</f>
        <v>400000000</v>
      </c>
      <c r="F643" s="134">
        <v>46073463891.389999</v>
      </c>
      <c r="G643" s="126">
        <f t="shared" si="10"/>
        <v>0.86817870030985489</v>
      </c>
      <c r="H643" s="120"/>
      <c r="I643" s="120"/>
      <c r="J643" s="116"/>
      <c r="K643" s="116"/>
      <c r="L643" s="116"/>
      <c r="M643" s="116"/>
      <c r="N643" s="116"/>
      <c r="O643" s="116"/>
      <c r="P643" s="116"/>
    </row>
    <row r="644" spans="2:16" s="108" customFormat="1" ht="21.75" hidden="1" customHeight="1">
      <c r="B644" s="109"/>
      <c r="C644" s="122"/>
      <c r="D644" s="123" t="s">
        <v>641</v>
      </c>
      <c r="E644" s="136">
        <v>400000000</v>
      </c>
      <c r="F644" s="134">
        <v>46073463891.389999</v>
      </c>
      <c r="G644" s="126">
        <f t="shared" si="10"/>
        <v>0.86817870030985489</v>
      </c>
      <c r="H644" s="120"/>
      <c r="I644" s="120"/>
      <c r="J644" s="116"/>
      <c r="K644" s="116"/>
      <c r="L644" s="116"/>
      <c r="M644" s="116"/>
      <c r="N644" s="116"/>
      <c r="O644" s="116"/>
      <c r="P644" s="116"/>
    </row>
    <row r="645" spans="2:16" s="108" customFormat="1" ht="15" hidden="1" customHeight="1">
      <c r="B645" s="109"/>
      <c r="C645" s="122"/>
      <c r="D645" s="123"/>
      <c r="E645" s="136"/>
      <c r="F645" s="134"/>
      <c r="G645" s="126"/>
      <c r="H645" s="120"/>
      <c r="I645" s="120"/>
      <c r="J645" s="116"/>
      <c r="K645" s="116"/>
      <c r="L645" s="116"/>
      <c r="M645" s="116"/>
      <c r="N645" s="116"/>
      <c r="O645" s="116"/>
      <c r="P645" s="116"/>
    </row>
    <row r="646" spans="2:16" s="108" customFormat="1" ht="21.75" hidden="1" customHeight="1">
      <c r="B646" s="109"/>
      <c r="C646" s="122"/>
      <c r="D646" s="111" t="s">
        <v>642</v>
      </c>
      <c r="E646" s="135">
        <f>+E647+E650</f>
        <v>669411000</v>
      </c>
      <c r="F646" s="134">
        <v>46073463891.389999</v>
      </c>
      <c r="G646" s="126">
        <f t="shared" si="10"/>
        <v>1.4529209298828007</v>
      </c>
      <c r="H646" s="120"/>
      <c r="I646" s="120"/>
      <c r="J646" s="116"/>
      <c r="K646" s="116"/>
      <c r="L646" s="116"/>
      <c r="M646" s="116"/>
      <c r="N646" s="116"/>
      <c r="O646" s="116"/>
      <c r="P646" s="116"/>
    </row>
    <row r="647" spans="2:16" s="108" customFormat="1" ht="30" hidden="1" customHeight="1">
      <c r="B647" s="109"/>
      <c r="C647" s="122"/>
      <c r="D647" s="111" t="s">
        <v>643</v>
      </c>
      <c r="E647" s="257">
        <f>+E648+E649</f>
        <v>418704000</v>
      </c>
      <c r="F647" s="134">
        <v>46073463891.389999</v>
      </c>
      <c r="G647" s="126">
        <f t="shared" si="10"/>
        <v>0.90877473633634365</v>
      </c>
      <c r="H647" s="120"/>
      <c r="I647" s="120"/>
      <c r="J647" s="116"/>
      <c r="K647" s="116"/>
      <c r="L647" s="116"/>
      <c r="M647" s="116"/>
      <c r="N647" s="116"/>
      <c r="O647" s="116"/>
      <c r="P647" s="116"/>
    </row>
    <row r="648" spans="2:16" s="108" customFormat="1" ht="21.75" hidden="1" customHeight="1">
      <c r="B648" s="109"/>
      <c r="C648" s="122"/>
      <c r="D648" s="123" t="s">
        <v>644</v>
      </c>
      <c r="E648" s="136">
        <v>300000000</v>
      </c>
      <c r="F648" s="134">
        <v>46073463891.389999</v>
      </c>
      <c r="G648" s="126">
        <f t="shared" si="10"/>
        <v>0.65113402523239117</v>
      </c>
      <c r="H648" s="120"/>
      <c r="I648" s="120"/>
      <c r="J648" s="116"/>
      <c r="K648" s="116"/>
      <c r="L648" s="116"/>
      <c r="M648" s="116"/>
      <c r="N648" s="116"/>
      <c r="O648" s="116"/>
      <c r="P648" s="116"/>
    </row>
    <row r="649" spans="2:16" s="108" customFormat="1" ht="21.75" hidden="1" customHeight="1">
      <c r="B649" s="109"/>
      <c r="C649" s="122"/>
      <c r="D649" s="123" t="s">
        <v>645</v>
      </c>
      <c r="E649" s="136">
        <v>118704000</v>
      </c>
      <c r="F649" s="134">
        <v>46073463891.389999</v>
      </c>
      <c r="G649" s="126">
        <f t="shared" si="10"/>
        <v>0.25764071110395254</v>
      </c>
      <c r="H649" s="120"/>
      <c r="I649" s="120"/>
      <c r="J649" s="116"/>
      <c r="K649" s="116"/>
      <c r="L649" s="116"/>
      <c r="M649" s="116"/>
      <c r="N649" s="116"/>
      <c r="O649" s="116"/>
      <c r="P649" s="116"/>
    </row>
    <row r="650" spans="2:16" s="108" customFormat="1" ht="21.75" hidden="1" customHeight="1">
      <c r="B650" s="109"/>
      <c r="C650" s="122"/>
      <c r="D650" s="111" t="s">
        <v>646</v>
      </c>
      <c r="E650" s="135">
        <f>E651</f>
        <v>250707000</v>
      </c>
      <c r="F650" s="134">
        <v>46073463891.389999</v>
      </c>
      <c r="G650" s="126">
        <f t="shared" si="10"/>
        <v>0.54414619354645699</v>
      </c>
      <c r="H650" s="120"/>
      <c r="I650" s="120"/>
      <c r="J650" s="116"/>
      <c r="K650" s="116"/>
      <c r="L650" s="116"/>
      <c r="M650" s="116"/>
      <c r="N650" s="116"/>
      <c r="O650" s="116"/>
      <c r="P650" s="116"/>
    </row>
    <row r="651" spans="2:16" s="108" customFormat="1" ht="21.75" hidden="1" customHeight="1">
      <c r="B651" s="109"/>
      <c r="C651" s="122"/>
      <c r="D651" s="123" t="s">
        <v>647</v>
      </c>
      <c r="E651" s="136">
        <v>250707000</v>
      </c>
      <c r="F651" s="134">
        <v>46073463891.389999</v>
      </c>
      <c r="G651" s="126">
        <f t="shared" si="10"/>
        <v>0.54414619354645699</v>
      </c>
      <c r="H651" s="120"/>
      <c r="I651" s="120"/>
      <c r="J651" s="116"/>
      <c r="K651" s="116"/>
      <c r="L651" s="116"/>
      <c r="M651" s="116"/>
      <c r="N651" s="116"/>
      <c r="O651" s="116"/>
      <c r="P651" s="116"/>
    </row>
    <row r="652" spans="2:16" s="108" customFormat="1" ht="15" hidden="1" customHeight="1">
      <c r="B652" s="109"/>
      <c r="C652" s="122"/>
      <c r="D652" s="111"/>
      <c r="E652" s="136"/>
      <c r="F652" s="134"/>
      <c r="G652" s="126"/>
      <c r="H652" s="120"/>
      <c r="I652" s="120"/>
      <c r="J652" s="116"/>
      <c r="K652" s="116"/>
      <c r="L652" s="116"/>
      <c r="M652" s="116"/>
      <c r="N652" s="116"/>
      <c r="O652" s="116"/>
      <c r="P652" s="116"/>
    </row>
    <row r="653" spans="2:16" s="108" customFormat="1" ht="21.75" hidden="1" customHeight="1">
      <c r="B653" s="109"/>
      <c r="C653" s="122"/>
      <c r="D653" s="111" t="s">
        <v>648</v>
      </c>
      <c r="E653" s="135">
        <f>+E654</f>
        <v>100000000</v>
      </c>
      <c r="F653" s="134">
        <v>46073463891.389999</v>
      </c>
      <c r="G653" s="126">
        <f t="shared" si="10"/>
        <v>0.21704467507746372</v>
      </c>
      <c r="H653" s="120"/>
      <c r="I653" s="120"/>
      <c r="J653" s="116"/>
      <c r="K653" s="116"/>
      <c r="L653" s="116"/>
      <c r="M653" s="116"/>
      <c r="N653" s="116"/>
      <c r="O653" s="116"/>
      <c r="P653" s="116"/>
    </row>
    <row r="654" spans="2:16" s="108" customFormat="1" ht="31.5" hidden="1" customHeight="1">
      <c r="B654" s="109"/>
      <c r="C654" s="122"/>
      <c r="D654" s="111" t="s">
        <v>649</v>
      </c>
      <c r="E654" s="257">
        <f>+E655</f>
        <v>100000000</v>
      </c>
      <c r="F654" s="134">
        <v>46073463891.389999</v>
      </c>
      <c r="G654" s="126">
        <f t="shared" si="10"/>
        <v>0.21704467507746372</v>
      </c>
      <c r="H654" s="120"/>
      <c r="I654" s="120"/>
      <c r="J654" s="116"/>
      <c r="K654" s="116"/>
      <c r="L654" s="116"/>
      <c r="M654" s="116"/>
      <c r="N654" s="116"/>
      <c r="O654" s="116"/>
      <c r="P654" s="116"/>
    </row>
    <row r="655" spans="2:16" s="108" customFormat="1" ht="21.75" hidden="1" customHeight="1">
      <c r="B655" s="109"/>
      <c r="C655" s="122"/>
      <c r="D655" s="123" t="s">
        <v>650</v>
      </c>
      <c r="E655" s="136">
        <v>100000000</v>
      </c>
      <c r="F655" s="134">
        <v>46073463891.389999</v>
      </c>
      <c r="G655" s="126">
        <f t="shared" si="10"/>
        <v>0.21704467507746372</v>
      </c>
      <c r="H655" s="120"/>
      <c r="I655" s="120"/>
      <c r="J655" s="116"/>
      <c r="K655" s="116"/>
      <c r="L655" s="116"/>
      <c r="M655" s="116"/>
      <c r="N655" s="116"/>
      <c r="O655" s="116"/>
      <c r="P655" s="116"/>
    </row>
    <row r="656" spans="2:16" s="108" customFormat="1" ht="15" hidden="1" customHeight="1">
      <c r="B656" s="109"/>
      <c r="C656" s="122"/>
      <c r="D656" s="123"/>
      <c r="E656" s="136"/>
      <c r="F656" s="134"/>
      <c r="G656" s="126"/>
      <c r="H656" s="120"/>
      <c r="I656" s="120"/>
      <c r="J656" s="116"/>
      <c r="K656" s="116"/>
      <c r="L656" s="116"/>
      <c r="M656" s="116"/>
      <c r="N656" s="116"/>
      <c r="O656" s="116"/>
      <c r="P656" s="116"/>
    </row>
    <row r="657" spans="2:16" s="108" customFormat="1" ht="21.75" hidden="1" customHeight="1">
      <c r="B657" s="109"/>
      <c r="C657" s="122"/>
      <c r="D657" s="111" t="s">
        <v>651</v>
      </c>
      <c r="E657" s="135">
        <f>+E658</f>
        <v>586650898</v>
      </c>
      <c r="F657" s="134">
        <v>46073463891.389999</v>
      </c>
      <c r="G657" s="126">
        <f t="shared" si="10"/>
        <v>1.2732945354031233</v>
      </c>
      <c r="H657" s="120"/>
      <c r="I657" s="120"/>
      <c r="J657" s="116"/>
      <c r="K657" s="116"/>
      <c r="L657" s="116"/>
      <c r="M657" s="116"/>
      <c r="N657" s="116"/>
      <c r="O657" s="116"/>
      <c r="P657" s="116"/>
    </row>
    <row r="658" spans="2:16" s="108" customFormat="1" ht="21.75" hidden="1" customHeight="1">
      <c r="B658" s="109"/>
      <c r="C658" s="122"/>
      <c r="D658" s="111" t="s">
        <v>652</v>
      </c>
      <c r="E658" s="135">
        <f>+E659</f>
        <v>586650898</v>
      </c>
      <c r="F658" s="134">
        <v>46073463891.389999</v>
      </c>
      <c r="G658" s="126">
        <f t="shared" si="10"/>
        <v>1.2732945354031233</v>
      </c>
      <c r="H658" s="120"/>
      <c r="I658" s="120"/>
      <c r="J658" s="116"/>
      <c r="K658" s="116"/>
      <c r="L658" s="116"/>
      <c r="M658" s="116"/>
      <c r="N658" s="116"/>
      <c r="O658" s="116"/>
      <c r="P658" s="116"/>
    </row>
    <row r="659" spans="2:16" s="108" customFormat="1" ht="32.25" hidden="1" customHeight="1">
      <c r="B659" s="109"/>
      <c r="C659" s="122"/>
      <c r="D659" s="123" t="s">
        <v>653</v>
      </c>
      <c r="E659" s="136">
        <v>586650898</v>
      </c>
      <c r="F659" s="134">
        <v>46073463891.389999</v>
      </c>
      <c r="G659" s="126">
        <f t="shared" si="10"/>
        <v>1.2732945354031233</v>
      </c>
      <c r="H659" s="120"/>
      <c r="I659" s="120"/>
      <c r="J659" s="116"/>
      <c r="K659" s="116"/>
      <c r="L659" s="116"/>
      <c r="M659" s="116"/>
      <c r="N659" s="116"/>
      <c r="O659" s="116"/>
      <c r="P659" s="116"/>
    </row>
    <row r="660" spans="2:16" s="108" customFormat="1" ht="15" hidden="1" customHeight="1">
      <c r="B660" s="109"/>
      <c r="C660" s="122"/>
      <c r="D660" s="123"/>
      <c r="E660" s="136"/>
      <c r="F660" s="134"/>
      <c r="G660" s="126"/>
      <c r="H660" s="120"/>
      <c r="I660" s="120"/>
      <c r="J660" s="116"/>
      <c r="K660" s="116"/>
      <c r="L660" s="116"/>
      <c r="M660" s="116"/>
      <c r="N660" s="116"/>
      <c r="O660" s="116"/>
      <c r="P660" s="116"/>
    </row>
    <row r="661" spans="2:16" s="108" customFormat="1" ht="21.75" hidden="1" customHeight="1">
      <c r="B661" s="109"/>
      <c r="C661" s="122"/>
      <c r="D661" s="111" t="s">
        <v>654</v>
      </c>
      <c r="E661" s="135">
        <f>+E662</f>
        <v>1000000000</v>
      </c>
      <c r="F661" s="134">
        <v>46073463891.389999</v>
      </c>
      <c r="G661" s="126">
        <f t="shared" si="10"/>
        <v>2.1704467507746372</v>
      </c>
      <c r="H661" s="120"/>
      <c r="I661" s="120"/>
      <c r="J661" s="116"/>
      <c r="K661" s="116"/>
      <c r="L661" s="116"/>
      <c r="M661" s="116"/>
      <c r="N661" s="116"/>
      <c r="O661" s="116"/>
      <c r="P661" s="116"/>
    </row>
    <row r="662" spans="2:16" s="108" customFormat="1" ht="30.75" hidden="1" customHeight="1">
      <c r="B662" s="109"/>
      <c r="C662" s="122"/>
      <c r="D662" s="111" t="s">
        <v>655</v>
      </c>
      <c r="E662" s="135">
        <f>+E663</f>
        <v>1000000000</v>
      </c>
      <c r="F662" s="134">
        <v>46073463891.389999</v>
      </c>
      <c r="G662" s="126">
        <f t="shared" si="10"/>
        <v>2.1704467507746372</v>
      </c>
      <c r="H662" s="120"/>
      <c r="I662" s="120"/>
      <c r="J662" s="116"/>
      <c r="K662" s="116"/>
      <c r="L662" s="116"/>
      <c r="M662" s="116"/>
      <c r="N662" s="116"/>
      <c r="O662" s="116"/>
      <c r="P662" s="116"/>
    </row>
    <row r="663" spans="2:16" s="108" customFormat="1" ht="21.75" hidden="1" customHeight="1">
      <c r="B663" s="109"/>
      <c r="C663" s="122"/>
      <c r="D663" s="123" t="s">
        <v>656</v>
      </c>
      <c r="E663" s="136">
        <v>1000000000</v>
      </c>
      <c r="F663" s="134">
        <v>46073463891.389999</v>
      </c>
      <c r="G663" s="126">
        <f t="shared" si="10"/>
        <v>2.1704467507746372</v>
      </c>
      <c r="H663" s="120"/>
      <c r="I663" s="120"/>
      <c r="J663" s="116"/>
      <c r="K663" s="116"/>
      <c r="L663" s="116"/>
      <c r="M663" s="116"/>
      <c r="N663" s="116"/>
      <c r="O663" s="116"/>
      <c r="P663" s="116"/>
    </row>
    <row r="664" spans="2:16" s="108" customFormat="1" ht="15" hidden="1" customHeight="1">
      <c r="B664" s="109"/>
      <c r="C664" s="122"/>
      <c r="D664" s="123"/>
      <c r="E664" s="136"/>
      <c r="F664" s="134"/>
      <c r="G664" s="126"/>
      <c r="H664" s="120"/>
      <c r="I664" s="120"/>
      <c r="J664" s="116"/>
      <c r="K664" s="116"/>
      <c r="L664" s="116"/>
      <c r="M664" s="116"/>
      <c r="N664" s="116"/>
      <c r="O664" s="116"/>
      <c r="P664" s="116"/>
    </row>
    <row r="665" spans="2:16" s="108" customFormat="1" ht="21.75" hidden="1" customHeight="1">
      <c r="B665" s="109"/>
      <c r="C665" s="122"/>
      <c r="D665" s="111" t="s">
        <v>657</v>
      </c>
      <c r="E665" s="135">
        <f>+E666</f>
        <v>3000000000</v>
      </c>
      <c r="F665" s="134">
        <v>46073463891.389999</v>
      </c>
      <c r="G665" s="126">
        <f t="shared" si="10"/>
        <v>6.5113402523239117</v>
      </c>
      <c r="H665" s="120"/>
      <c r="I665" s="120"/>
      <c r="J665" s="116"/>
      <c r="K665" s="116"/>
      <c r="L665" s="116"/>
      <c r="M665" s="116"/>
      <c r="N665" s="116"/>
      <c r="O665" s="116"/>
      <c r="P665" s="116"/>
    </row>
    <row r="666" spans="2:16" s="108" customFormat="1" ht="21.75" hidden="1" customHeight="1">
      <c r="B666" s="109"/>
      <c r="C666" s="122"/>
      <c r="D666" s="123" t="s">
        <v>658</v>
      </c>
      <c r="E666" s="136">
        <v>3000000000</v>
      </c>
      <c r="F666" s="113">
        <v>46073463891.389999</v>
      </c>
      <c r="G666" s="126">
        <f t="shared" si="10"/>
        <v>6.5113402523239117</v>
      </c>
      <c r="H666" s="120"/>
      <c r="I666" s="120"/>
      <c r="J666" s="116"/>
      <c r="K666" s="116"/>
      <c r="L666" s="116"/>
      <c r="M666" s="116"/>
      <c r="N666" s="116"/>
      <c r="O666" s="116"/>
      <c r="P666" s="116"/>
    </row>
    <row r="667" spans="2:16" s="108" customFormat="1" ht="15" hidden="1" customHeight="1">
      <c r="B667" s="109"/>
      <c r="C667" s="122"/>
      <c r="D667" s="123"/>
      <c r="E667" s="115"/>
      <c r="F667" s="113"/>
      <c r="G667" s="126"/>
      <c r="H667" s="120"/>
      <c r="I667" s="120"/>
      <c r="J667" s="116"/>
      <c r="K667" s="116"/>
      <c r="L667" s="116"/>
      <c r="M667" s="116"/>
      <c r="N667" s="116"/>
      <c r="O667" s="116"/>
      <c r="P667" s="116"/>
    </row>
    <row r="668" spans="2:16" s="117" customFormat="1" ht="21.75" hidden="1" customHeight="1">
      <c r="B668" s="118"/>
      <c r="C668" s="110" t="s">
        <v>659</v>
      </c>
      <c r="D668" s="111" t="s">
        <v>660</v>
      </c>
      <c r="E668" s="129">
        <v>45756973242.93</v>
      </c>
      <c r="F668" s="131">
        <v>1557405258400.0002</v>
      </c>
      <c r="G668" s="127">
        <f>+E668/F668*100</f>
        <v>2.9380261172315811</v>
      </c>
      <c r="H668" s="120"/>
      <c r="I668" s="120"/>
      <c r="J668" s="121"/>
      <c r="K668" s="121"/>
      <c r="L668" s="121"/>
      <c r="M668" s="121"/>
      <c r="N668" s="121"/>
      <c r="O668" s="121"/>
      <c r="P668" s="121"/>
    </row>
    <row r="669" spans="2:16" s="108" customFormat="1" ht="21.75" hidden="1" customHeight="1">
      <c r="B669" s="109"/>
      <c r="C669" s="122"/>
      <c r="D669" s="111" t="s">
        <v>661</v>
      </c>
      <c r="E669" s="709">
        <f>E670+E680</f>
        <v>13727091972.880001</v>
      </c>
      <c r="F669" s="113">
        <v>45756973242.93</v>
      </c>
      <c r="G669" s="126">
        <f>+E669/F669*100</f>
        <v>30.000000000002185</v>
      </c>
      <c r="H669" s="120"/>
      <c r="I669" s="120"/>
      <c r="J669" s="116"/>
      <c r="K669" s="116"/>
      <c r="L669" s="116"/>
      <c r="M669" s="116"/>
      <c r="N669" s="116"/>
      <c r="O669" s="116"/>
      <c r="P669" s="116"/>
    </row>
    <row r="670" spans="2:16" s="108" customFormat="1" ht="21.75" hidden="1" customHeight="1">
      <c r="B670" s="109"/>
      <c r="C670" s="122"/>
      <c r="D670" s="111" t="s">
        <v>444</v>
      </c>
      <c r="E670" s="709">
        <f>E671+E673+E676</f>
        <v>4727091972.8800001</v>
      </c>
      <c r="F670" s="114">
        <v>45756973243.93</v>
      </c>
      <c r="G670" s="126">
        <f t="shared" ref="G670:G742" si="11">+E670/F670*100</f>
        <v>10.330866833520471</v>
      </c>
      <c r="H670" s="120"/>
      <c r="I670" s="120"/>
      <c r="J670" s="116"/>
      <c r="K670" s="116"/>
      <c r="L670" s="116"/>
      <c r="M670" s="116"/>
      <c r="N670" s="116"/>
      <c r="O670" s="116"/>
      <c r="P670" s="116"/>
    </row>
    <row r="671" spans="2:16" s="108" customFormat="1" ht="21.75" hidden="1" customHeight="1">
      <c r="B671" s="109"/>
      <c r="C671" s="122"/>
      <c r="D671" s="111" t="s">
        <v>588</v>
      </c>
      <c r="E671" s="709">
        <f>E672</f>
        <v>266640000</v>
      </c>
      <c r="F671" s="114">
        <v>45756973244.93</v>
      </c>
      <c r="G671" s="126">
        <f t="shared" si="11"/>
        <v>0.58273085191347196</v>
      </c>
      <c r="H671" s="120"/>
      <c r="I671" s="120"/>
      <c r="J671" s="116"/>
      <c r="K671" s="116"/>
      <c r="L671" s="116"/>
      <c r="M671" s="116"/>
      <c r="N671" s="116"/>
      <c r="O671" s="116"/>
      <c r="P671" s="116"/>
    </row>
    <row r="672" spans="2:16" s="108" customFormat="1" ht="21.75" hidden="1" customHeight="1">
      <c r="B672" s="109"/>
      <c r="C672" s="122"/>
      <c r="D672" s="123" t="s">
        <v>662</v>
      </c>
      <c r="E672" s="696">
        <v>266640000</v>
      </c>
      <c r="F672" s="114">
        <v>45756973245.93</v>
      </c>
      <c r="G672" s="126">
        <f t="shared" si="11"/>
        <v>0.58273085190073659</v>
      </c>
      <c r="H672" s="120"/>
      <c r="I672" s="120"/>
      <c r="J672" s="116"/>
      <c r="K672" s="116"/>
      <c r="L672" s="116"/>
      <c r="M672" s="116"/>
      <c r="N672" s="116"/>
      <c r="O672" s="116"/>
      <c r="P672" s="116"/>
    </row>
    <row r="673" spans="2:16" s="108" customFormat="1" ht="21.75" hidden="1" customHeight="1">
      <c r="B673" s="109"/>
      <c r="C673" s="122"/>
      <c r="D673" s="111" t="s">
        <v>663</v>
      </c>
      <c r="E673" s="250">
        <f>SUM(E674:E675)</f>
        <v>3208360000</v>
      </c>
      <c r="F673" s="114">
        <v>45756973246.93</v>
      </c>
      <c r="G673" s="126">
        <f t="shared" si="11"/>
        <v>7.0117400088635904</v>
      </c>
      <c r="H673" s="120"/>
      <c r="I673" s="120"/>
      <c r="J673" s="116"/>
      <c r="K673" s="116"/>
      <c r="L673" s="116"/>
      <c r="M673" s="116"/>
      <c r="N673" s="116"/>
      <c r="O673" s="116"/>
      <c r="P673" s="116"/>
    </row>
    <row r="674" spans="2:16" s="108" customFormat="1" ht="21.75" hidden="1" customHeight="1">
      <c r="B674" s="109"/>
      <c r="C674" s="122"/>
      <c r="D674" s="123" t="s">
        <v>664</v>
      </c>
      <c r="E674" s="696">
        <v>2250000000</v>
      </c>
      <c r="F674" s="114">
        <v>45756973247.93</v>
      </c>
      <c r="G674" s="126">
        <f t="shared" si="11"/>
        <v>4.9172832910266582</v>
      </c>
      <c r="H674" s="120"/>
      <c r="I674" s="120"/>
      <c r="J674" s="116"/>
      <c r="K674" s="116"/>
      <c r="L674" s="116"/>
      <c r="M674" s="116"/>
      <c r="N674" s="116"/>
      <c r="O674" s="116"/>
      <c r="P674" s="116"/>
    </row>
    <row r="675" spans="2:16" s="108" customFormat="1" ht="21.75" hidden="1" customHeight="1">
      <c r="B675" s="109"/>
      <c r="C675" s="122"/>
      <c r="D675" s="123" t="s">
        <v>665</v>
      </c>
      <c r="E675" s="696">
        <v>958360000</v>
      </c>
      <c r="F675" s="114">
        <v>45756973248.93</v>
      </c>
      <c r="G675" s="126">
        <f t="shared" si="11"/>
        <v>2.094456717637919</v>
      </c>
      <c r="H675" s="120"/>
      <c r="I675" s="120"/>
      <c r="J675" s="116"/>
      <c r="K675" s="116"/>
      <c r="L675" s="116"/>
      <c r="M675" s="116"/>
      <c r="N675" s="116"/>
      <c r="O675" s="116"/>
      <c r="P675" s="116"/>
    </row>
    <row r="676" spans="2:16" s="108" customFormat="1" ht="21.75" hidden="1" customHeight="1">
      <c r="B676" s="109"/>
      <c r="C676" s="122"/>
      <c r="D676" s="111" t="s">
        <v>666</v>
      </c>
      <c r="E676" s="250">
        <f>SUM(E677:E678)</f>
        <v>1252091972.8800001</v>
      </c>
      <c r="F676" s="114">
        <v>45756973249.93</v>
      </c>
      <c r="G676" s="126">
        <f t="shared" si="11"/>
        <v>2.7363959719121405</v>
      </c>
      <c r="H676" s="120"/>
      <c r="I676" s="120"/>
      <c r="J676" s="116"/>
      <c r="K676" s="116"/>
      <c r="L676" s="116"/>
      <c r="M676" s="116"/>
      <c r="N676" s="116"/>
      <c r="O676" s="116"/>
      <c r="P676" s="116"/>
    </row>
    <row r="677" spans="2:16" s="108" customFormat="1" ht="21.75" hidden="1" customHeight="1">
      <c r="B677" s="109"/>
      <c r="C677" s="122"/>
      <c r="D677" s="123" t="s">
        <v>667</v>
      </c>
      <c r="E677" s="696">
        <v>750000000</v>
      </c>
      <c r="F677" s="114">
        <v>45756973250.93</v>
      </c>
      <c r="G677" s="126">
        <f t="shared" si="11"/>
        <v>1.6390944302347543</v>
      </c>
      <c r="H677" s="120"/>
      <c r="I677" s="120"/>
      <c r="J677" s="116"/>
      <c r="K677" s="116"/>
      <c r="L677" s="116"/>
      <c r="M677" s="116"/>
      <c r="N677" s="116"/>
      <c r="O677" s="116"/>
      <c r="P677" s="116"/>
    </row>
    <row r="678" spans="2:16" s="108" customFormat="1" ht="21.75" hidden="1" customHeight="1">
      <c r="B678" s="109"/>
      <c r="C678" s="122"/>
      <c r="D678" s="123" t="s">
        <v>668</v>
      </c>
      <c r="E678" s="696">
        <v>502091972.88</v>
      </c>
      <c r="F678" s="114">
        <v>45756973251.93</v>
      </c>
      <c r="G678" s="126">
        <f t="shared" si="11"/>
        <v>1.0973015415936018</v>
      </c>
      <c r="H678" s="120"/>
      <c r="I678" s="120"/>
      <c r="J678" s="116"/>
      <c r="K678" s="116"/>
      <c r="L678" s="116"/>
      <c r="M678" s="116"/>
      <c r="N678" s="116"/>
      <c r="O678" s="116"/>
      <c r="P678" s="116"/>
    </row>
    <row r="679" spans="2:16" s="108" customFormat="1" ht="15" hidden="1" customHeight="1">
      <c r="B679" s="109"/>
      <c r="C679" s="122"/>
      <c r="D679" s="123"/>
      <c r="E679" s="696"/>
      <c r="F679" s="114"/>
      <c r="G679" s="126"/>
      <c r="H679" s="120"/>
      <c r="I679" s="120"/>
      <c r="J679" s="116"/>
      <c r="K679" s="116"/>
      <c r="L679" s="116"/>
      <c r="M679" s="116"/>
      <c r="N679" s="116"/>
      <c r="O679" s="116"/>
      <c r="P679" s="116"/>
    </row>
    <row r="680" spans="2:16" s="108" customFormat="1" ht="21.75" hidden="1" customHeight="1">
      <c r="B680" s="109"/>
      <c r="C680" s="122"/>
      <c r="D680" s="111" t="s">
        <v>669</v>
      </c>
      <c r="E680" s="250">
        <f>E681</f>
        <v>9000000000</v>
      </c>
      <c r="F680" s="114">
        <v>45756973252.93</v>
      </c>
      <c r="G680" s="126">
        <f t="shared" si="11"/>
        <v>19.66913316195733</v>
      </c>
      <c r="H680" s="120"/>
      <c r="I680" s="120"/>
      <c r="J680" s="116"/>
      <c r="K680" s="116"/>
      <c r="L680" s="116"/>
      <c r="M680" s="116"/>
      <c r="N680" s="116"/>
      <c r="O680" s="116"/>
      <c r="P680" s="116"/>
    </row>
    <row r="681" spans="2:16" s="108" customFormat="1" ht="21.75" hidden="1" customHeight="1">
      <c r="B681" s="109"/>
      <c r="C681" s="122"/>
      <c r="D681" s="111" t="s">
        <v>595</v>
      </c>
      <c r="E681" s="250">
        <f>E682</f>
        <v>9000000000</v>
      </c>
      <c r="F681" s="114">
        <v>45756973253.93</v>
      </c>
      <c r="G681" s="126">
        <f t="shared" si="11"/>
        <v>19.669133161527469</v>
      </c>
      <c r="H681" s="120"/>
      <c r="I681" s="120"/>
      <c r="J681" s="116"/>
      <c r="K681" s="116"/>
      <c r="L681" s="116"/>
      <c r="M681" s="116"/>
      <c r="N681" s="116"/>
      <c r="O681" s="116"/>
      <c r="P681" s="116"/>
    </row>
    <row r="682" spans="2:16" s="108" customFormat="1" ht="48" hidden="1" customHeight="1">
      <c r="B682" s="109"/>
      <c r="C682" s="122"/>
      <c r="D682" s="123" t="s">
        <v>670</v>
      </c>
      <c r="E682" s="696">
        <v>9000000000</v>
      </c>
      <c r="F682" s="114">
        <v>45756973254.93</v>
      </c>
      <c r="G682" s="126">
        <f t="shared" si="11"/>
        <v>19.669133161097609</v>
      </c>
      <c r="H682" s="120"/>
      <c r="I682" s="120"/>
      <c r="J682" s="116"/>
      <c r="K682" s="116"/>
      <c r="L682" s="116"/>
      <c r="M682" s="116"/>
      <c r="N682" s="116"/>
      <c r="O682" s="116"/>
      <c r="P682" s="116"/>
    </row>
    <row r="683" spans="2:16" s="108" customFormat="1" ht="15" hidden="1" customHeight="1">
      <c r="B683" s="109"/>
      <c r="C683" s="122"/>
      <c r="D683" s="123"/>
      <c r="E683" s="696"/>
      <c r="F683" s="114"/>
      <c r="G683" s="126"/>
      <c r="H683" s="120"/>
      <c r="I683" s="120"/>
      <c r="J683" s="116"/>
      <c r="K683" s="116"/>
      <c r="L683" s="116"/>
      <c r="M683" s="116"/>
      <c r="N683" s="116"/>
      <c r="O683" s="116"/>
      <c r="P683" s="116"/>
    </row>
    <row r="684" spans="2:16" s="108" customFormat="1" ht="21.75" hidden="1" customHeight="1">
      <c r="B684" s="109"/>
      <c r="C684" s="122"/>
      <c r="D684" s="111" t="s">
        <v>671</v>
      </c>
      <c r="E684" s="250">
        <f>E685+E704+E708</f>
        <v>6863545986.4400005</v>
      </c>
      <c r="F684" s="114">
        <v>45756973255.93</v>
      </c>
      <c r="G684" s="126">
        <f t="shared" si="11"/>
        <v>14.999999995739449</v>
      </c>
      <c r="H684" s="120"/>
      <c r="I684" s="120"/>
      <c r="J684" s="116"/>
      <c r="K684" s="116"/>
      <c r="L684" s="116"/>
      <c r="M684" s="116"/>
      <c r="N684" s="116"/>
      <c r="O684" s="116"/>
      <c r="P684" s="116"/>
    </row>
    <row r="685" spans="2:16" s="108" customFormat="1" ht="21.75" hidden="1" customHeight="1">
      <c r="B685" s="109"/>
      <c r="C685" s="122"/>
      <c r="D685" s="111" t="s">
        <v>161</v>
      </c>
      <c r="E685" s="250">
        <f>+E686+E688+E691+E695+E700</f>
        <v>2000000000</v>
      </c>
      <c r="F685" s="114">
        <v>45756973256.93</v>
      </c>
      <c r="G685" s="126">
        <f t="shared" si="11"/>
        <v>4.3709184800528638</v>
      </c>
      <c r="H685" s="120"/>
      <c r="I685" s="120"/>
      <c r="J685" s="116"/>
      <c r="K685" s="116"/>
      <c r="L685" s="116"/>
      <c r="M685" s="116"/>
      <c r="N685" s="116"/>
      <c r="O685" s="116"/>
      <c r="P685" s="116"/>
    </row>
    <row r="686" spans="2:16" s="108" customFormat="1" ht="21.75" hidden="1" customHeight="1">
      <c r="B686" s="109"/>
      <c r="C686" s="122"/>
      <c r="D686" s="111" t="s">
        <v>672</v>
      </c>
      <c r="E686" s="250">
        <f>E687</f>
        <v>88000000</v>
      </c>
      <c r="F686" s="114">
        <v>45756973257.93</v>
      </c>
      <c r="G686" s="126">
        <f t="shared" si="11"/>
        <v>0.1923204131181229</v>
      </c>
      <c r="H686" s="120"/>
      <c r="I686" s="120"/>
      <c r="J686" s="116"/>
      <c r="K686" s="116"/>
      <c r="L686" s="116"/>
      <c r="M686" s="116"/>
      <c r="N686" s="116"/>
      <c r="O686" s="116"/>
      <c r="P686" s="116"/>
    </row>
    <row r="687" spans="2:16" s="108" customFormat="1" ht="48" hidden="1" customHeight="1">
      <c r="B687" s="109"/>
      <c r="C687" s="122"/>
      <c r="D687" s="123" t="s">
        <v>673</v>
      </c>
      <c r="E687" s="696">
        <v>88000000</v>
      </c>
      <c r="F687" s="114">
        <v>45756973258.93</v>
      </c>
      <c r="G687" s="126">
        <f t="shared" si="11"/>
        <v>0.19232041311391981</v>
      </c>
      <c r="H687" s="120"/>
      <c r="I687" s="120"/>
      <c r="J687" s="116"/>
      <c r="K687" s="116"/>
      <c r="L687" s="116"/>
      <c r="M687" s="116"/>
      <c r="N687" s="116"/>
      <c r="O687" s="116"/>
      <c r="P687" s="116"/>
    </row>
    <row r="688" spans="2:16" s="108" customFormat="1" ht="21.75" hidden="1" customHeight="1">
      <c r="B688" s="109"/>
      <c r="C688" s="122"/>
      <c r="D688" s="111" t="s">
        <v>674</v>
      </c>
      <c r="E688" s="250">
        <f>E689+E690</f>
        <v>200000000</v>
      </c>
      <c r="F688" s="114">
        <v>45756973259.93</v>
      </c>
      <c r="G688" s="126">
        <f t="shared" si="11"/>
        <v>0.43709184797662898</v>
      </c>
      <c r="H688" s="120"/>
      <c r="I688" s="120"/>
      <c r="J688" s="116"/>
      <c r="K688" s="116"/>
      <c r="L688" s="116"/>
      <c r="M688" s="116"/>
      <c r="N688" s="116"/>
      <c r="O688" s="116"/>
      <c r="P688" s="116"/>
    </row>
    <row r="689" spans="2:16" s="108" customFormat="1" ht="21.75" hidden="1" customHeight="1">
      <c r="B689" s="109"/>
      <c r="C689" s="122"/>
      <c r="D689" s="123" t="s">
        <v>675</v>
      </c>
      <c r="E689" s="696">
        <v>180350000</v>
      </c>
      <c r="F689" s="114">
        <v>45756973260.93</v>
      </c>
      <c r="G689" s="126">
        <f t="shared" si="11"/>
        <v>0.39414757390431121</v>
      </c>
      <c r="H689" s="120"/>
      <c r="I689" s="120"/>
      <c r="J689" s="116"/>
      <c r="K689" s="116"/>
      <c r="L689" s="116"/>
      <c r="M689" s="116"/>
      <c r="N689" s="116"/>
      <c r="O689" s="116"/>
      <c r="P689" s="116"/>
    </row>
    <row r="690" spans="2:16" s="108" customFormat="1" ht="21.75" hidden="1" customHeight="1">
      <c r="B690" s="109"/>
      <c r="C690" s="122"/>
      <c r="D690" s="123" t="s">
        <v>676</v>
      </c>
      <c r="E690" s="696">
        <v>19650000</v>
      </c>
      <c r="F690" s="114">
        <v>45756973261.93</v>
      </c>
      <c r="G690" s="126">
        <f t="shared" si="11"/>
        <v>4.2944274061826736E-2</v>
      </c>
      <c r="H690" s="120"/>
      <c r="I690" s="120"/>
      <c r="J690" s="116"/>
      <c r="K690" s="116"/>
      <c r="L690" s="116"/>
      <c r="M690" s="116"/>
      <c r="N690" s="116"/>
      <c r="O690" s="116"/>
      <c r="P690" s="116"/>
    </row>
    <row r="691" spans="2:16" s="108" customFormat="1" ht="21.75" hidden="1" customHeight="1">
      <c r="B691" s="109"/>
      <c r="C691" s="122"/>
      <c r="D691" s="111" t="s">
        <v>606</v>
      </c>
      <c r="E691" s="250">
        <f>SUM(E692:E694)</f>
        <v>800000000</v>
      </c>
      <c r="F691" s="114">
        <v>45756973262.93</v>
      </c>
      <c r="G691" s="126">
        <f t="shared" si="11"/>
        <v>1.7483673917918865</v>
      </c>
      <c r="H691" s="120"/>
      <c r="I691" s="120"/>
      <c r="J691" s="116"/>
      <c r="K691" s="116"/>
      <c r="L691" s="116"/>
      <c r="M691" s="116"/>
      <c r="N691" s="116"/>
      <c r="O691" s="116"/>
      <c r="P691" s="116"/>
    </row>
    <row r="692" spans="2:16" s="108" customFormat="1" ht="21.75" hidden="1" customHeight="1">
      <c r="B692" s="109"/>
      <c r="C692" s="122"/>
      <c r="D692" s="123" t="s">
        <v>677</v>
      </c>
      <c r="E692" s="696">
        <v>455720000</v>
      </c>
      <c r="F692" s="114">
        <v>45756973263.93</v>
      </c>
      <c r="G692" s="126">
        <f t="shared" si="11"/>
        <v>0.99595748471248169</v>
      </c>
      <c r="H692" s="120"/>
      <c r="I692" s="120"/>
      <c r="J692" s="116"/>
      <c r="K692" s="116"/>
      <c r="L692" s="116"/>
      <c r="M692" s="116"/>
      <c r="N692" s="116"/>
      <c r="O692" s="116"/>
      <c r="P692" s="116"/>
    </row>
    <row r="693" spans="2:16" s="108" customFormat="1" ht="21.75" hidden="1" customHeight="1">
      <c r="B693" s="109"/>
      <c r="C693" s="122"/>
      <c r="D693" s="123" t="s">
        <v>2030</v>
      </c>
      <c r="E693" s="696">
        <v>312480000</v>
      </c>
      <c r="F693" s="114">
        <v>45756973264.93</v>
      </c>
      <c r="G693" s="126">
        <f t="shared" si="11"/>
        <v>0.68291230320406127</v>
      </c>
      <c r="H693" s="120"/>
      <c r="I693" s="120"/>
      <c r="J693" s="116"/>
      <c r="K693" s="116"/>
      <c r="L693" s="116"/>
      <c r="M693" s="116"/>
      <c r="N693" s="116"/>
      <c r="O693" s="116"/>
      <c r="P693" s="116"/>
    </row>
    <row r="694" spans="2:16" s="108" customFormat="1" ht="21.75" hidden="1" customHeight="1">
      <c r="B694" s="109"/>
      <c r="C694" s="122"/>
      <c r="D694" s="123" t="s">
        <v>678</v>
      </c>
      <c r="E694" s="696">
        <v>31800000</v>
      </c>
      <c r="F694" s="114">
        <v>45756973265.93</v>
      </c>
      <c r="G694" s="126">
        <f t="shared" si="11"/>
        <v>6.9497603819170944E-2</v>
      </c>
      <c r="H694" s="120"/>
      <c r="I694" s="120"/>
      <c r="J694" s="116"/>
      <c r="K694" s="116"/>
      <c r="L694" s="116"/>
      <c r="M694" s="116"/>
      <c r="N694" s="116"/>
      <c r="O694" s="116"/>
      <c r="P694" s="116"/>
    </row>
    <row r="695" spans="2:16" s="108" customFormat="1" ht="21.75" hidden="1" customHeight="1">
      <c r="B695" s="109"/>
      <c r="C695" s="122"/>
      <c r="D695" s="111" t="s">
        <v>597</v>
      </c>
      <c r="E695" s="250">
        <f>SUM(E696:E699)</f>
        <v>805250000</v>
      </c>
      <c r="F695" s="114">
        <v>45756973266.93</v>
      </c>
      <c r="G695" s="126">
        <f t="shared" si="11"/>
        <v>1.7598410526466781</v>
      </c>
      <c r="H695" s="120"/>
      <c r="I695" s="120"/>
      <c r="J695" s="116"/>
      <c r="K695" s="116"/>
      <c r="L695" s="116"/>
      <c r="M695" s="116"/>
      <c r="N695" s="116"/>
      <c r="O695" s="116"/>
      <c r="P695" s="116"/>
    </row>
    <row r="696" spans="2:16" s="108" customFormat="1" ht="21.75" hidden="1" customHeight="1">
      <c r="B696" s="109"/>
      <c r="C696" s="122"/>
      <c r="D696" s="123" t="s">
        <v>679</v>
      </c>
      <c r="E696" s="696">
        <v>340000000</v>
      </c>
      <c r="F696" s="114">
        <v>45756973267.93</v>
      </c>
      <c r="G696" s="126">
        <f t="shared" si="11"/>
        <v>0.7430561414303557</v>
      </c>
      <c r="H696" s="120"/>
      <c r="I696" s="120"/>
      <c r="J696" s="116"/>
      <c r="K696" s="116"/>
      <c r="L696" s="116"/>
      <c r="M696" s="116"/>
      <c r="N696" s="116"/>
      <c r="O696" s="116"/>
      <c r="P696" s="116"/>
    </row>
    <row r="697" spans="2:16" s="108" customFormat="1" ht="48" hidden="1" customHeight="1">
      <c r="B697" s="109"/>
      <c r="C697" s="122"/>
      <c r="D697" s="123" t="s">
        <v>680</v>
      </c>
      <c r="E697" s="696">
        <v>45250000</v>
      </c>
      <c r="F697" s="114">
        <v>45756973268.93</v>
      </c>
      <c r="G697" s="126">
        <f t="shared" si="11"/>
        <v>9.8892030585261095E-2</v>
      </c>
      <c r="H697" s="120"/>
      <c r="I697" s="120"/>
      <c r="J697" s="116"/>
      <c r="K697" s="116"/>
      <c r="L697" s="116"/>
      <c r="M697" s="116"/>
      <c r="N697" s="116"/>
      <c r="O697" s="116"/>
      <c r="P697" s="116"/>
    </row>
    <row r="698" spans="2:16" s="108" customFormat="1" ht="21.75" hidden="1" customHeight="1">
      <c r="B698" s="109"/>
      <c r="C698" s="122"/>
      <c r="D698" s="123" t="s">
        <v>681</v>
      </c>
      <c r="E698" s="696">
        <v>220000000</v>
      </c>
      <c r="F698" s="114">
        <v>45756973269.93</v>
      </c>
      <c r="G698" s="126">
        <f t="shared" si="11"/>
        <v>0.48080103266921481</v>
      </c>
      <c r="H698" s="120"/>
      <c r="I698" s="120"/>
      <c r="J698" s="116"/>
      <c r="K698" s="116"/>
      <c r="L698" s="116"/>
      <c r="M698" s="116"/>
      <c r="N698" s="116"/>
      <c r="O698" s="116"/>
      <c r="P698" s="116"/>
    </row>
    <row r="699" spans="2:16" s="108" customFormat="1" ht="21.75" hidden="1" customHeight="1">
      <c r="B699" s="109"/>
      <c r="C699" s="122"/>
      <c r="D699" s="123" t="s">
        <v>682</v>
      </c>
      <c r="E699" s="696">
        <v>200000000</v>
      </c>
      <c r="F699" s="114">
        <v>45756973270.93</v>
      </c>
      <c r="G699" s="126">
        <f t="shared" si="11"/>
        <v>0.43709184787155181</v>
      </c>
      <c r="H699" s="120"/>
      <c r="I699" s="120"/>
      <c r="J699" s="116"/>
      <c r="K699" s="116"/>
      <c r="L699" s="116"/>
      <c r="M699" s="116"/>
      <c r="N699" s="116"/>
      <c r="O699" s="116"/>
      <c r="P699" s="116"/>
    </row>
    <row r="700" spans="2:16" s="108" customFormat="1" ht="21.75" hidden="1" customHeight="1">
      <c r="B700" s="109"/>
      <c r="C700" s="122"/>
      <c r="D700" s="111" t="s">
        <v>683</v>
      </c>
      <c r="E700" s="250">
        <f>SUM(E701:E702)</f>
        <v>106750000</v>
      </c>
      <c r="F700" s="114">
        <v>45756973271.93</v>
      </c>
      <c r="G700" s="126">
        <f t="shared" si="11"/>
        <v>0.23329777379634217</v>
      </c>
      <c r="H700" s="120"/>
      <c r="I700" s="120"/>
      <c r="J700" s="116"/>
      <c r="K700" s="116"/>
      <c r="L700" s="116"/>
      <c r="M700" s="116"/>
      <c r="N700" s="116"/>
      <c r="O700" s="116"/>
      <c r="P700" s="116"/>
    </row>
    <row r="701" spans="2:16" s="108" customFormat="1" ht="21.75" hidden="1" customHeight="1">
      <c r="B701" s="109"/>
      <c r="C701" s="122"/>
      <c r="D701" s="123" t="s">
        <v>684</v>
      </c>
      <c r="E701" s="696">
        <v>56250000</v>
      </c>
      <c r="F701" s="114">
        <v>45756973272.93</v>
      </c>
      <c r="G701" s="126">
        <f t="shared" si="11"/>
        <v>0.1229320822085007</v>
      </c>
      <c r="H701" s="120"/>
      <c r="I701" s="120"/>
      <c r="J701" s="116"/>
      <c r="K701" s="116"/>
      <c r="L701" s="116"/>
      <c r="M701" s="116"/>
      <c r="N701" s="116"/>
      <c r="O701" s="116"/>
      <c r="P701" s="116"/>
    </row>
    <row r="702" spans="2:16" s="108" customFormat="1" ht="21.75" hidden="1" customHeight="1">
      <c r="B702" s="109"/>
      <c r="C702" s="122"/>
      <c r="D702" s="123" t="s">
        <v>685</v>
      </c>
      <c r="E702" s="696">
        <v>50500000</v>
      </c>
      <c r="F702" s="114">
        <v>45756973273.93</v>
      </c>
      <c r="G702" s="126">
        <f t="shared" si="11"/>
        <v>0.11036569158033085</v>
      </c>
      <c r="H702" s="120"/>
      <c r="I702" s="120"/>
      <c r="J702" s="116"/>
      <c r="K702" s="116"/>
      <c r="L702" s="116"/>
      <c r="M702" s="116"/>
      <c r="N702" s="116"/>
      <c r="O702" s="116"/>
      <c r="P702" s="116"/>
    </row>
    <row r="703" spans="2:16" s="108" customFormat="1" ht="15" hidden="1" customHeight="1">
      <c r="B703" s="109"/>
      <c r="C703" s="122"/>
      <c r="D703" s="123"/>
      <c r="E703" s="696"/>
      <c r="F703" s="114"/>
      <c r="G703" s="126"/>
      <c r="H703" s="120"/>
      <c r="I703" s="120"/>
      <c r="J703" s="116"/>
      <c r="K703" s="116"/>
      <c r="L703" s="116"/>
      <c r="M703" s="116"/>
      <c r="N703" s="116"/>
      <c r="O703" s="116"/>
      <c r="P703" s="116"/>
    </row>
    <row r="704" spans="2:16" s="108" customFormat="1" ht="21.75" hidden="1" customHeight="1">
      <c r="B704" s="109"/>
      <c r="C704" s="122"/>
      <c r="D704" s="111" t="s">
        <v>425</v>
      </c>
      <c r="E704" s="250">
        <f>E705</f>
        <v>3000000000</v>
      </c>
      <c r="F704" s="114">
        <v>45756973274.93</v>
      </c>
      <c r="G704" s="126">
        <f t="shared" si="11"/>
        <v>6.5563777175001299</v>
      </c>
      <c r="H704" s="120"/>
      <c r="I704" s="120"/>
      <c r="J704" s="116"/>
      <c r="K704" s="116"/>
      <c r="L704" s="116"/>
      <c r="M704" s="116"/>
      <c r="N704" s="116"/>
      <c r="O704" s="116"/>
      <c r="P704" s="116"/>
    </row>
    <row r="705" spans="2:16" s="108" customFormat="1" ht="28.5" hidden="1" customHeight="1">
      <c r="B705" s="109"/>
      <c r="C705" s="122"/>
      <c r="D705" s="111" t="s">
        <v>686</v>
      </c>
      <c r="E705" s="250">
        <f>E706</f>
        <v>3000000000</v>
      </c>
      <c r="F705" s="114">
        <v>45756973275.93</v>
      </c>
      <c r="G705" s="126">
        <f t="shared" si="11"/>
        <v>6.5563777173568427</v>
      </c>
      <c r="H705" s="120"/>
      <c r="I705" s="120"/>
      <c r="J705" s="116"/>
      <c r="K705" s="116"/>
      <c r="L705" s="116"/>
      <c r="M705" s="116"/>
      <c r="N705" s="116"/>
      <c r="O705" s="116"/>
      <c r="P705" s="116"/>
    </row>
    <row r="706" spans="2:16" s="108" customFormat="1" ht="21.75" hidden="1" customHeight="1">
      <c r="B706" s="109"/>
      <c r="C706" s="122"/>
      <c r="D706" s="123" t="s">
        <v>687</v>
      </c>
      <c r="E706" s="696">
        <v>3000000000</v>
      </c>
      <c r="F706" s="114">
        <v>45756973276.93</v>
      </c>
      <c r="G706" s="126">
        <f t="shared" si="11"/>
        <v>6.5563777172135556</v>
      </c>
      <c r="H706" s="120"/>
      <c r="I706" s="120"/>
      <c r="J706" s="116"/>
      <c r="K706" s="116"/>
      <c r="L706" s="116"/>
      <c r="M706" s="116"/>
      <c r="N706" s="116"/>
      <c r="O706" s="116"/>
      <c r="P706" s="116"/>
    </row>
    <row r="707" spans="2:16" s="108" customFormat="1" ht="21.75" hidden="1" customHeight="1">
      <c r="B707" s="109"/>
      <c r="C707" s="122"/>
      <c r="D707" s="123"/>
      <c r="E707" s="696"/>
      <c r="F707" s="114"/>
      <c r="G707" s="126"/>
      <c r="H707" s="120"/>
      <c r="I707" s="120"/>
      <c r="J707" s="116"/>
      <c r="K707" s="116"/>
      <c r="L707" s="116"/>
      <c r="M707" s="116"/>
      <c r="N707" s="116"/>
      <c r="O707" s="116"/>
      <c r="P707" s="116"/>
    </row>
    <row r="708" spans="2:16" s="108" customFormat="1" ht="21.75" hidden="1" customHeight="1">
      <c r="B708" s="109"/>
      <c r="C708" s="122"/>
      <c r="D708" s="111" t="s">
        <v>688</v>
      </c>
      <c r="E708" s="250">
        <f>E709+E711+E713+E716</f>
        <v>1863545986.4400001</v>
      </c>
      <c r="F708" s="114">
        <v>45756973277.93</v>
      </c>
      <c r="G708" s="126">
        <f t="shared" si="11"/>
        <v>4.0727037934103167</v>
      </c>
      <c r="H708" s="120"/>
      <c r="I708" s="120"/>
      <c r="J708" s="116"/>
      <c r="K708" s="116"/>
      <c r="L708" s="116"/>
      <c r="M708" s="116"/>
      <c r="N708" s="116"/>
      <c r="O708" s="116"/>
      <c r="P708" s="116"/>
    </row>
    <row r="709" spans="2:16" s="108" customFormat="1" ht="21.75" hidden="1" customHeight="1">
      <c r="B709" s="109"/>
      <c r="C709" s="122"/>
      <c r="D709" s="111" t="s">
        <v>689</v>
      </c>
      <c r="E709" s="710">
        <f>E710</f>
        <v>219640400</v>
      </c>
      <c r="F709" s="114">
        <v>45756973278.93</v>
      </c>
      <c r="G709" s="126">
        <f t="shared" si="11"/>
        <v>0.48001514143230972</v>
      </c>
      <c r="H709" s="120"/>
      <c r="I709" s="120"/>
      <c r="J709" s="116"/>
      <c r="K709" s="116"/>
      <c r="L709" s="116"/>
      <c r="M709" s="116"/>
      <c r="N709" s="116"/>
      <c r="O709" s="116"/>
      <c r="P709" s="116"/>
    </row>
    <row r="710" spans="2:16" s="108" customFormat="1" ht="21.75" hidden="1" customHeight="1">
      <c r="B710" s="109"/>
      <c r="C710" s="122"/>
      <c r="D710" s="123" t="s">
        <v>690</v>
      </c>
      <c r="E710" s="711">
        <v>219640400</v>
      </c>
      <c r="F710" s="114">
        <v>45756973279.93</v>
      </c>
      <c r="G710" s="126">
        <f t="shared" si="11"/>
        <v>0.48001514142181917</v>
      </c>
      <c r="H710" s="120"/>
      <c r="I710" s="120"/>
      <c r="J710" s="116"/>
      <c r="K710" s="116"/>
      <c r="L710" s="116"/>
      <c r="M710" s="116"/>
      <c r="N710" s="116"/>
      <c r="O710" s="116"/>
      <c r="P710" s="116"/>
    </row>
    <row r="711" spans="2:16" s="108" customFormat="1" ht="21.75" hidden="1" customHeight="1">
      <c r="B711" s="109"/>
      <c r="C711" s="122"/>
      <c r="D711" s="111" t="s">
        <v>597</v>
      </c>
      <c r="E711" s="250">
        <f>E712</f>
        <v>333600900</v>
      </c>
      <c r="F711" s="114">
        <v>45756973280.93</v>
      </c>
      <c r="G711" s="126">
        <f t="shared" si="11"/>
        <v>0.72907116900372837</v>
      </c>
      <c r="H711" s="120"/>
      <c r="I711" s="120"/>
      <c r="J711" s="116"/>
      <c r="K711" s="116"/>
      <c r="L711" s="116"/>
      <c r="M711" s="116"/>
      <c r="N711" s="116"/>
      <c r="O711" s="116"/>
      <c r="P711" s="116"/>
    </row>
    <row r="712" spans="2:16" s="108" customFormat="1" ht="32.25" hidden="1" customHeight="1">
      <c r="B712" s="109"/>
      <c r="C712" s="122"/>
      <c r="D712" s="123" t="s">
        <v>691</v>
      </c>
      <c r="E712" s="696">
        <v>333600900</v>
      </c>
      <c r="F712" s="114">
        <v>45756973281.93</v>
      </c>
      <c r="G712" s="126">
        <f t="shared" si="11"/>
        <v>0.72907116898779478</v>
      </c>
      <c r="H712" s="120"/>
      <c r="I712" s="120"/>
      <c r="J712" s="116"/>
      <c r="K712" s="116"/>
      <c r="L712" s="116"/>
      <c r="M712" s="116"/>
      <c r="N712" s="116"/>
      <c r="O712" s="116"/>
      <c r="P712" s="116"/>
    </row>
    <row r="713" spans="2:16" s="108" customFormat="1" ht="21.75" hidden="1" customHeight="1">
      <c r="B713" s="109"/>
      <c r="C713" s="122"/>
      <c r="D713" s="111" t="s">
        <v>692</v>
      </c>
      <c r="E713" s="250">
        <f>SUM(E714:E715)</f>
        <v>939957186.44000006</v>
      </c>
      <c r="F713" s="114">
        <v>45756973282.93</v>
      </c>
      <c r="G713" s="126">
        <f t="shared" si="11"/>
        <v>2.0542381171672877</v>
      </c>
      <c r="H713" s="120"/>
      <c r="I713" s="120"/>
      <c r="J713" s="116"/>
      <c r="K713" s="116"/>
      <c r="L713" s="116"/>
      <c r="M713" s="116"/>
      <c r="N713" s="116"/>
      <c r="O713" s="116"/>
      <c r="P713" s="116"/>
    </row>
    <row r="714" spans="2:16" s="108" customFormat="1" ht="21.75" hidden="1" customHeight="1">
      <c r="B714" s="109"/>
      <c r="C714" s="122"/>
      <c r="D714" s="123" t="s">
        <v>693</v>
      </c>
      <c r="E714" s="696">
        <v>537250000</v>
      </c>
      <c r="F714" s="114">
        <v>45756973283.93</v>
      </c>
      <c r="G714" s="126">
        <f t="shared" si="11"/>
        <v>1.1741379760113722</v>
      </c>
      <c r="H714" s="120"/>
      <c r="I714" s="120"/>
      <c r="J714" s="116"/>
      <c r="K714" s="116"/>
      <c r="L714" s="116"/>
      <c r="M714" s="116"/>
      <c r="N714" s="116"/>
      <c r="O714" s="116"/>
      <c r="P714" s="116"/>
    </row>
    <row r="715" spans="2:16" s="108" customFormat="1" ht="21.75" hidden="1" customHeight="1">
      <c r="B715" s="109"/>
      <c r="C715" s="122"/>
      <c r="D715" s="123" t="s">
        <v>694</v>
      </c>
      <c r="E715" s="696">
        <v>402707186.44</v>
      </c>
      <c r="F715" s="114">
        <v>45756973284.93</v>
      </c>
      <c r="G715" s="126">
        <f t="shared" si="11"/>
        <v>0.88010014109178647</v>
      </c>
      <c r="H715" s="120"/>
      <c r="I715" s="120"/>
      <c r="J715" s="116"/>
      <c r="K715" s="116"/>
      <c r="L715" s="116"/>
      <c r="M715" s="116"/>
      <c r="N715" s="116"/>
      <c r="O715" s="116"/>
      <c r="P715" s="116"/>
    </row>
    <row r="716" spans="2:16" s="108" customFormat="1" ht="21.75" hidden="1" customHeight="1">
      <c r="B716" s="109"/>
      <c r="C716" s="122"/>
      <c r="D716" s="111" t="s">
        <v>695</v>
      </c>
      <c r="E716" s="250">
        <f>E717</f>
        <v>370347500</v>
      </c>
      <c r="F716" s="114">
        <v>45756973285.93</v>
      </c>
      <c r="G716" s="126">
        <f t="shared" si="11"/>
        <v>0.80937936538271782</v>
      </c>
      <c r="H716" s="120"/>
      <c r="I716" s="120"/>
      <c r="J716" s="116"/>
      <c r="K716" s="116"/>
      <c r="L716" s="116"/>
      <c r="M716" s="116"/>
      <c r="N716" s="116"/>
      <c r="O716" s="116"/>
      <c r="P716" s="116"/>
    </row>
    <row r="717" spans="2:16" s="108" customFormat="1" ht="21.75" hidden="1" customHeight="1">
      <c r="B717" s="109"/>
      <c r="C717" s="122"/>
      <c r="D717" s="123" t="s">
        <v>696</v>
      </c>
      <c r="E717" s="696">
        <v>370347500</v>
      </c>
      <c r="F717" s="114">
        <v>45756973286.93</v>
      </c>
      <c r="G717" s="126">
        <f t="shared" si="11"/>
        <v>0.80937936536502919</v>
      </c>
      <c r="H717" s="120"/>
      <c r="I717" s="120"/>
      <c r="J717" s="116"/>
      <c r="K717" s="116"/>
      <c r="L717" s="116"/>
      <c r="M717" s="116"/>
      <c r="N717" s="116"/>
      <c r="O717" s="116"/>
      <c r="P717" s="116"/>
    </row>
    <row r="718" spans="2:16" s="108" customFormat="1" ht="15" hidden="1" customHeight="1">
      <c r="B718" s="109"/>
      <c r="C718" s="122"/>
      <c r="D718" s="123"/>
      <c r="E718" s="696"/>
      <c r="F718" s="114"/>
      <c r="G718" s="126"/>
      <c r="H718" s="120"/>
      <c r="I718" s="120"/>
      <c r="J718" s="116"/>
      <c r="K718" s="116"/>
      <c r="L718" s="116"/>
      <c r="M718" s="116"/>
      <c r="N718" s="116"/>
      <c r="O718" s="116"/>
      <c r="P718" s="116"/>
    </row>
    <row r="719" spans="2:16" s="108" customFormat="1" ht="21.75" hidden="1" customHeight="1">
      <c r="B719" s="109"/>
      <c r="C719" s="122"/>
      <c r="D719" s="111" t="s">
        <v>697</v>
      </c>
      <c r="E719" s="250">
        <f>E720+E724+E730+E738+E742+E748</f>
        <v>9510095330.0499992</v>
      </c>
      <c r="F719" s="114">
        <v>45756973287.93</v>
      </c>
      <c r="G719" s="126">
        <f t="shared" si="11"/>
        <v>20.783925698509037</v>
      </c>
      <c r="H719" s="120"/>
      <c r="I719" s="120"/>
      <c r="J719" s="116"/>
      <c r="K719" s="116"/>
      <c r="L719" s="116"/>
      <c r="M719" s="116"/>
      <c r="N719" s="116"/>
      <c r="O719" s="116"/>
      <c r="P719" s="116"/>
    </row>
    <row r="720" spans="2:16" s="108" customFormat="1" ht="21.75" hidden="1" customHeight="1">
      <c r="B720" s="109"/>
      <c r="C720" s="122"/>
      <c r="D720" s="111" t="s">
        <v>698</v>
      </c>
      <c r="E720" s="250">
        <f>E721</f>
        <v>2000000000</v>
      </c>
      <c r="F720" s="114">
        <v>45756973288.93</v>
      </c>
      <c r="G720" s="126">
        <f t="shared" si="11"/>
        <v>4.3709184769960752</v>
      </c>
      <c r="H720" s="120"/>
      <c r="I720" s="120"/>
      <c r="J720" s="116"/>
      <c r="K720" s="116"/>
      <c r="L720" s="116"/>
      <c r="M720" s="116"/>
      <c r="N720" s="116"/>
      <c r="O720" s="116"/>
      <c r="P720" s="116"/>
    </row>
    <row r="721" spans="2:16" s="108" customFormat="1" ht="21.75" hidden="1" customHeight="1">
      <c r="B721" s="109"/>
      <c r="C721" s="122"/>
      <c r="D721" s="111" t="s">
        <v>699</v>
      </c>
      <c r="E721" s="250">
        <f>E722</f>
        <v>2000000000</v>
      </c>
      <c r="F721" s="114">
        <v>45756973289.93</v>
      </c>
      <c r="G721" s="126">
        <f t="shared" si="11"/>
        <v>4.3709184769005507</v>
      </c>
      <c r="H721" s="120"/>
      <c r="I721" s="120"/>
      <c r="J721" s="116"/>
      <c r="K721" s="116"/>
      <c r="L721" s="116"/>
      <c r="M721" s="116"/>
      <c r="N721" s="116"/>
      <c r="O721" s="116"/>
      <c r="P721" s="116"/>
    </row>
    <row r="722" spans="2:16" s="108" customFormat="1" ht="21.75" hidden="1" customHeight="1">
      <c r="B722" s="109"/>
      <c r="C722" s="122"/>
      <c r="D722" s="123" t="s">
        <v>700</v>
      </c>
      <c r="E722" s="696">
        <v>2000000000</v>
      </c>
      <c r="F722" s="114">
        <v>45756973290.93</v>
      </c>
      <c r="G722" s="126">
        <f t="shared" si="11"/>
        <v>4.3709184768050253</v>
      </c>
      <c r="H722" s="120"/>
      <c r="I722" s="120"/>
      <c r="J722" s="116"/>
      <c r="K722" s="116"/>
      <c r="L722" s="116"/>
      <c r="M722" s="116"/>
      <c r="N722" s="116"/>
      <c r="O722" s="116"/>
      <c r="P722" s="116"/>
    </row>
    <row r="723" spans="2:16" s="108" customFormat="1" ht="15" hidden="1" customHeight="1">
      <c r="B723" s="109"/>
      <c r="C723" s="122"/>
      <c r="D723" s="123"/>
      <c r="E723" s="696"/>
      <c r="F723" s="114"/>
      <c r="G723" s="126"/>
      <c r="H723" s="120"/>
      <c r="I723" s="120"/>
      <c r="J723" s="116"/>
      <c r="K723" s="116"/>
      <c r="L723" s="116"/>
      <c r="M723" s="116"/>
      <c r="N723" s="116"/>
      <c r="O723" s="116"/>
      <c r="P723" s="116"/>
    </row>
    <row r="724" spans="2:16" s="108" customFormat="1" ht="21.75" hidden="1" customHeight="1">
      <c r="B724" s="109"/>
      <c r="C724" s="122"/>
      <c r="D724" s="111" t="s">
        <v>701</v>
      </c>
      <c r="E724" s="250">
        <f>E725</f>
        <v>2060095330.05</v>
      </c>
      <c r="F724" s="114">
        <v>45756973291.93</v>
      </c>
      <c r="G724" s="126">
        <f t="shared" si="11"/>
        <v>4.5022543709492515</v>
      </c>
      <c r="H724" s="120"/>
      <c r="I724" s="120"/>
      <c r="J724" s="116"/>
      <c r="K724" s="116"/>
      <c r="L724" s="116"/>
      <c r="M724" s="116"/>
      <c r="N724" s="116"/>
      <c r="O724" s="116"/>
      <c r="P724" s="116"/>
    </row>
    <row r="725" spans="2:16" s="108" customFormat="1" ht="21.75" hidden="1" customHeight="1">
      <c r="B725" s="109"/>
      <c r="C725" s="122"/>
      <c r="D725" s="111" t="s">
        <v>702</v>
      </c>
      <c r="E725" s="250">
        <f>SUM(E726:E728)</f>
        <v>2060095330.05</v>
      </c>
      <c r="F725" s="114">
        <v>45756973292.93</v>
      </c>
      <c r="G725" s="126">
        <f t="shared" si="11"/>
        <v>4.5022543708508564</v>
      </c>
      <c r="H725" s="120"/>
      <c r="I725" s="120"/>
      <c r="J725" s="116"/>
      <c r="K725" s="116"/>
      <c r="L725" s="116"/>
      <c r="M725" s="116"/>
      <c r="N725" s="116"/>
      <c r="O725" s="116"/>
      <c r="P725" s="116"/>
    </row>
    <row r="726" spans="2:16" s="108" customFormat="1" ht="21.75" hidden="1" customHeight="1">
      <c r="B726" s="109"/>
      <c r="C726" s="122"/>
      <c r="D726" s="123" t="s">
        <v>703</v>
      </c>
      <c r="E726" s="696">
        <v>304700000</v>
      </c>
      <c r="F726" s="114">
        <v>45756973293.93</v>
      </c>
      <c r="G726" s="126">
        <f t="shared" si="11"/>
        <v>0.66590942989758617</v>
      </c>
      <c r="H726" s="120"/>
      <c r="I726" s="120"/>
      <c r="J726" s="116"/>
      <c r="K726" s="116"/>
      <c r="L726" s="116"/>
      <c r="M726" s="116"/>
      <c r="N726" s="116"/>
      <c r="O726" s="116"/>
      <c r="P726" s="116"/>
    </row>
    <row r="727" spans="2:16" s="108" customFormat="1" ht="32.25" hidden="1" customHeight="1">
      <c r="B727" s="109"/>
      <c r="C727" s="122"/>
      <c r="D727" s="123" t="s">
        <v>704</v>
      </c>
      <c r="E727" s="696">
        <v>761250000</v>
      </c>
      <c r="F727" s="114">
        <v>45756973294.93</v>
      </c>
      <c r="G727" s="126">
        <f t="shared" si="11"/>
        <v>1.6636808450884766</v>
      </c>
      <c r="H727" s="120"/>
      <c r="I727" s="120"/>
      <c r="J727" s="116"/>
      <c r="K727" s="116"/>
      <c r="L727" s="116"/>
      <c r="M727" s="116"/>
      <c r="N727" s="116"/>
      <c r="O727" s="116"/>
      <c r="P727" s="116"/>
    </row>
    <row r="728" spans="2:16" s="108" customFormat="1" ht="48" hidden="1" customHeight="1">
      <c r="B728" s="109"/>
      <c r="C728" s="122"/>
      <c r="D728" s="123" t="s">
        <v>705</v>
      </c>
      <c r="E728" s="696">
        <v>994145330.04999995</v>
      </c>
      <c r="F728" s="114">
        <v>45756973295.93</v>
      </c>
      <c r="G728" s="126">
        <f t="shared" si="11"/>
        <v>2.1726640956350742</v>
      </c>
      <c r="H728" s="120"/>
      <c r="I728" s="120"/>
      <c r="J728" s="116"/>
      <c r="K728" s="116"/>
      <c r="L728" s="116"/>
      <c r="M728" s="116"/>
      <c r="N728" s="116"/>
      <c r="O728" s="116"/>
      <c r="P728" s="116"/>
    </row>
    <row r="729" spans="2:16" s="108" customFormat="1" ht="15" hidden="1" customHeight="1">
      <c r="B729" s="109"/>
      <c r="C729" s="122"/>
      <c r="D729" s="123"/>
      <c r="E729" s="696"/>
      <c r="F729" s="114"/>
      <c r="G729" s="126"/>
      <c r="H729" s="120"/>
      <c r="I729" s="120"/>
      <c r="J729" s="116"/>
      <c r="K729" s="116"/>
      <c r="L729" s="116"/>
      <c r="M729" s="116"/>
      <c r="N729" s="116"/>
      <c r="O729" s="116"/>
      <c r="P729" s="116"/>
    </row>
    <row r="730" spans="2:16" s="108" customFormat="1" ht="21.75" hidden="1" customHeight="1">
      <c r="B730" s="109"/>
      <c r="C730" s="122"/>
      <c r="D730" s="111" t="s">
        <v>706</v>
      </c>
      <c r="E730" s="250">
        <f>E731+E733+E735</f>
        <v>700000000</v>
      </c>
      <c r="F730" s="114">
        <v>45756973296.93</v>
      </c>
      <c r="G730" s="126">
        <f t="shared" si="11"/>
        <v>1.5298214666811571</v>
      </c>
      <c r="H730" s="120"/>
      <c r="I730" s="120"/>
      <c r="J730" s="116"/>
      <c r="K730" s="116"/>
      <c r="L730" s="116"/>
      <c r="M730" s="116"/>
      <c r="N730" s="116"/>
      <c r="O730" s="116"/>
      <c r="P730" s="116"/>
    </row>
    <row r="731" spans="2:16" s="108" customFormat="1" ht="21.75" hidden="1" customHeight="1">
      <c r="B731" s="109"/>
      <c r="C731" s="122"/>
      <c r="D731" s="111" t="s">
        <v>622</v>
      </c>
      <c r="E731" s="250">
        <f>E732</f>
        <v>560000000</v>
      </c>
      <c r="F731" s="134">
        <v>45756973297.93</v>
      </c>
      <c r="G731" s="126">
        <f t="shared" si="11"/>
        <v>1.2238571733181789</v>
      </c>
      <c r="H731" s="120"/>
      <c r="I731" s="120"/>
      <c r="J731" s="116"/>
      <c r="K731" s="116"/>
      <c r="L731" s="116"/>
      <c r="M731" s="116"/>
      <c r="N731" s="116"/>
      <c r="O731" s="116"/>
      <c r="P731" s="116"/>
    </row>
    <row r="732" spans="2:16" s="108" customFormat="1" ht="21.75" hidden="1" customHeight="1">
      <c r="B732" s="109"/>
      <c r="C732" s="122"/>
      <c r="D732" s="123" t="s">
        <v>707</v>
      </c>
      <c r="E732" s="696">
        <v>560000000</v>
      </c>
      <c r="F732" s="134">
        <v>45756973298.93</v>
      </c>
      <c r="G732" s="126">
        <f t="shared" si="11"/>
        <v>1.2238571732914321</v>
      </c>
      <c r="H732" s="120"/>
      <c r="I732" s="120"/>
      <c r="J732" s="116"/>
      <c r="K732" s="116"/>
      <c r="L732" s="116"/>
      <c r="M732" s="116"/>
      <c r="N732" s="116"/>
      <c r="O732" s="116"/>
      <c r="P732" s="116"/>
    </row>
    <row r="733" spans="2:16" s="108" customFormat="1" ht="21.75" hidden="1" customHeight="1">
      <c r="B733" s="109"/>
      <c r="C733" s="122"/>
      <c r="D733" s="111" t="s">
        <v>618</v>
      </c>
      <c r="E733" s="250">
        <f>E734</f>
        <v>104220000</v>
      </c>
      <c r="F733" s="134">
        <v>45756973299.93</v>
      </c>
      <c r="G733" s="126">
        <f t="shared" si="11"/>
        <v>0.22776856178150978</v>
      </c>
      <c r="H733" s="120"/>
      <c r="I733" s="120"/>
      <c r="J733" s="116"/>
      <c r="K733" s="116"/>
      <c r="L733" s="116"/>
      <c r="M733" s="116"/>
      <c r="N733" s="116"/>
      <c r="O733" s="116"/>
      <c r="P733" s="116"/>
    </row>
    <row r="734" spans="2:16" s="108" customFormat="1" ht="21.75" hidden="1" customHeight="1">
      <c r="B734" s="109"/>
      <c r="C734" s="122"/>
      <c r="D734" s="123" t="s">
        <v>708</v>
      </c>
      <c r="E734" s="696">
        <v>104220000</v>
      </c>
      <c r="F734" s="134">
        <v>45756973300.93</v>
      </c>
      <c r="G734" s="126">
        <f t="shared" si="11"/>
        <v>0.22776856177653201</v>
      </c>
      <c r="H734" s="120"/>
      <c r="I734" s="120"/>
      <c r="J734" s="116"/>
      <c r="K734" s="116"/>
      <c r="L734" s="116"/>
      <c r="M734" s="116"/>
      <c r="N734" s="116"/>
      <c r="O734" s="116"/>
      <c r="P734" s="116"/>
    </row>
    <row r="735" spans="2:16" s="108" customFormat="1" ht="21.75" hidden="1" customHeight="1">
      <c r="B735" s="109"/>
      <c r="C735" s="122"/>
      <c r="D735" s="111" t="s">
        <v>709</v>
      </c>
      <c r="E735" s="250">
        <f>E736</f>
        <v>35780000</v>
      </c>
      <c r="F735" s="134">
        <v>45756973301.93</v>
      </c>
      <c r="G735" s="126">
        <f t="shared" si="11"/>
        <v>7.8195731531243609E-2</v>
      </c>
      <c r="H735" s="120"/>
      <c r="I735" s="120"/>
      <c r="J735" s="116"/>
      <c r="K735" s="116"/>
      <c r="L735" s="116"/>
      <c r="M735" s="116"/>
      <c r="N735" s="116"/>
      <c r="O735" s="116"/>
      <c r="P735" s="116"/>
    </row>
    <row r="736" spans="2:16" s="108" customFormat="1" ht="21.75" hidden="1" customHeight="1">
      <c r="B736" s="109"/>
      <c r="C736" s="122"/>
      <c r="D736" s="123" t="s">
        <v>710</v>
      </c>
      <c r="E736" s="696">
        <v>35780000</v>
      </c>
      <c r="F736" s="134">
        <v>45756973302.93</v>
      </c>
      <c r="G736" s="126">
        <f t="shared" si="11"/>
        <v>7.8195731529534684E-2</v>
      </c>
      <c r="H736" s="120"/>
      <c r="I736" s="120"/>
      <c r="J736" s="116"/>
      <c r="K736" s="116"/>
      <c r="L736" s="116"/>
      <c r="M736" s="116"/>
      <c r="N736" s="116"/>
      <c r="O736" s="116"/>
      <c r="P736" s="116"/>
    </row>
    <row r="737" spans="2:16" s="108" customFormat="1" ht="15" hidden="1" customHeight="1">
      <c r="B737" s="109"/>
      <c r="C737" s="122"/>
      <c r="D737" s="123"/>
      <c r="E737" s="696"/>
      <c r="F737" s="134"/>
      <c r="G737" s="126"/>
      <c r="H737" s="120"/>
      <c r="I737" s="120"/>
      <c r="J737" s="116"/>
      <c r="K737" s="116"/>
      <c r="L737" s="116"/>
      <c r="M737" s="116"/>
      <c r="N737" s="116"/>
      <c r="O737" s="116"/>
      <c r="P737" s="116"/>
    </row>
    <row r="738" spans="2:16" s="108" customFormat="1" ht="21.75" hidden="1" customHeight="1">
      <c r="B738" s="109"/>
      <c r="C738" s="122"/>
      <c r="D738" s="111" t="s">
        <v>711</v>
      </c>
      <c r="E738" s="250">
        <f>E739</f>
        <v>3000000000</v>
      </c>
      <c r="F738" s="114">
        <v>45756973303.93</v>
      </c>
      <c r="G738" s="126">
        <f t="shared" si="11"/>
        <v>6.5563777133448076</v>
      </c>
      <c r="H738" s="120"/>
      <c r="I738" s="120"/>
      <c r="J738" s="116"/>
      <c r="K738" s="116"/>
      <c r="L738" s="116"/>
      <c r="M738" s="116"/>
      <c r="N738" s="116"/>
      <c r="O738" s="116"/>
      <c r="P738" s="116"/>
    </row>
    <row r="739" spans="2:16" s="108" customFormat="1" ht="21.75" hidden="1" customHeight="1">
      <c r="B739" s="109"/>
      <c r="C739" s="122"/>
      <c r="D739" s="111" t="s">
        <v>625</v>
      </c>
      <c r="E739" s="250">
        <f>E740</f>
        <v>3000000000</v>
      </c>
      <c r="F739" s="114">
        <v>45756973304.93</v>
      </c>
      <c r="G739" s="126">
        <f t="shared" si="11"/>
        <v>6.5563777132015204</v>
      </c>
      <c r="H739" s="120"/>
      <c r="I739" s="120"/>
      <c r="J739" s="116"/>
      <c r="K739" s="116"/>
      <c r="L739" s="116"/>
      <c r="M739" s="116"/>
      <c r="N739" s="116"/>
      <c r="O739" s="116"/>
      <c r="P739" s="116"/>
    </row>
    <row r="740" spans="2:16" s="108" customFormat="1" ht="21.75" hidden="1" customHeight="1">
      <c r="B740" s="109"/>
      <c r="C740" s="122"/>
      <c r="D740" s="123" t="s">
        <v>712</v>
      </c>
      <c r="E740" s="696">
        <v>3000000000</v>
      </c>
      <c r="F740" s="114">
        <v>45756973305.93</v>
      </c>
      <c r="G740" s="126">
        <f t="shared" si="11"/>
        <v>6.5563777130582341</v>
      </c>
      <c r="H740" s="120"/>
      <c r="I740" s="120"/>
      <c r="J740" s="116"/>
      <c r="K740" s="116"/>
      <c r="L740" s="116"/>
      <c r="M740" s="116"/>
      <c r="N740" s="116"/>
      <c r="O740" s="116"/>
      <c r="P740" s="116"/>
    </row>
    <row r="741" spans="2:16" s="108" customFormat="1" ht="15" hidden="1" customHeight="1">
      <c r="B741" s="109"/>
      <c r="C741" s="122"/>
      <c r="D741" s="123"/>
      <c r="E741" s="696"/>
      <c r="F741" s="114"/>
      <c r="G741" s="126"/>
      <c r="H741" s="120"/>
      <c r="I741" s="120"/>
      <c r="J741" s="116"/>
      <c r="K741" s="116"/>
      <c r="L741" s="116"/>
      <c r="M741" s="116"/>
      <c r="N741" s="116"/>
      <c r="O741" s="116"/>
      <c r="P741" s="116"/>
    </row>
    <row r="742" spans="2:16" s="108" customFormat="1" ht="21.75" hidden="1" customHeight="1">
      <c r="B742" s="109"/>
      <c r="C742" s="122"/>
      <c r="D742" s="111" t="s">
        <v>464</v>
      </c>
      <c r="E742" s="250">
        <f>E743+E745</f>
        <v>750000000</v>
      </c>
      <c r="F742" s="114">
        <v>45756973306.93</v>
      </c>
      <c r="G742" s="126">
        <f t="shared" si="11"/>
        <v>1.6390944282287367</v>
      </c>
      <c r="H742" s="120"/>
      <c r="I742" s="120"/>
      <c r="J742" s="116"/>
      <c r="K742" s="116"/>
      <c r="L742" s="116"/>
      <c r="M742" s="116"/>
      <c r="N742" s="116"/>
      <c r="O742" s="116"/>
      <c r="P742" s="116"/>
    </row>
    <row r="743" spans="2:16" s="108" customFormat="1" ht="29.25" hidden="1" customHeight="1">
      <c r="B743" s="109"/>
      <c r="C743" s="122"/>
      <c r="D743" s="111" t="s">
        <v>713</v>
      </c>
      <c r="E743" s="250">
        <f>E744</f>
        <v>483475000</v>
      </c>
      <c r="F743" s="114">
        <v>45756973307.93</v>
      </c>
      <c r="G743" s="126">
        <f t="shared" ref="G743:G811" si="12">+E743/F743*100</f>
        <v>1.0566149048940927</v>
      </c>
      <c r="H743" s="120"/>
      <c r="I743" s="120"/>
      <c r="J743" s="116"/>
      <c r="K743" s="116"/>
      <c r="L743" s="116"/>
      <c r="M743" s="116"/>
      <c r="N743" s="116"/>
      <c r="O743" s="116"/>
      <c r="P743" s="116"/>
    </row>
    <row r="744" spans="2:16" s="108" customFormat="1" ht="21.75" hidden="1" customHeight="1">
      <c r="B744" s="109"/>
      <c r="C744" s="122"/>
      <c r="D744" s="123" t="s">
        <v>714</v>
      </c>
      <c r="E744" s="696">
        <v>483475000</v>
      </c>
      <c r="F744" s="114">
        <v>45756973308.93</v>
      </c>
      <c r="G744" s="126">
        <f t="shared" si="12"/>
        <v>1.056614904871001</v>
      </c>
      <c r="H744" s="120"/>
      <c r="I744" s="120"/>
      <c r="J744" s="116"/>
      <c r="K744" s="116"/>
      <c r="L744" s="116"/>
      <c r="M744" s="116"/>
      <c r="N744" s="116"/>
      <c r="O744" s="116"/>
      <c r="P744" s="116"/>
    </row>
    <row r="745" spans="2:16" s="108" customFormat="1" ht="21.75" hidden="1" customHeight="1">
      <c r="B745" s="109"/>
      <c r="C745" s="122"/>
      <c r="D745" s="111" t="s">
        <v>715</v>
      </c>
      <c r="E745" s="250">
        <f>E746</f>
        <v>266525000</v>
      </c>
      <c r="F745" s="114">
        <v>45756973309.93</v>
      </c>
      <c r="G745" s="126">
        <f t="shared" si="12"/>
        <v>0.58247952327336261</v>
      </c>
      <c r="H745" s="120"/>
      <c r="I745" s="120"/>
      <c r="J745" s="116"/>
      <c r="K745" s="116"/>
      <c r="L745" s="116"/>
      <c r="M745" s="116"/>
      <c r="N745" s="116"/>
      <c r="O745" s="116"/>
      <c r="P745" s="116"/>
    </row>
    <row r="746" spans="2:16" s="108" customFormat="1" ht="21.75" hidden="1" customHeight="1">
      <c r="B746" s="109"/>
      <c r="C746" s="122"/>
      <c r="D746" s="123" t="s">
        <v>716</v>
      </c>
      <c r="E746" s="696">
        <v>266525000</v>
      </c>
      <c r="F746" s="114">
        <v>45756973310.93</v>
      </c>
      <c r="G746" s="126">
        <f t="shared" si="12"/>
        <v>0.58247952326063268</v>
      </c>
      <c r="H746" s="120"/>
      <c r="I746" s="120"/>
      <c r="J746" s="116"/>
      <c r="K746" s="116"/>
      <c r="L746" s="116"/>
      <c r="M746" s="116"/>
      <c r="N746" s="116"/>
      <c r="O746" s="116"/>
      <c r="P746" s="116"/>
    </row>
    <row r="747" spans="2:16" s="108" customFormat="1" ht="15" hidden="1" customHeight="1">
      <c r="B747" s="109"/>
      <c r="C747" s="122"/>
      <c r="D747" s="123"/>
      <c r="E747" s="696"/>
      <c r="F747" s="114"/>
      <c r="G747" s="126"/>
      <c r="H747" s="120"/>
      <c r="I747" s="120"/>
      <c r="J747" s="116"/>
      <c r="K747" s="116"/>
      <c r="L747" s="116"/>
      <c r="M747" s="116"/>
      <c r="N747" s="116"/>
      <c r="O747" s="116"/>
      <c r="P747" s="116"/>
    </row>
    <row r="748" spans="2:16" s="108" customFormat="1" ht="21.75" hidden="1" customHeight="1">
      <c r="B748" s="109"/>
      <c r="C748" s="122"/>
      <c r="D748" s="111" t="s">
        <v>717</v>
      </c>
      <c r="E748" s="250">
        <f>E749+E751</f>
        <v>1000000000</v>
      </c>
      <c r="F748" s="114">
        <v>45756973311.93</v>
      </c>
      <c r="G748" s="126">
        <f t="shared" si="12"/>
        <v>2.1854592373995043</v>
      </c>
      <c r="H748" s="120"/>
      <c r="I748" s="120"/>
      <c r="J748" s="116"/>
      <c r="K748" s="116"/>
      <c r="L748" s="116"/>
      <c r="M748" s="116"/>
      <c r="N748" s="116"/>
      <c r="O748" s="116"/>
      <c r="P748" s="116"/>
    </row>
    <row r="749" spans="2:16" s="108" customFormat="1" ht="21.75" hidden="1" customHeight="1">
      <c r="B749" s="109"/>
      <c r="C749" s="122"/>
      <c r="D749" s="111" t="s">
        <v>718</v>
      </c>
      <c r="E749" s="250">
        <f>E750</f>
        <v>181251000</v>
      </c>
      <c r="F749" s="114">
        <v>45756973312.93</v>
      </c>
      <c r="G749" s="126">
        <f t="shared" si="12"/>
        <v>0.39611667222924057</v>
      </c>
      <c r="H749" s="120"/>
      <c r="I749" s="120"/>
      <c r="J749" s="116"/>
      <c r="K749" s="116"/>
      <c r="L749" s="116"/>
      <c r="M749" s="116"/>
      <c r="N749" s="116"/>
      <c r="O749" s="116"/>
      <c r="P749" s="116"/>
    </row>
    <row r="750" spans="2:16" s="108" customFormat="1" ht="21.75" hidden="1" customHeight="1">
      <c r="B750" s="109"/>
      <c r="C750" s="122"/>
      <c r="D750" s="123" t="s">
        <v>719</v>
      </c>
      <c r="E750" s="696">
        <v>181251000</v>
      </c>
      <c r="F750" s="114">
        <v>45756973313.93</v>
      </c>
      <c r="G750" s="126">
        <f t="shared" si="12"/>
        <v>0.39611667222058355</v>
      </c>
      <c r="H750" s="120"/>
      <c r="I750" s="120"/>
      <c r="J750" s="116"/>
      <c r="K750" s="116"/>
      <c r="L750" s="116"/>
      <c r="M750" s="116"/>
      <c r="N750" s="116"/>
      <c r="O750" s="116"/>
      <c r="P750" s="116"/>
    </row>
    <row r="751" spans="2:16" s="108" customFormat="1" ht="21.75" hidden="1" customHeight="1">
      <c r="B751" s="109"/>
      <c r="C751" s="122"/>
      <c r="D751" s="111" t="s">
        <v>640</v>
      </c>
      <c r="E751" s="250">
        <f>SUM(E752:E753)</f>
        <v>818749000</v>
      </c>
      <c r="F751" s="114">
        <v>45756973314.93</v>
      </c>
      <c r="G751" s="126">
        <f t="shared" si="12"/>
        <v>1.7893425650442905</v>
      </c>
      <c r="H751" s="120"/>
      <c r="I751" s="120"/>
      <c r="J751" s="116"/>
      <c r="K751" s="116"/>
      <c r="L751" s="116"/>
      <c r="M751" s="116"/>
      <c r="N751" s="116"/>
      <c r="O751" s="116"/>
      <c r="P751" s="116"/>
    </row>
    <row r="752" spans="2:16" s="108" customFormat="1" ht="21.75" hidden="1" customHeight="1">
      <c r="B752" s="109"/>
      <c r="C752" s="122"/>
      <c r="D752" s="123" t="s">
        <v>720</v>
      </c>
      <c r="E752" s="696">
        <v>356000000</v>
      </c>
      <c r="F752" s="114">
        <v>45756973315.93</v>
      </c>
      <c r="G752" s="126">
        <f t="shared" si="12"/>
        <v>0.77802348844620994</v>
      </c>
      <c r="H752" s="120"/>
      <c r="I752" s="120"/>
      <c r="J752" s="116"/>
      <c r="K752" s="116"/>
      <c r="L752" s="116"/>
      <c r="M752" s="116"/>
      <c r="N752" s="116"/>
      <c r="O752" s="116"/>
      <c r="P752" s="116"/>
    </row>
    <row r="753" spans="2:16" s="108" customFormat="1" ht="21.75" hidden="1" customHeight="1">
      <c r="B753" s="109"/>
      <c r="C753" s="122"/>
      <c r="D753" s="123" t="s">
        <v>324</v>
      </c>
      <c r="E753" s="696">
        <v>462749000</v>
      </c>
      <c r="F753" s="114">
        <v>45756973316.93</v>
      </c>
      <c r="G753" s="126">
        <f t="shared" si="12"/>
        <v>1.0113190765368734</v>
      </c>
      <c r="H753" s="120"/>
      <c r="I753" s="120"/>
      <c r="J753" s="116"/>
      <c r="K753" s="116"/>
      <c r="L753" s="116"/>
      <c r="M753" s="116"/>
      <c r="N753" s="116"/>
      <c r="O753" s="116"/>
      <c r="P753" s="116"/>
    </row>
    <row r="754" spans="2:16" s="108" customFormat="1" ht="15" hidden="1" customHeight="1">
      <c r="B754" s="109"/>
      <c r="C754" s="122"/>
      <c r="D754" s="123"/>
      <c r="E754" s="696"/>
      <c r="F754" s="114"/>
      <c r="G754" s="126"/>
      <c r="H754" s="120"/>
      <c r="I754" s="120"/>
      <c r="J754" s="116"/>
      <c r="K754" s="116"/>
      <c r="L754" s="116"/>
      <c r="M754" s="116"/>
      <c r="N754" s="116"/>
      <c r="O754" s="116"/>
      <c r="P754" s="116"/>
    </row>
    <row r="755" spans="2:16" s="108" customFormat="1" ht="21.75" hidden="1" customHeight="1">
      <c r="B755" s="109"/>
      <c r="C755" s="122"/>
      <c r="D755" s="111" t="s">
        <v>721</v>
      </c>
      <c r="E755" s="250">
        <f>E756+E760+E765+E770</f>
        <v>10000000000</v>
      </c>
      <c r="F755" s="114">
        <v>45756973317.93</v>
      </c>
      <c r="G755" s="126">
        <f t="shared" si="12"/>
        <v>21.854592371129304</v>
      </c>
      <c r="H755" s="120"/>
      <c r="I755" s="120"/>
      <c r="J755" s="116"/>
      <c r="K755" s="116"/>
      <c r="L755" s="116"/>
      <c r="M755" s="116"/>
      <c r="N755" s="116"/>
      <c r="O755" s="116"/>
      <c r="P755" s="116"/>
    </row>
    <row r="756" spans="2:16" s="108" customFormat="1" ht="21.75" hidden="1" customHeight="1">
      <c r="B756" s="109"/>
      <c r="C756" s="122"/>
      <c r="D756" s="111" t="s">
        <v>489</v>
      </c>
      <c r="E756" s="250">
        <f>E757</f>
        <v>3000000000</v>
      </c>
      <c r="F756" s="114">
        <v>45756973318.93</v>
      </c>
      <c r="G756" s="126">
        <f t="shared" si="12"/>
        <v>6.5563777111955028</v>
      </c>
      <c r="H756" s="120"/>
      <c r="I756" s="120"/>
      <c r="J756" s="116"/>
      <c r="K756" s="116"/>
      <c r="L756" s="116"/>
      <c r="M756" s="116"/>
      <c r="N756" s="116"/>
      <c r="O756" s="116"/>
      <c r="P756" s="116"/>
    </row>
    <row r="757" spans="2:16" s="108" customFormat="1" ht="21.75" hidden="1" customHeight="1">
      <c r="B757" s="109"/>
      <c r="C757" s="122"/>
      <c r="D757" s="111" t="s">
        <v>722</v>
      </c>
      <c r="E757" s="250">
        <f>E758</f>
        <v>3000000000</v>
      </c>
      <c r="F757" s="134">
        <v>45756973319.93</v>
      </c>
      <c r="G757" s="126">
        <f t="shared" si="12"/>
        <v>6.5563777110522166</v>
      </c>
      <c r="H757" s="120"/>
      <c r="I757" s="120"/>
      <c r="J757" s="116"/>
      <c r="K757" s="116"/>
      <c r="L757" s="116"/>
      <c r="M757" s="116"/>
      <c r="N757" s="116"/>
      <c r="O757" s="116"/>
      <c r="P757" s="116"/>
    </row>
    <row r="758" spans="2:16" s="108" customFormat="1" ht="21.75" hidden="1" customHeight="1">
      <c r="B758" s="109"/>
      <c r="C758" s="122"/>
      <c r="D758" s="123" t="s">
        <v>723</v>
      </c>
      <c r="E758" s="696">
        <v>3000000000</v>
      </c>
      <c r="F758" s="134">
        <v>45756973320.93</v>
      </c>
      <c r="G758" s="126">
        <f t="shared" si="12"/>
        <v>6.5563777109089294</v>
      </c>
      <c r="H758" s="120"/>
      <c r="I758" s="120"/>
      <c r="J758" s="116"/>
      <c r="K758" s="116"/>
      <c r="L758" s="116"/>
      <c r="M758" s="116"/>
      <c r="N758" s="116"/>
      <c r="O758" s="116"/>
      <c r="P758" s="116"/>
    </row>
    <row r="759" spans="2:16" s="108" customFormat="1" ht="15" hidden="1" customHeight="1">
      <c r="B759" s="109"/>
      <c r="C759" s="122"/>
      <c r="D759" s="123"/>
      <c r="E759" s="696"/>
      <c r="F759" s="134"/>
      <c r="G759" s="126"/>
      <c r="H759" s="120"/>
      <c r="I759" s="120"/>
      <c r="J759" s="116"/>
      <c r="K759" s="116"/>
      <c r="L759" s="116"/>
      <c r="M759" s="116"/>
      <c r="N759" s="116"/>
      <c r="O759" s="116"/>
      <c r="P759" s="116"/>
    </row>
    <row r="760" spans="2:16" s="108" customFormat="1" ht="21.75" hidden="1" customHeight="1">
      <c r="B760" s="109"/>
      <c r="C760" s="122"/>
      <c r="D760" s="111" t="s">
        <v>724</v>
      </c>
      <c r="E760" s="250">
        <f>E761</f>
        <v>500000000</v>
      </c>
      <c r="F760" s="114">
        <v>45756973321.93</v>
      </c>
      <c r="G760" s="126">
        <f t="shared" si="12"/>
        <v>1.0927296184609403</v>
      </c>
      <c r="H760" s="120"/>
      <c r="I760" s="120"/>
      <c r="J760" s="116"/>
      <c r="K760" s="116"/>
      <c r="L760" s="116"/>
      <c r="M760" s="116"/>
      <c r="N760" s="116"/>
      <c r="O760" s="116"/>
      <c r="P760" s="116"/>
    </row>
    <row r="761" spans="2:16" s="108" customFormat="1" ht="21.75" hidden="1" customHeight="1">
      <c r="B761" s="109"/>
      <c r="C761" s="122"/>
      <c r="D761" s="111" t="s">
        <v>725</v>
      </c>
      <c r="E761" s="250">
        <f>SUM(E762:E763)</f>
        <v>500000000</v>
      </c>
      <c r="F761" s="114">
        <v>45756973322.93</v>
      </c>
      <c r="G761" s="126">
        <f t="shared" si="12"/>
        <v>1.0927296184370594</v>
      </c>
      <c r="H761" s="120"/>
      <c r="I761" s="120"/>
      <c r="J761" s="116"/>
      <c r="K761" s="116"/>
      <c r="L761" s="116"/>
      <c r="M761" s="116"/>
      <c r="N761" s="116"/>
      <c r="O761" s="116"/>
      <c r="P761" s="116"/>
    </row>
    <row r="762" spans="2:16" s="108" customFormat="1" ht="21.75" hidden="1" customHeight="1">
      <c r="B762" s="109"/>
      <c r="C762" s="122"/>
      <c r="D762" s="123" t="s">
        <v>726</v>
      </c>
      <c r="E762" s="696">
        <v>422180000</v>
      </c>
      <c r="F762" s="114">
        <v>45756973323.93</v>
      </c>
      <c r="G762" s="126">
        <f t="shared" si="12"/>
        <v>0.922657180603351</v>
      </c>
      <c r="H762" s="120"/>
      <c r="I762" s="120"/>
      <c r="J762" s="116"/>
      <c r="K762" s="116"/>
      <c r="L762" s="116"/>
      <c r="M762" s="116"/>
      <c r="N762" s="116"/>
      <c r="O762" s="116"/>
      <c r="P762" s="116"/>
    </row>
    <row r="763" spans="2:16" s="108" customFormat="1" ht="21.75" hidden="1" customHeight="1">
      <c r="B763" s="109"/>
      <c r="C763" s="122"/>
      <c r="D763" s="123" t="s">
        <v>727</v>
      </c>
      <c r="E763" s="696">
        <v>77820000</v>
      </c>
      <c r="F763" s="114">
        <v>45756973324.93</v>
      </c>
      <c r="G763" s="126">
        <f t="shared" si="12"/>
        <v>0.17007243780611017</v>
      </c>
      <c r="H763" s="120"/>
      <c r="I763" s="120"/>
      <c r="J763" s="116"/>
      <c r="K763" s="116"/>
      <c r="L763" s="116"/>
      <c r="M763" s="116"/>
      <c r="N763" s="116"/>
      <c r="O763" s="116"/>
      <c r="P763" s="116"/>
    </row>
    <row r="764" spans="2:16" s="108" customFormat="1" ht="15" hidden="1" customHeight="1">
      <c r="B764" s="109"/>
      <c r="C764" s="122"/>
      <c r="D764" s="123"/>
      <c r="E764" s="696"/>
      <c r="F764" s="114"/>
      <c r="G764" s="126"/>
      <c r="H764" s="120"/>
      <c r="I764" s="120"/>
      <c r="J764" s="116"/>
      <c r="K764" s="116"/>
      <c r="L764" s="116"/>
      <c r="M764" s="116"/>
      <c r="N764" s="116"/>
      <c r="O764" s="116"/>
      <c r="P764" s="116"/>
    </row>
    <row r="765" spans="2:16" s="108" customFormat="1" ht="21.75" hidden="1" customHeight="1">
      <c r="B765" s="109"/>
      <c r="C765" s="122"/>
      <c r="D765" s="111" t="s">
        <v>518</v>
      </c>
      <c r="E765" s="250">
        <f>E766</f>
        <v>5000000000</v>
      </c>
      <c r="F765" s="114">
        <v>45756973325.93</v>
      </c>
      <c r="G765" s="126">
        <f t="shared" si="12"/>
        <v>10.927296183654157</v>
      </c>
      <c r="H765" s="120"/>
      <c r="I765" s="120"/>
      <c r="J765" s="116"/>
      <c r="K765" s="116"/>
      <c r="L765" s="116"/>
      <c r="M765" s="116"/>
      <c r="N765" s="116"/>
      <c r="O765" s="116"/>
      <c r="P765" s="116"/>
    </row>
    <row r="766" spans="2:16" s="108" customFormat="1" ht="21.75" hidden="1" customHeight="1">
      <c r="B766" s="109"/>
      <c r="C766" s="122"/>
      <c r="D766" s="111" t="s">
        <v>728</v>
      </c>
      <c r="E766" s="250">
        <f>SUM(E767:E768)</f>
        <v>5000000000</v>
      </c>
      <c r="F766" s="114">
        <v>45756973326.93</v>
      </c>
      <c r="G766" s="126">
        <f t="shared" si="12"/>
        <v>10.927296183415347</v>
      </c>
      <c r="H766" s="120"/>
      <c r="I766" s="120"/>
      <c r="J766" s="116"/>
      <c r="K766" s="116"/>
      <c r="L766" s="116"/>
      <c r="M766" s="116"/>
      <c r="N766" s="116"/>
      <c r="O766" s="116"/>
      <c r="P766" s="116"/>
    </row>
    <row r="767" spans="2:16" s="108" customFormat="1" ht="21.75" hidden="1" customHeight="1">
      <c r="B767" s="109"/>
      <c r="C767" s="122"/>
      <c r="D767" s="123" t="s">
        <v>729</v>
      </c>
      <c r="E767" s="696">
        <v>4000000000</v>
      </c>
      <c r="F767" s="114">
        <v>45756973327.93</v>
      </c>
      <c r="G767" s="126">
        <f t="shared" si="12"/>
        <v>8.7418369465412269</v>
      </c>
      <c r="H767" s="120"/>
      <c r="I767" s="120"/>
      <c r="J767" s="116"/>
      <c r="K767" s="116"/>
      <c r="L767" s="116"/>
      <c r="M767" s="116"/>
      <c r="N767" s="116"/>
      <c r="O767" s="116"/>
      <c r="P767" s="116"/>
    </row>
    <row r="768" spans="2:16" s="108" customFormat="1" ht="21.75" hidden="1" customHeight="1">
      <c r="B768" s="109"/>
      <c r="C768" s="122"/>
      <c r="D768" s="123" t="s">
        <v>730</v>
      </c>
      <c r="E768" s="696">
        <v>1000000000</v>
      </c>
      <c r="F768" s="114">
        <v>45756973328.93</v>
      </c>
      <c r="G768" s="126">
        <f t="shared" si="12"/>
        <v>2.1854592365875449</v>
      </c>
      <c r="H768" s="120"/>
      <c r="I768" s="120"/>
      <c r="J768" s="116"/>
      <c r="K768" s="116"/>
      <c r="L768" s="116"/>
      <c r="M768" s="116"/>
      <c r="N768" s="116"/>
      <c r="O768" s="116"/>
      <c r="P768" s="116"/>
    </row>
    <row r="769" spans="2:16" s="108" customFormat="1" ht="15" hidden="1" customHeight="1">
      <c r="B769" s="109"/>
      <c r="C769" s="122"/>
      <c r="D769" s="123"/>
      <c r="E769" s="696"/>
      <c r="F769" s="114"/>
      <c r="G769" s="126"/>
      <c r="H769" s="120"/>
      <c r="I769" s="120"/>
      <c r="J769" s="116"/>
      <c r="K769" s="116"/>
      <c r="L769" s="116"/>
      <c r="M769" s="116"/>
      <c r="N769" s="116"/>
      <c r="O769" s="116"/>
      <c r="P769" s="116"/>
    </row>
    <row r="770" spans="2:16" s="108" customFormat="1" ht="21.75" hidden="1" customHeight="1">
      <c r="B770" s="109"/>
      <c r="C770" s="122"/>
      <c r="D770" s="111" t="s">
        <v>731</v>
      </c>
      <c r="E770" s="250">
        <f t="shared" ref="E770:E771" si="13">E771</f>
        <v>1500000000</v>
      </c>
      <c r="F770" s="114">
        <v>45756973329.93</v>
      </c>
      <c r="G770" s="126">
        <f t="shared" si="12"/>
        <v>3.2781888548096738</v>
      </c>
      <c r="H770" s="120"/>
      <c r="I770" s="120"/>
      <c r="J770" s="116"/>
      <c r="K770" s="116"/>
      <c r="L770" s="116"/>
      <c r="M770" s="116"/>
      <c r="N770" s="116"/>
      <c r="O770" s="116"/>
      <c r="P770" s="116"/>
    </row>
    <row r="771" spans="2:16" s="108" customFormat="1" ht="21.75" hidden="1" customHeight="1">
      <c r="B771" s="109"/>
      <c r="C771" s="122"/>
      <c r="D771" s="111" t="s">
        <v>732</v>
      </c>
      <c r="E771" s="250">
        <f t="shared" si="13"/>
        <v>1500000000</v>
      </c>
      <c r="F771" s="114">
        <v>45756973330.93</v>
      </c>
      <c r="G771" s="126">
        <f t="shared" si="12"/>
        <v>3.2781888547380302</v>
      </c>
      <c r="H771" s="120"/>
      <c r="I771" s="120"/>
      <c r="J771" s="116"/>
      <c r="K771" s="116"/>
      <c r="L771" s="116"/>
      <c r="M771" s="116"/>
      <c r="N771" s="116"/>
      <c r="O771" s="116"/>
      <c r="P771" s="116"/>
    </row>
    <row r="772" spans="2:16" s="108" customFormat="1" ht="32.25" hidden="1" customHeight="1">
      <c r="B772" s="109"/>
      <c r="C772" s="122"/>
      <c r="D772" s="123" t="s">
        <v>733</v>
      </c>
      <c r="E772" s="696">
        <v>1500000000</v>
      </c>
      <c r="F772" s="114">
        <v>45756973331.93</v>
      </c>
      <c r="G772" s="126">
        <f t="shared" si="12"/>
        <v>3.2781888546663862</v>
      </c>
      <c r="H772" s="120"/>
      <c r="I772" s="120"/>
      <c r="J772" s="116"/>
      <c r="K772" s="116"/>
      <c r="L772" s="116"/>
      <c r="M772" s="116"/>
      <c r="N772" s="116"/>
      <c r="O772" s="116"/>
      <c r="P772" s="116"/>
    </row>
    <row r="773" spans="2:16" s="108" customFormat="1" ht="15" hidden="1" customHeight="1">
      <c r="B773" s="109"/>
      <c r="C773" s="122"/>
      <c r="D773" s="123"/>
      <c r="E773" s="696"/>
      <c r="F773" s="114"/>
      <c r="G773" s="126"/>
      <c r="H773" s="120"/>
      <c r="I773" s="120"/>
      <c r="J773" s="116"/>
      <c r="K773" s="116"/>
      <c r="L773" s="116"/>
      <c r="M773" s="116"/>
      <c r="N773" s="116"/>
      <c r="O773" s="116"/>
      <c r="P773" s="116"/>
    </row>
    <row r="774" spans="2:16" s="108" customFormat="1" ht="21.75" hidden="1" customHeight="1">
      <c r="B774" s="109"/>
      <c r="C774" s="122"/>
      <c r="D774" s="111" t="s">
        <v>734</v>
      </c>
      <c r="E774" s="250">
        <f>E775</f>
        <v>2136454031.5599999</v>
      </c>
      <c r="F774" s="114">
        <v>45756973332.93</v>
      </c>
      <c r="G774" s="126">
        <f t="shared" si="12"/>
        <v>4.6691331964093319</v>
      </c>
      <c r="H774" s="120"/>
      <c r="I774" s="120"/>
      <c r="J774" s="116"/>
      <c r="K774" s="116"/>
      <c r="L774" s="116"/>
      <c r="M774" s="116"/>
      <c r="N774" s="116"/>
      <c r="O774" s="116"/>
      <c r="P774" s="116"/>
    </row>
    <row r="775" spans="2:16" s="108" customFormat="1" ht="21.75" hidden="1" customHeight="1">
      <c r="B775" s="109"/>
      <c r="C775" s="122"/>
      <c r="D775" s="111" t="s">
        <v>688</v>
      </c>
      <c r="E775" s="250">
        <f>E776+E781+E783</f>
        <v>2136454031.5599999</v>
      </c>
      <c r="F775" s="114">
        <v>45756973333.93</v>
      </c>
      <c r="G775" s="126">
        <f t="shared" si="12"/>
        <v>4.6691331963072891</v>
      </c>
      <c r="H775" s="120"/>
      <c r="I775" s="120"/>
      <c r="J775" s="116"/>
      <c r="K775" s="116"/>
      <c r="L775" s="116"/>
      <c r="M775" s="116"/>
      <c r="N775" s="116"/>
      <c r="O775" s="116"/>
      <c r="P775" s="116"/>
    </row>
    <row r="776" spans="2:16" s="108" customFormat="1" ht="21.75" hidden="1" customHeight="1">
      <c r="B776" s="109"/>
      <c r="C776" s="122"/>
      <c r="D776" s="111" t="s">
        <v>735</v>
      </c>
      <c r="E776" s="250">
        <f>SUM(E777:E780)</f>
        <v>1493154031.5599999</v>
      </c>
      <c r="F776" s="114">
        <v>45756973334.93</v>
      </c>
      <c r="G776" s="126">
        <f t="shared" si="12"/>
        <v>3.2632272694928326</v>
      </c>
      <c r="H776" s="120"/>
      <c r="I776" s="120"/>
      <c r="J776" s="116"/>
      <c r="K776" s="116"/>
      <c r="L776" s="116"/>
      <c r="M776" s="116"/>
      <c r="N776" s="116"/>
      <c r="O776" s="116"/>
      <c r="P776" s="116"/>
    </row>
    <row r="777" spans="2:16" s="108" customFormat="1" ht="32.25" hidden="1" customHeight="1">
      <c r="B777" s="109"/>
      <c r="C777" s="122"/>
      <c r="D777" s="123" t="s">
        <v>736</v>
      </c>
      <c r="E777" s="696">
        <v>495424000</v>
      </c>
      <c r="F777" s="114">
        <v>45756973335.93</v>
      </c>
      <c r="G777" s="126">
        <f t="shared" si="12"/>
        <v>1.0827289566615095</v>
      </c>
      <c r="H777" s="120"/>
      <c r="I777" s="120"/>
      <c r="J777" s="116"/>
      <c r="K777" s="116"/>
      <c r="L777" s="116"/>
      <c r="M777" s="116"/>
      <c r="N777" s="116"/>
      <c r="O777" s="116"/>
      <c r="P777" s="116"/>
    </row>
    <row r="778" spans="2:16" s="108" customFormat="1" ht="32.25" hidden="1" customHeight="1">
      <c r="B778" s="109"/>
      <c r="C778" s="122"/>
      <c r="D778" s="123" t="s">
        <v>737</v>
      </c>
      <c r="E778" s="696">
        <v>210193231.56</v>
      </c>
      <c r="F778" s="114">
        <v>45756973336.93</v>
      </c>
      <c r="G778" s="126">
        <f t="shared" si="12"/>
        <v>0.45936873930067207</v>
      </c>
      <c r="H778" s="120"/>
      <c r="I778" s="120"/>
      <c r="J778" s="116"/>
      <c r="K778" s="116"/>
      <c r="L778" s="116"/>
      <c r="M778" s="116"/>
      <c r="N778" s="116"/>
      <c r="O778" s="116"/>
      <c r="P778" s="116"/>
    </row>
    <row r="779" spans="2:16" s="108" customFormat="1" ht="48" hidden="1" customHeight="1">
      <c r="B779" s="109"/>
      <c r="C779" s="122"/>
      <c r="D779" s="123" t="s">
        <v>738</v>
      </c>
      <c r="E779" s="696">
        <v>563350000</v>
      </c>
      <c r="F779" s="114">
        <v>45756973337.93</v>
      </c>
      <c r="G779" s="126">
        <f t="shared" si="12"/>
        <v>1.2311784606894312</v>
      </c>
      <c r="H779" s="120"/>
      <c r="I779" s="120"/>
      <c r="J779" s="116"/>
      <c r="K779" s="116"/>
      <c r="L779" s="116"/>
      <c r="M779" s="116"/>
      <c r="N779" s="116"/>
      <c r="O779" s="116"/>
      <c r="P779" s="116"/>
    </row>
    <row r="780" spans="2:16" s="108" customFormat="1" ht="21.75" hidden="1" customHeight="1">
      <c r="B780" s="109"/>
      <c r="C780" s="122"/>
      <c r="D780" s="123" t="s">
        <v>739</v>
      </c>
      <c r="E780" s="696">
        <v>224186800</v>
      </c>
      <c r="F780" s="114">
        <v>45756973338.93</v>
      </c>
      <c r="G780" s="126">
        <f t="shared" si="12"/>
        <v>0.48995111267392777</v>
      </c>
      <c r="H780" s="120"/>
      <c r="I780" s="120"/>
      <c r="J780" s="116"/>
      <c r="K780" s="116"/>
      <c r="L780" s="116"/>
      <c r="M780" s="116"/>
      <c r="N780" s="116"/>
      <c r="O780" s="116"/>
      <c r="P780" s="116"/>
    </row>
    <row r="781" spans="2:16" s="108" customFormat="1" ht="48" hidden="1" customHeight="1">
      <c r="B781" s="109"/>
      <c r="C781" s="122"/>
      <c r="D781" s="111" t="s">
        <v>740</v>
      </c>
      <c r="E781" s="250">
        <f>E782</f>
        <v>220320000</v>
      </c>
      <c r="F781" s="114">
        <v>45756973339.93</v>
      </c>
      <c r="G781" s="126">
        <f t="shared" si="12"/>
        <v>0.48150037888921488</v>
      </c>
      <c r="H781" s="120"/>
      <c r="I781" s="120"/>
      <c r="J781" s="116"/>
      <c r="K781" s="116"/>
      <c r="L781" s="116"/>
      <c r="M781" s="116"/>
      <c r="N781" s="116"/>
      <c r="O781" s="116"/>
      <c r="P781" s="116"/>
    </row>
    <row r="782" spans="2:16" s="108" customFormat="1" ht="21.75" hidden="1" customHeight="1">
      <c r="B782" s="109"/>
      <c r="C782" s="122"/>
      <c r="D782" s="123" t="s">
        <v>741</v>
      </c>
      <c r="E782" s="696">
        <v>220320000</v>
      </c>
      <c r="F782" s="114">
        <v>45756973340.93</v>
      </c>
      <c r="G782" s="126">
        <f t="shared" si="12"/>
        <v>0.48150037887869196</v>
      </c>
      <c r="H782" s="120"/>
      <c r="I782" s="120"/>
      <c r="J782" s="116"/>
      <c r="K782" s="116"/>
      <c r="L782" s="116"/>
      <c r="M782" s="116"/>
      <c r="N782" s="116"/>
      <c r="O782" s="116"/>
      <c r="P782" s="116"/>
    </row>
    <row r="783" spans="2:16" s="108" customFormat="1" ht="48" hidden="1" customHeight="1">
      <c r="B783" s="109"/>
      <c r="C783" s="122"/>
      <c r="D783" s="111" t="s">
        <v>742</v>
      </c>
      <c r="E783" s="250">
        <f>E784</f>
        <v>422980000</v>
      </c>
      <c r="F783" s="114">
        <v>45756973341.93</v>
      </c>
      <c r="G783" s="126">
        <f t="shared" si="12"/>
        <v>0.92440554762916705</v>
      </c>
      <c r="H783" s="120"/>
      <c r="I783" s="120"/>
      <c r="J783" s="116"/>
      <c r="K783" s="116"/>
      <c r="L783" s="116"/>
      <c r="M783" s="116"/>
      <c r="N783" s="116"/>
      <c r="O783" s="116"/>
      <c r="P783" s="116"/>
    </row>
    <row r="784" spans="2:16" s="108" customFormat="1" ht="21.75" hidden="1" customHeight="1">
      <c r="B784" s="109"/>
      <c r="C784" s="122"/>
      <c r="D784" s="123" t="s">
        <v>743</v>
      </c>
      <c r="E784" s="696">
        <v>422980000</v>
      </c>
      <c r="F784" s="114">
        <v>45756973342.93</v>
      </c>
      <c r="G784" s="126">
        <f t="shared" si="12"/>
        <v>0.92440554760896465</v>
      </c>
      <c r="H784" s="120"/>
      <c r="I784" s="120"/>
      <c r="J784" s="116"/>
      <c r="K784" s="116"/>
      <c r="L784" s="116"/>
      <c r="M784" s="116"/>
      <c r="N784" s="116"/>
      <c r="O784" s="116"/>
      <c r="P784" s="116"/>
    </row>
    <row r="785" spans="2:16" s="108" customFormat="1" ht="21.75" hidden="1" customHeight="1">
      <c r="B785" s="109"/>
      <c r="C785" s="122"/>
      <c r="D785" s="123"/>
      <c r="E785" s="696"/>
      <c r="F785" s="114"/>
      <c r="G785" s="126"/>
      <c r="H785" s="120"/>
      <c r="I785" s="120"/>
      <c r="J785" s="116"/>
      <c r="K785" s="116"/>
      <c r="L785" s="116"/>
      <c r="M785" s="116"/>
      <c r="N785" s="116"/>
      <c r="O785" s="116"/>
      <c r="P785" s="116"/>
    </row>
    <row r="786" spans="2:16" s="108" customFormat="1" ht="21.75" hidden="1" customHeight="1">
      <c r="B786" s="109"/>
      <c r="C786" s="122"/>
      <c r="D786" s="111" t="s">
        <v>744</v>
      </c>
      <c r="E786" s="250">
        <f>E787+E799</f>
        <v>2019785940</v>
      </c>
      <c r="F786" s="114">
        <v>45756973343.93</v>
      </c>
      <c r="G786" s="126">
        <f t="shared" si="12"/>
        <v>4.4141598370556112</v>
      </c>
      <c r="H786" s="120"/>
      <c r="I786" s="120"/>
      <c r="J786" s="116"/>
      <c r="K786" s="116"/>
      <c r="L786" s="116"/>
      <c r="M786" s="116"/>
      <c r="N786" s="116"/>
      <c r="O786" s="116"/>
      <c r="P786" s="116"/>
    </row>
    <row r="787" spans="2:16" s="108" customFormat="1" ht="21.75" hidden="1" customHeight="1">
      <c r="B787" s="109"/>
      <c r="C787" s="122"/>
      <c r="D787" s="111" t="s">
        <v>745</v>
      </c>
      <c r="E787" s="250">
        <v>1519785940</v>
      </c>
      <c r="F787" s="114">
        <v>45756973344.93</v>
      </c>
      <c r="G787" s="126">
        <f t="shared" si="12"/>
        <v>3.321430219047468</v>
      </c>
      <c r="H787" s="120"/>
      <c r="I787" s="120"/>
      <c r="J787" s="116"/>
      <c r="K787" s="116"/>
      <c r="L787" s="116"/>
      <c r="M787" s="116"/>
      <c r="N787" s="116"/>
      <c r="O787" s="116"/>
      <c r="P787" s="116"/>
    </row>
    <row r="788" spans="2:16" s="108" customFormat="1" ht="21.75" hidden="1" customHeight="1">
      <c r="B788" s="109"/>
      <c r="C788" s="122"/>
      <c r="D788" s="111" t="s">
        <v>746</v>
      </c>
      <c r="E788" s="250">
        <v>800000000</v>
      </c>
      <c r="F788" s="114">
        <v>45756973345.93</v>
      </c>
      <c r="G788" s="126">
        <f t="shared" si="12"/>
        <v>1.748367388620468</v>
      </c>
      <c r="H788" s="120"/>
      <c r="I788" s="120"/>
      <c r="J788" s="116"/>
      <c r="K788" s="116"/>
      <c r="L788" s="116"/>
      <c r="M788" s="116"/>
      <c r="N788" s="116"/>
      <c r="O788" s="116"/>
      <c r="P788" s="116"/>
    </row>
    <row r="789" spans="2:16" s="108" customFormat="1" ht="48" hidden="1" customHeight="1">
      <c r="B789" s="109"/>
      <c r="C789" s="122"/>
      <c r="D789" s="123" t="s">
        <v>747</v>
      </c>
      <c r="E789" s="696">
        <v>400000000</v>
      </c>
      <c r="F789" s="114">
        <v>45756973346.93</v>
      </c>
      <c r="G789" s="126">
        <f t="shared" si="12"/>
        <v>0.87418369429112919</v>
      </c>
      <c r="H789" s="120"/>
      <c r="I789" s="120"/>
      <c r="J789" s="116"/>
      <c r="K789" s="116"/>
      <c r="L789" s="116"/>
      <c r="M789" s="116"/>
      <c r="N789" s="116"/>
      <c r="O789" s="116"/>
      <c r="P789" s="116"/>
    </row>
    <row r="790" spans="2:16" s="108" customFormat="1" ht="48" hidden="1" customHeight="1">
      <c r="B790" s="109"/>
      <c r="C790" s="122"/>
      <c r="D790" s="123" t="s">
        <v>748</v>
      </c>
      <c r="E790" s="696">
        <v>400000000</v>
      </c>
      <c r="F790" s="114">
        <v>45756973347.93</v>
      </c>
      <c r="G790" s="126">
        <f t="shared" si="12"/>
        <v>0.87418369427202414</v>
      </c>
      <c r="H790" s="120"/>
      <c r="I790" s="120"/>
      <c r="J790" s="116"/>
      <c r="K790" s="116"/>
      <c r="L790" s="116"/>
      <c r="M790" s="116"/>
      <c r="N790" s="116"/>
      <c r="O790" s="116"/>
      <c r="P790" s="116"/>
    </row>
    <row r="791" spans="2:16" s="108" customFormat="1" ht="48" hidden="1" customHeight="1">
      <c r="B791" s="109"/>
      <c r="C791" s="122"/>
      <c r="D791" s="111" t="s">
        <v>749</v>
      </c>
      <c r="E791" s="250">
        <v>539785940</v>
      </c>
      <c r="F791" s="114">
        <v>45756973348.93</v>
      </c>
      <c r="G791" s="126">
        <f t="shared" si="12"/>
        <v>1.1796801678374615</v>
      </c>
      <c r="H791" s="120"/>
      <c r="I791" s="120"/>
      <c r="J791" s="116"/>
      <c r="K791" s="116"/>
      <c r="L791" s="116"/>
      <c r="M791" s="116"/>
      <c r="N791" s="116"/>
      <c r="O791" s="116"/>
      <c r="P791" s="116"/>
    </row>
    <row r="792" spans="2:16" s="108" customFormat="1" ht="48" hidden="1" customHeight="1">
      <c r="B792" s="109"/>
      <c r="C792" s="122"/>
      <c r="D792" s="123" t="s">
        <v>750</v>
      </c>
      <c r="E792" s="696">
        <v>419785940</v>
      </c>
      <c r="F792" s="114">
        <v>45756973349.93</v>
      </c>
      <c r="G792" s="126">
        <f t="shared" si="12"/>
        <v>0.91742505954153575</v>
      </c>
      <c r="H792" s="120"/>
      <c r="I792" s="120"/>
      <c r="J792" s="116"/>
      <c r="K792" s="116"/>
      <c r="L792" s="116"/>
      <c r="M792" s="116"/>
      <c r="N792" s="116"/>
      <c r="O792" s="116"/>
      <c r="P792" s="116"/>
    </row>
    <row r="793" spans="2:16" s="108" customFormat="1" ht="48" hidden="1" customHeight="1">
      <c r="B793" s="109"/>
      <c r="C793" s="122"/>
      <c r="D793" s="123" t="s">
        <v>751</v>
      </c>
      <c r="E793" s="696">
        <v>80000000</v>
      </c>
      <c r="F793" s="114">
        <v>45756973350.93</v>
      </c>
      <c r="G793" s="126">
        <f t="shared" si="12"/>
        <v>0.17483673884294187</v>
      </c>
      <c r="H793" s="120"/>
      <c r="I793" s="120"/>
      <c r="J793" s="116"/>
      <c r="K793" s="116"/>
      <c r="L793" s="116"/>
      <c r="M793" s="116"/>
      <c r="N793" s="116"/>
      <c r="O793" s="116"/>
      <c r="P793" s="116"/>
    </row>
    <row r="794" spans="2:16" s="108" customFormat="1" ht="48" hidden="1" customHeight="1">
      <c r="B794" s="109"/>
      <c r="C794" s="122"/>
      <c r="D794" s="123" t="s">
        <v>752</v>
      </c>
      <c r="E794" s="696">
        <v>40000000</v>
      </c>
      <c r="F794" s="114">
        <v>45756973351.93</v>
      </c>
      <c r="G794" s="126">
        <f t="shared" si="12"/>
        <v>8.7418369419560452E-2</v>
      </c>
      <c r="H794" s="120"/>
      <c r="I794" s="120"/>
      <c r="J794" s="116"/>
      <c r="K794" s="116"/>
      <c r="L794" s="116"/>
      <c r="M794" s="116"/>
      <c r="N794" s="116"/>
      <c r="O794" s="116"/>
      <c r="P794" s="116"/>
    </row>
    <row r="795" spans="2:16" s="108" customFormat="1" ht="21.75" hidden="1" customHeight="1">
      <c r="B795" s="109"/>
      <c r="C795" s="122"/>
      <c r="D795" s="111" t="s">
        <v>753</v>
      </c>
      <c r="E795" s="250">
        <v>180000000</v>
      </c>
      <c r="F795" s="114">
        <v>45756973352.93</v>
      </c>
      <c r="G795" s="126">
        <f t="shared" si="12"/>
        <v>0.39338266237942487</v>
      </c>
      <c r="H795" s="120"/>
      <c r="I795" s="120"/>
      <c r="J795" s="116"/>
      <c r="K795" s="116"/>
      <c r="L795" s="116"/>
      <c r="M795" s="116"/>
      <c r="N795" s="116"/>
      <c r="O795" s="116"/>
      <c r="P795" s="116"/>
    </row>
    <row r="796" spans="2:16" s="108" customFormat="1" ht="48" hidden="1" customHeight="1">
      <c r="B796" s="109"/>
      <c r="C796" s="122"/>
      <c r="D796" s="123" t="s">
        <v>754</v>
      </c>
      <c r="E796" s="696">
        <v>100000000</v>
      </c>
      <c r="F796" s="114">
        <v>45756973353.93</v>
      </c>
      <c r="G796" s="126">
        <f t="shared" si="12"/>
        <v>0.21854592353934865</v>
      </c>
      <c r="H796" s="120"/>
      <c r="I796" s="120"/>
      <c r="J796" s="116"/>
      <c r="K796" s="116"/>
      <c r="L796" s="116"/>
      <c r="M796" s="116"/>
      <c r="N796" s="116"/>
      <c r="O796" s="116"/>
      <c r="P796" s="116"/>
    </row>
    <row r="797" spans="2:16" s="108" customFormat="1" ht="48" hidden="1" customHeight="1">
      <c r="B797" s="109"/>
      <c r="C797" s="122"/>
      <c r="D797" s="123" t="s">
        <v>755</v>
      </c>
      <c r="E797" s="696">
        <v>80000000</v>
      </c>
      <c r="F797" s="114">
        <v>45756973354.93</v>
      </c>
      <c r="G797" s="126">
        <f t="shared" si="12"/>
        <v>0.17483673882765796</v>
      </c>
      <c r="H797" s="120"/>
      <c r="I797" s="120"/>
      <c r="J797" s="116"/>
      <c r="K797" s="116"/>
      <c r="L797" s="116"/>
      <c r="M797" s="116"/>
      <c r="N797" s="116"/>
      <c r="O797" s="116"/>
      <c r="P797" s="116"/>
    </row>
    <row r="798" spans="2:16" s="108" customFormat="1" ht="15" hidden="1" customHeight="1">
      <c r="B798" s="109"/>
      <c r="C798" s="122"/>
      <c r="D798" s="123"/>
      <c r="E798" s="696"/>
      <c r="F798" s="114"/>
      <c r="G798" s="126"/>
      <c r="H798" s="120"/>
      <c r="I798" s="120"/>
      <c r="J798" s="116"/>
      <c r="K798" s="116"/>
      <c r="L798" s="116"/>
      <c r="M798" s="116"/>
      <c r="N798" s="116"/>
      <c r="O798" s="116"/>
      <c r="P798" s="116"/>
    </row>
    <row r="799" spans="2:16" s="108" customFormat="1" ht="21.75" hidden="1" customHeight="1">
      <c r="B799" s="109"/>
      <c r="C799" s="122"/>
      <c r="D799" s="111" t="s">
        <v>363</v>
      </c>
      <c r="E799" s="250">
        <v>500000000</v>
      </c>
      <c r="F799" s="114">
        <v>45756973355.93</v>
      </c>
      <c r="G799" s="126">
        <f t="shared" si="12"/>
        <v>1.0927296176489809</v>
      </c>
      <c r="H799" s="120"/>
      <c r="I799" s="120"/>
      <c r="J799" s="116"/>
      <c r="K799" s="116"/>
      <c r="L799" s="116"/>
      <c r="M799" s="116"/>
      <c r="N799" s="116"/>
      <c r="O799" s="116"/>
      <c r="P799" s="116"/>
    </row>
    <row r="800" spans="2:16" s="108" customFormat="1" ht="21.75" hidden="1" customHeight="1">
      <c r="B800" s="109"/>
      <c r="C800" s="122"/>
      <c r="D800" s="111" t="s">
        <v>753</v>
      </c>
      <c r="E800" s="250">
        <v>500000000</v>
      </c>
      <c r="F800" s="114">
        <v>45756973356.93</v>
      </c>
      <c r="G800" s="126">
        <f t="shared" si="12"/>
        <v>1.0927296176250998</v>
      </c>
      <c r="H800" s="120"/>
      <c r="I800" s="120"/>
      <c r="J800" s="116"/>
      <c r="K800" s="116"/>
      <c r="L800" s="116"/>
      <c r="M800" s="116"/>
      <c r="N800" s="116"/>
      <c r="O800" s="116"/>
      <c r="P800" s="116"/>
    </row>
    <row r="801" spans="2:16" s="108" customFormat="1" ht="48" hidden="1" customHeight="1">
      <c r="B801" s="109"/>
      <c r="C801" s="122"/>
      <c r="D801" s="123" t="s">
        <v>756</v>
      </c>
      <c r="E801" s="696">
        <v>500000000</v>
      </c>
      <c r="F801" s="114">
        <v>45756973357.93</v>
      </c>
      <c r="G801" s="126">
        <f t="shared" si="12"/>
        <v>1.0927296176012187</v>
      </c>
      <c r="H801" s="120"/>
      <c r="I801" s="120"/>
      <c r="J801" s="116"/>
      <c r="K801" s="116"/>
      <c r="L801" s="116"/>
      <c r="M801" s="116"/>
      <c r="N801" s="116"/>
      <c r="O801" s="116"/>
      <c r="P801" s="116"/>
    </row>
    <row r="802" spans="2:16" s="108" customFormat="1" ht="15" hidden="1" customHeight="1">
      <c r="B802" s="109"/>
      <c r="C802" s="122"/>
      <c r="D802" s="123"/>
      <c r="E802" s="696"/>
      <c r="F802" s="114"/>
      <c r="G802" s="126"/>
      <c r="H802" s="120"/>
      <c r="I802" s="120"/>
      <c r="J802" s="116"/>
      <c r="K802" s="116"/>
      <c r="L802" s="116"/>
      <c r="M802" s="116"/>
      <c r="N802" s="116"/>
      <c r="O802" s="116"/>
      <c r="P802" s="116"/>
    </row>
    <row r="803" spans="2:16" s="108" customFormat="1" ht="21.75" hidden="1" customHeight="1">
      <c r="B803" s="109"/>
      <c r="C803" s="122"/>
      <c r="D803" s="111" t="s">
        <v>757</v>
      </c>
      <c r="E803" s="250">
        <f>E804+E809</f>
        <v>1500000000</v>
      </c>
      <c r="F803" s="114">
        <v>45756973358.93</v>
      </c>
      <c r="G803" s="126">
        <f t="shared" si="12"/>
        <v>3.2781888527320127</v>
      </c>
      <c r="H803" s="120"/>
      <c r="I803" s="120"/>
      <c r="J803" s="116"/>
      <c r="K803" s="116"/>
      <c r="L803" s="116"/>
      <c r="M803" s="116"/>
      <c r="N803" s="116"/>
      <c r="O803" s="116"/>
      <c r="P803" s="116"/>
    </row>
    <row r="804" spans="2:16" s="108" customFormat="1" ht="21.75" hidden="1" customHeight="1">
      <c r="B804" s="109"/>
      <c r="C804" s="122"/>
      <c r="D804" s="111" t="s">
        <v>758</v>
      </c>
      <c r="E804" s="250">
        <f>E805</f>
        <v>1000000000</v>
      </c>
      <c r="F804" s="114">
        <v>45756973359.93</v>
      </c>
      <c r="G804" s="126">
        <f t="shared" si="12"/>
        <v>2.1854592351069129</v>
      </c>
      <c r="H804" s="120"/>
      <c r="I804" s="120"/>
      <c r="J804" s="116"/>
      <c r="K804" s="116"/>
      <c r="L804" s="116"/>
      <c r="M804" s="116"/>
      <c r="N804" s="116"/>
      <c r="O804" s="116"/>
      <c r="P804" s="116"/>
    </row>
    <row r="805" spans="2:16" s="108" customFormat="1" ht="21.75" hidden="1" customHeight="1">
      <c r="B805" s="109"/>
      <c r="C805" s="122"/>
      <c r="D805" s="111" t="s">
        <v>759</v>
      </c>
      <c r="E805" s="250">
        <f>SUM(E806:E807)</f>
        <v>1000000000</v>
      </c>
      <c r="F805" s="114">
        <v>45756973360.93</v>
      </c>
      <c r="G805" s="126">
        <f t="shared" si="12"/>
        <v>2.1854592350591502</v>
      </c>
      <c r="H805" s="120"/>
      <c r="I805" s="120"/>
      <c r="J805" s="116"/>
      <c r="K805" s="116"/>
      <c r="L805" s="116"/>
      <c r="M805" s="116"/>
      <c r="N805" s="116"/>
      <c r="O805" s="116"/>
      <c r="P805" s="116"/>
    </row>
    <row r="806" spans="2:16" s="108" customFormat="1" ht="21.75" hidden="1" customHeight="1">
      <c r="B806" s="109"/>
      <c r="C806" s="122"/>
      <c r="D806" s="123" t="s">
        <v>760</v>
      </c>
      <c r="E806" s="696">
        <v>563295000</v>
      </c>
      <c r="F806" s="114">
        <v>45756973361.93</v>
      </c>
      <c r="G806" s="126">
        <f t="shared" si="12"/>
        <v>1.2310582597857398</v>
      </c>
      <c r="H806" s="120"/>
      <c r="I806" s="120"/>
      <c r="J806" s="116"/>
      <c r="K806" s="116"/>
      <c r="L806" s="116"/>
      <c r="M806" s="116"/>
      <c r="N806" s="116"/>
      <c r="O806" s="116"/>
      <c r="P806" s="116"/>
    </row>
    <row r="807" spans="2:16" s="108" customFormat="1" ht="48" hidden="1" customHeight="1">
      <c r="B807" s="109"/>
      <c r="C807" s="122"/>
      <c r="D807" s="123" t="s">
        <v>761</v>
      </c>
      <c r="E807" s="696">
        <v>436705000</v>
      </c>
      <c r="F807" s="114">
        <v>45756973362.93</v>
      </c>
      <c r="G807" s="126">
        <f t="shared" si="12"/>
        <v>0.95440097520479017</v>
      </c>
      <c r="H807" s="120"/>
      <c r="I807" s="120"/>
      <c r="J807" s="116"/>
      <c r="K807" s="116"/>
      <c r="L807" s="116"/>
      <c r="M807" s="116"/>
      <c r="N807" s="116"/>
      <c r="O807" s="116"/>
      <c r="P807" s="116"/>
    </row>
    <row r="808" spans="2:16" s="108" customFormat="1" ht="15" hidden="1" customHeight="1">
      <c r="B808" s="109"/>
      <c r="C808" s="122"/>
      <c r="D808" s="123"/>
      <c r="E808" s="696"/>
      <c r="F808" s="114"/>
      <c r="G808" s="126"/>
      <c r="H808" s="120"/>
      <c r="I808" s="120"/>
      <c r="J808" s="116"/>
      <c r="K808" s="116"/>
      <c r="L808" s="116"/>
      <c r="M808" s="116"/>
      <c r="N808" s="116"/>
      <c r="O808" s="116"/>
      <c r="P808" s="116"/>
    </row>
    <row r="809" spans="2:16" s="108" customFormat="1" ht="21.75" hidden="1" customHeight="1">
      <c r="B809" s="109"/>
      <c r="C809" s="122"/>
      <c r="D809" s="111" t="s">
        <v>762</v>
      </c>
      <c r="E809" s="250">
        <f>E810</f>
        <v>500000000</v>
      </c>
      <c r="F809" s="114">
        <v>45756973363.93</v>
      </c>
      <c r="G809" s="126">
        <f t="shared" si="12"/>
        <v>1.0927296174579317</v>
      </c>
      <c r="H809" s="120"/>
      <c r="I809" s="120"/>
      <c r="J809" s="116"/>
      <c r="K809" s="116"/>
      <c r="L809" s="116"/>
      <c r="M809" s="116"/>
      <c r="N809" s="116"/>
      <c r="O809" s="116"/>
      <c r="P809" s="116"/>
    </row>
    <row r="810" spans="2:16" s="108" customFormat="1" ht="21.75" hidden="1" customHeight="1">
      <c r="B810" s="109"/>
      <c r="C810" s="122"/>
      <c r="D810" s="111" t="s">
        <v>763</v>
      </c>
      <c r="E810" s="250">
        <f>E811</f>
        <v>500000000</v>
      </c>
      <c r="F810" s="113">
        <v>45756973364.93</v>
      </c>
      <c r="G810" s="126">
        <f t="shared" si="12"/>
        <v>1.0927296174340506</v>
      </c>
      <c r="H810" s="120"/>
      <c r="I810" s="120"/>
      <c r="J810" s="116"/>
      <c r="K810" s="116"/>
      <c r="L810" s="116"/>
      <c r="M810" s="116"/>
      <c r="N810" s="116"/>
      <c r="O810" s="116"/>
      <c r="P810" s="116"/>
    </row>
    <row r="811" spans="2:16" s="108" customFormat="1" ht="21.75" hidden="1" customHeight="1">
      <c r="B811" s="109"/>
      <c r="C811" s="122"/>
      <c r="D811" s="123" t="s">
        <v>764</v>
      </c>
      <c r="E811" s="696">
        <v>500000000</v>
      </c>
      <c r="F811" s="113">
        <v>45756973365.93</v>
      </c>
      <c r="G811" s="126">
        <f t="shared" si="12"/>
        <v>1.0927296174101695</v>
      </c>
      <c r="H811" s="120"/>
      <c r="I811" s="120"/>
      <c r="J811" s="116"/>
      <c r="K811" s="116"/>
      <c r="L811" s="116"/>
      <c r="M811" s="116"/>
      <c r="N811" s="116"/>
      <c r="O811" s="116"/>
      <c r="P811" s="116"/>
    </row>
    <row r="812" spans="2:16" s="108" customFormat="1" ht="15" hidden="1" customHeight="1">
      <c r="B812" s="109"/>
      <c r="C812" s="122"/>
      <c r="D812" s="123"/>
      <c r="E812" s="125"/>
      <c r="F812" s="113"/>
      <c r="G812" s="126"/>
      <c r="H812" s="120"/>
      <c r="I812" s="120"/>
      <c r="J812" s="116"/>
      <c r="K812" s="116"/>
      <c r="L812" s="116"/>
      <c r="M812" s="116"/>
      <c r="N812" s="116"/>
      <c r="O812" s="116"/>
      <c r="P812" s="116"/>
    </row>
    <row r="813" spans="2:16" s="117" customFormat="1" ht="21.75" hidden="1" customHeight="1">
      <c r="B813" s="118"/>
      <c r="C813" s="110" t="s">
        <v>765</v>
      </c>
      <c r="D813" s="111" t="s">
        <v>766</v>
      </c>
      <c r="E813" s="129">
        <f>+E814+E840+E847+E869+E881+E885+E896+E903+E907+E911+E917</f>
        <v>45992775230.57</v>
      </c>
      <c r="F813" s="119">
        <v>1557405258400.0002</v>
      </c>
      <c r="G813" s="127">
        <f>+E813/F813*100</f>
        <v>2.9531668127164705</v>
      </c>
      <c r="H813" s="120"/>
      <c r="I813" s="120"/>
      <c r="J813" s="121"/>
      <c r="K813" s="121"/>
      <c r="L813" s="121"/>
      <c r="M813" s="121"/>
      <c r="N813" s="121"/>
      <c r="O813" s="121"/>
      <c r="P813" s="121"/>
    </row>
    <row r="814" spans="2:16" s="108" customFormat="1" ht="21.75" hidden="1" customHeight="1">
      <c r="B814" s="109"/>
      <c r="C814" s="122"/>
      <c r="D814" s="111" t="s">
        <v>767</v>
      </c>
      <c r="E814" s="712">
        <f>E815+E819+E824+E828+E832+E834+E836</f>
        <v>17706569226.25</v>
      </c>
      <c r="F814" s="134">
        <v>45992775230.57</v>
      </c>
      <c r="G814" s="127">
        <f t="shared" ref="G814:G877" si="14">+E814/F814*100</f>
        <v>38.498588392380775</v>
      </c>
      <c r="H814" s="120"/>
      <c r="I814" s="120"/>
      <c r="J814" s="116"/>
      <c r="K814" s="116"/>
      <c r="L814" s="116"/>
      <c r="M814" s="116"/>
      <c r="N814" s="116"/>
      <c r="O814" s="116"/>
      <c r="P814" s="116"/>
    </row>
    <row r="815" spans="2:16" s="108" customFormat="1" ht="21.75" hidden="1" customHeight="1">
      <c r="B815" s="109"/>
      <c r="C815" s="122"/>
      <c r="D815" s="111" t="s">
        <v>588</v>
      </c>
      <c r="E815" s="712">
        <f>SUM(E816:E818)</f>
        <v>5636927435</v>
      </c>
      <c r="F815" s="134">
        <v>45992775230.57</v>
      </c>
      <c r="G815" s="127">
        <f t="shared" si="14"/>
        <v>12.256115024025133</v>
      </c>
      <c r="H815" s="120"/>
      <c r="I815" s="120"/>
      <c r="J815" s="116"/>
      <c r="K815" s="116"/>
      <c r="L815" s="116"/>
      <c r="M815" s="116"/>
      <c r="N815" s="116"/>
      <c r="O815" s="116"/>
      <c r="P815" s="116"/>
    </row>
    <row r="816" spans="2:16" s="108" customFormat="1" ht="21.75" hidden="1" customHeight="1">
      <c r="B816" s="109"/>
      <c r="C816" s="122"/>
      <c r="D816" s="123" t="s">
        <v>768</v>
      </c>
      <c r="E816" s="713">
        <v>2493600000</v>
      </c>
      <c r="F816" s="134">
        <v>45992775230.57</v>
      </c>
      <c r="G816" s="127">
        <f t="shared" si="14"/>
        <v>5.4217211018451001</v>
      </c>
      <c r="H816" s="120"/>
      <c r="I816" s="120"/>
      <c r="J816" s="116"/>
      <c r="K816" s="116"/>
      <c r="L816" s="116"/>
      <c r="M816" s="116"/>
      <c r="N816" s="116"/>
      <c r="O816" s="116"/>
      <c r="P816" s="116"/>
    </row>
    <row r="817" spans="2:16" s="108" customFormat="1" ht="21.75" hidden="1" customHeight="1">
      <c r="B817" s="109"/>
      <c r="C817" s="122"/>
      <c r="D817" s="142" t="s">
        <v>769</v>
      </c>
      <c r="E817" s="713">
        <v>2904000000</v>
      </c>
      <c r="F817" s="134">
        <v>45992775230.57</v>
      </c>
      <c r="G817" s="127">
        <f t="shared" si="14"/>
        <v>6.3140351619177775</v>
      </c>
      <c r="H817" s="120"/>
      <c r="I817" s="120"/>
      <c r="J817" s="116"/>
      <c r="K817" s="116"/>
      <c r="L817" s="116"/>
      <c r="M817" s="116"/>
      <c r="N817" s="116"/>
      <c r="O817" s="116"/>
      <c r="P817" s="116"/>
    </row>
    <row r="818" spans="2:16" s="108" customFormat="1" ht="21.75" hidden="1" customHeight="1">
      <c r="B818" s="109"/>
      <c r="C818" s="122"/>
      <c r="D818" s="142" t="s">
        <v>770</v>
      </c>
      <c r="E818" s="713">
        <v>239327435</v>
      </c>
      <c r="F818" s="134">
        <v>45992775230.57</v>
      </c>
      <c r="G818" s="127">
        <f t="shared" si="14"/>
        <v>0.52035876026225603</v>
      </c>
      <c r="H818" s="120"/>
      <c r="I818" s="120"/>
      <c r="J818" s="116"/>
      <c r="K818" s="116"/>
      <c r="L818" s="116"/>
      <c r="M818" s="116"/>
      <c r="N818" s="116"/>
      <c r="O818" s="116"/>
      <c r="P818" s="116"/>
    </row>
    <row r="819" spans="2:16" s="108" customFormat="1" ht="21.75" hidden="1" customHeight="1">
      <c r="B819" s="109"/>
      <c r="C819" s="122"/>
      <c r="D819" s="143" t="s">
        <v>771</v>
      </c>
      <c r="E819" s="712">
        <f>SUM(E820:E823)</f>
        <v>5885872240</v>
      </c>
      <c r="F819" s="134">
        <v>45992775230.57</v>
      </c>
      <c r="G819" s="127">
        <f t="shared" si="14"/>
        <v>12.797384394599087</v>
      </c>
      <c r="H819" s="120"/>
      <c r="I819" s="120"/>
      <c r="J819" s="116"/>
      <c r="K819" s="116"/>
      <c r="L819" s="116"/>
      <c r="M819" s="116"/>
      <c r="N819" s="116"/>
      <c r="O819" s="116"/>
      <c r="P819" s="116"/>
    </row>
    <row r="820" spans="2:16" s="108" customFormat="1" ht="21.75" hidden="1" customHeight="1">
      <c r="B820" s="109"/>
      <c r="C820" s="122"/>
      <c r="D820" s="142" t="s">
        <v>772</v>
      </c>
      <c r="E820" s="713">
        <v>3926318240</v>
      </c>
      <c r="F820" s="134">
        <v>45992775230.57</v>
      </c>
      <c r="G820" s="127">
        <f t="shared" si="14"/>
        <v>8.5368152287324808</v>
      </c>
      <c r="H820" s="120"/>
      <c r="I820" s="120"/>
      <c r="J820" s="116"/>
      <c r="K820" s="116"/>
      <c r="L820" s="116"/>
      <c r="M820" s="116"/>
      <c r="N820" s="116"/>
      <c r="O820" s="116"/>
      <c r="P820" s="116"/>
    </row>
    <row r="821" spans="2:16" s="108" customFormat="1" ht="21.75" hidden="1" customHeight="1">
      <c r="B821" s="109"/>
      <c r="C821" s="122"/>
      <c r="D821" s="142" t="s">
        <v>773</v>
      </c>
      <c r="E821" s="713">
        <v>134754000</v>
      </c>
      <c r="F821" s="134">
        <v>45992775230.57</v>
      </c>
      <c r="G821" s="127">
        <f t="shared" si="14"/>
        <v>0.29298949525105655</v>
      </c>
      <c r="H821" s="120"/>
      <c r="I821" s="120"/>
      <c r="J821" s="116"/>
      <c r="K821" s="116"/>
      <c r="L821" s="116"/>
      <c r="M821" s="116"/>
      <c r="N821" s="116"/>
      <c r="O821" s="116"/>
      <c r="P821" s="116"/>
    </row>
    <row r="822" spans="2:16" s="108" customFormat="1" ht="21.75" hidden="1" customHeight="1">
      <c r="B822" s="109"/>
      <c r="C822" s="122"/>
      <c r="D822" s="142" t="s">
        <v>774</v>
      </c>
      <c r="E822" s="713">
        <v>1524800000</v>
      </c>
      <c r="F822" s="134">
        <v>45992775230.57</v>
      </c>
      <c r="G822" s="127">
        <f t="shared" si="14"/>
        <v>3.3153033109133014</v>
      </c>
      <c r="H822" s="120"/>
      <c r="I822" s="120"/>
      <c r="J822" s="116"/>
      <c r="K822" s="116"/>
      <c r="L822" s="116"/>
      <c r="M822" s="116"/>
      <c r="N822" s="116"/>
      <c r="O822" s="116"/>
      <c r="P822" s="116"/>
    </row>
    <row r="823" spans="2:16" s="108" customFormat="1" ht="21.75" hidden="1" customHeight="1">
      <c r="B823" s="109"/>
      <c r="C823" s="122"/>
      <c r="D823" s="142" t="s">
        <v>775</v>
      </c>
      <c r="E823" s="713">
        <v>300000000</v>
      </c>
      <c r="F823" s="134">
        <v>45992775230.57</v>
      </c>
      <c r="G823" s="127">
        <f t="shared" si="14"/>
        <v>0.65227635970224973</v>
      </c>
      <c r="H823" s="120"/>
      <c r="I823" s="120"/>
      <c r="J823" s="116"/>
      <c r="K823" s="116"/>
      <c r="L823" s="116"/>
      <c r="M823" s="116"/>
      <c r="N823" s="116"/>
      <c r="O823" s="116"/>
      <c r="P823" s="116"/>
    </row>
    <row r="824" spans="2:16" s="108" customFormat="1" ht="21.75" hidden="1" customHeight="1">
      <c r="B824" s="109"/>
      <c r="C824" s="122"/>
      <c r="D824" s="143" t="s">
        <v>666</v>
      </c>
      <c r="E824" s="712">
        <f>SUM(E825:E827)</f>
        <v>1377043509</v>
      </c>
      <c r="F824" s="134">
        <v>45992775230.57</v>
      </c>
      <c r="G824" s="127">
        <f t="shared" si="14"/>
        <v>2.9940430906737743</v>
      </c>
      <c r="H824" s="120"/>
      <c r="I824" s="120"/>
      <c r="J824" s="116"/>
      <c r="K824" s="116"/>
      <c r="L824" s="116"/>
      <c r="M824" s="116"/>
      <c r="N824" s="116"/>
      <c r="O824" s="116"/>
      <c r="P824" s="116"/>
    </row>
    <row r="825" spans="2:16" s="108" customFormat="1" ht="21.75" hidden="1" customHeight="1">
      <c r="B825" s="109"/>
      <c r="C825" s="122"/>
      <c r="D825" s="142" t="s">
        <v>776</v>
      </c>
      <c r="E825" s="713">
        <v>234041000</v>
      </c>
      <c r="F825" s="134">
        <v>45992775230.57</v>
      </c>
      <c r="G825" s="127">
        <f t="shared" si="14"/>
        <v>0.50886470500358083</v>
      </c>
      <c r="H825" s="120"/>
      <c r="I825" s="120"/>
      <c r="J825" s="116"/>
      <c r="K825" s="116"/>
      <c r="L825" s="116"/>
      <c r="M825" s="116"/>
      <c r="N825" s="116"/>
      <c r="O825" s="116"/>
      <c r="P825" s="116"/>
    </row>
    <row r="826" spans="2:16" s="108" customFormat="1" ht="21.75" hidden="1" customHeight="1">
      <c r="B826" s="109"/>
      <c r="C826" s="122"/>
      <c r="D826" s="142" t="s">
        <v>777</v>
      </c>
      <c r="E826" s="713">
        <v>243002509</v>
      </c>
      <c r="F826" s="134">
        <v>45992775230.57</v>
      </c>
      <c r="G826" s="127">
        <f t="shared" si="14"/>
        <v>0.52834930656344392</v>
      </c>
      <c r="H826" s="120"/>
      <c r="I826" s="120"/>
      <c r="J826" s="116"/>
      <c r="K826" s="116"/>
      <c r="L826" s="116"/>
      <c r="M826" s="116"/>
      <c r="N826" s="116"/>
      <c r="O826" s="116"/>
      <c r="P826" s="116"/>
    </row>
    <row r="827" spans="2:16" s="108" customFormat="1" ht="21.75" hidden="1" customHeight="1">
      <c r="B827" s="109"/>
      <c r="C827" s="122"/>
      <c r="D827" s="142" t="s">
        <v>778</v>
      </c>
      <c r="E827" s="713">
        <v>900000000</v>
      </c>
      <c r="F827" s="134">
        <v>45992775230.57</v>
      </c>
      <c r="G827" s="127">
        <f t="shared" si="14"/>
        <v>1.9568290791067491</v>
      </c>
      <c r="H827" s="120"/>
      <c r="I827" s="120"/>
      <c r="J827" s="116"/>
      <c r="K827" s="116"/>
      <c r="L827" s="116"/>
      <c r="M827" s="116"/>
      <c r="N827" s="116"/>
      <c r="O827" s="116"/>
      <c r="P827" s="116"/>
    </row>
    <row r="828" spans="2:16" s="108" customFormat="1" ht="21.75" hidden="1" customHeight="1">
      <c r="B828" s="109"/>
      <c r="C828" s="122"/>
      <c r="D828" s="143" t="s">
        <v>779</v>
      </c>
      <c r="E828" s="712">
        <f>SUM(E829:E831)</f>
        <v>2420092217.25</v>
      </c>
      <c r="F828" s="134">
        <v>45992775230.57</v>
      </c>
      <c r="G828" s="127">
        <f t="shared" si="14"/>
        <v>5.261896472038587</v>
      </c>
      <c r="H828" s="120"/>
      <c r="I828" s="120"/>
      <c r="J828" s="116"/>
      <c r="K828" s="116"/>
      <c r="L828" s="116"/>
      <c r="M828" s="116"/>
      <c r="N828" s="116"/>
      <c r="O828" s="116"/>
      <c r="P828" s="116"/>
    </row>
    <row r="829" spans="2:16" s="108" customFormat="1" ht="48" hidden="1" customHeight="1">
      <c r="B829" s="109"/>
      <c r="C829" s="122"/>
      <c r="D829" s="142" t="s">
        <v>780</v>
      </c>
      <c r="E829" s="713">
        <v>119200000</v>
      </c>
      <c r="F829" s="134">
        <v>45992775230.57</v>
      </c>
      <c r="G829" s="127">
        <f t="shared" si="14"/>
        <v>0.25917114025502724</v>
      </c>
      <c r="H829" s="120"/>
      <c r="I829" s="120"/>
      <c r="J829" s="116"/>
      <c r="K829" s="116"/>
      <c r="L829" s="116"/>
      <c r="M829" s="116"/>
      <c r="N829" s="116"/>
      <c r="O829" s="116"/>
      <c r="P829" s="116"/>
    </row>
    <row r="830" spans="2:16" s="108" customFormat="1" ht="21.75" hidden="1" customHeight="1">
      <c r="B830" s="109"/>
      <c r="C830" s="122"/>
      <c r="D830" s="142" t="s">
        <v>781</v>
      </c>
      <c r="E830" s="713">
        <v>899720000</v>
      </c>
      <c r="F830" s="134">
        <v>45992775230.57</v>
      </c>
      <c r="G830" s="127">
        <f t="shared" si="14"/>
        <v>1.9562202878376937</v>
      </c>
      <c r="H830" s="120"/>
      <c r="I830" s="120"/>
      <c r="J830" s="116"/>
      <c r="K830" s="116"/>
      <c r="L830" s="116"/>
      <c r="M830" s="116"/>
      <c r="N830" s="116"/>
      <c r="O830" s="116"/>
      <c r="P830" s="116"/>
    </row>
    <row r="831" spans="2:16" s="108" customFormat="1" ht="21.75" hidden="1" customHeight="1">
      <c r="B831" s="109"/>
      <c r="C831" s="122"/>
      <c r="D831" s="142" t="s">
        <v>782</v>
      </c>
      <c r="E831" s="713">
        <v>1401172217.25</v>
      </c>
      <c r="F831" s="134">
        <v>45992775230.57</v>
      </c>
      <c r="G831" s="127">
        <f t="shared" si="14"/>
        <v>3.0465050439458663</v>
      </c>
      <c r="H831" s="120"/>
      <c r="I831" s="120"/>
      <c r="J831" s="116"/>
      <c r="K831" s="116"/>
      <c r="L831" s="116"/>
      <c r="M831" s="116"/>
      <c r="N831" s="116"/>
      <c r="O831" s="116"/>
      <c r="P831" s="116"/>
    </row>
    <row r="832" spans="2:16" s="108" customFormat="1" ht="21.75" hidden="1" customHeight="1">
      <c r="B832" s="109"/>
      <c r="C832" s="122"/>
      <c r="D832" s="143" t="s">
        <v>783</v>
      </c>
      <c r="E832" s="712">
        <f>SUM(E833)</f>
        <v>978000000</v>
      </c>
      <c r="F832" s="134">
        <v>45992775230.57</v>
      </c>
      <c r="G832" s="127">
        <f t="shared" si="14"/>
        <v>2.1264209326293342</v>
      </c>
      <c r="H832" s="120"/>
      <c r="I832" s="120"/>
      <c r="J832" s="116"/>
      <c r="K832" s="116"/>
      <c r="L832" s="116"/>
      <c r="M832" s="116"/>
      <c r="N832" s="116"/>
      <c r="O832" s="116"/>
      <c r="P832" s="116"/>
    </row>
    <row r="833" spans="2:16" s="108" customFormat="1" ht="21.75" hidden="1" customHeight="1">
      <c r="B833" s="109"/>
      <c r="C833" s="122"/>
      <c r="D833" s="142" t="s">
        <v>784</v>
      </c>
      <c r="E833" s="713">
        <v>978000000</v>
      </c>
      <c r="F833" s="134">
        <v>45992775230.57</v>
      </c>
      <c r="G833" s="127">
        <f t="shared" si="14"/>
        <v>2.1264209326293342</v>
      </c>
      <c r="H833" s="120"/>
      <c r="I833" s="120"/>
      <c r="J833" s="116"/>
      <c r="K833" s="116"/>
      <c r="L833" s="116"/>
      <c r="M833" s="116"/>
      <c r="N833" s="116"/>
      <c r="O833" s="116"/>
      <c r="P833" s="116"/>
    </row>
    <row r="834" spans="2:16" s="108" customFormat="1" ht="21.75" hidden="1" customHeight="1">
      <c r="B834" s="109"/>
      <c r="C834" s="122"/>
      <c r="D834" s="143" t="s">
        <v>785</v>
      </c>
      <c r="E834" s="712">
        <f>SUM(E835)</f>
        <v>223510000</v>
      </c>
      <c r="F834" s="134">
        <v>45992775230.57</v>
      </c>
      <c r="G834" s="127">
        <f t="shared" si="14"/>
        <v>0.48596763052349945</v>
      </c>
      <c r="H834" s="120"/>
      <c r="I834" s="120"/>
      <c r="J834" s="116"/>
      <c r="K834" s="116"/>
      <c r="L834" s="116"/>
      <c r="M834" s="116"/>
      <c r="N834" s="116"/>
      <c r="O834" s="116"/>
      <c r="P834" s="116"/>
    </row>
    <row r="835" spans="2:16" s="108" customFormat="1" ht="27" hidden="1" customHeight="1">
      <c r="B835" s="109"/>
      <c r="C835" s="122"/>
      <c r="D835" s="142" t="s">
        <v>786</v>
      </c>
      <c r="E835" s="713">
        <v>223510000</v>
      </c>
      <c r="F835" s="134">
        <v>45992775230.57</v>
      </c>
      <c r="G835" s="127">
        <f t="shared" si="14"/>
        <v>0.48596763052349945</v>
      </c>
      <c r="H835" s="120"/>
      <c r="I835" s="120"/>
      <c r="J835" s="116"/>
      <c r="K835" s="116"/>
      <c r="L835" s="116"/>
      <c r="M835" s="116"/>
      <c r="N835" s="116"/>
      <c r="O835" s="116"/>
      <c r="P835" s="116"/>
    </row>
    <row r="836" spans="2:16" s="108" customFormat="1" ht="21.75" hidden="1" customHeight="1">
      <c r="B836" s="109"/>
      <c r="C836" s="122"/>
      <c r="D836" s="143" t="s">
        <v>787</v>
      </c>
      <c r="E836" s="712">
        <f>SUM(E837:E838)</f>
        <v>1185123825</v>
      </c>
      <c r="F836" s="134">
        <v>45992775230.57</v>
      </c>
      <c r="G836" s="127">
        <f t="shared" si="14"/>
        <v>2.5767608478913533</v>
      </c>
      <c r="H836" s="120"/>
      <c r="I836" s="120"/>
      <c r="J836" s="116"/>
      <c r="K836" s="116"/>
      <c r="L836" s="116"/>
      <c r="M836" s="116"/>
      <c r="N836" s="116"/>
      <c r="O836" s="116"/>
      <c r="P836" s="116"/>
    </row>
    <row r="837" spans="2:16" s="108" customFormat="1" ht="48" hidden="1" customHeight="1">
      <c r="B837" s="109"/>
      <c r="C837" s="122"/>
      <c r="D837" s="142" t="s">
        <v>788</v>
      </c>
      <c r="E837" s="713">
        <v>711900000</v>
      </c>
      <c r="F837" s="134">
        <v>45992775230.57</v>
      </c>
      <c r="G837" s="127">
        <f t="shared" si="14"/>
        <v>1.5478518015734386</v>
      </c>
      <c r="H837" s="120"/>
      <c r="I837" s="120"/>
      <c r="J837" s="116"/>
      <c r="K837" s="116"/>
      <c r="L837" s="116"/>
      <c r="M837" s="116"/>
      <c r="N837" s="116"/>
      <c r="O837" s="116"/>
      <c r="P837" s="116"/>
    </row>
    <row r="838" spans="2:16" s="108" customFormat="1" ht="48" hidden="1" customHeight="1">
      <c r="B838" s="109"/>
      <c r="C838" s="122"/>
      <c r="D838" s="142" t="s">
        <v>789</v>
      </c>
      <c r="E838" s="713">
        <v>473223825</v>
      </c>
      <c r="F838" s="134">
        <v>45992775230.57</v>
      </c>
      <c r="G838" s="127">
        <f t="shared" si="14"/>
        <v>1.0289090463179151</v>
      </c>
      <c r="H838" s="120"/>
      <c r="I838" s="120"/>
      <c r="J838" s="116"/>
      <c r="K838" s="116"/>
      <c r="L838" s="116"/>
      <c r="M838" s="116"/>
      <c r="N838" s="116"/>
      <c r="O838" s="116"/>
      <c r="P838" s="116"/>
    </row>
    <row r="839" spans="2:16" s="108" customFormat="1" ht="15" hidden="1" customHeight="1">
      <c r="B839" s="109"/>
      <c r="C839" s="122"/>
      <c r="D839" s="142"/>
      <c r="E839" s="713"/>
      <c r="F839" s="134"/>
      <c r="G839" s="127"/>
      <c r="H839" s="120"/>
      <c r="I839" s="120"/>
      <c r="J839" s="116"/>
      <c r="K839" s="116"/>
      <c r="L839" s="116"/>
      <c r="M839" s="116"/>
      <c r="N839" s="116"/>
      <c r="O839" s="116"/>
      <c r="P839" s="116"/>
    </row>
    <row r="840" spans="2:16" s="108" customFormat="1" ht="21.75" hidden="1" customHeight="1">
      <c r="B840" s="109"/>
      <c r="C840" s="122"/>
      <c r="D840" s="143" t="s">
        <v>790</v>
      </c>
      <c r="E840" s="712">
        <f>E841+E843</f>
        <v>7493430773.75</v>
      </c>
      <c r="F840" s="134">
        <v>45992775230.57</v>
      </c>
      <c r="G840" s="127">
        <f t="shared" si="14"/>
        <v>16.292625822608208</v>
      </c>
      <c r="H840" s="120"/>
      <c r="I840" s="120"/>
      <c r="J840" s="116"/>
      <c r="K840" s="116"/>
      <c r="L840" s="116"/>
      <c r="M840" s="116"/>
      <c r="N840" s="116"/>
      <c r="O840" s="116"/>
      <c r="P840" s="116"/>
    </row>
    <row r="841" spans="2:16" s="108" customFormat="1" ht="21.75" hidden="1" customHeight="1">
      <c r="B841" s="109"/>
      <c r="C841" s="122"/>
      <c r="D841" s="143" t="s">
        <v>791</v>
      </c>
      <c r="E841" s="712">
        <f>SUM(E842)</f>
        <v>2000000000</v>
      </c>
      <c r="F841" s="134">
        <v>45992775230.57</v>
      </c>
      <c r="G841" s="127">
        <f t="shared" si="14"/>
        <v>4.3485090646816653</v>
      </c>
      <c r="H841" s="120"/>
      <c r="I841" s="120"/>
      <c r="J841" s="116"/>
      <c r="K841" s="116"/>
      <c r="L841" s="116"/>
      <c r="M841" s="116"/>
      <c r="N841" s="116"/>
      <c r="O841" s="116"/>
      <c r="P841" s="116"/>
    </row>
    <row r="842" spans="2:16" s="108" customFormat="1" ht="48" hidden="1" customHeight="1">
      <c r="B842" s="109"/>
      <c r="C842" s="122"/>
      <c r="D842" s="142" t="s">
        <v>792</v>
      </c>
      <c r="E842" s="713">
        <v>2000000000</v>
      </c>
      <c r="F842" s="134">
        <v>45992775230.57</v>
      </c>
      <c r="G842" s="127">
        <f t="shared" si="14"/>
        <v>4.3485090646816653</v>
      </c>
      <c r="H842" s="120"/>
      <c r="I842" s="120"/>
      <c r="J842" s="116"/>
      <c r="K842" s="116"/>
      <c r="L842" s="116"/>
      <c r="M842" s="116"/>
      <c r="N842" s="116"/>
      <c r="O842" s="116"/>
      <c r="P842" s="116"/>
    </row>
    <row r="843" spans="2:16" s="108" customFormat="1" ht="21.75" hidden="1" customHeight="1">
      <c r="B843" s="109"/>
      <c r="C843" s="122"/>
      <c r="D843" s="143" t="s">
        <v>793</v>
      </c>
      <c r="E843" s="712">
        <f>SUM(E844:E845)</f>
        <v>5493430773.75</v>
      </c>
      <c r="F843" s="134">
        <v>45992775230.57</v>
      </c>
      <c r="G843" s="127">
        <f t="shared" si="14"/>
        <v>11.944116757926544</v>
      </c>
      <c r="H843" s="120"/>
      <c r="I843" s="120"/>
      <c r="J843" s="116"/>
      <c r="K843" s="116"/>
      <c r="L843" s="116"/>
      <c r="M843" s="116"/>
      <c r="N843" s="116"/>
      <c r="O843" s="116"/>
      <c r="P843" s="116"/>
    </row>
    <row r="844" spans="2:16" s="108" customFormat="1" ht="21.75" hidden="1" customHeight="1">
      <c r="B844" s="109"/>
      <c r="C844" s="122"/>
      <c r="D844" s="142" t="s">
        <v>794</v>
      </c>
      <c r="E844" s="713">
        <v>4358403000</v>
      </c>
      <c r="F844" s="134">
        <v>45992775230.57</v>
      </c>
      <c r="G844" s="127">
        <f t="shared" si="14"/>
        <v>9.4762774765178825</v>
      </c>
      <c r="H844" s="120"/>
      <c r="I844" s="120"/>
      <c r="J844" s="116"/>
      <c r="K844" s="116"/>
      <c r="L844" s="116"/>
      <c r="M844" s="116"/>
      <c r="N844" s="116"/>
      <c r="O844" s="116"/>
      <c r="P844" s="116"/>
    </row>
    <row r="845" spans="2:16" s="108" customFormat="1" ht="21.75" hidden="1" customHeight="1">
      <c r="B845" s="109"/>
      <c r="C845" s="122"/>
      <c r="D845" s="142" t="s">
        <v>795</v>
      </c>
      <c r="E845" s="713">
        <v>1135027773.75</v>
      </c>
      <c r="F845" s="134">
        <v>45992775230.57</v>
      </c>
      <c r="G845" s="127">
        <f t="shared" si="14"/>
        <v>2.4678392814086623</v>
      </c>
      <c r="H845" s="120"/>
      <c r="I845" s="120"/>
      <c r="J845" s="116"/>
      <c r="K845" s="116"/>
      <c r="L845" s="116"/>
      <c r="M845" s="116"/>
      <c r="N845" s="116"/>
      <c r="O845" s="116"/>
      <c r="P845" s="116"/>
    </row>
    <row r="846" spans="2:16" s="108" customFormat="1" ht="15" hidden="1" customHeight="1">
      <c r="B846" s="109"/>
      <c r="C846" s="122"/>
      <c r="D846" s="143"/>
      <c r="E846" s="712"/>
      <c r="F846" s="134"/>
      <c r="G846" s="127"/>
      <c r="H846" s="120"/>
      <c r="I846" s="120"/>
      <c r="J846" s="116"/>
      <c r="K846" s="116"/>
      <c r="L846" s="116"/>
      <c r="M846" s="116"/>
      <c r="N846" s="116"/>
      <c r="O846" s="116"/>
      <c r="P846" s="116"/>
    </row>
    <row r="847" spans="2:16" s="108" customFormat="1" ht="21.75" hidden="1" customHeight="1">
      <c r="B847" s="109"/>
      <c r="C847" s="122"/>
      <c r="D847" s="143" t="s">
        <v>65</v>
      </c>
      <c r="E847" s="712">
        <f>E848+E850+E852+E854+E857+E861+E866</f>
        <v>7500000000</v>
      </c>
      <c r="F847" s="134">
        <v>45992775230.57</v>
      </c>
      <c r="G847" s="127">
        <f t="shared" si="14"/>
        <v>16.306908992556242</v>
      </c>
      <c r="H847" s="120"/>
      <c r="I847" s="120"/>
      <c r="J847" s="116"/>
      <c r="K847" s="116"/>
      <c r="L847" s="116"/>
      <c r="M847" s="116"/>
      <c r="N847" s="116"/>
      <c r="O847" s="116"/>
      <c r="P847" s="116"/>
    </row>
    <row r="848" spans="2:16" s="108" customFormat="1" ht="21.75" hidden="1" customHeight="1">
      <c r="B848" s="109"/>
      <c r="C848" s="122"/>
      <c r="D848" s="143" t="s">
        <v>672</v>
      </c>
      <c r="E848" s="712">
        <f>SUM(E849)</f>
        <v>75000000</v>
      </c>
      <c r="F848" s="134">
        <v>45992775230.57</v>
      </c>
      <c r="G848" s="127">
        <f t="shared" si="14"/>
        <v>0.16306908992556243</v>
      </c>
      <c r="H848" s="120"/>
      <c r="I848" s="120"/>
      <c r="J848" s="116"/>
      <c r="K848" s="116"/>
      <c r="L848" s="116"/>
      <c r="M848" s="116"/>
      <c r="N848" s="116"/>
      <c r="O848" s="116"/>
      <c r="P848" s="116"/>
    </row>
    <row r="849" spans="2:16" s="108" customFormat="1" ht="34.5" hidden="1" customHeight="1">
      <c r="B849" s="109"/>
      <c r="C849" s="122"/>
      <c r="D849" s="142" t="s">
        <v>796</v>
      </c>
      <c r="E849" s="713">
        <v>75000000</v>
      </c>
      <c r="F849" s="134">
        <v>45992775230.57</v>
      </c>
      <c r="G849" s="127">
        <f t="shared" si="14"/>
        <v>0.16306908992556243</v>
      </c>
      <c r="H849" s="120"/>
      <c r="I849" s="120"/>
      <c r="J849" s="116"/>
      <c r="K849" s="116"/>
      <c r="L849" s="116"/>
      <c r="M849" s="116"/>
      <c r="N849" s="116"/>
      <c r="O849" s="116"/>
      <c r="P849" s="116"/>
    </row>
    <row r="850" spans="2:16" s="108" customFormat="1" ht="21.75" hidden="1" customHeight="1">
      <c r="B850" s="109"/>
      <c r="C850" s="122"/>
      <c r="D850" s="143" t="s">
        <v>797</v>
      </c>
      <c r="E850" s="712">
        <f>SUM(E851)</f>
        <v>128850000</v>
      </c>
      <c r="F850" s="134">
        <v>45992775230.57</v>
      </c>
      <c r="G850" s="127">
        <f t="shared" si="14"/>
        <v>0.28015269649211627</v>
      </c>
      <c r="H850" s="120"/>
      <c r="I850" s="120"/>
      <c r="J850" s="116"/>
      <c r="K850" s="116"/>
      <c r="L850" s="116"/>
      <c r="M850" s="116"/>
      <c r="N850" s="116"/>
      <c r="O850" s="116"/>
      <c r="P850" s="116"/>
    </row>
    <row r="851" spans="2:16" s="108" customFormat="1" ht="21.75" hidden="1" customHeight="1">
      <c r="B851" s="109"/>
      <c r="C851" s="122"/>
      <c r="D851" s="142" t="s">
        <v>798</v>
      </c>
      <c r="E851" s="713">
        <v>128850000</v>
      </c>
      <c r="F851" s="134">
        <v>45992775230.57</v>
      </c>
      <c r="G851" s="127">
        <f t="shared" si="14"/>
        <v>0.28015269649211627</v>
      </c>
      <c r="H851" s="120"/>
      <c r="I851" s="120"/>
      <c r="J851" s="116"/>
      <c r="K851" s="116"/>
      <c r="L851" s="116"/>
      <c r="M851" s="116"/>
      <c r="N851" s="116"/>
      <c r="O851" s="116"/>
      <c r="P851" s="116"/>
    </row>
    <row r="852" spans="2:16" s="108" customFormat="1" ht="21.75" hidden="1" customHeight="1">
      <c r="B852" s="109"/>
      <c r="C852" s="122"/>
      <c r="D852" s="143" t="s">
        <v>689</v>
      </c>
      <c r="E852" s="712">
        <f>SUM(E853)</f>
        <v>123500000</v>
      </c>
      <c r="F852" s="134">
        <v>45992775230.57</v>
      </c>
      <c r="G852" s="127">
        <f t="shared" si="14"/>
        <v>0.26852043474409282</v>
      </c>
      <c r="H852" s="120"/>
      <c r="I852" s="120"/>
      <c r="J852" s="116"/>
      <c r="K852" s="116"/>
      <c r="L852" s="116"/>
      <c r="M852" s="116"/>
      <c r="N852" s="116"/>
      <c r="O852" s="116"/>
      <c r="P852" s="116"/>
    </row>
    <row r="853" spans="2:16" s="108" customFormat="1" ht="21.75" hidden="1" customHeight="1">
      <c r="B853" s="109"/>
      <c r="C853" s="122"/>
      <c r="D853" s="142" t="s">
        <v>799</v>
      </c>
      <c r="E853" s="713">
        <v>123500000</v>
      </c>
      <c r="F853" s="134">
        <v>45992775230.57</v>
      </c>
      <c r="G853" s="127">
        <f t="shared" si="14"/>
        <v>0.26852043474409282</v>
      </c>
      <c r="H853" s="120"/>
      <c r="I853" s="120"/>
      <c r="J853" s="116"/>
      <c r="K853" s="116"/>
      <c r="L853" s="116"/>
      <c r="M853" s="116"/>
      <c r="N853" s="116"/>
      <c r="O853" s="116"/>
      <c r="P853" s="116"/>
    </row>
    <row r="854" spans="2:16" s="108" customFormat="1" ht="21.75" hidden="1" customHeight="1">
      <c r="B854" s="109"/>
      <c r="C854" s="122"/>
      <c r="D854" s="143" t="s">
        <v>602</v>
      </c>
      <c r="E854" s="712">
        <f>SUM(E855:E856)</f>
        <v>311090000</v>
      </c>
      <c r="F854" s="134">
        <v>45992775230.57</v>
      </c>
      <c r="G854" s="127">
        <f t="shared" si="14"/>
        <v>0.67638884246590958</v>
      </c>
      <c r="H854" s="120"/>
      <c r="I854" s="120"/>
      <c r="J854" s="116"/>
      <c r="K854" s="116"/>
      <c r="L854" s="116"/>
      <c r="M854" s="116"/>
      <c r="N854" s="116"/>
      <c r="O854" s="116"/>
      <c r="P854" s="116"/>
    </row>
    <row r="855" spans="2:16" s="108" customFormat="1" ht="21.75" hidden="1" customHeight="1">
      <c r="B855" s="109"/>
      <c r="C855" s="122"/>
      <c r="D855" s="142" t="s">
        <v>800</v>
      </c>
      <c r="E855" s="713">
        <v>120000000</v>
      </c>
      <c r="F855" s="134">
        <v>45992775230.57</v>
      </c>
      <c r="G855" s="127">
        <f t="shared" si="14"/>
        <v>0.2609105438808999</v>
      </c>
      <c r="H855" s="120"/>
      <c r="I855" s="120"/>
      <c r="J855" s="116"/>
      <c r="K855" s="116"/>
      <c r="L855" s="116"/>
      <c r="M855" s="116"/>
      <c r="N855" s="116"/>
      <c r="O855" s="116"/>
      <c r="P855" s="116"/>
    </row>
    <row r="856" spans="2:16" s="108" customFormat="1" ht="21.75" hidden="1" customHeight="1">
      <c r="B856" s="109"/>
      <c r="C856" s="122"/>
      <c r="D856" s="142" t="s">
        <v>801</v>
      </c>
      <c r="E856" s="713">
        <v>191090000</v>
      </c>
      <c r="F856" s="134">
        <v>45992775230.57</v>
      </c>
      <c r="G856" s="127">
        <f t="shared" si="14"/>
        <v>0.41547829858500968</v>
      </c>
      <c r="H856" s="120"/>
      <c r="I856" s="120"/>
      <c r="J856" s="116"/>
      <c r="K856" s="116"/>
      <c r="L856" s="116"/>
      <c r="M856" s="116"/>
      <c r="N856" s="116"/>
      <c r="O856" s="116"/>
      <c r="P856" s="116"/>
    </row>
    <row r="857" spans="2:16" s="108" customFormat="1" ht="21.75" hidden="1" customHeight="1">
      <c r="B857" s="109"/>
      <c r="C857" s="122"/>
      <c r="D857" s="143" t="s">
        <v>606</v>
      </c>
      <c r="E857" s="712">
        <f>SUM(E858:E860)</f>
        <v>2010400000</v>
      </c>
      <c r="F857" s="134">
        <v>45992775230.57</v>
      </c>
      <c r="G857" s="127">
        <f t="shared" si="14"/>
        <v>4.3711213118180092</v>
      </c>
      <c r="H857" s="120"/>
      <c r="I857" s="120"/>
      <c r="J857" s="116"/>
      <c r="K857" s="116"/>
      <c r="L857" s="116"/>
      <c r="M857" s="116"/>
      <c r="N857" s="116"/>
      <c r="O857" s="116"/>
      <c r="P857" s="116"/>
    </row>
    <row r="858" spans="2:16" s="108" customFormat="1" ht="34.5" hidden="1" customHeight="1">
      <c r="B858" s="109"/>
      <c r="C858" s="122"/>
      <c r="D858" s="142" t="s">
        <v>802</v>
      </c>
      <c r="E858" s="713">
        <v>1532000000</v>
      </c>
      <c r="F858" s="134">
        <v>45992775230.57</v>
      </c>
      <c r="G858" s="127">
        <f t="shared" si="14"/>
        <v>3.3309579435461556</v>
      </c>
      <c r="H858" s="120"/>
      <c r="I858" s="120"/>
      <c r="J858" s="116"/>
      <c r="K858" s="116"/>
      <c r="L858" s="116"/>
      <c r="M858" s="116"/>
      <c r="N858" s="116"/>
      <c r="O858" s="116"/>
      <c r="P858" s="116"/>
    </row>
    <row r="859" spans="2:16" s="108" customFormat="1" ht="21.75" hidden="1" customHeight="1">
      <c r="B859" s="109"/>
      <c r="C859" s="122"/>
      <c r="D859" s="142" t="s">
        <v>803</v>
      </c>
      <c r="E859" s="713">
        <v>350000000</v>
      </c>
      <c r="F859" s="134">
        <v>45992775230.57</v>
      </c>
      <c r="G859" s="127">
        <f t="shared" si="14"/>
        <v>0.76098908631929141</v>
      </c>
      <c r="H859" s="120"/>
      <c r="I859" s="120"/>
      <c r="J859" s="116"/>
      <c r="K859" s="116"/>
      <c r="L859" s="116"/>
      <c r="M859" s="116"/>
      <c r="N859" s="116"/>
      <c r="O859" s="116"/>
      <c r="P859" s="116"/>
    </row>
    <row r="860" spans="2:16" s="108" customFormat="1" ht="21.75" hidden="1" customHeight="1">
      <c r="B860" s="109"/>
      <c r="C860" s="122"/>
      <c r="D860" s="142" t="s">
        <v>804</v>
      </c>
      <c r="E860" s="713">
        <v>128400000</v>
      </c>
      <c r="F860" s="134">
        <v>45992775230.57</v>
      </c>
      <c r="G860" s="127">
        <f t="shared" si="14"/>
        <v>0.27917428195256289</v>
      </c>
      <c r="H860" s="120"/>
      <c r="I860" s="120"/>
      <c r="J860" s="116"/>
      <c r="K860" s="116"/>
      <c r="L860" s="116"/>
      <c r="M860" s="116"/>
      <c r="N860" s="116"/>
      <c r="O860" s="116"/>
      <c r="P860" s="116"/>
    </row>
    <row r="861" spans="2:16" s="108" customFormat="1" ht="21.75" hidden="1" customHeight="1">
      <c r="B861" s="109"/>
      <c r="C861" s="122"/>
      <c r="D861" s="143" t="s">
        <v>597</v>
      </c>
      <c r="E861" s="712">
        <f>SUM(E862:E865)</f>
        <v>4639150000</v>
      </c>
      <c r="F861" s="134">
        <v>45992775230.57</v>
      </c>
      <c r="G861" s="127">
        <f t="shared" si="14"/>
        <v>10.086692913708974</v>
      </c>
      <c r="H861" s="120"/>
      <c r="I861" s="120"/>
      <c r="J861" s="116"/>
      <c r="K861" s="116"/>
      <c r="L861" s="116"/>
      <c r="M861" s="116"/>
      <c r="N861" s="116"/>
      <c r="O861" s="116"/>
      <c r="P861" s="116"/>
    </row>
    <row r="862" spans="2:16" s="108" customFormat="1" ht="21.75" hidden="1" customHeight="1">
      <c r="B862" s="109"/>
      <c r="C862" s="122"/>
      <c r="D862" s="142" t="s">
        <v>805</v>
      </c>
      <c r="E862" s="713">
        <v>4189150000</v>
      </c>
      <c r="F862" s="134">
        <v>45992775230.57</v>
      </c>
      <c r="G862" s="127">
        <f t="shared" si="14"/>
        <v>9.1082783741555993</v>
      </c>
      <c r="H862" s="120"/>
      <c r="I862" s="120"/>
      <c r="J862" s="116"/>
      <c r="K862" s="116"/>
      <c r="L862" s="116"/>
      <c r="M862" s="116"/>
      <c r="N862" s="116"/>
      <c r="O862" s="116"/>
      <c r="P862" s="116"/>
    </row>
    <row r="863" spans="2:16" s="108" customFormat="1" ht="34.5" hidden="1" customHeight="1">
      <c r="B863" s="109"/>
      <c r="C863" s="122"/>
      <c r="D863" s="142" t="s">
        <v>806</v>
      </c>
      <c r="E863" s="713">
        <v>150000000</v>
      </c>
      <c r="F863" s="134">
        <v>45992775230.57</v>
      </c>
      <c r="G863" s="127">
        <f t="shared" si="14"/>
        <v>0.32613817985112487</v>
      </c>
      <c r="H863" s="120"/>
      <c r="I863" s="120"/>
      <c r="J863" s="116"/>
      <c r="K863" s="116"/>
      <c r="L863" s="116"/>
      <c r="M863" s="116"/>
      <c r="N863" s="116"/>
      <c r="O863" s="116"/>
      <c r="P863" s="116"/>
    </row>
    <row r="864" spans="2:16" s="108" customFormat="1" ht="21.75" hidden="1" customHeight="1">
      <c r="B864" s="109"/>
      <c r="C864" s="122"/>
      <c r="D864" s="142" t="s">
        <v>807</v>
      </c>
      <c r="E864" s="713">
        <v>200000000</v>
      </c>
      <c r="F864" s="134">
        <v>45992775230.57</v>
      </c>
      <c r="G864" s="127">
        <f t="shared" si="14"/>
        <v>0.43485090646816649</v>
      </c>
      <c r="H864" s="120"/>
      <c r="I864" s="120"/>
      <c r="J864" s="116"/>
      <c r="K864" s="116"/>
      <c r="L864" s="116"/>
      <c r="M864" s="116"/>
      <c r="N864" s="116"/>
      <c r="O864" s="116"/>
      <c r="P864" s="116"/>
    </row>
    <row r="865" spans="2:16" s="108" customFormat="1" ht="34.5" hidden="1" customHeight="1">
      <c r="B865" s="109"/>
      <c r="C865" s="122"/>
      <c r="D865" s="142" t="s">
        <v>808</v>
      </c>
      <c r="E865" s="713">
        <v>100000000</v>
      </c>
      <c r="F865" s="134">
        <v>45992775230.57</v>
      </c>
      <c r="G865" s="127">
        <f t="shared" si="14"/>
        <v>0.21742545323408324</v>
      </c>
      <c r="H865" s="120"/>
      <c r="I865" s="120"/>
      <c r="J865" s="116"/>
      <c r="K865" s="116"/>
      <c r="L865" s="116"/>
      <c r="M865" s="116"/>
      <c r="N865" s="116"/>
      <c r="O865" s="116"/>
      <c r="P865" s="116"/>
    </row>
    <row r="866" spans="2:16" s="108" customFormat="1" ht="21.75" hidden="1" customHeight="1">
      <c r="B866" s="109"/>
      <c r="C866" s="122"/>
      <c r="D866" s="143" t="s">
        <v>695</v>
      </c>
      <c r="E866" s="712">
        <f>SUM(E867)</f>
        <v>212010000</v>
      </c>
      <c r="F866" s="134">
        <v>45992775230.57</v>
      </c>
      <c r="G866" s="127">
        <f t="shared" si="14"/>
        <v>0.46096370340157988</v>
      </c>
      <c r="H866" s="120"/>
      <c r="I866" s="120"/>
      <c r="J866" s="116"/>
      <c r="K866" s="116"/>
      <c r="L866" s="116"/>
      <c r="M866" s="116"/>
      <c r="N866" s="116"/>
      <c r="O866" s="116"/>
      <c r="P866" s="116"/>
    </row>
    <row r="867" spans="2:16" s="108" customFormat="1" ht="21.75" hidden="1" customHeight="1">
      <c r="B867" s="109"/>
      <c r="C867" s="122"/>
      <c r="D867" s="142" t="s">
        <v>809</v>
      </c>
      <c r="E867" s="713">
        <v>212010000</v>
      </c>
      <c r="F867" s="134">
        <v>45992775230.57</v>
      </c>
      <c r="G867" s="127">
        <f t="shared" si="14"/>
        <v>0.46096370340157988</v>
      </c>
      <c r="H867" s="120"/>
      <c r="I867" s="120"/>
      <c r="J867" s="116"/>
      <c r="K867" s="116"/>
      <c r="L867" s="116"/>
      <c r="M867" s="116"/>
      <c r="N867" s="116"/>
      <c r="O867" s="116"/>
      <c r="P867" s="116"/>
    </row>
    <row r="868" spans="2:16" s="108" customFormat="1" ht="21.75" hidden="1" customHeight="1">
      <c r="B868" s="109"/>
      <c r="C868" s="122"/>
      <c r="D868" s="142"/>
      <c r="E868" s="713"/>
      <c r="F868" s="134"/>
      <c r="G868" s="127"/>
      <c r="H868" s="120"/>
      <c r="I868" s="120"/>
      <c r="J868" s="116"/>
      <c r="K868" s="116"/>
      <c r="L868" s="116"/>
      <c r="M868" s="116"/>
      <c r="N868" s="116"/>
      <c r="O868" s="116"/>
      <c r="P868" s="116"/>
    </row>
    <row r="869" spans="2:16" s="108" customFormat="1" ht="21.75" hidden="1" customHeight="1">
      <c r="B869" s="109"/>
      <c r="C869" s="122"/>
      <c r="D869" s="143" t="s">
        <v>810</v>
      </c>
      <c r="E869" s="712">
        <f>E870+E872+E875</f>
        <v>5000000000</v>
      </c>
      <c r="F869" s="134">
        <v>45992775230.57</v>
      </c>
      <c r="G869" s="127">
        <f t="shared" si="14"/>
        <v>10.871272661704163</v>
      </c>
      <c r="H869" s="120"/>
      <c r="I869" s="120"/>
      <c r="J869" s="116"/>
      <c r="K869" s="116"/>
      <c r="L869" s="116"/>
      <c r="M869" s="116"/>
      <c r="N869" s="116"/>
      <c r="O869" s="116"/>
      <c r="P869" s="116"/>
    </row>
    <row r="870" spans="2:16" s="108" customFormat="1" ht="21.75" hidden="1" customHeight="1">
      <c r="B870" s="109"/>
      <c r="C870" s="122"/>
      <c r="D870" s="143" t="s">
        <v>811</v>
      </c>
      <c r="E870" s="712">
        <f>SUM(E871)</f>
        <v>200000000</v>
      </c>
      <c r="F870" s="134">
        <v>45992775230.57</v>
      </c>
      <c r="G870" s="127">
        <f t="shared" si="14"/>
        <v>0.43485090646816649</v>
      </c>
      <c r="H870" s="120"/>
      <c r="I870" s="120"/>
      <c r="J870" s="116"/>
      <c r="K870" s="116"/>
      <c r="L870" s="116"/>
      <c r="M870" s="116"/>
      <c r="N870" s="116"/>
      <c r="O870" s="116"/>
      <c r="P870" s="116"/>
    </row>
    <row r="871" spans="2:16" s="108" customFormat="1" ht="34.5" hidden="1" customHeight="1">
      <c r="B871" s="109"/>
      <c r="C871" s="122"/>
      <c r="D871" s="142" t="s">
        <v>812</v>
      </c>
      <c r="E871" s="713">
        <v>200000000</v>
      </c>
      <c r="F871" s="134">
        <v>45992775230.57</v>
      </c>
      <c r="G871" s="127">
        <f t="shared" si="14"/>
        <v>0.43485090646816649</v>
      </c>
      <c r="H871" s="120"/>
      <c r="I871" s="120"/>
      <c r="J871" s="116"/>
      <c r="K871" s="116"/>
      <c r="L871" s="116"/>
      <c r="M871" s="116"/>
      <c r="N871" s="116"/>
      <c r="O871" s="116"/>
      <c r="P871" s="116"/>
    </row>
    <row r="872" spans="2:16" s="108" customFormat="1" ht="21.75" hidden="1" customHeight="1">
      <c r="B872" s="109"/>
      <c r="C872" s="122"/>
      <c r="D872" s="143" t="s">
        <v>602</v>
      </c>
      <c r="E872" s="712">
        <f>SUM(E873:E874)</f>
        <v>250000000</v>
      </c>
      <c r="F872" s="134">
        <v>45992775230.57</v>
      </c>
      <c r="G872" s="127">
        <f t="shared" si="14"/>
        <v>0.54356363308520816</v>
      </c>
      <c r="H872" s="120"/>
      <c r="I872" s="120"/>
      <c r="J872" s="116"/>
      <c r="K872" s="116"/>
      <c r="L872" s="116"/>
      <c r="M872" s="116"/>
      <c r="N872" s="116"/>
      <c r="O872" s="116"/>
      <c r="P872" s="116"/>
    </row>
    <row r="873" spans="2:16" s="108" customFormat="1" ht="21.75" hidden="1" customHeight="1">
      <c r="B873" s="109"/>
      <c r="C873" s="122"/>
      <c r="D873" s="142" t="s">
        <v>813</v>
      </c>
      <c r="E873" s="713">
        <v>150000000</v>
      </c>
      <c r="F873" s="134">
        <v>45992775230.57</v>
      </c>
      <c r="G873" s="127">
        <f t="shared" si="14"/>
        <v>0.32613817985112487</v>
      </c>
      <c r="H873" s="120"/>
      <c r="I873" s="120"/>
      <c r="J873" s="116"/>
      <c r="K873" s="116"/>
      <c r="L873" s="116"/>
      <c r="M873" s="116"/>
      <c r="N873" s="116"/>
      <c r="O873" s="116"/>
      <c r="P873" s="116"/>
    </row>
    <row r="874" spans="2:16" s="108" customFormat="1" ht="21.75" hidden="1" customHeight="1">
      <c r="B874" s="109"/>
      <c r="C874" s="122"/>
      <c r="D874" s="142" t="s">
        <v>814</v>
      </c>
      <c r="E874" s="713">
        <v>100000000</v>
      </c>
      <c r="F874" s="134">
        <v>45992775230.57</v>
      </c>
      <c r="G874" s="127">
        <f t="shared" si="14"/>
        <v>0.21742545323408324</v>
      </c>
      <c r="H874" s="120"/>
      <c r="I874" s="120"/>
      <c r="J874" s="116"/>
      <c r="K874" s="116"/>
      <c r="L874" s="116"/>
      <c r="M874" s="116"/>
      <c r="N874" s="116"/>
      <c r="O874" s="116"/>
      <c r="P874" s="116"/>
    </row>
    <row r="875" spans="2:16" s="108" customFormat="1" ht="34.5" hidden="1" customHeight="1">
      <c r="B875" s="109"/>
      <c r="C875" s="122"/>
      <c r="D875" s="143" t="s">
        <v>815</v>
      </c>
      <c r="E875" s="712">
        <f>SUM(E876:E879)</f>
        <v>4550000000</v>
      </c>
      <c r="F875" s="134">
        <v>45992775230.57</v>
      </c>
      <c r="G875" s="127">
        <f t="shared" si="14"/>
        <v>9.8928581221507876</v>
      </c>
      <c r="H875" s="120"/>
      <c r="I875" s="120"/>
      <c r="J875" s="116"/>
      <c r="K875" s="116"/>
      <c r="L875" s="116"/>
      <c r="M875" s="116"/>
      <c r="N875" s="116"/>
      <c r="O875" s="116"/>
      <c r="P875" s="116"/>
    </row>
    <row r="876" spans="2:16" s="108" customFormat="1" ht="21.75" hidden="1" customHeight="1">
      <c r="B876" s="109"/>
      <c r="C876" s="122"/>
      <c r="D876" s="142" t="s">
        <v>816</v>
      </c>
      <c r="E876" s="713">
        <v>500000000</v>
      </c>
      <c r="F876" s="134">
        <v>45992775230.57</v>
      </c>
      <c r="G876" s="127">
        <f t="shared" si="14"/>
        <v>1.0871272661704163</v>
      </c>
      <c r="H876" s="120"/>
      <c r="I876" s="120"/>
      <c r="J876" s="116"/>
      <c r="K876" s="116"/>
      <c r="L876" s="116"/>
      <c r="M876" s="116"/>
      <c r="N876" s="116"/>
      <c r="O876" s="116"/>
      <c r="P876" s="116"/>
    </row>
    <row r="877" spans="2:16" s="108" customFormat="1" ht="21.75" hidden="1" customHeight="1">
      <c r="B877" s="109"/>
      <c r="C877" s="122"/>
      <c r="D877" s="142" t="s">
        <v>817</v>
      </c>
      <c r="E877" s="713">
        <v>2050000000</v>
      </c>
      <c r="F877" s="134">
        <v>45992775230.57</v>
      </c>
      <c r="G877" s="127">
        <f t="shared" si="14"/>
        <v>4.4572217912987062</v>
      </c>
      <c r="H877" s="120"/>
      <c r="I877" s="120"/>
      <c r="J877" s="116"/>
      <c r="K877" s="116"/>
      <c r="L877" s="116"/>
      <c r="M877" s="116"/>
      <c r="N877" s="116"/>
      <c r="O877" s="116"/>
      <c r="P877" s="116"/>
    </row>
    <row r="878" spans="2:16" s="108" customFormat="1" ht="21.75" hidden="1" customHeight="1">
      <c r="B878" s="109"/>
      <c r="C878" s="122"/>
      <c r="D878" s="142" t="s">
        <v>818</v>
      </c>
      <c r="E878" s="714">
        <v>500000000</v>
      </c>
      <c r="F878" s="134">
        <v>45992775230.57</v>
      </c>
      <c r="G878" s="127">
        <f t="shared" ref="G878:G879" si="15">+E878/F878*100</f>
        <v>1.0871272661704163</v>
      </c>
      <c r="H878" s="120"/>
      <c r="I878" s="120"/>
      <c r="J878" s="116"/>
      <c r="K878" s="116"/>
      <c r="L878" s="116"/>
      <c r="M878" s="116"/>
      <c r="N878" s="116"/>
      <c r="O878" s="116"/>
      <c r="P878" s="116"/>
    </row>
    <row r="879" spans="2:16" s="108" customFormat="1" ht="21.75" hidden="1" customHeight="1">
      <c r="B879" s="109"/>
      <c r="C879" s="122"/>
      <c r="D879" s="142" t="s">
        <v>819</v>
      </c>
      <c r="E879" s="713">
        <v>1500000000</v>
      </c>
      <c r="F879" s="134">
        <v>45992775230.57</v>
      </c>
      <c r="G879" s="127">
        <f t="shared" si="15"/>
        <v>3.2613817985112488</v>
      </c>
      <c r="H879" s="120"/>
      <c r="I879" s="120"/>
      <c r="J879" s="116"/>
      <c r="K879" s="116"/>
      <c r="L879" s="116"/>
      <c r="M879" s="116"/>
      <c r="N879" s="116"/>
      <c r="O879" s="116"/>
      <c r="P879" s="116"/>
    </row>
    <row r="880" spans="2:16" s="108" customFormat="1" ht="15" hidden="1" customHeight="1">
      <c r="B880" s="109"/>
      <c r="C880" s="122"/>
      <c r="D880" s="143"/>
      <c r="E880" s="712"/>
      <c r="F880" s="134"/>
      <c r="G880" s="127"/>
      <c r="H880" s="120"/>
      <c r="I880" s="120"/>
      <c r="J880" s="116"/>
      <c r="K880" s="116"/>
      <c r="L880" s="116"/>
      <c r="M880" s="116"/>
      <c r="N880" s="116"/>
      <c r="O880" s="116"/>
      <c r="P880" s="116"/>
    </row>
    <row r="881" spans="2:16" s="108" customFormat="1" ht="21.75" hidden="1" customHeight="1">
      <c r="B881" s="109"/>
      <c r="C881" s="122"/>
      <c r="D881" s="143" t="s">
        <v>820</v>
      </c>
      <c r="E881" s="712">
        <f>E882</f>
        <v>650000000</v>
      </c>
      <c r="F881" s="134">
        <v>45992775230.57</v>
      </c>
      <c r="G881" s="127">
        <f t="shared" ref="G881:G913" si="16">+E881/F881*100</f>
        <v>1.413265446021541</v>
      </c>
      <c r="H881" s="120"/>
      <c r="I881" s="120"/>
      <c r="J881" s="116"/>
      <c r="K881" s="116"/>
      <c r="L881" s="116"/>
      <c r="M881" s="116"/>
      <c r="N881" s="116"/>
      <c r="O881" s="116"/>
      <c r="P881" s="116"/>
    </row>
    <row r="882" spans="2:16" s="108" customFormat="1" ht="34.5" hidden="1" customHeight="1">
      <c r="B882" s="109"/>
      <c r="C882" s="122"/>
      <c r="D882" s="143" t="s">
        <v>615</v>
      </c>
      <c r="E882" s="712">
        <f>SUM(E883)</f>
        <v>650000000</v>
      </c>
      <c r="F882" s="134">
        <v>45992775230.57</v>
      </c>
      <c r="G882" s="127">
        <f t="shared" si="16"/>
        <v>1.413265446021541</v>
      </c>
      <c r="H882" s="120"/>
      <c r="I882" s="120"/>
      <c r="J882" s="116"/>
      <c r="K882" s="116"/>
      <c r="L882" s="116"/>
      <c r="M882" s="116"/>
      <c r="N882" s="116"/>
      <c r="O882" s="116"/>
      <c r="P882" s="116"/>
    </row>
    <row r="883" spans="2:16" s="108" customFormat="1" ht="34.5" hidden="1" customHeight="1">
      <c r="B883" s="109"/>
      <c r="C883" s="122"/>
      <c r="D883" s="142" t="s">
        <v>821</v>
      </c>
      <c r="E883" s="713">
        <v>650000000</v>
      </c>
      <c r="F883" s="134">
        <v>45992775230.57</v>
      </c>
      <c r="G883" s="127">
        <f t="shared" si="16"/>
        <v>1.413265446021541</v>
      </c>
      <c r="H883" s="120"/>
      <c r="I883" s="120"/>
      <c r="J883" s="116"/>
      <c r="K883" s="116"/>
      <c r="L883" s="116"/>
      <c r="M883" s="116"/>
      <c r="N883" s="116"/>
      <c r="O883" s="116"/>
      <c r="P883" s="116"/>
    </row>
    <row r="884" spans="2:16" s="108" customFormat="1" ht="15" hidden="1" customHeight="1">
      <c r="B884" s="109"/>
      <c r="C884" s="122"/>
      <c r="D884" s="142"/>
      <c r="E884" s="713"/>
      <c r="F884" s="134"/>
      <c r="G884" s="127"/>
      <c r="H884" s="120"/>
      <c r="I884" s="120"/>
      <c r="J884" s="116"/>
      <c r="K884" s="116"/>
      <c r="L884" s="116"/>
      <c r="M884" s="116"/>
      <c r="N884" s="116"/>
      <c r="O884" s="116"/>
      <c r="P884" s="116"/>
    </row>
    <row r="885" spans="2:16" s="108" customFormat="1" ht="21.75" hidden="1" customHeight="1">
      <c r="B885" s="109"/>
      <c r="C885" s="122"/>
      <c r="D885" s="143" t="s">
        <v>822</v>
      </c>
      <c r="E885" s="712">
        <f>E886+E888+E891+E893</f>
        <v>822575230.57000005</v>
      </c>
      <c r="F885" s="134">
        <v>45992775230.57</v>
      </c>
      <c r="G885" s="127">
        <f t="shared" si="16"/>
        <v>1.7884879232581281</v>
      </c>
      <c r="H885" s="120"/>
      <c r="I885" s="120"/>
      <c r="J885" s="116"/>
      <c r="K885" s="116"/>
      <c r="L885" s="116"/>
      <c r="M885" s="116"/>
      <c r="N885" s="116"/>
      <c r="O885" s="116"/>
      <c r="P885" s="116"/>
    </row>
    <row r="886" spans="2:16" s="108" customFormat="1" ht="21.75" hidden="1" customHeight="1">
      <c r="B886" s="109"/>
      <c r="C886" s="122"/>
      <c r="D886" s="143" t="s">
        <v>628</v>
      </c>
      <c r="E886" s="712">
        <f>SUM(E887)</f>
        <v>200000000</v>
      </c>
      <c r="F886" s="134">
        <v>45992775230.57</v>
      </c>
      <c r="G886" s="127">
        <f t="shared" si="16"/>
        <v>0.43485090646816649</v>
      </c>
      <c r="H886" s="120"/>
      <c r="I886" s="120"/>
      <c r="J886" s="116"/>
      <c r="K886" s="116"/>
      <c r="L886" s="116"/>
      <c r="M886" s="116"/>
      <c r="N886" s="116"/>
      <c r="O886" s="116"/>
      <c r="P886" s="116"/>
    </row>
    <row r="887" spans="2:16" s="108" customFormat="1" ht="21.75" hidden="1" customHeight="1">
      <c r="B887" s="109"/>
      <c r="C887" s="122"/>
      <c r="D887" s="142" t="s">
        <v>823</v>
      </c>
      <c r="E887" s="713">
        <v>200000000</v>
      </c>
      <c r="F887" s="134">
        <v>45992775230.57</v>
      </c>
      <c r="G887" s="127">
        <f t="shared" si="16"/>
        <v>0.43485090646816649</v>
      </c>
      <c r="H887" s="120"/>
      <c r="I887" s="120"/>
      <c r="J887" s="116"/>
      <c r="K887" s="116"/>
      <c r="L887" s="116"/>
      <c r="M887" s="116"/>
      <c r="N887" s="116"/>
      <c r="O887" s="116"/>
      <c r="P887" s="116"/>
    </row>
    <row r="888" spans="2:16" s="108" customFormat="1" ht="21.75" hidden="1" customHeight="1">
      <c r="B888" s="109"/>
      <c r="C888" s="122"/>
      <c r="D888" s="143" t="s">
        <v>718</v>
      </c>
      <c r="E888" s="715">
        <f>SUM(E889:E890)</f>
        <v>300000000</v>
      </c>
      <c r="F888" s="134">
        <v>45992775230.57</v>
      </c>
      <c r="G888" s="127">
        <f t="shared" si="16"/>
        <v>0.65227635970224973</v>
      </c>
      <c r="H888" s="120"/>
      <c r="I888" s="120"/>
      <c r="J888" s="116"/>
      <c r="K888" s="116"/>
      <c r="L888" s="116"/>
      <c r="M888" s="116"/>
      <c r="N888" s="116"/>
      <c r="O888" s="116"/>
      <c r="P888" s="116"/>
    </row>
    <row r="889" spans="2:16" s="108" customFormat="1" ht="21.75" hidden="1" customHeight="1">
      <c r="B889" s="109"/>
      <c r="C889" s="122"/>
      <c r="D889" s="142" t="s">
        <v>824</v>
      </c>
      <c r="E889" s="713">
        <v>155100000</v>
      </c>
      <c r="F889" s="134">
        <v>45992775230.57</v>
      </c>
      <c r="G889" s="127">
        <f t="shared" si="16"/>
        <v>0.3372268779660631</v>
      </c>
      <c r="H889" s="120"/>
      <c r="I889" s="120"/>
      <c r="J889" s="116"/>
      <c r="K889" s="116"/>
      <c r="L889" s="116"/>
      <c r="M889" s="116"/>
      <c r="N889" s="116"/>
      <c r="O889" s="116"/>
      <c r="P889" s="116"/>
    </row>
    <row r="890" spans="2:16" s="108" customFormat="1" ht="21.75" hidden="1" customHeight="1">
      <c r="B890" s="109"/>
      <c r="C890" s="122"/>
      <c r="D890" s="142" t="s">
        <v>825</v>
      </c>
      <c r="E890" s="713">
        <v>144900000</v>
      </c>
      <c r="F890" s="134">
        <v>45992775230.57</v>
      </c>
      <c r="G890" s="127">
        <f t="shared" si="16"/>
        <v>0.31504948173618663</v>
      </c>
      <c r="H890" s="120"/>
      <c r="I890" s="120"/>
      <c r="J890" s="116"/>
      <c r="K890" s="116"/>
      <c r="L890" s="116"/>
      <c r="M890" s="116"/>
      <c r="N890" s="116"/>
      <c r="O890" s="116"/>
      <c r="P890" s="116"/>
    </row>
    <row r="891" spans="2:16" s="108" customFormat="1" ht="21.75" hidden="1" customHeight="1">
      <c r="B891" s="109"/>
      <c r="C891" s="122"/>
      <c r="D891" s="143" t="s">
        <v>638</v>
      </c>
      <c r="E891" s="712">
        <f>SUM(E892)</f>
        <v>62575230.57</v>
      </c>
      <c r="F891" s="134">
        <v>45992775230.57</v>
      </c>
      <c r="G891" s="127">
        <f t="shared" si="16"/>
        <v>0.13605447867909512</v>
      </c>
      <c r="H891" s="120"/>
      <c r="I891" s="120"/>
      <c r="J891" s="116"/>
      <c r="K891" s="116"/>
      <c r="L891" s="116"/>
      <c r="M891" s="116"/>
      <c r="N891" s="116"/>
      <c r="O891" s="116"/>
      <c r="P891" s="116"/>
    </row>
    <row r="892" spans="2:16" s="108" customFormat="1" ht="21.75" hidden="1" customHeight="1">
      <c r="B892" s="109"/>
      <c r="C892" s="122"/>
      <c r="D892" s="142" t="s">
        <v>826</v>
      </c>
      <c r="E892" s="714">
        <v>62575230.57</v>
      </c>
      <c r="F892" s="134">
        <v>45992775230.57</v>
      </c>
      <c r="G892" s="127">
        <f t="shared" si="16"/>
        <v>0.13605447867909512</v>
      </c>
      <c r="H892" s="120"/>
      <c r="I892" s="120"/>
      <c r="J892" s="116"/>
      <c r="K892" s="116"/>
      <c r="L892" s="116"/>
      <c r="M892" s="116"/>
      <c r="N892" s="116"/>
      <c r="O892" s="116"/>
      <c r="P892" s="116"/>
    </row>
    <row r="893" spans="2:16" s="108" customFormat="1" ht="21.75" hidden="1" customHeight="1">
      <c r="B893" s="109"/>
      <c r="C893" s="122"/>
      <c r="D893" s="143" t="s">
        <v>640</v>
      </c>
      <c r="E893" s="712">
        <f>SUM(E894)</f>
        <v>260000000</v>
      </c>
      <c r="F893" s="134">
        <v>45992775230.57</v>
      </c>
      <c r="G893" s="127">
        <f t="shared" si="16"/>
        <v>0.56530617840861652</v>
      </c>
      <c r="H893" s="120"/>
      <c r="I893" s="120"/>
      <c r="J893" s="116"/>
      <c r="K893" s="116"/>
      <c r="L893" s="116"/>
      <c r="M893" s="116"/>
      <c r="N893" s="116"/>
      <c r="O893" s="116"/>
      <c r="P893" s="116"/>
    </row>
    <row r="894" spans="2:16" s="108" customFormat="1" ht="21.75" hidden="1" customHeight="1">
      <c r="B894" s="109"/>
      <c r="C894" s="122"/>
      <c r="D894" s="142" t="s">
        <v>827</v>
      </c>
      <c r="E894" s="713">
        <v>260000000</v>
      </c>
      <c r="F894" s="134">
        <v>45992775230.57</v>
      </c>
      <c r="G894" s="127">
        <f t="shared" si="16"/>
        <v>0.56530617840861652</v>
      </c>
      <c r="H894" s="120"/>
      <c r="I894" s="120"/>
      <c r="J894" s="116"/>
      <c r="K894" s="116"/>
      <c r="L894" s="116"/>
      <c r="M894" s="116"/>
      <c r="N894" s="116"/>
      <c r="O894" s="116"/>
      <c r="P894" s="116"/>
    </row>
    <row r="895" spans="2:16" s="108" customFormat="1" ht="15" hidden="1" customHeight="1">
      <c r="B895" s="109"/>
      <c r="C895" s="122"/>
      <c r="D895" s="142"/>
      <c r="E895" s="713"/>
      <c r="F895" s="134"/>
      <c r="G895" s="127"/>
      <c r="H895" s="120"/>
      <c r="I895" s="120"/>
      <c r="J895" s="116"/>
      <c r="K895" s="116"/>
      <c r="L895" s="116"/>
      <c r="M895" s="116"/>
      <c r="N895" s="116"/>
      <c r="O895" s="116"/>
      <c r="P895" s="116"/>
    </row>
    <row r="896" spans="2:16" s="108" customFormat="1" ht="21.75" hidden="1" customHeight="1">
      <c r="B896" s="109"/>
      <c r="C896" s="122"/>
      <c r="D896" s="143" t="s">
        <v>828</v>
      </c>
      <c r="E896" s="712">
        <f>E897+E899</f>
        <v>700000000</v>
      </c>
      <c r="F896" s="134">
        <v>45992775230.57</v>
      </c>
      <c r="G896" s="127">
        <f t="shared" si="16"/>
        <v>1.5219781726385828</v>
      </c>
      <c r="H896" s="120"/>
      <c r="I896" s="120"/>
      <c r="J896" s="116"/>
      <c r="K896" s="116"/>
      <c r="L896" s="116"/>
      <c r="M896" s="116"/>
      <c r="N896" s="116"/>
      <c r="O896" s="116"/>
      <c r="P896" s="116"/>
    </row>
    <row r="897" spans="2:16" s="108" customFormat="1" ht="21.75" hidden="1" customHeight="1">
      <c r="B897" s="109"/>
      <c r="C897" s="122"/>
      <c r="D897" s="143" t="s">
        <v>622</v>
      </c>
      <c r="E897" s="715">
        <f>SUM(E898)</f>
        <v>292240500</v>
      </c>
      <c r="F897" s="134">
        <v>45992775230.57</v>
      </c>
      <c r="G897" s="127">
        <f t="shared" si="16"/>
        <v>0.63540523165855112</v>
      </c>
      <c r="H897" s="120"/>
      <c r="I897" s="120"/>
      <c r="J897" s="116"/>
      <c r="K897" s="116"/>
      <c r="L897" s="116"/>
      <c r="M897" s="116"/>
      <c r="N897" s="116"/>
      <c r="O897" s="116"/>
      <c r="P897" s="116"/>
    </row>
    <row r="898" spans="2:16" s="108" customFormat="1" ht="21.75" hidden="1" customHeight="1">
      <c r="B898" s="109"/>
      <c r="C898" s="122"/>
      <c r="D898" s="142" t="s">
        <v>829</v>
      </c>
      <c r="E898" s="713">
        <v>292240500</v>
      </c>
      <c r="F898" s="134">
        <v>45992775230.57</v>
      </c>
      <c r="G898" s="127">
        <f t="shared" si="16"/>
        <v>0.63540523165855112</v>
      </c>
      <c r="H898" s="120"/>
      <c r="I898" s="120"/>
      <c r="J898" s="116"/>
      <c r="K898" s="116"/>
      <c r="L898" s="116"/>
      <c r="M898" s="116"/>
      <c r="N898" s="116"/>
      <c r="O898" s="116"/>
      <c r="P898" s="116"/>
    </row>
    <row r="899" spans="2:16" s="108" customFormat="1" ht="21.75" hidden="1" customHeight="1">
      <c r="B899" s="109"/>
      <c r="C899" s="122"/>
      <c r="D899" s="143" t="s">
        <v>618</v>
      </c>
      <c r="E899" s="712">
        <f>SUM(E900:E901)</f>
        <v>407759500</v>
      </c>
      <c r="F899" s="134">
        <v>45992775230.57</v>
      </c>
      <c r="G899" s="127">
        <f t="shared" si="16"/>
        <v>0.88657294098003159</v>
      </c>
      <c r="H899" s="120"/>
      <c r="I899" s="120"/>
      <c r="J899" s="116"/>
      <c r="K899" s="116"/>
      <c r="L899" s="116"/>
      <c r="M899" s="116"/>
      <c r="N899" s="116"/>
      <c r="O899" s="116"/>
      <c r="P899" s="116"/>
    </row>
    <row r="900" spans="2:16" s="108" customFormat="1" ht="21.75" hidden="1" customHeight="1">
      <c r="B900" s="109"/>
      <c r="C900" s="122"/>
      <c r="D900" s="142" t="s">
        <v>830</v>
      </c>
      <c r="E900" s="713">
        <v>297528000</v>
      </c>
      <c r="F900" s="134">
        <v>45992775230.57</v>
      </c>
      <c r="G900" s="127">
        <f t="shared" si="16"/>
        <v>0.6469016024983032</v>
      </c>
      <c r="H900" s="120"/>
      <c r="I900" s="120"/>
      <c r="J900" s="116"/>
      <c r="K900" s="116"/>
      <c r="L900" s="116"/>
      <c r="M900" s="116"/>
      <c r="N900" s="116"/>
      <c r="O900" s="116"/>
      <c r="P900" s="116"/>
    </row>
    <row r="901" spans="2:16" s="108" customFormat="1" ht="21.75" hidden="1" customHeight="1">
      <c r="B901" s="109"/>
      <c r="C901" s="122"/>
      <c r="D901" s="142" t="s">
        <v>831</v>
      </c>
      <c r="E901" s="713">
        <v>110231500</v>
      </c>
      <c r="F901" s="134">
        <v>45992775230.57</v>
      </c>
      <c r="G901" s="127">
        <f t="shared" si="16"/>
        <v>0.23967133848172847</v>
      </c>
      <c r="H901" s="120"/>
      <c r="I901" s="120"/>
      <c r="J901" s="116"/>
      <c r="K901" s="116"/>
      <c r="L901" s="116"/>
      <c r="M901" s="116"/>
      <c r="N901" s="116"/>
      <c r="O901" s="116"/>
      <c r="P901" s="116"/>
    </row>
    <row r="902" spans="2:16" s="108" customFormat="1" ht="15" hidden="1" customHeight="1">
      <c r="B902" s="109"/>
      <c r="C902" s="122"/>
      <c r="D902" s="143"/>
      <c r="E902" s="712"/>
      <c r="F902" s="134"/>
      <c r="G902" s="127"/>
      <c r="H902" s="120"/>
      <c r="I902" s="120"/>
      <c r="J902" s="116"/>
      <c r="K902" s="116"/>
      <c r="L902" s="116"/>
      <c r="M902" s="116"/>
      <c r="N902" s="116"/>
      <c r="O902" s="116"/>
      <c r="P902" s="116"/>
    </row>
    <row r="903" spans="2:16" s="108" customFormat="1" ht="21.75" hidden="1" customHeight="1">
      <c r="B903" s="109"/>
      <c r="C903" s="122"/>
      <c r="D903" s="143" t="s">
        <v>832</v>
      </c>
      <c r="E903" s="712">
        <f>SUM(E904)</f>
        <v>2650000000</v>
      </c>
      <c r="F903" s="134">
        <v>45992775230.57</v>
      </c>
      <c r="G903" s="127">
        <f t="shared" si="16"/>
        <v>5.7617745107032059</v>
      </c>
      <c r="H903" s="120"/>
      <c r="I903" s="120"/>
      <c r="J903" s="116"/>
      <c r="K903" s="116"/>
      <c r="L903" s="116"/>
      <c r="M903" s="116"/>
      <c r="N903" s="116"/>
      <c r="O903" s="116"/>
      <c r="P903" s="116"/>
    </row>
    <row r="904" spans="2:16" s="108" customFormat="1" ht="34.5" hidden="1" customHeight="1">
      <c r="B904" s="109"/>
      <c r="C904" s="122"/>
      <c r="D904" s="143" t="s">
        <v>833</v>
      </c>
      <c r="E904" s="712">
        <f>SUM(E905)</f>
        <v>2650000000</v>
      </c>
      <c r="F904" s="134">
        <v>45992775230.57</v>
      </c>
      <c r="G904" s="127">
        <f t="shared" si="16"/>
        <v>5.7617745107032059</v>
      </c>
      <c r="H904" s="120"/>
      <c r="I904" s="120"/>
      <c r="J904" s="116"/>
      <c r="K904" s="116"/>
      <c r="L904" s="116"/>
      <c r="M904" s="116"/>
      <c r="N904" s="116"/>
      <c r="O904" s="116"/>
      <c r="P904" s="116"/>
    </row>
    <row r="905" spans="2:16" s="108" customFormat="1" ht="21.75" hidden="1" customHeight="1">
      <c r="B905" s="109"/>
      <c r="C905" s="122"/>
      <c r="D905" s="142" t="s">
        <v>834</v>
      </c>
      <c r="E905" s="713">
        <v>2650000000</v>
      </c>
      <c r="F905" s="134">
        <v>45992775230.57</v>
      </c>
      <c r="G905" s="127">
        <f t="shared" si="16"/>
        <v>5.7617745107032059</v>
      </c>
      <c r="H905" s="120"/>
      <c r="I905" s="120"/>
      <c r="J905" s="116"/>
      <c r="K905" s="116"/>
      <c r="L905" s="116"/>
      <c r="M905" s="116"/>
      <c r="N905" s="116"/>
      <c r="O905" s="116"/>
      <c r="P905" s="116"/>
    </row>
    <row r="906" spans="2:16" s="108" customFormat="1" ht="15" hidden="1" customHeight="1">
      <c r="B906" s="109"/>
      <c r="C906" s="122"/>
      <c r="D906" s="142"/>
      <c r="E906" s="713"/>
      <c r="F906" s="134"/>
      <c r="G906" s="127"/>
      <c r="H906" s="120"/>
      <c r="I906" s="120"/>
      <c r="J906" s="116"/>
      <c r="K906" s="116"/>
      <c r="L906" s="116"/>
      <c r="M906" s="116"/>
      <c r="N906" s="116"/>
      <c r="O906" s="116"/>
      <c r="P906" s="116"/>
    </row>
    <row r="907" spans="2:16" s="108" customFormat="1" ht="21.75" hidden="1" customHeight="1">
      <c r="B907" s="109"/>
      <c r="C907" s="122"/>
      <c r="D907" s="143" t="s">
        <v>835</v>
      </c>
      <c r="E907" s="712">
        <f>E908</f>
        <v>1500000000</v>
      </c>
      <c r="F907" s="134">
        <v>45992775230.57</v>
      </c>
      <c r="G907" s="127">
        <f t="shared" si="16"/>
        <v>3.2613817985112488</v>
      </c>
      <c r="H907" s="120"/>
      <c r="I907" s="120"/>
      <c r="J907" s="116"/>
      <c r="K907" s="116"/>
      <c r="L907" s="116"/>
      <c r="M907" s="116"/>
      <c r="N907" s="116"/>
      <c r="O907" s="116"/>
      <c r="P907" s="116"/>
    </row>
    <row r="908" spans="2:16" s="108" customFormat="1" ht="21.75" hidden="1" customHeight="1">
      <c r="B908" s="109"/>
      <c r="C908" s="122"/>
      <c r="D908" s="143" t="s">
        <v>836</v>
      </c>
      <c r="E908" s="712">
        <f>E909</f>
        <v>1500000000</v>
      </c>
      <c r="F908" s="134">
        <v>45992775230.57</v>
      </c>
      <c r="G908" s="127">
        <f t="shared" si="16"/>
        <v>3.2613817985112488</v>
      </c>
      <c r="H908" s="120"/>
      <c r="I908" s="120"/>
      <c r="J908" s="116"/>
      <c r="K908" s="116"/>
      <c r="L908" s="116"/>
      <c r="M908" s="116"/>
      <c r="N908" s="116"/>
      <c r="O908" s="116"/>
      <c r="P908" s="116"/>
    </row>
    <row r="909" spans="2:16" s="108" customFormat="1" ht="21.75" hidden="1" customHeight="1">
      <c r="B909" s="109"/>
      <c r="C909" s="122"/>
      <c r="D909" s="142" t="s">
        <v>837</v>
      </c>
      <c r="E909" s="713">
        <v>1500000000</v>
      </c>
      <c r="F909" s="134">
        <v>45992775230.57</v>
      </c>
      <c r="G909" s="127">
        <f t="shared" si="16"/>
        <v>3.2613817985112488</v>
      </c>
      <c r="H909" s="120"/>
      <c r="I909" s="120"/>
      <c r="J909" s="116"/>
      <c r="K909" s="116"/>
      <c r="L909" s="116"/>
      <c r="M909" s="116"/>
      <c r="N909" s="116"/>
      <c r="O909" s="116"/>
      <c r="P909" s="116"/>
    </row>
    <row r="910" spans="2:16" s="108" customFormat="1" ht="15" hidden="1" customHeight="1">
      <c r="B910" s="109"/>
      <c r="C910" s="122"/>
      <c r="D910" s="143"/>
      <c r="E910" s="712"/>
      <c r="F910" s="134"/>
      <c r="G910" s="127"/>
      <c r="H910" s="120"/>
      <c r="I910" s="120"/>
      <c r="J910" s="116"/>
      <c r="K910" s="116"/>
      <c r="L910" s="116"/>
      <c r="M910" s="116"/>
      <c r="N910" s="116"/>
      <c r="O910" s="116"/>
      <c r="P910" s="116"/>
    </row>
    <row r="911" spans="2:16" s="108" customFormat="1" ht="21.75" hidden="1" customHeight="1">
      <c r="B911" s="109"/>
      <c r="C911" s="122"/>
      <c r="D911" s="143" t="s">
        <v>838</v>
      </c>
      <c r="E911" s="712">
        <f>E912+E914</f>
        <v>600000000</v>
      </c>
      <c r="F911" s="134">
        <v>45992775230.57</v>
      </c>
      <c r="G911" s="127">
        <f t="shared" si="16"/>
        <v>1.3045527194044995</v>
      </c>
      <c r="H911" s="120"/>
      <c r="I911" s="120"/>
      <c r="J911" s="116"/>
      <c r="K911" s="116"/>
      <c r="L911" s="116"/>
      <c r="M911" s="116"/>
      <c r="N911" s="116"/>
      <c r="O911" s="116"/>
      <c r="P911" s="116"/>
    </row>
    <row r="912" spans="2:16" s="108" customFormat="1" ht="21.75" hidden="1" customHeight="1">
      <c r="B912" s="109"/>
      <c r="C912" s="122"/>
      <c r="D912" s="143" t="s">
        <v>746</v>
      </c>
      <c r="E912" s="712">
        <f>SUM(E913)</f>
        <v>400000000</v>
      </c>
      <c r="F912" s="134">
        <v>45992775230.57</v>
      </c>
      <c r="G912" s="127">
        <f t="shared" si="16"/>
        <v>0.86970181293633297</v>
      </c>
      <c r="H912" s="120"/>
      <c r="I912" s="120"/>
      <c r="J912" s="116"/>
      <c r="K912" s="116"/>
      <c r="L912" s="116"/>
      <c r="M912" s="116"/>
      <c r="N912" s="116"/>
      <c r="O912" s="116"/>
      <c r="P912" s="116"/>
    </row>
    <row r="913" spans="2:16" s="108" customFormat="1" ht="34.5" hidden="1" customHeight="1">
      <c r="B913" s="109"/>
      <c r="C913" s="122"/>
      <c r="D913" s="142" t="s">
        <v>839</v>
      </c>
      <c r="E913" s="713">
        <v>400000000</v>
      </c>
      <c r="F913" s="134">
        <v>45992775230.57</v>
      </c>
      <c r="G913" s="127">
        <f t="shared" si="16"/>
        <v>0.86970181293633297</v>
      </c>
      <c r="H913" s="120"/>
      <c r="I913" s="120"/>
      <c r="J913" s="116"/>
      <c r="K913" s="116"/>
      <c r="L913" s="116"/>
      <c r="M913" s="116"/>
      <c r="N913" s="116"/>
      <c r="O913" s="116"/>
      <c r="P913" s="116"/>
    </row>
    <row r="914" spans="2:16" s="108" customFormat="1" ht="34.5" hidden="1" customHeight="1">
      <c r="B914" s="109"/>
      <c r="C914" s="122"/>
      <c r="D914" s="143" t="s">
        <v>749</v>
      </c>
      <c r="E914" s="712">
        <f>SUM(E915)</f>
        <v>200000000</v>
      </c>
      <c r="F914" s="134">
        <v>45992775230.57</v>
      </c>
      <c r="G914" s="127">
        <f>+E914/F914*100</f>
        <v>0.43485090646816649</v>
      </c>
      <c r="H914" s="120"/>
      <c r="I914" s="120"/>
      <c r="J914" s="116"/>
      <c r="K914" s="116"/>
      <c r="L914" s="116"/>
      <c r="M914" s="116"/>
      <c r="N914" s="116"/>
      <c r="O914" s="116"/>
      <c r="P914" s="116"/>
    </row>
    <row r="915" spans="2:16" s="108" customFormat="1" ht="34.5" hidden="1" customHeight="1">
      <c r="B915" s="109"/>
      <c r="C915" s="122"/>
      <c r="D915" s="142" t="s">
        <v>840</v>
      </c>
      <c r="E915" s="713">
        <v>200000000</v>
      </c>
      <c r="F915" s="134">
        <v>45992775230.57</v>
      </c>
      <c r="G915" s="127">
        <f>+E915/F915*100</f>
        <v>0.43485090646816649</v>
      </c>
      <c r="H915" s="120"/>
      <c r="I915" s="120"/>
      <c r="J915" s="116"/>
      <c r="K915" s="116"/>
      <c r="L915" s="116"/>
      <c r="M915" s="116"/>
      <c r="N915" s="116"/>
      <c r="O915" s="116"/>
      <c r="P915" s="116"/>
    </row>
    <row r="916" spans="2:16" s="108" customFormat="1" ht="15" hidden="1" customHeight="1">
      <c r="B916" s="109"/>
      <c r="C916" s="122"/>
      <c r="D916" s="143"/>
      <c r="E916" s="712"/>
      <c r="F916" s="134"/>
      <c r="G916" s="126"/>
      <c r="H916" s="120"/>
      <c r="I916" s="120"/>
      <c r="J916" s="116"/>
      <c r="K916" s="116"/>
      <c r="L916" s="116"/>
      <c r="M916" s="116"/>
      <c r="N916" s="116"/>
      <c r="O916" s="116"/>
      <c r="P916" s="116"/>
    </row>
    <row r="917" spans="2:16" s="108" customFormat="1" ht="21.75" hidden="1" customHeight="1">
      <c r="B917" s="109"/>
      <c r="C917" s="122"/>
      <c r="D917" s="143" t="s">
        <v>841</v>
      </c>
      <c r="E917" s="712">
        <f>SUM(E918)</f>
        <v>1370200000</v>
      </c>
      <c r="F917" s="134">
        <v>45992775230.57</v>
      </c>
      <c r="G917" s="127">
        <f t="shared" ref="G917:G919" si="17">+E917/F917*100</f>
        <v>2.9791635602134088</v>
      </c>
      <c r="H917" s="120"/>
      <c r="I917" s="120"/>
      <c r="J917" s="116"/>
      <c r="K917" s="116"/>
      <c r="L917" s="116"/>
      <c r="M917" s="116"/>
      <c r="N917" s="116"/>
      <c r="O917" s="116"/>
      <c r="P917" s="116"/>
    </row>
    <row r="918" spans="2:16" s="108" customFormat="1" ht="21.75" hidden="1" customHeight="1">
      <c r="B918" s="109"/>
      <c r="C918" s="122"/>
      <c r="D918" s="143" t="s">
        <v>842</v>
      </c>
      <c r="E918" s="712">
        <f>SUM(E919)</f>
        <v>1370200000</v>
      </c>
      <c r="F918" s="134">
        <v>45992775230.57</v>
      </c>
      <c r="G918" s="127">
        <f t="shared" si="17"/>
        <v>2.9791635602134088</v>
      </c>
      <c r="H918" s="120"/>
      <c r="I918" s="120"/>
      <c r="J918" s="116"/>
      <c r="K918" s="116"/>
      <c r="L918" s="116"/>
      <c r="M918" s="116"/>
      <c r="N918" s="116"/>
      <c r="O918" s="116"/>
      <c r="P918" s="116"/>
    </row>
    <row r="919" spans="2:16" s="108" customFormat="1" ht="34.5" hidden="1" customHeight="1">
      <c r="B919" s="109"/>
      <c r="C919" s="122"/>
      <c r="D919" s="142" t="s">
        <v>843</v>
      </c>
      <c r="E919" s="713">
        <v>1370200000</v>
      </c>
      <c r="F919" s="134">
        <v>45992775230.57</v>
      </c>
      <c r="G919" s="127">
        <f t="shared" si="17"/>
        <v>2.9791635602134088</v>
      </c>
      <c r="H919" s="120"/>
      <c r="I919" s="120"/>
      <c r="J919" s="116"/>
      <c r="K919" s="116"/>
      <c r="L919" s="116"/>
      <c r="M919" s="116"/>
      <c r="N919" s="116"/>
      <c r="O919" s="116"/>
      <c r="P919" s="116"/>
    </row>
    <row r="920" spans="2:16" s="108" customFormat="1" ht="15" hidden="1" customHeight="1">
      <c r="B920" s="109"/>
      <c r="C920" s="122"/>
      <c r="D920" s="144"/>
      <c r="E920" s="53"/>
      <c r="F920" s="113"/>
      <c r="G920" s="126"/>
      <c r="H920" s="120"/>
      <c r="I920" s="120"/>
      <c r="J920" s="116"/>
      <c r="K920" s="116"/>
      <c r="L920" s="116"/>
      <c r="M920" s="116"/>
      <c r="N920" s="116"/>
      <c r="O920" s="116"/>
      <c r="P920" s="116"/>
    </row>
    <row r="921" spans="2:16" s="117" customFormat="1" ht="21.75" hidden="1" customHeight="1">
      <c r="B921" s="118"/>
      <c r="C921" s="110" t="s">
        <v>844</v>
      </c>
      <c r="D921" s="111" t="s">
        <v>845</v>
      </c>
      <c r="E921" s="129">
        <f>+E922+E938+E942+E972+E976+E980+E988+E994+E1005+E1010+E1014+E1025</f>
        <v>32258636567.290001</v>
      </c>
      <c r="F921" s="114">
        <v>1557405258400.0002</v>
      </c>
      <c r="G921" s="127">
        <f>+E921/F921*100</f>
        <v>2.0713065140431657</v>
      </c>
      <c r="H921" s="120"/>
      <c r="I921" s="120"/>
      <c r="J921" s="121"/>
      <c r="K921" s="121"/>
      <c r="L921" s="121"/>
      <c r="M921" s="121"/>
      <c r="N921" s="121"/>
      <c r="O921" s="121"/>
      <c r="P921" s="121"/>
    </row>
    <row r="922" spans="2:16" s="108" customFormat="1" ht="21.75" hidden="1" customHeight="1">
      <c r="B922" s="109"/>
      <c r="C922" s="122"/>
      <c r="D922" s="111" t="s">
        <v>444</v>
      </c>
      <c r="E922" s="524">
        <f>+E923+E925+E933+E935</f>
        <v>8700000000.2900009</v>
      </c>
      <c r="F922" s="115">
        <v>32261136567.290001</v>
      </c>
      <c r="G922" s="126">
        <f t="shared" ref="G922:G984" si="18">+E922/F922*100</f>
        <v>26.967431795664158</v>
      </c>
      <c r="H922" s="120"/>
      <c r="I922" s="120"/>
      <c r="J922" s="116"/>
      <c r="K922" s="116"/>
      <c r="L922" s="116"/>
      <c r="M922" s="116"/>
      <c r="N922" s="116"/>
      <c r="O922" s="116"/>
      <c r="P922" s="116"/>
    </row>
    <row r="923" spans="2:16" s="108" customFormat="1" ht="21.75" hidden="1" customHeight="1">
      <c r="B923" s="109"/>
      <c r="C923" s="122"/>
      <c r="D923" s="111" t="s">
        <v>388</v>
      </c>
      <c r="E923" s="524">
        <f>+E924</f>
        <v>392000000.29000002</v>
      </c>
      <c r="F923" s="115">
        <v>32261136567.290001</v>
      </c>
      <c r="G923" s="126">
        <f t="shared" si="18"/>
        <v>1.2150842840653484</v>
      </c>
      <c r="H923" s="120"/>
      <c r="I923" s="120"/>
      <c r="J923" s="116"/>
      <c r="K923" s="116"/>
      <c r="L923" s="116"/>
      <c r="M923" s="116"/>
      <c r="N923" s="116"/>
      <c r="O923" s="116"/>
      <c r="P923" s="116"/>
    </row>
    <row r="924" spans="2:16" s="108" customFormat="1" ht="21.75" hidden="1" customHeight="1">
      <c r="B924" s="109"/>
      <c r="C924" s="122"/>
      <c r="D924" s="123" t="s">
        <v>846</v>
      </c>
      <c r="E924" s="511">
        <v>392000000.29000002</v>
      </c>
      <c r="F924" s="115">
        <v>32261136567.290001</v>
      </c>
      <c r="G924" s="126">
        <f t="shared" si="18"/>
        <v>1.2150842840653484</v>
      </c>
      <c r="H924" s="120"/>
      <c r="I924" s="120"/>
      <c r="J924" s="116"/>
      <c r="K924" s="116"/>
      <c r="L924" s="116"/>
      <c r="M924" s="116"/>
      <c r="N924" s="116"/>
      <c r="O924" s="116"/>
      <c r="P924" s="116"/>
    </row>
    <row r="925" spans="2:16" s="108" customFormat="1" ht="21.75" hidden="1" customHeight="1">
      <c r="B925" s="109"/>
      <c r="C925" s="122"/>
      <c r="D925" s="111" t="s">
        <v>394</v>
      </c>
      <c r="E925" s="524">
        <f>SUM(E926:E932)</f>
        <v>7652000000</v>
      </c>
      <c r="F925" s="115">
        <v>32261136567.290001</v>
      </c>
      <c r="G925" s="126">
        <f t="shared" si="18"/>
        <v>23.71894116017743</v>
      </c>
      <c r="H925" s="120"/>
      <c r="I925" s="120"/>
      <c r="J925" s="116"/>
      <c r="K925" s="116"/>
      <c r="L925" s="116"/>
      <c r="M925" s="116"/>
      <c r="N925" s="116"/>
      <c r="O925" s="116"/>
      <c r="P925" s="116"/>
    </row>
    <row r="926" spans="2:16" s="108" customFormat="1" ht="21.75" hidden="1" customHeight="1">
      <c r="B926" s="109"/>
      <c r="C926" s="122"/>
      <c r="D926" s="123" t="s">
        <v>847</v>
      </c>
      <c r="E926" s="511">
        <v>2757000000</v>
      </c>
      <c r="F926" s="115">
        <v>32261136567.290001</v>
      </c>
      <c r="G926" s="126">
        <f t="shared" si="18"/>
        <v>8.5458861446169863</v>
      </c>
      <c r="H926" s="120"/>
      <c r="I926" s="120"/>
      <c r="J926" s="116"/>
      <c r="K926" s="116"/>
      <c r="L926" s="116"/>
      <c r="M926" s="116"/>
      <c r="N926" s="116"/>
      <c r="O926" s="116"/>
      <c r="P926" s="116"/>
    </row>
    <row r="927" spans="2:16" s="108" customFormat="1" ht="21.75" hidden="1" customHeight="1">
      <c r="B927" s="109"/>
      <c r="C927" s="122"/>
      <c r="D927" s="123" t="s">
        <v>848</v>
      </c>
      <c r="E927" s="511">
        <v>50000000</v>
      </c>
      <c r="F927" s="115">
        <v>32261136567.290001</v>
      </c>
      <c r="G927" s="126">
        <f t="shared" si="18"/>
        <v>0.15498524019980023</v>
      </c>
      <c r="H927" s="120"/>
      <c r="I927" s="120"/>
      <c r="J927" s="116"/>
      <c r="K927" s="116"/>
      <c r="L927" s="116"/>
      <c r="M927" s="116"/>
      <c r="N927" s="116"/>
      <c r="O927" s="116"/>
      <c r="P927" s="116"/>
    </row>
    <row r="928" spans="2:16" s="108" customFormat="1" ht="21.75" hidden="1" customHeight="1">
      <c r="B928" s="109"/>
      <c r="C928" s="122"/>
      <c r="D928" s="123" t="s">
        <v>849</v>
      </c>
      <c r="E928" s="511">
        <v>809028800</v>
      </c>
      <c r="F928" s="115">
        <v>32261136567.290001</v>
      </c>
      <c r="G928" s="126">
        <f t="shared" si="18"/>
        <v>2.5077504579311229</v>
      </c>
      <c r="H928" s="120"/>
      <c r="I928" s="120"/>
      <c r="J928" s="116"/>
      <c r="K928" s="116"/>
      <c r="L928" s="116"/>
      <c r="M928" s="116"/>
      <c r="N928" s="116"/>
      <c r="O928" s="116"/>
      <c r="P928" s="116"/>
    </row>
    <row r="929" spans="2:16" s="108" customFormat="1" ht="21.75" hidden="1" customHeight="1">
      <c r="B929" s="109"/>
      <c r="C929" s="122"/>
      <c r="D929" s="123" t="s">
        <v>850</v>
      </c>
      <c r="E929" s="511">
        <v>2505000000</v>
      </c>
      <c r="F929" s="115">
        <v>32261136567.290001</v>
      </c>
      <c r="G929" s="126">
        <f t="shared" si="18"/>
        <v>7.7647605340099926</v>
      </c>
      <c r="H929" s="120"/>
      <c r="I929" s="120"/>
      <c r="J929" s="116"/>
      <c r="K929" s="116"/>
      <c r="L929" s="116"/>
      <c r="M929" s="116"/>
      <c r="N929" s="116"/>
      <c r="O929" s="116"/>
      <c r="P929" s="116"/>
    </row>
    <row r="930" spans="2:16" s="108" customFormat="1" ht="21.75" hidden="1" customHeight="1">
      <c r="B930" s="109"/>
      <c r="C930" s="122"/>
      <c r="D930" s="123" t="s">
        <v>851</v>
      </c>
      <c r="E930" s="511">
        <v>50000000</v>
      </c>
      <c r="F930" s="115">
        <v>32261136567.290001</v>
      </c>
      <c r="G930" s="126">
        <f t="shared" si="18"/>
        <v>0.15498524019980023</v>
      </c>
      <c r="H930" s="120"/>
      <c r="I930" s="120"/>
      <c r="J930" s="116"/>
      <c r="K930" s="116"/>
      <c r="L930" s="116"/>
      <c r="M930" s="116"/>
      <c r="N930" s="116"/>
      <c r="O930" s="116"/>
      <c r="P930" s="116"/>
    </row>
    <row r="931" spans="2:16" s="108" customFormat="1" ht="35.25" hidden="1" customHeight="1">
      <c r="B931" s="109"/>
      <c r="C931" s="122"/>
      <c r="D931" s="123" t="s">
        <v>852</v>
      </c>
      <c r="E931" s="511">
        <v>600000000</v>
      </c>
      <c r="F931" s="115">
        <v>32261136567.290001</v>
      </c>
      <c r="G931" s="126">
        <f t="shared" si="18"/>
        <v>1.8598228823976031</v>
      </c>
      <c r="H931" s="120"/>
      <c r="I931" s="120"/>
      <c r="J931" s="116"/>
      <c r="K931" s="116"/>
      <c r="L931" s="116"/>
      <c r="M931" s="116"/>
      <c r="N931" s="116"/>
      <c r="O931" s="116"/>
      <c r="P931" s="116"/>
    </row>
    <row r="932" spans="2:16" s="108" customFormat="1" ht="21.75" hidden="1" customHeight="1">
      <c r="B932" s="109"/>
      <c r="C932" s="122"/>
      <c r="D932" s="123" t="s">
        <v>853</v>
      </c>
      <c r="E932" s="511">
        <v>880971200</v>
      </c>
      <c r="F932" s="115">
        <v>32261136567.290001</v>
      </c>
      <c r="G932" s="126">
        <f t="shared" si="18"/>
        <v>2.7307506608221255</v>
      </c>
      <c r="H932" s="120"/>
      <c r="I932" s="120"/>
      <c r="J932" s="116"/>
      <c r="K932" s="116"/>
      <c r="L932" s="116"/>
      <c r="M932" s="116"/>
      <c r="N932" s="116"/>
      <c r="O932" s="116"/>
      <c r="P932" s="116"/>
    </row>
    <row r="933" spans="2:16" s="108" customFormat="1" ht="21.75" hidden="1" customHeight="1">
      <c r="B933" s="109"/>
      <c r="C933" s="122"/>
      <c r="D933" s="111" t="s">
        <v>106</v>
      </c>
      <c r="E933" s="524">
        <f>+E934</f>
        <v>156000000</v>
      </c>
      <c r="F933" s="115">
        <v>32261136567.290001</v>
      </c>
      <c r="G933" s="126">
        <f t="shared" si="18"/>
        <v>0.48355394942337676</v>
      </c>
      <c r="H933" s="120"/>
      <c r="I933" s="120"/>
      <c r="J933" s="116"/>
      <c r="K933" s="116"/>
      <c r="L933" s="116"/>
      <c r="M933" s="116"/>
      <c r="N933" s="116"/>
      <c r="O933" s="116"/>
      <c r="P933" s="116"/>
    </row>
    <row r="934" spans="2:16" s="108" customFormat="1" ht="21.75" hidden="1" customHeight="1">
      <c r="B934" s="109"/>
      <c r="C934" s="122"/>
      <c r="D934" s="123" t="s">
        <v>854</v>
      </c>
      <c r="E934" s="511">
        <v>156000000</v>
      </c>
      <c r="F934" s="115">
        <v>32261136567.290001</v>
      </c>
      <c r="G934" s="126">
        <f t="shared" si="18"/>
        <v>0.48355394942337676</v>
      </c>
      <c r="H934" s="120"/>
      <c r="I934" s="120"/>
      <c r="J934" s="116"/>
      <c r="K934" s="116"/>
      <c r="L934" s="116"/>
      <c r="M934" s="116"/>
      <c r="N934" s="116"/>
      <c r="O934" s="116"/>
      <c r="P934" s="116"/>
    </row>
    <row r="935" spans="2:16" s="108" customFormat="1" ht="21.75" hidden="1" customHeight="1">
      <c r="B935" s="109"/>
      <c r="C935" s="122"/>
      <c r="D935" s="111" t="s">
        <v>855</v>
      </c>
      <c r="E935" s="524">
        <f>SUM(E936:E936)</f>
        <v>500000000</v>
      </c>
      <c r="F935" s="115">
        <v>32261136567.290001</v>
      </c>
      <c r="G935" s="126">
        <f t="shared" si="18"/>
        <v>1.5498524019980024</v>
      </c>
      <c r="H935" s="120"/>
      <c r="I935" s="120"/>
      <c r="J935" s="116"/>
      <c r="K935" s="116"/>
      <c r="L935" s="116"/>
      <c r="M935" s="116"/>
      <c r="N935" s="116"/>
      <c r="O935" s="116"/>
      <c r="P935" s="116"/>
    </row>
    <row r="936" spans="2:16" s="108" customFormat="1" ht="35.25" hidden="1" customHeight="1">
      <c r="B936" s="109"/>
      <c r="C936" s="122"/>
      <c r="D936" s="123" t="s">
        <v>856</v>
      </c>
      <c r="E936" s="511">
        <v>500000000</v>
      </c>
      <c r="F936" s="115">
        <v>32261136567.290001</v>
      </c>
      <c r="G936" s="126">
        <f t="shared" si="18"/>
        <v>1.5498524019980024</v>
      </c>
      <c r="H936" s="120"/>
      <c r="I936" s="120"/>
      <c r="J936" s="116"/>
      <c r="K936" s="116"/>
      <c r="L936" s="116"/>
      <c r="M936" s="116"/>
      <c r="N936" s="116"/>
      <c r="O936" s="116"/>
      <c r="P936" s="116"/>
    </row>
    <row r="937" spans="2:16" s="108" customFormat="1" ht="15" hidden="1" customHeight="1">
      <c r="B937" s="109"/>
      <c r="C937" s="122"/>
      <c r="D937" s="123"/>
      <c r="E937" s="511"/>
      <c r="F937" s="115">
        <v>32261136567.290001</v>
      </c>
      <c r="G937" s="126">
        <f t="shared" si="18"/>
        <v>0</v>
      </c>
      <c r="H937" s="120"/>
      <c r="I937" s="120"/>
      <c r="J937" s="116"/>
      <c r="K937" s="116"/>
      <c r="L937" s="116"/>
      <c r="M937" s="116"/>
      <c r="N937" s="116"/>
      <c r="O937" s="116"/>
      <c r="P937" s="116"/>
    </row>
    <row r="938" spans="2:16" s="108" customFormat="1" ht="21.75" hidden="1" customHeight="1">
      <c r="B938" s="109"/>
      <c r="C938" s="122"/>
      <c r="D938" s="111" t="s">
        <v>857</v>
      </c>
      <c r="E938" s="524">
        <f>+E939</f>
        <v>300000000</v>
      </c>
      <c r="F938" s="115">
        <v>32261136567.290001</v>
      </c>
      <c r="G938" s="126">
        <f t="shared" si="18"/>
        <v>0.92991144119880154</v>
      </c>
      <c r="H938" s="120"/>
      <c r="I938" s="120"/>
      <c r="J938" s="116"/>
      <c r="K938" s="116"/>
      <c r="L938" s="116"/>
      <c r="M938" s="116"/>
      <c r="N938" s="116"/>
      <c r="O938" s="116"/>
      <c r="P938" s="116"/>
    </row>
    <row r="939" spans="2:16" s="108" customFormat="1" ht="21.75" hidden="1" customHeight="1">
      <c r="B939" s="109"/>
      <c r="C939" s="122"/>
      <c r="D939" s="111" t="s">
        <v>388</v>
      </c>
      <c r="E939" s="524">
        <f>+E940</f>
        <v>300000000</v>
      </c>
      <c r="F939" s="115">
        <v>32261136567.290001</v>
      </c>
      <c r="G939" s="126">
        <f t="shared" si="18"/>
        <v>0.92991144119880154</v>
      </c>
      <c r="H939" s="120"/>
      <c r="I939" s="120"/>
      <c r="J939" s="116"/>
      <c r="K939" s="116"/>
      <c r="L939" s="116"/>
      <c r="M939" s="116"/>
      <c r="N939" s="116"/>
      <c r="O939" s="116"/>
      <c r="P939" s="116"/>
    </row>
    <row r="940" spans="2:16" s="108" customFormat="1" ht="21.75" hidden="1" customHeight="1">
      <c r="B940" s="109"/>
      <c r="C940" s="122"/>
      <c r="D940" s="123" t="s">
        <v>858</v>
      </c>
      <c r="E940" s="511">
        <v>300000000</v>
      </c>
      <c r="F940" s="115">
        <v>32261136567.290001</v>
      </c>
      <c r="G940" s="126">
        <f t="shared" si="18"/>
        <v>0.92991144119880154</v>
      </c>
      <c r="H940" s="120"/>
      <c r="I940" s="120"/>
      <c r="J940" s="116"/>
      <c r="K940" s="116"/>
      <c r="L940" s="116"/>
      <c r="M940" s="116"/>
      <c r="N940" s="116"/>
      <c r="O940" s="116"/>
      <c r="P940" s="116"/>
    </row>
    <row r="941" spans="2:16" s="108" customFormat="1" ht="15" hidden="1" customHeight="1">
      <c r="B941" s="109"/>
      <c r="C941" s="122"/>
      <c r="D941" s="123"/>
      <c r="E941" s="511"/>
      <c r="F941" s="115">
        <v>32261136567.290001</v>
      </c>
      <c r="G941" s="126">
        <f t="shared" si="18"/>
        <v>0</v>
      </c>
      <c r="H941" s="120"/>
      <c r="I941" s="120"/>
      <c r="J941" s="116"/>
      <c r="K941" s="116"/>
      <c r="L941" s="116"/>
      <c r="M941" s="116"/>
      <c r="N941" s="116"/>
      <c r="O941" s="116"/>
      <c r="P941" s="116"/>
    </row>
    <row r="942" spans="2:16" s="108" customFormat="1" ht="21.75" hidden="1" customHeight="1">
      <c r="B942" s="109"/>
      <c r="C942" s="122"/>
      <c r="D942" s="111" t="s">
        <v>161</v>
      </c>
      <c r="E942" s="524">
        <f>+E943+E945+E953+E955+E958+E965+E967+E969</f>
        <v>7000000000</v>
      </c>
      <c r="F942" s="115">
        <v>32261136567.290001</v>
      </c>
      <c r="G942" s="126">
        <f t="shared" si="18"/>
        <v>21.697933627972034</v>
      </c>
      <c r="H942" s="120"/>
      <c r="I942" s="120"/>
      <c r="J942" s="116"/>
      <c r="K942" s="116"/>
      <c r="L942" s="116"/>
      <c r="M942" s="116"/>
      <c r="N942" s="116"/>
      <c r="O942" s="116"/>
      <c r="P942" s="116"/>
    </row>
    <row r="943" spans="2:16" s="108" customFormat="1" ht="21.75" hidden="1" customHeight="1">
      <c r="B943" s="109"/>
      <c r="C943" s="122"/>
      <c r="D943" s="111" t="s">
        <v>162</v>
      </c>
      <c r="E943" s="524">
        <f>+E944</f>
        <v>1517000000</v>
      </c>
      <c r="F943" s="115">
        <v>32261136567.290001</v>
      </c>
      <c r="G943" s="126">
        <f t="shared" si="18"/>
        <v>4.702252187661939</v>
      </c>
      <c r="H943" s="120"/>
      <c r="I943" s="120"/>
      <c r="J943" s="116"/>
      <c r="K943" s="116"/>
      <c r="L943" s="116"/>
      <c r="M943" s="116"/>
      <c r="N943" s="116"/>
      <c r="O943" s="116"/>
      <c r="P943" s="116"/>
    </row>
    <row r="944" spans="2:16" s="108" customFormat="1" ht="21.75" hidden="1" customHeight="1">
      <c r="B944" s="109"/>
      <c r="C944" s="122"/>
      <c r="D944" s="123" t="s">
        <v>859</v>
      </c>
      <c r="E944" s="511">
        <v>1517000000</v>
      </c>
      <c r="F944" s="115">
        <v>32261136567.290001</v>
      </c>
      <c r="G944" s="126">
        <f t="shared" si="18"/>
        <v>4.702252187661939</v>
      </c>
      <c r="H944" s="120"/>
      <c r="I944" s="120"/>
      <c r="J944" s="116"/>
      <c r="K944" s="116"/>
      <c r="L944" s="116"/>
      <c r="M944" s="116"/>
      <c r="N944" s="116"/>
      <c r="O944" s="116"/>
      <c r="P944" s="116"/>
    </row>
    <row r="945" spans="2:16" s="108" customFormat="1" ht="21.75" hidden="1" customHeight="1">
      <c r="B945" s="109"/>
      <c r="C945" s="122"/>
      <c r="D945" s="111" t="s">
        <v>173</v>
      </c>
      <c r="E945" s="524">
        <f>SUM(E946:E952)</f>
        <v>3015215000</v>
      </c>
      <c r="F945" s="115">
        <v>32261136567.290001</v>
      </c>
      <c r="G945" s="126">
        <f t="shared" si="18"/>
        <v>9.3462764205808142</v>
      </c>
      <c r="H945" s="120"/>
      <c r="I945" s="120"/>
      <c r="J945" s="116"/>
      <c r="K945" s="116"/>
      <c r="L945" s="116"/>
      <c r="M945" s="116"/>
      <c r="N945" s="116"/>
      <c r="O945" s="116"/>
      <c r="P945" s="116"/>
    </row>
    <row r="946" spans="2:16" s="108" customFormat="1" ht="21.75" hidden="1" customHeight="1">
      <c r="B946" s="109"/>
      <c r="C946" s="122"/>
      <c r="D946" s="123" t="s">
        <v>860</v>
      </c>
      <c r="E946" s="511">
        <v>335335000</v>
      </c>
      <c r="F946" s="115">
        <v>32261136567.290001</v>
      </c>
      <c r="G946" s="126">
        <f t="shared" si="18"/>
        <v>1.0394395104480003</v>
      </c>
      <c r="H946" s="120"/>
      <c r="I946" s="120"/>
      <c r="J946" s="116"/>
      <c r="K946" s="116"/>
      <c r="L946" s="116"/>
      <c r="M946" s="116"/>
      <c r="N946" s="116"/>
      <c r="O946" s="116"/>
      <c r="P946" s="116"/>
    </row>
    <row r="947" spans="2:16" s="108" customFormat="1" ht="21.75" hidden="1" customHeight="1">
      <c r="B947" s="109"/>
      <c r="C947" s="122"/>
      <c r="D947" s="123" t="s">
        <v>861</v>
      </c>
      <c r="E947" s="511">
        <v>100000000</v>
      </c>
      <c r="F947" s="115">
        <v>32261136567.290001</v>
      </c>
      <c r="G947" s="126">
        <f t="shared" si="18"/>
        <v>0.30997048039960046</v>
      </c>
      <c r="H947" s="120"/>
      <c r="I947" s="120"/>
      <c r="J947" s="116"/>
      <c r="K947" s="116"/>
      <c r="L947" s="116"/>
      <c r="M947" s="116"/>
      <c r="N947" s="116"/>
      <c r="O947" s="116"/>
      <c r="P947" s="116"/>
    </row>
    <row r="948" spans="2:16" s="108" customFormat="1" ht="21.75" hidden="1" customHeight="1">
      <c r="B948" s="109"/>
      <c r="C948" s="122"/>
      <c r="D948" s="123" t="s">
        <v>414</v>
      </c>
      <c r="E948" s="511">
        <v>88430000</v>
      </c>
      <c r="F948" s="115">
        <v>32261136567.290001</v>
      </c>
      <c r="G948" s="126">
        <f t="shared" si="18"/>
        <v>0.27410689581736675</v>
      </c>
      <c r="H948" s="120"/>
      <c r="I948" s="120"/>
      <c r="J948" s="116"/>
      <c r="K948" s="116"/>
      <c r="L948" s="116"/>
      <c r="M948" s="116"/>
      <c r="N948" s="116"/>
      <c r="O948" s="116"/>
      <c r="P948" s="116"/>
    </row>
    <row r="949" spans="2:16" s="108" customFormat="1" ht="21.75" hidden="1" customHeight="1">
      <c r="B949" s="109"/>
      <c r="C949" s="122"/>
      <c r="D949" s="123" t="s">
        <v>862</v>
      </c>
      <c r="E949" s="511">
        <v>121150000</v>
      </c>
      <c r="F949" s="115">
        <v>32261136567.290001</v>
      </c>
      <c r="G949" s="126">
        <f t="shared" si="18"/>
        <v>0.375529237004116</v>
      </c>
      <c r="H949" s="120"/>
      <c r="I949" s="120"/>
      <c r="J949" s="116"/>
      <c r="K949" s="116"/>
      <c r="L949" s="116"/>
      <c r="M949" s="116"/>
      <c r="N949" s="116"/>
      <c r="O949" s="116"/>
      <c r="P949" s="116"/>
    </row>
    <row r="950" spans="2:16" s="108" customFormat="1" ht="32.25" hidden="1" customHeight="1">
      <c r="B950" s="109"/>
      <c r="C950" s="122"/>
      <c r="D950" s="123" t="s">
        <v>863</v>
      </c>
      <c r="E950" s="511">
        <v>89900000</v>
      </c>
      <c r="F950" s="115">
        <v>32261136567.290001</v>
      </c>
      <c r="G950" s="126">
        <f t="shared" si="18"/>
        <v>0.27866346187924085</v>
      </c>
      <c r="H950" s="120"/>
      <c r="I950" s="120"/>
      <c r="J950" s="116"/>
      <c r="K950" s="116"/>
      <c r="L950" s="116"/>
      <c r="M950" s="116"/>
      <c r="N950" s="116"/>
      <c r="O950" s="116"/>
      <c r="P950" s="116"/>
    </row>
    <row r="951" spans="2:16" s="108" customFormat="1" ht="21.75" hidden="1" customHeight="1">
      <c r="B951" s="109"/>
      <c r="C951" s="122"/>
      <c r="D951" s="123" t="s">
        <v>864</v>
      </c>
      <c r="E951" s="511">
        <v>2000000000</v>
      </c>
      <c r="F951" s="115">
        <v>32261136567.290001</v>
      </c>
      <c r="G951" s="126">
        <f t="shared" si="18"/>
        <v>6.1994096079920098</v>
      </c>
      <c r="H951" s="120"/>
      <c r="I951" s="120"/>
      <c r="J951" s="116"/>
      <c r="K951" s="116"/>
      <c r="L951" s="116"/>
      <c r="M951" s="116"/>
      <c r="N951" s="116"/>
      <c r="O951" s="116"/>
      <c r="P951" s="116"/>
    </row>
    <row r="952" spans="2:16" s="108" customFormat="1" ht="21.75" hidden="1" customHeight="1">
      <c r="B952" s="109"/>
      <c r="C952" s="122"/>
      <c r="D952" s="123" t="s">
        <v>865</v>
      </c>
      <c r="E952" s="511">
        <v>280400000</v>
      </c>
      <c r="F952" s="115">
        <v>32261136567.290001</v>
      </c>
      <c r="G952" s="126">
        <f t="shared" si="18"/>
        <v>0.86915722704047971</v>
      </c>
      <c r="H952" s="120"/>
      <c r="I952" s="120"/>
      <c r="J952" s="116"/>
      <c r="K952" s="116"/>
      <c r="L952" s="116"/>
      <c r="M952" s="116"/>
      <c r="N952" s="116"/>
      <c r="O952" s="116"/>
      <c r="P952" s="116"/>
    </row>
    <row r="953" spans="2:16" s="108" customFormat="1" ht="21.75" hidden="1" customHeight="1">
      <c r="B953" s="109"/>
      <c r="C953" s="122"/>
      <c r="D953" s="111" t="s">
        <v>186</v>
      </c>
      <c r="E953" s="524">
        <f>+E954</f>
        <v>319000000</v>
      </c>
      <c r="F953" s="115">
        <v>32261136567.290001</v>
      </c>
      <c r="G953" s="126">
        <f t="shared" si="18"/>
        <v>0.98880583247472553</v>
      </c>
      <c r="H953" s="120"/>
      <c r="I953" s="120"/>
      <c r="J953" s="116"/>
      <c r="K953" s="116"/>
      <c r="L953" s="116"/>
      <c r="M953" s="116"/>
      <c r="N953" s="116"/>
      <c r="O953" s="116"/>
      <c r="P953" s="116"/>
    </row>
    <row r="954" spans="2:16" s="108" customFormat="1" ht="21.75" hidden="1" customHeight="1">
      <c r="B954" s="109"/>
      <c r="C954" s="122"/>
      <c r="D954" s="123" t="s">
        <v>187</v>
      </c>
      <c r="E954" s="511">
        <v>319000000</v>
      </c>
      <c r="F954" s="115">
        <v>32261136567.290001</v>
      </c>
      <c r="G954" s="126">
        <f t="shared" si="18"/>
        <v>0.98880583247472553</v>
      </c>
      <c r="H954" s="120"/>
      <c r="I954" s="120"/>
      <c r="J954" s="116"/>
      <c r="K954" s="116"/>
      <c r="L954" s="116"/>
      <c r="M954" s="116"/>
      <c r="N954" s="116"/>
      <c r="O954" s="116"/>
      <c r="P954" s="116"/>
    </row>
    <row r="955" spans="2:16" s="108" customFormat="1" ht="21.75" hidden="1" customHeight="1">
      <c r="B955" s="109"/>
      <c r="C955" s="122"/>
      <c r="D955" s="111" t="s">
        <v>190</v>
      </c>
      <c r="E955" s="524">
        <f>SUM(E956:E957)</f>
        <v>382825000</v>
      </c>
      <c r="F955" s="115">
        <v>32261136567.290001</v>
      </c>
      <c r="G955" s="126">
        <f t="shared" si="18"/>
        <v>1.1866444915897705</v>
      </c>
      <c r="H955" s="120"/>
      <c r="I955" s="120"/>
      <c r="J955" s="116"/>
      <c r="K955" s="116"/>
      <c r="L955" s="116"/>
      <c r="M955" s="116"/>
      <c r="N955" s="116"/>
      <c r="O955" s="116"/>
      <c r="P955" s="116"/>
    </row>
    <row r="956" spans="2:16" s="108" customFormat="1" ht="21.75" hidden="1" customHeight="1">
      <c r="B956" s="109"/>
      <c r="C956" s="122"/>
      <c r="D956" s="123" t="s">
        <v>866</v>
      </c>
      <c r="E956" s="511">
        <v>211400000</v>
      </c>
      <c r="F956" s="115">
        <v>32261136567.290001</v>
      </c>
      <c r="G956" s="126">
        <f t="shared" si="18"/>
        <v>0.6552775955647554</v>
      </c>
      <c r="H956" s="120"/>
      <c r="I956" s="120"/>
      <c r="J956" s="116"/>
      <c r="K956" s="116"/>
      <c r="L956" s="116"/>
      <c r="M956" s="116"/>
      <c r="N956" s="116"/>
      <c r="O956" s="116"/>
      <c r="P956" s="116"/>
    </row>
    <row r="957" spans="2:16" s="108" customFormat="1" ht="21.75" hidden="1" customHeight="1">
      <c r="B957" s="109"/>
      <c r="C957" s="122"/>
      <c r="D957" s="123" t="s">
        <v>867</v>
      </c>
      <c r="E957" s="511">
        <v>171425000</v>
      </c>
      <c r="F957" s="115">
        <v>32261136567.290001</v>
      </c>
      <c r="G957" s="126">
        <f t="shared" si="18"/>
        <v>0.53136689602501519</v>
      </c>
      <c r="H957" s="120"/>
      <c r="I957" s="120"/>
      <c r="J957" s="116"/>
      <c r="K957" s="116"/>
      <c r="L957" s="116"/>
      <c r="M957" s="116"/>
      <c r="N957" s="116"/>
      <c r="O957" s="116"/>
      <c r="P957" s="116"/>
    </row>
    <row r="958" spans="2:16" s="108" customFormat="1" ht="21.75" hidden="1" customHeight="1">
      <c r="B958" s="109"/>
      <c r="C958" s="122"/>
      <c r="D958" s="111" t="s">
        <v>196</v>
      </c>
      <c r="E958" s="524">
        <f>SUM(E959:E964)</f>
        <v>555985000</v>
      </c>
      <c r="F958" s="115">
        <v>32261136567.290001</v>
      </c>
      <c r="G958" s="126">
        <f t="shared" si="18"/>
        <v>1.7233893754497187</v>
      </c>
      <c r="H958" s="120"/>
      <c r="I958" s="120"/>
      <c r="J958" s="116"/>
      <c r="K958" s="116"/>
      <c r="L958" s="116"/>
      <c r="M958" s="116"/>
      <c r="N958" s="116"/>
      <c r="O958" s="116"/>
      <c r="P958" s="116"/>
    </row>
    <row r="959" spans="2:16" s="108" customFormat="1" ht="21.75" hidden="1" customHeight="1">
      <c r="B959" s="109"/>
      <c r="C959" s="122"/>
      <c r="D959" s="123" t="s">
        <v>868</v>
      </c>
      <c r="E959" s="511">
        <v>117500000</v>
      </c>
      <c r="F959" s="115">
        <v>32261136567.290001</v>
      </c>
      <c r="G959" s="126">
        <f t="shared" si="18"/>
        <v>0.36421531446953054</v>
      </c>
      <c r="H959" s="120"/>
      <c r="I959" s="120"/>
      <c r="J959" s="116"/>
      <c r="K959" s="116"/>
      <c r="L959" s="116"/>
      <c r="M959" s="116"/>
      <c r="N959" s="116"/>
      <c r="O959" s="116"/>
      <c r="P959" s="116"/>
    </row>
    <row r="960" spans="2:16" s="108" customFormat="1" ht="21.75" hidden="1" customHeight="1">
      <c r="B960" s="109"/>
      <c r="C960" s="122"/>
      <c r="D960" s="123" t="s">
        <v>869</v>
      </c>
      <c r="E960" s="511">
        <v>76129000</v>
      </c>
      <c r="F960" s="115">
        <v>32261136567.290001</v>
      </c>
      <c r="G960" s="126">
        <f t="shared" si="18"/>
        <v>0.23597742702341187</v>
      </c>
      <c r="H960" s="120"/>
      <c r="I960" s="120"/>
      <c r="J960" s="116"/>
      <c r="K960" s="116"/>
      <c r="L960" s="116"/>
      <c r="M960" s="116"/>
      <c r="N960" s="116"/>
      <c r="O960" s="116"/>
      <c r="P960" s="116"/>
    </row>
    <row r="961" spans="2:16" s="108" customFormat="1" ht="21.75" hidden="1" customHeight="1">
      <c r="B961" s="109"/>
      <c r="C961" s="122"/>
      <c r="D961" s="123" t="s">
        <v>870</v>
      </c>
      <c r="E961" s="511">
        <v>139803000</v>
      </c>
      <c r="F961" s="115">
        <v>32261136567.290001</v>
      </c>
      <c r="G961" s="126">
        <f t="shared" si="18"/>
        <v>0.4333480307130535</v>
      </c>
      <c r="H961" s="120"/>
      <c r="I961" s="120"/>
      <c r="J961" s="116"/>
      <c r="K961" s="116"/>
      <c r="L961" s="116"/>
      <c r="M961" s="116"/>
      <c r="N961" s="116"/>
      <c r="O961" s="116"/>
      <c r="P961" s="116"/>
    </row>
    <row r="962" spans="2:16" s="108" customFormat="1" ht="21.75" hidden="1" customHeight="1">
      <c r="B962" s="109"/>
      <c r="C962" s="122"/>
      <c r="D962" s="123" t="s">
        <v>871</v>
      </c>
      <c r="E962" s="511">
        <v>77718000</v>
      </c>
      <c r="F962" s="115">
        <v>32261136567.290001</v>
      </c>
      <c r="G962" s="126">
        <f t="shared" si="18"/>
        <v>0.24090285795696151</v>
      </c>
      <c r="H962" s="120"/>
      <c r="I962" s="120"/>
      <c r="J962" s="116"/>
      <c r="K962" s="116"/>
      <c r="L962" s="116"/>
      <c r="M962" s="116"/>
      <c r="N962" s="116"/>
      <c r="O962" s="116"/>
      <c r="P962" s="116"/>
    </row>
    <row r="963" spans="2:16" s="108" customFormat="1" ht="35.25" hidden="1" customHeight="1">
      <c r="B963" s="109"/>
      <c r="C963" s="122"/>
      <c r="D963" s="123" t="s">
        <v>872</v>
      </c>
      <c r="E963" s="511">
        <v>89840000</v>
      </c>
      <c r="F963" s="115">
        <v>32261136567.290001</v>
      </c>
      <c r="G963" s="126">
        <f t="shared" si="18"/>
        <v>0.27847747959100111</v>
      </c>
      <c r="H963" s="120"/>
      <c r="I963" s="120"/>
      <c r="J963" s="116"/>
      <c r="K963" s="116"/>
      <c r="L963" s="116"/>
      <c r="M963" s="116"/>
      <c r="N963" s="116"/>
      <c r="O963" s="116"/>
      <c r="P963" s="116"/>
    </row>
    <row r="964" spans="2:16" s="108" customFormat="1" ht="21.75" hidden="1" customHeight="1">
      <c r="B964" s="109"/>
      <c r="C964" s="122"/>
      <c r="D964" s="123" t="s">
        <v>873</v>
      </c>
      <c r="E964" s="511">
        <v>54995000</v>
      </c>
      <c r="F964" s="115">
        <v>32261136567.290001</v>
      </c>
      <c r="G964" s="126">
        <f t="shared" si="18"/>
        <v>0.17046826569576029</v>
      </c>
      <c r="H964" s="120"/>
      <c r="I964" s="120"/>
      <c r="J964" s="116"/>
      <c r="K964" s="116"/>
      <c r="L964" s="116"/>
      <c r="M964" s="116"/>
      <c r="N964" s="116"/>
      <c r="O964" s="116"/>
      <c r="P964" s="116"/>
    </row>
    <row r="965" spans="2:16" s="108" customFormat="1" ht="35.25" hidden="1" customHeight="1">
      <c r="B965" s="109"/>
      <c r="C965" s="122"/>
      <c r="D965" s="111" t="s">
        <v>874</v>
      </c>
      <c r="E965" s="524">
        <f>+E966</f>
        <v>500000000</v>
      </c>
      <c r="F965" s="115">
        <v>32261136567.290001</v>
      </c>
      <c r="G965" s="126">
        <f t="shared" si="18"/>
        <v>1.5498524019980024</v>
      </c>
      <c r="H965" s="120"/>
      <c r="I965" s="120"/>
      <c r="J965" s="116"/>
      <c r="K965" s="116"/>
      <c r="L965" s="116"/>
      <c r="M965" s="116"/>
      <c r="N965" s="116"/>
      <c r="O965" s="116"/>
      <c r="P965" s="116"/>
    </row>
    <row r="966" spans="2:16" s="108" customFormat="1" ht="21.75" hidden="1" customHeight="1">
      <c r="B966" s="109"/>
      <c r="C966" s="122"/>
      <c r="D966" s="123" t="s">
        <v>875</v>
      </c>
      <c r="E966" s="511">
        <v>500000000</v>
      </c>
      <c r="F966" s="115">
        <v>32261136567.290001</v>
      </c>
      <c r="G966" s="126">
        <f t="shared" si="18"/>
        <v>1.5498524019980024</v>
      </c>
      <c r="H966" s="120"/>
      <c r="I966" s="120"/>
      <c r="J966" s="116"/>
      <c r="K966" s="116"/>
      <c r="L966" s="116"/>
      <c r="M966" s="116"/>
      <c r="N966" s="116"/>
      <c r="O966" s="116"/>
      <c r="P966" s="116"/>
    </row>
    <row r="967" spans="2:16" s="108" customFormat="1" ht="21.75" hidden="1" customHeight="1">
      <c r="B967" s="109"/>
      <c r="C967" s="122"/>
      <c r="D967" s="111" t="s">
        <v>212</v>
      </c>
      <c r="E967" s="524">
        <f>+E968</f>
        <v>209975000</v>
      </c>
      <c r="F967" s="115">
        <v>32261136567.290001</v>
      </c>
      <c r="G967" s="126">
        <f t="shared" si="18"/>
        <v>0.65086051621906116</v>
      </c>
      <c r="H967" s="120"/>
      <c r="I967" s="120"/>
      <c r="J967" s="116"/>
      <c r="K967" s="116"/>
      <c r="L967" s="116"/>
      <c r="M967" s="116"/>
      <c r="N967" s="116"/>
      <c r="O967" s="116"/>
      <c r="P967" s="116"/>
    </row>
    <row r="968" spans="2:16" s="108" customFormat="1" ht="21.75" hidden="1" customHeight="1">
      <c r="B968" s="109"/>
      <c r="C968" s="122"/>
      <c r="D968" s="123" t="s">
        <v>876</v>
      </c>
      <c r="E968" s="511">
        <v>209975000</v>
      </c>
      <c r="F968" s="115">
        <v>32261136567.290001</v>
      </c>
      <c r="G968" s="126">
        <f t="shared" si="18"/>
        <v>0.65086051621906116</v>
      </c>
      <c r="H968" s="120"/>
      <c r="I968" s="120"/>
      <c r="J968" s="116"/>
      <c r="K968" s="116"/>
      <c r="L968" s="116"/>
      <c r="M968" s="116"/>
      <c r="N968" s="116"/>
      <c r="O968" s="116"/>
      <c r="P968" s="116"/>
    </row>
    <row r="969" spans="2:16" s="108" customFormat="1" ht="21.75" hidden="1" customHeight="1">
      <c r="B969" s="109"/>
      <c r="C969" s="122"/>
      <c r="D969" s="111" t="s">
        <v>877</v>
      </c>
      <c r="E969" s="524">
        <f>+E970</f>
        <v>500000000</v>
      </c>
      <c r="F969" s="115">
        <v>32261136567.290001</v>
      </c>
      <c r="G969" s="126">
        <f t="shared" si="18"/>
        <v>1.5498524019980024</v>
      </c>
      <c r="H969" s="120"/>
      <c r="I969" s="120"/>
      <c r="J969" s="116"/>
      <c r="K969" s="116"/>
      <c r="L969" s="116"/>
      <c r="M969" s="116"/>
      <c r="N969" s="116"/>
      <c r="O969" s="116"/>
      <c r="P969" s="116"/>
    </row>
    <row r="970" spans="2:16" s="108" customFormat="1" ht="21.75" hidden="1" customHeight="1">
      <c r="B970" s="109"/>
      <c r="C970" s="122"/>
      <c r="D970" s="123" t="s">
        <v>878</v>
      </c>
      <c r="E970" s="511">
        <v>500000000</v>
      </c>
      <c r="F970" s="115">
        <v>32261136567.290001</v>
      </c>
      <c r="G970" s="126">
        <f t="shared" si="18"/>
        <v>1.5498524019980024</v>
      </c>
      <c r="H970" s="120"/>
      <c r="I970" s="120"/>
      <c r="J970" s="116"/>
      <c r="K970" s="116"/>
      <c r="L970" s="116"/>
      <c r="M970" s="116"/>
      <c r="N970" s="116"/>
      <c r="O970" s="116"/>
      <c r="P970" s="116"/>
    </row>
    <row r="971" spans="2:16" s="108" customFormat="1" ht="15" hidden="1" customHeight="1">
      <c r="B971" s="109"/>
      <c r="C971" s="122"/>
      <c r="D971" s="123"/>
      <c r="E971" s="511"/>
      <c r="F971" s="115">
        <v>32261136567.290001</v>
      </c>
      <c r="G971" s="126">
        <f t="shared" si="18"/>
        <v>0</v>
      </c>
      <c r="H971" s="120"/>
      <c r="I971" s="120"/>
      <c r="J971" s="116"/>
      <c r="K971" s="116"/>
      <c r="L971" s="116"/>
      <c r="M971" s="116"/>
      <c r="N971" s="116"/>
      <c r="O971" s="116"/>
      <c r="P971" s="116"/>
    </row>
    <row r="972" spans="2:16" s="108" customFormat="1" ht="21.75" hidden="1" customHeight="1">
      <c r="B972" s="109"/>
      <c r="C972" s="122"/>
      <c r="D972" s="111" t="s">
        <v>425</v>
      </c>
      <c r="E972" s="524">
        <f>+E973</f>
        <v>4000000000</v>
      </c>
      <c r="F972" s="115">
        <v>32261136567.290001</v>
      </c>
      <c r="G972" s="126">
        <f t="shared" si="18"/>
        <v>12.39881921598402</v>
      </c>
      <c r="H972" s="120"/>
      <c r="I972" s="120"/>
      <c r="J972" s="116"/>
      <c r="K972" s="116"/>
      <c r="L972" s="116"/>
      <c r="M972" s="116"/>
      <c r="N972" s="116"/>
      <c r="O972" s="116"/>
      <c r="P972" s="116"/>
    </row>
    <row r="973" spans="2:16" s="108" customFormat="1" ht="21.75" hidden="1" customHeight="1">
      <c r="B973" s="109"/>
      <c r="C973" s="122"/>
      <c r="D973" s="111" t="s">
        <v>162</v>
      </c>
      <c r="E973" s="524">
        <f>+E974</f>
        <v>4000000000</v>
      </c>
      <c r="F973" s="115">
        <v>32261136567.290001</v>
      </c>
      <c r="G973" s="126">
        <f t="shared" si="18"/>
        <v>12.39881921598402</v>
      </c>
      <c r="H973" s="120"/>
      <c r="I973" s="120"/>
      <c r="J973" s="116"/>
      <c r="K973" s="116"/>
      <c r="L973" s="116"/>
      <c r="M973" s="116"/>
      <c r="N973" s="116"/>
      <c r="O973" s="116"/>
      <c r="P973" s="116"/>
    </row>
    <row r="974" spans="2:16" s="108" customFormat="1" ht="21.75" hidden="1" customHeight="1">
      <c r="B974" s="109"/>
      <c r="C974" s="122"/>
      <c r="D974" s="123" t="s">
        <v>859</v>
      </c>
      <c r="E974" s="511">
        <v>4000000000</v>
      </c>
      <c r="F974" s="115">
        <v>32261136567.290001</v>
      </c>
      <c r="G974" s="126">
        <f t="shared" si="18"/>
        <v>12.39881921598402</v>
      </c>
      <c r="H974" s="120"/>
      <c r="I974" s="120"/>
      <c r="J974" s="116"/>
      <c r="K974" s="116"/>
      <c r="L974" s="116"/>
      <c r="M974" s="116"/>
      <c r="N974" s="116"/>
      <c r="O974" s="116"/>
      <c r="P974" s="116"/>
    </row>
    <row r="975" spans="2:16" s="108" customFormat="1" ht="15" hidden="1" customHeight="1">
      <c r="B975" s="109"/>
      <c r="C975" s="122"/>
      <c r="D975" s="123"/>
      <c r="E975" s="511"/>
      <c r="F975" s="115">
        <v>32261136567.290001</v>
      </c>
      <c r="G975" s="126">
        <f t="shared" si="18"/>
        <v>0</v>
      </c>
      <c r="H975" s="120"/>
      <c r="I975" s="120"/>
      <c r="J975" s="116"/>
      <c r="K975" s="116"/>
      <c r="L975" s="116"/>
      <c r="M975" s="116"/>
      <c r="N975" s="116"/>
      <c r="O975" s="116"/>
      <c r="P975" s="116"/>
    </row>
    <row r="976" spans="2:16" s="108" customFormat="1" ht="21.75" hidden="1" customHeight="1">
      <c r="B976" s="109"/>
      <c r="C976" s="122"/>
      <c r="D976" s="111" t="s">
        <v>489</v>
      </c>
      <c r="E976" s="524">
        <f>+E977</f>
        <v>150000000</v>
      </c>
      <c r="F976" s="115">
        <v>32261136567.290001</v>
      </c>
      <c r="G976" s="126">
        <f t="shared" si="18"/>
        <v>0.46495572059940077</v>
      </c>
      <c r="H976" s="120"/>
      <c r="I976" s="120"/>
      <c r="J976" s="116"/>
      <c r="K976" s="116"/>
      <c r="L976" s="116"/>
      <c r="M976" s="116"/>
      <c r="N976" s="116"/>
      <c r="O976" s="116"/>
      <c r="P976" s="116"/>
    </row>
    <row r="977" spans="2:16" s="108" customFormat="1" ht="21.75" hidden="1" customHeight="1">
      <c r="B977" s="109"/>
      <c r="C977" s="122"/>
      <c r="D977" s="111" t="s">
        <v>879</v>
      </c>
      <c r="E977" s="524">
        <f>+E978</f>
        <v>150000000</v>
      </c>
      <c r="F977" s="115">
        <v>32261136567.290001</v>
      </c>
      <c r="G977" s="126">
        <f t="shared" si="18"/>
        <v>0.46495572059940077</v>
      </c>
      <c r="H977" s="120"/>
      <c r="I977" s="120"/>
      <c r="J977" s="116"/>
      <c r="K977" s="116"/>
      <c r="L977" s="116"/>
      <c r="M977" s="116"/>
      <c r="N977" s="116"/>
      <c r="O977" s="116"/>
      <c r="P977" s="116"/>
    </row>
    <row r="978" spans="2:16" s="108" customFormat="1" ht="21.75" hidden="1" customHeight="1">
      <c r="B978" s="109"/>
      <c r="C978" s="122"/>
      <c r="D978" s="123" t="s">
        <v>880</v>
      </c>
      <c r="E978" s="511">
        <v>150000000</v>
      </c>
      <c r="F978" s="115">
        <v>32261136567.290001</v>
      </c>
      <c r="G978" s="126">
        <f t="shared" si="18"/>
        <v>0.46495572059940077</v>
      </c>
      <c r="H978" s="120"/>
      <c r="I978" s="120"/>
      <c r="J978" s="116"/>
      <c r="K978" s="116"/>
      <c r="L978" s="116"/>
      <c r="M978" s="116"/>
      <c r="N978" s="116"/>
      <c r="O978" s="116"/>
      <c r="P978" s="116"/>
    </row>
    <row r="979" spans="2:16" s="108" customFormat="1" ht="15" hidden="1" customHeight="1">
      <c r="B979" s="109"/>
      <c r="C979" s="122"/>
      <c r="D979" s="123"/>
      <c r="E979" s="511"/>
      <c r="F979" s="115">
        <v>32261136567.290001</v>
      </c>
      <c r="G979" s="126">
        <f t="shared" si="18"/>
        <v>0</v>
      </c>
      <c r="H979" s="120"/>
      <c r="I979" s="120"/>
      <c r="J979" s="116"/>
      <c r="K979" s="116"/>
      <c r="L979" s="116"/>
      <c r="M979" s="116"/>
      <c r="N979" s="116"/>
      <c r="O979" s="116"/>
      <c r="P979" s="116"/>
    </row>
    <row r="980" spans="2:16" s="108" customFormat="1" ht="21.75" hidden="1" customHeight="1">
      <c r="B980" s="109"/>
      <c r="C980" s="122"/>
      <c r="D980" s="111" t="s">
        <v>881</v>
      </c>
      <c r="E980" s="524">
        <f>+E981+E983</f>
        <v>600000000</v>
      </c>
      <c r="F980" s="115">
        <v>32261136567.290001</v>
      </c>
      <c r="G980" s="126">
        <f t="shared" si="18"/>
        <v>1.8598228823976031</v>
      </c>
      <c r="H980" s="120"/>
      <c r="I980" s="120"/>
      <c r="J980" s="116"/>
      <c r="K980" s="116"/>
      <c r="L980" s="116"/>
      <c r="M980" s="116"/>
      <c r="N980" s="116"/>
      <c r="O980" s="116"/>
      <c r="P980" s="116"/>
    </row>
    <row r="981" spans="2:16" s="108" customFormat="1" ht="21.75" hidden="1" customHeight="1">
      <c r="B981" s="109"/>
      <c r="C981" s="122"/>
      <c r="D981" s="111" t="s">
        <v>882</v>
      </c>
      <c r="E981" s="524">
        <f>+E982</f>
        <v>358000000</v>
      </c>
      <c r="F981" s="115">
        <v>32261136567.290001</v>
      </c>
      <c r="G981" s="126">
        <f t="shared" si="18"/>
        <v>1.1096943198305698</v>
      </c>
      <c r="H981" s="120"/>
      <c r="I981" s="120"/>
      <c r="J981" s="116"/>
      <c r="K981" s="116"/>
      <c r="L981" s="116"/>
      <c r="M981" s="116"/>
      <c r="N981" s="116"/>
      <c r="O981" s="116"/>
      <c r="P981" s="116"/>
    </row>
    <row r="982" spans="2:16" s="108" customFormat="1" ht="35.25" hidden="1" customHeight="1">
      <c r="B982" s="109"/>
      <c r="C982" s="122"/>
      <c r="D982" s="123" t="s">
        <v>883</v>
      </c>
      <c r="E982" s="511">
        <v>358000000</v>
      </c>
      <c r="F982" s="115">
        <v>32261136567.290001</v>
      </c>
      <c r="G982" s="126">
        <f t="shared" si="18"/>
        <v>1.1096943198305698</v>
      </c>
      <c r="H982" s="120"/>
      <c r="I982" s="120"/>
      <c r="J982" s="116"/>
      <c r="K982" s="116"/>
      <c r="L982" s="116"/>
      <c r="M982" s="116"/>
      <c r="N982" s="116"/>
      <c r="O982" s="116"/>
      <c r="P982" s="116"/>
    </row>
    <row r="983" spans="2:16" s="108" customFormat="1" ht="21.75" hidden="1" customHeight="1">
      <c r="B983" s="109"/>
      <c r="C983" s="122"/>
      <c r="D983" s="111" t="s">
        <v>884</v>
      </c>
      <c r="E983" s="524">
        <f>SUM(E984:E985)</f>
        <v>242000000</v>
      </c>
      <c r="F983" s="115">
        <v>32261136567.290001</v>
      </c>
      <c r="G983" s="126">
        <f t="shared" si="18"/>
        <v>0.7501285625670332</v>
      </c>
      <c r="H983" s="120"/>
      <c r="I983" s="120"/>
      <c r="J983" s="116"/>
      <c r="K983" s="116"/>
      <c r="L983" s="116"/>
      <c r="M983" s="116"/>
      <c r="N983" s="116"/>
      <c r="O983" s="116"/>
      <c r="P983" s="116"/>
    </row>
    <row r="984" spans="2:16" s="108" customFormat="1" ht="47.25" hidden="1" customHeight="1">
      <c r="B984" s="109"/>
      <c r="C984" s="122"/>
      <c r="D984" s="123" t="s">
        <v>885</v>
      </c>
      <c r="E984" s="511">
        <v>192000000</v>
      </c>
      <c r="F984" s="115">
        <v>32261136567.290001</v>
      </c>
      <c r="G984" s="126">
        <f t="shared" si="18"/>
        <v>0.595143322367233</v>
      </c>
      <c r="H984" s="120"/>
      <c r="I984" s="120"/>
      <c r="J984" s="116"/>
      <c r="K984" s="116"/>
      <c r="L984" s="116"/>
      <c r="M984" s="116"/>
      <c r="N984" s="116"/>
      <c r="O984" s="116"/>
      <c r="P984" s="116"/>
    </row>
    <row r="985" spans="2:16" s="108" customFormat="1" ht="35.25" hidden="1" customHeight="1">
      <c r="B985" s="109"/>
      <c r="C985" s="122"/>
      <c r="D985" s="123" t="s">
        <v>886</v>
      </c>
      <c r="E985" s="511">
        <v>50000000</v>
      </c>
      <c r="F985" s="115">
        <v>32261136567.290001</v>
      </c>
      <c r="G985" s="126">
        <f t="shared" ref="G985:G1043" si="19">+E985/F985*100</f>
        <v>0.15498524019980023</v>
      </c>
      <c r="H985" s="120"/>
      <c r="I985" s="120"/>
      <c r="J985" s="116"/>
      <c r="K985" s="116"/>
      <c r="L985" s="116"/>
      <c r="M985" s="116"/>
      <c r="N985" s="116"/>
      <c r="O985" s="116"/>
      <c r="P985" s="116"/>
    </row>
    <row r="986" spans="2:16" s="108" customFormat="1" ht="15" hidden="1" customHeight="1">
      <c r="B986" s="109"/>
      <c r="C986" s="122"/>
      <c r="D986" s="123"/>
      <c r="E986" s="511"/>
      <c r="F986" s="115">
        <v>32261136567.290001</v>
      </c>
      <c r="G986" s="126">
        <f t="shared" si="19"/>
        <v>0</v>
      </c>
      <c r="H986" s="120"/>
      <c r="I986" s="120"/>
      <c r="J986" s="116"/>
      <c r="K986" s="116"/>
      <c r="L986" s="116"/>
      <c r="M986" s="116"/>
      <c r="N986" s="116"/>
      <c r="O986" s="116"/>
      <c r="P986" s="116"/>
    </row>
    <row r="987" spans="2:16" s="108" customFormat="1" ht="15" hidden="1" customHeight="1">
      <c r="B987" s="109"/>
      <c r="C987" s="122"/>
      <c r="D987" s="123"/>
      <c r="E987" s="511"/>
      <c r="F987" s="115">
        <v>32261136567.290001</v>
      </c>
      <c r="G987" s="126">
        <f t="shared" si="19"/>
        <v>0</v>
      </c>
      <c r="H987" s="120"/>
      <c r="I987" s="120"/>
      <c r="J987" s="116"/>
      <c r="K987" s="116"/>
      <c r="L987" s="116"/>
      <c r="M987" s="116"/>
      <c r="N987" s="116"/>
      <c r="O987" s="116"/>
      <c r="P987" s="116"/>
    </row>
    <row r="988" spans="2:16" s="108" customFormat="1" ht="21.75" hidden="1" customHeight="1">
      <c r="B988" s="109"/>
      <c r="C988" s="122"/>
      <c r="D988" s="111" t="s">
        <v>525</v>
      </c>
      <c r="E988" s="524">
        <f>+E989</f>
        <v>408636567</v>
      </c>
      <c r="F988" s="115">
        <v>32261136567.290001</v>
      </c>
      <c r="G988" s="126">
        <f t="shared" si="19"/>
        <v>1.2666527298183354</v>
      </c>
      <c r="H988" s="120"/>
      <c r="I988" s="120"/>
      <c r="J988" s="116"/>
      <c r="K988" s="116"/>
      <c r="L988" s="116"/>
      <c r="M988" s="116"/>
      <c r="N988" s="116"/>
      <c r="O988" s="116"/>
      <c r="P988" s="116"/>
    </row>
    <row r="989" spans="2:16" s="108" customFormat="1" ht="37.5" hidden="1" customHeight="1">
      <c r="B989" s="109"/>
      <c r="C989" s="122"/>
      <c r="D989" s="111" t="s">
        <v>890</v>
      </c>
      <c r="E989" s="524">
        <f>SUM(E990:E992)</f>
        <v>408636567</v>
      </c>
      <c r="F989" s="115">
        <v>32261136567.290001</v>
      </c>
      <c r="G989" s="126">
        <f t="shared" si="19"/>
        <v>1.2666527298183354</v>
      </c>
      <c r="H989" s="120"/>
      <c r="I989" s="120"/>
      <c r="J989" s="116"/>
      <c r="K989" s="116"/>
      <c r="L989" s="116"/>
      <c r="M989" s="116"/>
      <c r="N989" s="116"/>
      <c r="O989" s="116"/>
      <c r="P989" s="116"/>
    </row>
    <row r="990" spans="2:16" s="108" customFormat="1" ht="21.75" hidden="1" customHeight="1">
      <c r="B990" s="109"/>
      <c r="C990" s="122"/>
      <c r="D990" s="123" t="s">
        <v>527</v>
      </c>
      <c r="E990" s="511">
        <v>125000000</v>
      </c>
      <c r="F990" s="115">
        <v>32261136567.290001</v>
      </c>
      <c r="G990" s="126">
        <f t="shared" si="19"/>
        <v>0.38746310049950061</v>
      </c>
      <c r="H990" s="120"/>
      <c r="I990" s="120"/>
      <c r="J990" s="116"/>
      <c r="K990" s="116"/>
      <c r="L990" s="116"/>
      <c r="M990" s="116"/>
      <c r="N990" s="116"/>
      <c r="O990" s="116"/>
      <c r="P990" s="116"/>
    </row>
    <row r="991" spans="2:16" s="108" customFormat="1" ht="35.25" hidden="1" customHeight="1">
      <c r="B991" s="109"/>
      <c r="C991" s="122"/>
      <c r="D991" s="123" t="s">
        <v>891</v>
      </c>
      <c r="E991" s="511">
        <v>103636567</v>
      </c>
      <c r="F991" s="115">
        <v>32261136567.290001</v>
      </c>
      <c r="G991" s="126">
        <f t="shared" si="19"/>
        <v>0.32124276459955381</v>
      </c>
      <c r="H991" s="120"/>
      <c r="I991" s="120"/>
      <c r="J991" s="116"/>
      <c r="K991" s="116"/>
      <c r="L991" s="116"/>
      <c r="M991" s="116"/>
      <c r="N991" s="116"/>
      <c r="O991" s="116"/>
      <c r="P991" s="116"/>
    </row>
    <row r="992" spans="2:16" s="108" customFormat="1" ht="35.25" hidden="1" customHeight="1">
      <c r="B992" s="109"/>
      <c r="C992" s="122"/>
      <c r="D992" s="123" t="s">
        <v>892</v>
      </c>
      <c r="E992" s="511">
        <v>180000000</v>
      </c>
      <c r="F992" s="115">
        <v>32261136567.290001</v>
      </c>
      <c r="G992" s="126">
        <f t="shared" si="19"/>
        <v>0.5579468647192809</v>
      </c>
      <c r="H992" s="120"/>
      <c r="I992" s="120"/>
      <c r="J992" s="116"/>
      <c r="K992" s="116"/>
      <c r="L992" s="116"/>
      <c r="M992" s="116"/>
      <c r="N992" s="116"/>
      <c r="O992" s="116"/>
      <c r="P992" s="116"/>
    </row>
    <row r="993" spans="2:16" s="108" customFormat="1" ht="15" hidden="1" customHeight="1">
      <c r="B993" s="109"/>
      <c r="C993" s="122"/>
      <c r="D993" s="123"/>
      <c r="E993" s="511"/>
      <c r="F993" s="115">
        <v>32261136567.290001</v>
      </c>
      <c r="G993" s="126">
        <f t="shared" si="19"/>
        <v>0</v>
      </c>
      <c r="H993" s="120"/>
      <c r="I993" s="120"/>
      <c r="J993" s="116"/>
      <c r="K993" s="116"/>
      <c r="L993" s="116"/>
      <c r="M993" s="116"/>
      <c r="N993" s="116"/>
      <c r="O993" s="116"/>
      <c r="P993" s="116"/>
    </row>
    <row r="994" spans="2:16" s="108" customFormat="1" ht="21.75" hidden="1" customHeight="1">
      <c r="B994" s="109"/>
      <c r="C994" s="122"/>
      <c r="D994" s="111" t="s">
        <v>893</v>
      </c>
      <c r="E994" s="524">
        <f>+E995+E998+E1001</f>
        <v>1000000000</v>
      </c>
      <c r="F994" s="115">
        <v>32261136567.290001</v>
      </c>
      <c r="G994" s="126">
        <f t="shared" si="19"/>
        <v>3.0997048039960049</v>
      </c>
      <c r="H994" s="120"/>
      <c r="I994" s="120"/>
      <c r="J994" s="116"/>
      <c r="K994" s="116"/>
      <c r="L994" s="116"/>
      <c r="M994" s="116"/>
      <c r="N994" s="116"/>
      <c r="O994" s="116"/>
      <c r="P994" s="116"/>
    </row>
    <row r="995" spans="2:16" s="108" customFormat="1" ht="35.25" hidden="1" customHeight="1">
      <c r="B995" s="109"/>
      <c r="C995" s="122"/>
      <c r="D995" s="111" t="s">
        <v>546</v>
      </c>
      <c r="E995" s="524">
        <f>SUM(E996:E997)</f>
        <v>600000000</v>
      </c>
      <c r="F995" s="115">
        <v>32261136567.290001</v>
      </c>
      <c r="G995" s="126">
        <f t="shared" si="19"/>
        <v>1.8598228823976031</v>
      </c>
      <c r="H995" s="120"/>
      <c r="I995" s="120"/>
      <c r="J995" s="116"/>
      <c r="K995" s="116"/>
      <c r="L995" s="116"/>
      <c r="M995" s="116"/>
      <c r="N995" s="116"/>
      <c r="O995" s="116"/>
      <c r="P995" s="116"/>
    </row>
    <row r="996" spans="2:16" s="108" customFormat="1" ht="21.75" hidden="1" customHeight="1">
      <c r="B996" s="109"/>
      <c r="C996" s="122"/>
      <c r="D996" s="123" t="s">
        <v>894</v>
      </c>
      <c r="E996" s="511">
        <v>500000000</v>
      </c>
      <c r="F996" s="115">
        <v>32261136567.290001</v>
      </c>
      <c r="G996" s="126">
        <f t="shared" si="19"/>
        <v>1.5498524019980024</v>
      </c>
      <c r="H996" s="120"/>
      <c r="I996" s="120"/>
      <c r="J996" s="116"/>
      <c r="K996" s="116"/>
      <c r="L996" s="116"/>
      <c r="M996" s="116"/>
      <c r="N996" s="116"/>
      <c r="O996" s="116"/>
      <c r="P996" s="116"/>
    </row>
    <row r="997" spans="2:16" s="108" customFormat="1" ht="21.75" hidden="1" customHeight="1">
      <c r="B997" s="109"/>
      <c r="C997" s="122"/>
      <c r="D997" s="123" t="s">
        <v>895</v>
      </c>
      <c r="E997" s="511">
        <v>100000000</v>
      </c>
      <c r="F997" s="115">
        <v>32261136567.290001</v>
      </c>
      <c r="G997" s="126">
        <f t="shared" si="19"/>
        <v>0.30997048039960046</v>
      </c>
      <c r="H997" s="120"/>
      <c r="I997" s="120"/>
      <c r="J997" s="116"/>
      <c r="K997" s="116"/>
      <c r="L997" s="116"/>
      <c r="M997" s="116"/>
      <c r="N997" s="116"/>
      <c r="O997" s="116"/>
      <c r="P997" s="116"/>
    </row>
    <row r="998" spans="2:16" s="108" customFormat="1" ht="21.75" hidden="1" customHeight="1">
      <c r="B998" s="109"/>
      <c r="C998" s="122"/>
      <c r="D998" s="792" t="s">
        <v>548</v>
      </c>
      <c r="E998" s="1646">
        <f>SUM(E999:E1000)</f>
        <v>200000000</v>
      </c>
      <c r="F998" s="115">
        <v>32261136567.290001</v>
      </c>
      <c r="G998" s="126">
        <f t="shared" si="19"/>
        <v>0.61994096079920091</v>
      </c>
      <c r="H998" s="120"/>
      <c r="I998" s="120"/>
      <c r="J998" s="116"/>
      <c r="K998" s="116"/>
      <c r="L998" s="116"/>
      <c r="M998" s="116"/>
      <c r="N998" s="116"/>
      <c r="O998" s="116"/>
      <c r="P998" s="116"/>
    </row>
    <row r="999" spans="2:16" s="108" customFormat="1" ht="35.25" hidden="1" customHeight="1">
      <c r="B999" s="109"/>
      <c r="C999" s="122"/>
      <c r="D999" s="793" t="s">
        <v>2754</v>
      </c>
      <c r="E999" s="1647">
        <v>100000000</v>
      </c>
      <c r="F999" s="115">
        <v>32261136567.290001</v>
      </c>
      <c r="G999" s="126">
        <f t="shared" si="19"/>
        <v>0.30997048039960046</v>
      </c>
      <c r="H999" s="115"/>
      <c r="I999" s="115"/>
      <c r="J999" s="116"/>
      <c r="K999" s="116"/>
      <c r="L999" s="116"/>
      <c r="M999" s="116"/>
      <c r="N999" s="116"/>
      <c r="O999" s="116"/>
      <c r="P999" s="116"/>
    </row>
    <row r="1000" spans="2:16" s="108" customFormat="1" ht="23.25" hidden="1" customHeight="1">
      <c r="B1000" s="109"/>
      <c r="C1000" s="122"/>
      <c r="D1000" s="794" t="s">
        <v>896</v>
      </c>
      <c r="E1000" s="1648">
        <v>100000000</v>
      </c>
      <c r="F1000" s="115">
        <v>32261136567.290001</v>
      </c>
      <c r="G1000" s="126">
        <f t="shared" si="19"/>
        <v>0.30997048039960046</v>
      </c>
      <c r="H1000" s="115"/>
      <c r="I1000" s="115"/>
      <c r="J1000" s="116"/>
      <c r="K1000" s="116"/>
      <c r="L1000" s="116"/>
      <c r="M1000" s="116"/>
      <c r="N1000" s="116"/>
      <c r="O1000" s="116"/>
      <c r="P1000" s="116"/>
    </row>
    <row r="1001" spans="2:16" s="108" customFormat="1" ht="23.25" hidden="1" customHeight="1">
      <c r="B1001" s="109"/>
      <c r="C1001" s="122"/>
      <c r="D1001" s="792" t="s">
        <v>1433</v>
      </c>
      <c r="E1001" s="1646">
        <f>SUM(E1002:E1003)</f>
        <v>200000000</v>
      </c>
      <c r="F1001" s="115"/>
      <c r="G1001" s="126"/>
      <c r="H1001" s="120"/>
      <c r="I1001" s="120"/>
      <c r="J1001" s="116"/>
      <c r="K1001" s="116"/>
      <c r="L1001" s="116"/>
      <c r="M1001" s="116"/>
      <c r="N1001" s="116"/>
      <c r="O1001" s="116"/>
      <c r="P1001" s="116"/>
    </row>
    <row r="1002" spans="2:16" s="108" customFormat="1" ht="23.25" hidden="1" customHeight="1">
      <c r="B1002" s="109"/>
      <c r="C1002" s="122"/>
      <c r="D1002" s="793" t="s">
        <v>1820</v>
      </c>
      <c r="E1002" s="1647">
        <v>100000000</v>
      </c>
      <c r="F1002" s="115"/>
      <c r="G1002" s="126"/>
      <c r="H1002" s="120"/>
      <c r="I1002" s="120"/>
      <c r="J1002" s="116"/>
      <c r="K1002" s="116"/>
      <c r="L1002" s="116"/>
      <c r="M1002" s="116"/>
      <c r="N1002" s="116"/>
      <c r="O1002" s="116"/>
      <c r="P1002" s="116"/>
    </row>
    <row r="1003" spans="2:16" s="108" customFormat="1" ht="23.25" hidden="1" customHeight="1" thickBot="1">
      <c r="B1003" s="109"/>
      <c r="C1003" s="122"/>
      <c r="D1003" s="795" t="s">
        <v>2755</v>
      </c>
      <c r="E1003" s="1649">
        <v>100000000</v>
      </c>
      <c r="F1003" s="115"/>
      <c r="G1003" s="126"/>
      <c r="H1003" s="120"/>
      <c r="I1003" s="120"/>
      <c r="J1003" s="116"/>
      <c r="K1003" s="116"/>
      <c r="L1003" s="116"/>
      <c r="M1003" s="116"/>
      <c r="N1003" s="116"/>
      <c r="O1003" s="116"/>
      <c r="P1003" s="116"/>
    </row>
    <row r="1004" spans="2:16" s="108" customFormat="1" ht="23.25" hidden="1" customHeight="1">
      <c r="B1004" s="109"/>
      <c r="C1004" s="122"/>
      <c r="D1004" s="700"/>
      <c r="E1004" s="1650"/>
      <c r="F1004" s="115"/>
      <c r="G1004" s="126"/>
      <c r="H1004" s="120"/>
      <c r="I1004" s="120"/>
      <c r="J1004" s="116"/>
      <c r="K1004" s="116"/>
      <c r="L1004" s="116"/>
      <c r="M1004" s="116"/>
      <c r="N1004" s="116"/>
      <c r="O1004" s="116"/>
      <c r="P1004" s="116"/>
    </row>
    <row r="1005" spans="2:16" s="108" customFormat="1" ht="21.75" hidden="1" customHeight="1">
      <c r="B1005" s="109"/>
      <c r="C1005" s="122"/>
      <c r="D1005" s="111" t="s">
        <v>440</v>
      </c>
      <c r="E1005" s="524">
        <f>+E1006</f>
        <v>3000000000</v>
      </c>
      <c r="F1005" s="115">
        <v>32261136567.290001</v>
      </c>
      <c r="G1005" s="126">
        <f t="shared" si="19"/>
        <v>9.2991144119880147</v>
      </c>
      <c r="H1005" s="120"/>
      <c r="I1005" s="120"/>
      <c r="J1005" s="116"/>
      <c r="K1005" s="116"/>
      <c r="L1005" s="116"/>
      <c r="M1005" s="116"/>
      <c r="N1005" s="116"/>
      <c r="O1005" s="116"/>
      <c r="P1005" s="116"/>
    </row>
    <row r="1006" spans="2:16" s="108" customFormat="1" ht="21.75" hidden="1" customHeight="1">
      <c r="B1006" s="109"/>
      <c r="C1006" s="122"/>
      <c r="D1006" s="111" t="s">
        <v>897</v>
      </c>
      <c r="E1006" s="524">
        <f>+E1007+E1008</f>
        <v>3000000000</v>
      </c>
      <c r="F1006" s="115">
        <v>32261136567.290001</v>
      </c>
      <c r="G1006" s="126">
        <f t="shared" si="19"/>
        <v>9.2991144119880147</v>
      </c>
      <c r="H1006" s="120"/>
      <c r="I1006" s="120"/>
      <c r="J1006" s="116"/>
      <c r="K1006" s="116"/>
      <c r="L1006" s="116"/>
      <c r="M1006" s="116"/>
      <c r="N1006" s="116"/>
      <c r="O1006" s="116"/>
      <c r="P1006" s="116"/>
    </row>
    <row r="1007" spans="2:16" s="108" customFormat="1" ht="21.75" hidden="1" customHeight="1">
      <c r="B1007" s="109"/>
      <c r="C1007" s="122"/>
      <c r="D1007" s="701" t="s">
        <v>2756</v>
      </c>
      <c r="E1007" s="1651">
        <v>1000000000</v>
      </c>
      <c r="F1007" s="115">
        <v>32261136567.290001</v>
      </c>
      <c r="G1007" s="126">
        <f t="shared" si="19"/>
        <v>3.0997048039960049</v>
      </c>
      <c r="H1007" s="120"/>
      <c r="I1007" s="120"/>
      <c r="J1007" s="116"/>
      <c r="K1007" s="116"/>
      <c r="L1007" s="116"/>
      <c r="M1007" s="116"/>
      <c r="N1007" s="116"/>
      <c r="O1007" s="116"/>
      <c r="P1007" s="116"/>
    </row>
    <row r="1008" spans="2:16" s="108" customFormat="1" ht="21.75" hidden="1" customHeight="1" thickBot="1">
      <c r="B1008" s="109"/>
      <c r="C1008" s="122"/>
      <c r="D1008" s="702" t="s">
        <v>2757</v>
      </c>
      <c r="E1008" s="1652">
        <v>2000000000</v>
      </c>
      <c r="F1008" s="115"/>
      <c r="G1008" s="126"/>
      <c r="H1008" s="120"/>
      <c r="I1008" s="120"/>
      <c r="J1008" s="116"/>
      <c r="K1008" s="116"/>
      <c r="L1008" s="116"/>
      <c r="M1008" s="116"/>
      <c r="N1008" s="116"/>
      <c r="O1008" s="116"/>
      <c r="P1008" s="116"/>
    </row>
    <row r="1009" spans="2:16" s="108" customFormat="1" ht="21.75" hidden="1" customHeight="1">
      <c r="B1009" s="109"/>
      <c r="C1009" s="122"/>
      <c r="D1009" s="123"/>
      <c r="E1009" s="511"/>
      <c r="F1009" s="115"/>
      <c r="G1009" s="126"/>
      <c r="H1009" s="120"/>
      <c r="I1009" s="120"/>
      <c r="J1009" s="116"/>
      <c r="K1009" s="116"/>
      <c r="L1009" s="116"/>
      <c r="M1009" s="116"/>
      <c r="N1009" s="116"/>
      <c r="O1009" s="116"/>
      <c r="P1009" s="116"/>
    </row>
    <row r="1010" spans="2:16" s="108" customFormat="1" ht="21.75" hidden="1" customHeight="1">
      <c r="B1010" s="109"/>
      <c r="C1010" s="122"/>
      <c r="D1010" s="111" t="s">
        <v>898</v>
      </c>
      <c r="E1010" s="524">
        <f>+E1011</f>
        <v>100000000</v>
      </c>
      <c r="F1010" s="115">
        <v>32261136567.290001</v>
      </c>
      <c r="G1010" s="126">
        <f t="shared" si="19"/>
        <v>0.30997048039960046</v>
      </c>
      <c r="H1010" s="120"/>
      <c r="I1010" s="120"/>
      <c r="J1010" s="116"/>
      <c r="K1010" s="116"/>
      <c r="L1010" s="116"/>
      <c r="M1010" s="116"/>
      <c r="N1010" s="116"/>
      <c r="O1010" s="116"/>
      <c r="P1010" s="116"/>
    </row>
    <row r="1011" spans="2:16" s="108" customFormat="1" ht="21.75" hidden="1" customHeight="1">
      <c r="B1011" s="109"/>
      <c r="C1011" s="122"/>
      <c r="D1011" s="111" t="s">
        <v>899</v>
      </c>
      <c r="E1011" s="524">
        <f>+E1012</f>
        <v>100000000</v>
      </c>
      <c r="F1011" s="115">
        <v>32261136567.290001</v>
      </c>
      <c r="G1011" s="126">
        <f t="shared" si="19"/>
        <v>0.30997048039960046</v>
      </c>
      <c r="H1011" s="120"/>
      <c r="I1011" s="120"/>
      <c r="J1011" s="116"/>
      <c r="K1011" s="116"/>
      <c r="L1011" s="116"/>
      <c r="M1011" s="116"/>
      <c r="N1011" s="116"/>
      <c r="O1011" s="116"/>
      <c r="P1011" s="116"/>
    </row>
    <row r="1012" spans="2:16" s="108" customFormat="1" ht="55.5" hidden="1" customHeight="1">
      <c r="B1012" s="109"/>
      <c r="C1012" s="122"/>
      <c r="D1012" s="123" t="s">
        <v>900</v>
      </c>
      <c r="E1012" s="511">
        <v>100000000</v>
      </c>
      <c r="F1012" s="115">
        <v>32261136567.290001</v>
      </c>
      <c r="G1012" s="126">
        <f t="shared" si="19"/>
        <v>0.30997048039960046</v>
      </c>
      <c r="H1012" s="120"/>
      <c r="I1012" s="120"/>
      <c r="J1012" s="116"/>
      <c r="K1012" s="116"/>
      <c r="L1012" s="116"/>
      <c r="M1012" s="116"/>
      <c r="N1012" s="116"/>
      <c r="O1012" s="116"/>
      <c r="P1012" s="116"/>
    </row>
    <row r="1013" spans="2:16" s="108" customFormat="1" ht="15" hidden="1" customHeight="1">
      <c r="B1013" s="109"/>
      <c r="C1013" s="122"/>
      <c r="D1013" s="123"/>
      <c r="E1013" s="511"/>
      <c r="F1013" s="115">
        <v>32261136567.290001</v>
      </c>
      <c r="G1013" s="126">
        <f t="shared" si="19"/>
        <v>0</v>
      </c>
      <c r="H1013" s="120"/>
      <c r="I1013" s="120"/>
      <c r="J1013" s="116"/>
      <c r="K1013" s="116"/>
      <c r="L1013" s="116"/>
      <c r="M1013" s="116"/>
      <c r="N1013" s="116"/>
      <c r="O1013" s="116"/>
      <c r="P1013" s="116"/>
    </row>
    <row r="1014" spans="2:16" s="108" customFormat="1" ht="21.75" hidden="1" customHeight="1">
      <c r="B1014" s="109"/>
      <c r="C1014" s="122"/>
      <c r="D1014" s="111" t="s">
        <v>901</v>
      </c>
      <c r="E1014" s="524">
        <f>+E1015+E1017+E1021</f>
        <v>5000000000</v>
      </c>
      <c r="F1014" s="115">
        <v>32261136567.290001</v>
      </c>
      <c r="G1014" s="126">
        <f t="shared" si="19"/>
        <v>15.498524019980026</v>
      </c>
      <c r="H1014" s="120"/>
      <c r="I1014" s="120"/>
      <c r="J1014" s="116"/>
      <c r="K1014" s="116"/>
      <c r="L1014" s="116"/>
      <c r="M1014" s="116"/>
      <c r="N1014" s="116"/>
      <c r="O1014" s="116"/>
      <c r="P1014" s="116"/>
    </row>
    <row r="1015" spans="2:16" s="108" customFormat="1" ht="21.75" hidden="1" customHeight="1">
      <c r="B1015" s="109"/>
      <c r="C1015" s="122"/>
      <c r="D1015" s="111" t="s">
        <v>902</v>
      </c>
      <c r="E1015" s="524">
        <f>+E1016</f>
        <v>150000000</v>
      </c>
      <c r="F1015" s="115">
        <v>32261136567.290001</v>
      </c>
      <c r="G1015" s="126">
        <f t="shared" si="19"/>
        <v>0.46495572059940077</v>
      </c>
      <c r="H1015" s="120"/>
      <c r="I1015" s="120"/>
      <c r="J1015" s="116"/>
      <c r="K1015" s="116"/>
      <c r="L1015" s="116"/>
      <c r="M1015" s="116"/>
      <c r="N1015" s="116"/>
      <c r="O1015" s="116"/>
      <c r="P1015" s="116"/>
    </row>
    <row r="1016" spans="2:16" s="108" customFormat="1" ht="21.75" hidden="1" customHeight="1">
      <c r="B1016" s="109"/>
      <c r="C1016" s="122"/>
      <c r="D1016" s="123" t="s">
        <v>903</v>
      </c>
      <c r="E1016" s="511">
        <v>150000000</v>
      </c>
      <c r="F1016" s="115">
        <v>32261136567.290001</v>
      </c>
      <c r="G1016" s="126">
        <f t="shared" si="19"/>
        <v>0.46495572059940077</v>
      </c>
      <c r="H1016" s="120"/>
      <c r="I1016" s="120"/>
      <c r="J1016" s="116"/>
      <c r="K1016" s="116"/>
      <c r="L1016" s="116"/>
      <c r="M1016" s="116"/>
      <c r="N1016" s="116"/>
      <c r="O1016" s="116"/>
      <c r="P1016" s="116"/>
    </row>
    <row r="1017" spans="2:16" s="108" customFormat="1" ht="21.75" hidden="1" customHeight="1">
      <c r="B1017" s="109"/>
      <c r="C1017" s="122"/>
      <c r="D1017" s="111" t="s">
        <v>904</v>
      </c>
      <c r="E1017" s="524">
        <f>SUM(E1018:E1020)</f>
        <v>4192900000</v>
      </c>
      <c r="F1017" s="115">
        <v>32261136567.290001</v>
      </c>
      <c r="G1017" s="126">
        <f t="shared" si="19"/>
        <v>12.996752272674851</v>
      </c>
      <c r="H1017" s="120"/>
      <c r="I1017" s="120"/>
      <c r="J1017" s="116"/>
      <c r="K1017" s="116"/>
      <c r="L1017" s="116"/>
      <c r="M1017" s="116"/>
      <c r="N1017" s="116"/>
      <c r="O1017" s="116"/>
      <c r="P1017" s="116"/>
    </row>
    <row r="1018" spans="2:16" s="108" customFormat="1" ht="21.75" hidden="1" customHeight="1">
      <c r="B1018" s="109"/>
      <c r="C1018" s="122"/>
      <c r="D1018" s="123" t="s">
        <v>905</v>
      </c>
      <c r="E1018" s="511">
        <v>200000000</v>
      </c>
      <c r="F1018" s="115">
        <v>32261136567.290001</v>
      </c>
      <c r="G1018" s="126">
        <f t="shared" si="19"/>
        <v>0.61994096079920091</v>
      </c>
      <c r="H1018" s="120"/>
      <c r="I1018" s="120"/>
      <c r="J1018" s="116"/>
      <c r="K1018" s="116"/>
      <c r="L1018" s="116"/>
      <c r="M1018" s="116"/>
      <c r="N1018" s="116"/>
      <c r="O1018" s="116"/>
      <c r="P1018" s="116"/>
    </row>
    <row r="1019" spans="2:16" s="108" customFormat="1" ht="21.75" hidden="1" customHeight="1">
      <c r="B1019" s="109"/>
      <c r="C1019" s="122"/>
      <c r="D1019" s="123" t="s">
        <v>906</v>
      </c>
      <c r="E1019" s="511">
        <v>285000000</v>
      </c>
      <c r="F1019" s="115">
        <v>32261136567.290001</v>
      </c>
      <c r="G1019" s="126">
        <f t="shared" si="19"/>
        <v>0.8834158691388615</v>
      </c>
      <c r="H1019" s="120"/>
      <c r="I1019" s="120"/>
      <c r="J1019" s="116"/>
      <c r="K1019" s="116"/>
      <c r="L1019" s="116"/>
      <c r="M1019" s="116"/>
      <c r="N1019" s="116"/>
      <c r="O1019" s="116"/>
      <c r="P1019" s="116"/>
    </row>
    <row r="1020" spans="2:16" s="108" customFormat="1" ht="21.75" hidden="1" customHeight="1">
      <c r="B1020" s="109"/>
      <c r="C1020" s="122"/>
      <c r="D1020" s="123" t="s">
        <v>907</v>
      </c>
      <c r="E1020" s="511">
        <v>3707900000</v>
      </c>
      <c r="F1020" s="115">
        <v>32261136567.290001</v>
      </c>
      <c r="G1020" s="126">
        <f t="shared" si="19"/>
        <v>11.493395442736787</v>
      </c>
      <c r="H1020" s="120"/>
      <c r="I1020" s="120"/>
      <c r="J1020" s="116"/>
      <c r="K1020" s="116"/>
      <c r="L1020" s="116"/>
      <c r="M1020" s="116"/>
      <c r="N1020" s="116"/>
      <c r="O1020" s="116"/>
      <c r="P1020" s="116"/>
    </row>
    <row r="1021" spans="2:16" s="108" customFormat="1" ht="21.75" hidden="1" customHeight="1">
      <c r="B1021" s="109"/>
      <c r="C1021" s="122"/>
      <c r="D1021" s="111" t="s">
        <v>908</v>
      </c>
      <c r="E1021" s="524">
        <f>SUM(E1022:E1023)</f>
        <v>657100000</v>
      </c>
      <c r="F1021" s="115">
        <v>32261136567.290001</v>
      </c>
      <c r="G1021" s="126">
        <f t="shared" si="19"/>
        <v>2.0368160267057749</v>
      </c>
      <c r="H1021" s="120"/>
      <c r="I1021" s="120"/>
      <c r="J1021" s="116"/>
      <c r="K1021" s="116"/>
      <c r="L1021" s="116"/>
      <c r="M1021" s="116"/>
      <c r="N1021" s="116"/>
      <c r="O1021" s="116"/>
      <c r="P1021" s="116"/>
    </row>
    <row r="1022" spans="2:16" s="108" customFormat="1" ht="21.75" hidden="1" customHeight="1">
      <c r="B1022" s="109"/>
      <c r="C1022" s="122"/>
      <c r="D1022" s="123" t="s">
        <v>909</v>
      </c>
      <c r="E1022" s="511">
        <v>315000000</v>
      </c>
      <c r="F1022" s="115">
        <v>32261136567.290001</v>
      </c>
      <c r="G1022" s="126">
        <f t="shared" si="19"/>
        <v>0.97640701325874169</v>
      </c>
      <c r="H1022" s="120"/>
      <c r="I1022" s="120"/>
      <c r="J1022" s="116"/>
      <c r="K1022" s="116"/>
      <c r="L1022" s="116"/>
      <c r="M1022" s="116"/>
      <c r="N1022" s="116"/>
      <c r="O1022" s="116"/>
      <c r="P1022" s="116"/>
    </row>
    <row r="1023" spans="2:16" s="108" customFormat="1" ht="21.75" hidden="1" customHeight="1">
      <c r="B1023" s="109"/>
      <c r="C1023" s="122"/>
      <c r="D1023" s="123" t="s">
        <v>910</v>
      </c>
      <c r="E1023" s="511">
        <v>342100000</v>
      </c>
      <c r="F1023" s="115">
        <v>32261136567.290001</v>
      </c>
      <c r="G1023" s="126">
        <f t="shared" si="19"/>
        <v>1.0604090134470332</v>
      </c>
      <c r="H1023" s="120"/>
      <c r="I1023" s="120"/>
      <c r="J1023" s="116"/>
      <c r="K1023" s="116"/>
      <c r="L1023" s="116"/>
      <c r="M1023" s="116"/>
      <c r="N1023" s="116"/>
      <c r="O1023" s="116"/>
      <c r="P1023" s="116"/>
    </row>
    <row r="1024" spans="2:16" s="108" customFormat="1" ht="15" hidden="1" customHeight="1">
      <c r="B1024" s="109"/>
      <c r="C1024" s="122"/>
      <c r="D1024" s="123"/>
      <c r="E1024" s="511"/>
      <c r="F1024" s="115">
        <v>32261136567.290001</v>
      </c>
      <c r="G1024" s="126">
        <f t="shared" si="19"/>
        <v>0</v>
      </c>
      <c r="H1024" s="120"/>
      <c r="I1024" s="120"/>
      <c r="J1024" s="116"/>
      <c r="K1024" s="116"/>
      <c r="L1024" s="116"/>
      <c r="M1024" s="116"/>
      <c r="N1024" s="116"/>
      <c r="O1024" s="116"/>
      <c r="P1024" s="116"/>
    </row>
    <row r="1025" spans="2:16" s="108" customFormat="1" ht="21.75" hidden="1" customHeight="1">
      <c r="B1025" s="109"/>
      <c r="C1025" s="122"/>
      <c r="D1025" s="111" t="s">
        <v>911</v>
      </c>
      <c r="E1025" s="524">
        <f>+E1026+E1028+E1035+E1037+E1039+E1042</f>
        <v>2000000000</v>
      </c>
      <c r="F1025" s="115">
        <v>32261136567.290001</v>
      </c>
      <c r="G1025" s="126">
        <f t="shared" si="19"/>
        <v>6.1994096079920098</v>
      </c>
      <c r="H1025" s="120"/>
      <c r="I1025" s="120"/>
      <c r="J1025" s="116"/>
      <c r="K1025" s="116"/>
      <c r="L1025" s="116"/>
      <c r="M1025" s="116"/>
      <c r="N1025" s="116"/>
      <c r="O1025" s="116"/>
      <c r="P1025" s="116"/>
    </row>
    <row r="1026" spans="2:16" s="108" customFormat="1" ht="21.75" hidden="1" customHeight="1">
      <c r="B1026" s="109"/>
      <c r="C1026" s="122"/>
      <c r="D1026" s="111" t="s">
        <v>912</v>
      </c>
      <c r="E1026" s="524">
        <f>+E1027</f>
        <v>175000000</v>
      </c>
      <c r="F1026" s="115">
        <v>32261136567.290001</v>
      </c>
      <c r="G1026" s="126">
        <f t="shared" si="19"/>
        <v>0.54244834069930081</v>
      </c>
      <c r="H1026" s="120"/>
      <c r="I1026" s="120"/>
      <c r="J1026" s="116"/>
      <c r="K1026" s="116"/>
      <c r="L1026" s="116"/>
      <c r="M1026" s="116"/>
      <c r="N1026" s="116"/>
      <c r="O1026" s="116"/>
      <c r="P1026" s="116"/>
    </row>
    <row r="1027" spans="2:16" s="108" customFormat="1" ht="21.75" hidden="1" customHeight="1">
      <c r="B1027" s="109"/>
      <c r="C1027" s="122"/>
      <c r="D1027" s="123" t="s">
        <v>913</v>
      </c>
      <c r="E1027" s="511">
        <v>175000000</v>
      </c>
      <c r="F1027" s="115">
        <v>32261136567.290001</v>
      </c>
      <c r="G1027" s="126">
        <f t="shared" si="19"/>
        <v>0.54244834069930081</v>
      </c>
      <c r="H1027" s="120"/>
      <c r="I1027" s="120"/>
      <c r="J1027" s="116"/>
      <c r="K1027" s="116"/>
      <c r="L1027" s="116"/>
      <c r="M1027" s="116"/>
      <c r="N1027" s="116"/>
      <c r="O1027" s="116"/>
      <c r="P1027" s="116"/>
    </row>
    <row r="1028" spans="2:16" s="108" customFormat="1" ht="21.75" hidden="1" customHeight="1">
      <c r="B1028" s="109"/>
      <c r="C1028" s="122"/>
      <c r="D1028" s="111" t="s">
        <v>914</v>
      </c>
      <c r="E1028" s="524">
        <f>SUM(E1029:E1034)</f>
        <v>941500000</v>
      </c>
      <c r="F1028" s="115">
        <v>32261136567.290001</v>
      </c>
      <c r="G1028" s="126">
        <f t="shared" si="19"/>
        <v>2.9183720729622387</v>
      </c>
      <c r="H1028" s="120"/>
      <c r="I1028" s="120"/>
      <c r="J1028" s="116"/>
      <c r="K1028" s="116"/>
      <c r="L1028" s="116"/>
      <c r="M1028" s="116"/>
      <c r="N1028" s="116"/>
      <c r="O1028" s="116"/>
      <c r="P1028" s="116"/>
    </row>
    <row r="1029" spans="2:16" s="108" customFormat="1" ht="21.75" hidden="1" customHeight="1">
      <c r="B1029" s="109"/>
      <c r="C1029" s="122"/>
      <c r="D1029" s="123" t="s">
        <v>915</v>
      </c>
      <c r="E1029" s="511">
        <v>200000000</v>
      </c>
      <c r="F1029" s="115">
        <v>32261136567.290001</v>
      </c>
      <c r="G1029" s="126">
        <f t="shared" si="19"/>
        <v>0.61994096079920091</v>
      </c>
      <c r="H1029" s="120"/>
      <c r="I1029" s="120"/>
      <c r="J1029" s="116"/>
      <c r="K1029" s="116"/>
      <c r="L1029" s="116"/>
      <c r="M1029" s="116"/>
      <c r="N1029" s="116"/>
      <c r="O1029" s="116"/>
      <c r="P1029" s="116"/>
    </row>
    <row r="1030" spans="2:16" s="108" customFormat="1" ht="21.75" hidden="1" customHeight="1">
      <c r="B1030" s="109"/>
      <c r="C1030" s="122"/>
      <c r="D1030" s="123" t="s">
        <v>916</v>
      </c>
      <c r="E1030" s="511">
        <v>100000000</v>
      </c>
      <c r="F1030" s="115">
        <v>32261136567.290001</v>
      </c>
      <c r="G1030" s="126">
        <f t="shared" si="19"/>
        <v>0.30997048039960046</v>
      </c>
      <c r="H1030" s="120"/>
      <c r="I1030" s="120"/>
      <c r="J1030" s="116"/>
      <c r="K1030" s="116"/>
      <c r="L1030" s="116"/>
      <c r="M1030" s="116"/>
      <c r="N1030" s="116"/>
      <c r="O1030" s="116"/>
      <c r="P1030" s="116"/>
    </row>
    <row r="1031" spans="2:16" s="108" customFormat="1" ht="21.75" hidden="1" customHeight="1">
      <c r="B1031" s="109"/>
      <c r="C1031" s="122"/>
      <c r="D1031" s="123" t="s">
        <v>917</v>
      </c>
      <c r="E1031" s="511">
        <v>124600000</v>
      </c>
      <c r="F1031" s="115">
        <v>32261136567.290001</v>
      </c>
      <c r="G1031" s="126">
        <f t="shared" si="19"/>
        <v>0.38622321857790221</v>
      </c>
      <c r="H1031" s="120"/>
      <c r="I1031" s="120"/>
      <c r="J1031" s="116"/>
      <c r="K1031" s="116"/>
      <c r="L1031" s="116"/>
      <c r="M1031" s="116"/>
      <c r="N1031" s="116"/>
      <c r="O1031" s="116"/>
      <c r="P1031" s="116"/>
    </row>
    <row r="1032" spans="2:16" s="108" customFormat="1" ht="21.75" hidden="1" customHeight="1">
      <c r="B1032" s="109"/>
      <c r="C1032" s="122"/>
      <c r="D1032" s="123" t="s">
        <v>918</v>
      </c>
      <c r="E1032" s="511">
        <v>117600000</v>
      </c>
      <c r="F1032" s="115">
        <v>32261136567.290001</v>
      </c>
      <c r="G1032" s="126">
        <f t="shared" si="19"/>
        <v>0.3645252849499302</v>
      </c>
      <c r="H1032" s="120"/>
      <c r="I1032" s="120"/>
      <c r="J1032" s="116"/>
      <c r="K1032" s="116"/>
      <c r="L1032" s="116"/>
      <c r="M1032" s="116"/>
      <c r="N1032" s="116"/>
      <c r="O1032" s="116"/>
      <c r="P1032" s="116"/>
    </row>
    <row r="1033" spans="2:16" s="108" customFormat="1" ht="21.75" hidden="1" customHeight="1">
      <c r="B1033" s="109"/>
      <c r="C1033" s="122"/>
      <c r="D1033" s="123" t="s">
        <v>919</v>
      </c>
      <c r="E1033" s="511">
        <v>200000000</v>
      </c>
      <c r="F1033" s="115">
        <v>32261136567.290001</v>
      </c>
      <c r="G1033" s="126">
        <f t="shared" si="19"/>
        <v>0.61994096079920091</v>
      </c>
      <c r="H1033" s="120"/>
      <c r="I1033" s="120"/>
      <c r="J1033" s="116"/>
      <c r="K1033" s="116"/>
      <c r="L1033" s="116"/>
      <c r="M1033" s="116"/>
      <c r="N1033" s="116"/>
      <c r="O1033" s="116"/>
      <c r="P1033" s="116"/>
    </row>
    <row r="1034" spans="2:16" s="108" customFormat="1" ht="35.25" hidden="1" customHeight="1">
      <c r="B1034" s="109"/>
      <c r="C1034" s="122"/>
      <c r="D1034" s="123" t="s">
        <v>920</v>
      </c>
      <c r="E1034" s="511">
        <v>199300000</v>
      </c>
      <c r="F1034" s="115">
        <v>32261136567.290001</v>
      </c>
      <c r="G1034" s="126">
        <f t="shared" si="19"/>
        <v>0.6177711674364037</v>
      </c>
      <c r="H1034" s="120"/>
      <c r="I1034" s="120"/>
      <c r="J1034" s="116"/>
      <c r="K1034" s="116"/>
      <c r="L1034" s="116"/>
      <c r="M1034" s="116"/>
      <c r="N1034" s="116"/>
      <c r="O1034" s="116"/>
      <c r="P1034" s="116"/>
    </row>
    <row r="1035" spans="2:16" s="108" customFormat="1" ht="21.75" hidden="1" customHeight="1">
      <c r="B1035" s="109"/>
      <c r="C1035" s="122"/>
      <c r="D1035" s="111" t="s">
        <v>310</v>
      </c>
      <c r="E1035" s="524">
        <f>+E1036</f>
        <v>300000000</v>
      </c>
      <c r="F1035" s="115">
        <v>32261136567.290001</v>
      </c>
      <c r="G1035" s="126">
        <f t="shared" si="19"/>
        <v>0.92991144119880154</v>
      </c>
      <c r="H1035" s="120"/>
      <c r="I1035" s="120"/>
      <c r="J1035" s="116"/>
      <c r="K1035" s="116"/>
      <c r="L1035" s="116"/>
      <c r="M1035" s="116"/>
      <c r="N1035" s="116"/>
      <c r="O1035" s="116"/>
      <c r="P1035" s="116"/>
    </row>
    <row r="1036" spans="2:16" s="108" customFormat="1" ht="21.75" hidden="1" customHeight="1">
      <c r="B1036" s="109"/>
      <c r="C1036" s="122"/>
      <c r="D1036" s="123" t="s">
        <v>921</v>
      </c>
      <c r="E1036" s="511">
        <v>300000000</v>
      </c>
      <c r="F1036" s="115">
        <v>32261136567.290001</v>
      </c>
      <c r="G1036" s="126">
        <f t="shared" si="19"/>
        <v>0.92991144119880154</v>
      </c>
      <c r="H1036" s="120"/>
      <c r="I1036" s="120"/>
      <c r="J1036" s="116"/>
      <c r="K1036" s="116"/>
      <c r="L1036" s="116"/>
      <c r="M1036" s="116"/>
      <c r="N1036" s="116"/>
      <c r="O1036" s="116"/>
      <c r="P1036" s="116"/>
    </row>
    <row r="1037" spans="2:16" s="108" customFormat="1" ht="21.75" hidden="1" customHeight="1">
      <c r="B1037" s="109"/>
      <c r="C1037" s="122"/>
      <c r="D1037" s="111" t="s">
        <v>317</v>
      </c>
      <c r="E1037" s="524">
        <f>+E1038</f>
        <v>100000000</v>
      </c>
      <c r="F1037" s="115">
        <v>32261136567.290001</v>
      </c>
      <c r="G1037" s="126">
        <f t="shared" si="19"/>
        <v>0.30997048039960046</v>
      </c>
      <c r="H1037" s="120"/>
      <c r="I1037" s="120"/>
      <c r="J1037" s="116"/>
      <c r="K1037" s="116"/>
      <c r="L1037" s="116"/>
      <c r="M1037" s="116"/>
      <c r="N1037" s="116"/>
      <c r="O1037" s="116"/>
      <c r="P1037" s="116"/>
    </row>
    <row r="1038" spans="2:16" s="108" customFormat="1" ht="21.75" hidden="1" customHeight="1">
      <c r="B1038" s="109"/>
      <c r="C1038" s="122"/>
      <c r="D1038" s="123" t="s">
        <v>318</v>
      </c>
      <c r="E1038" s="511">
        <v>100000000</v>
      </c>
      <c r="F1038" s="115">
        <v>32261136567.290001</v>
      </c>
      <c r="G1038" s="126">
        <f t="shared" si="19"/>
        <v>0.30997048039960046</v>
      </c>
      <c r="H1038" s="120"/>
      <c r="I1038" s="120"/>
      <c r="J1038" s="116"/>
      <c r="K1038" s="116"/>
      <c r="L1038" s="116"/>
      <c r="M1038" s="116"/>
      <c r="N1038" s="116"/>
      <c r="O1038" s="116"/>
      <c r="P1038" s="116"/>
    </row>
    <row r="1039" spans="2:16" s="108" customFormat="1" ht="21.75" hidden="1" customHeight="1">
      <c r="B1039" s="109"/>
      <c r="C1039" s="122"/>
      <c r="D1039" s="111" t="s">
        <v>321</v>
      </c>
      <c r="E1039" s="524">
        <f>SUM(E1040:E1041)</f>
        <v>250000000</v>
      </c>
      <c r="F1039" s="115">
        <v>32261136567.290001</v>
      </c>
      <c r="G1039" s="126">
        <f t="shared" si="19"/>
        <v>0.77492620099900122</v>
      </c>
      <c r="H1039" s="120"/>
      <c r="I1039" s="120"/>
      <c r="J1039" s="116"/>
      <c r="K1039" s="116"/>
      <c r="L1039" s="116"/>
      <c r="M1039" s="116"/>
      <c r="N1039" s="116"/>
      <c r="O1039" s="116"/>
      <c r="P1039" s="116"/>
    </row>
    <row r="1040" spans="2:16" s="108" customFormat="1" ht="21.75" hidden="1" customHeight="1">
      <c r="B1040" s="109"/>
      <c r="C1040" s="122"/>
      <c r="D1040" s="123" t="s">
        <v>472</v>
      </c>
      <c r="E1040" s="511">
        <v>145000000</v>
      </c>
      <c r="F1040" s="115">
        <v>32261136567.290001</v>
      </c>
      <c r="G1040" s="126">
        <f t="shared" si="19"/>
        <v>0.44945719657942068</v>
      </c>
      <c r="H1040" s="120"/>
      <c r="I1040" s="120"/>
      <c r="J1040" s="116"/>
      <c r="K1040" s="116"/>
      <c r="L1040" s="116"/>
      <c r="M1040" s="116"/>
      <c r="N1040" s="116"/>
      <c r="O1040" s="116"/>
      <c r="P1040" s="116"/>
    </row>
    <row r="1041" spans="2:16" s="108" customFormat="1" ht="21.75" hidden="1" customHeight="1">
      <c r="B1041" s="109"/>
      <c r="C1041" s="122"/>
      <c r="D1041" s="123" t="s">
        <v>922</v>
      </c>
      <c r="E1041" s="511">
        <v>105000000</v>
      </c>
      <c r="F1041" s="115">
        <v>32261136567.290001</v>
      </c>
      <c r="G1041" s="126">
        <f t="shared" si="19"/>
        <v>0.32546900441958054</v>
      </c>
      <c r="H1041" s="120"/>
      <c r="I1041" s="120"/>
      <c r="J1041" s="116"/>
      <c r="K1041" s="116"/>
      <c r="L1041" s="116"/>
      <c r="M1041" s="116"/>
      <c r="N1041" s="116"/>
      <c r="O1041" s="116"/>
      <c r="P1041" s="116"/>
    </row>
    <row r="1042" spans="2:16" s="108" customFormat="1" ht="21.75" hidden="1" customHeight="1">
      <c r="B1042" s="109"/>
      <c r="C1042" s="122"/>
      <c r="D1042" s="111" t="s">
        <v>923</v>
      </c>
      <c r="E1042" s="524">
        <f>+E1043</f>
        <v>233500000</v>
      </c>
      <c r="F1042" s="115">
        <v>32261136567.290001</v>
      </c>
      <c r="G1042" s="126">
        <f t="shared" si="19"/>
        <v>0.72378107173306716</v>
      </c>
      <c r="H1042" s="120"/>
      <c r="I1042" s="120"/>
      <c r="J1042" s="116"/>
      <c r="K1042" s="116"/>
      <c r="L1042" s="116"/>
      <c r="M1042" s="116"/>
      <c r="N1042" s="116"/>
      <c r="O1042" s="116"/>
      <c r="P1042" s="116"/>
    </row>
    <row r="1043" spans="2:16" s="108" customFormat="1" ht="21.75" hidden="1" customHeight="1">
      <c r="B1043" s="109"/>
      <c r="C1043" s="122"/>
      <c r="D1043" s="123" t="s">
        <v>924</v>
      </c>
      <c r="E1043" s="511">
        <v>233500000</v>
      </c>
      <c r="F1043" s="115">
        <v>32261136567.290001</v>
      </c>
      <c r="G1043" s="126">
        <f t="shared" si="19"/>
        <v>0.72378107173306716</v>
      </c>
      <c r="H1043" s="120"/>
      <c r="I1043" s="120"/>
      <c r="J1043" s="116"/>
      <c r="K1043" s="116"/>
      <c r="L1043" s="116"/>
      <c r="M1043" s="116"/>
      <c r="N1043" s="116"/>
      <c r="O1043" s="116"/>
      <c r="P1043" s="116"/>
    </row>
    <row r="1044" spans="2:16" s="108" customFormat="1" ht="15" hidden="1" customHeight="1">
      <c r="B1044" s="109"/>
      <c r="C1044" s="122"/>
      <c r="D1044" s="123"/>
      <c r="E1044" s="125"/>
      <c r="F1044" s="134"/>
      <c r="G1044" s="126"/>
      <c r="H1044" s="120"/>
      <c r="I1044" s="120"/>
      <c r="J1044" s="116"/>
      <c r="K1044" s="116"/>
      <c r="L1044" s="116"/>
      <c r="M1044" s="116"/>
      <c r="N1044" s="116"/>
      <c r="O1044" s="116"/>
      <c r="P1044" s="116"/>
    </row>
    <row r="1045" spans="2:16" s="117" customFormat="1" ht="21.75" hidden="1" customHeight="1">
      <c r="B1045" s="118"/>
      <c r="C1045" s="110" t="s">
        <v>925</v>
      </c>
      <c r="D1045" s="111" t="s">
        <v>926</v>
      </c>
      <c r="E1045" s="129">
        <v>64189783336.760002</v>
      </c>
      <c r="F1045" s="114">
        <v>1557405258400.0002</v>
      </c>
      <c r="G1045" s="127">
        <f>+E1045/F1045*100</f>
        <v>4.1215851166898823</v>
      </c>
      <c r="H1045" s="120"/>
      <c r="I1045" s="120"/>
      <c r="J1045" s="121"/>
      <c r="K1045" s="121"/>
      <c r="L1045" s="121"/>
      <c r="M1045" s="121"/>
      <c r="N1045" s="121"/>
      <c r="O1045" s="121"/>
      <c r="P1045" s="121"/>
    </row>
    <row r="1046" spans="2:16" s="108" customFormat="1" ht="21.75" hidden="1" customHeight="1">
      <c r="B1046" s="109"/>
      <c r="C1046" s="122"/>
      <c r="D1046" s="111" t="s">
        <v>444</v>
      </c>
      <c r="E1046" s="250">
        <f>E1047+E1050+E1052+E1060</f>
        <v>11540890604</v>
      </c>
      <c r="F1046" s="147">
        <v>64189783336.760002</v>
      </c>
      <c r="G1046" s="126">
        <f>+E1046/F1046*100</f>
        <v>17.979326310314555</v>
      </c>
      <c r="H1046" s="120"/>
      <c r="I1046" s="120"/>
      <c r="J1046" s="116"/>
      <c r="K1046" s="116"/>
      <c r="L1046" s="116"/>
      <c r="M1046" s="116"/>
      <c r="N1046" s="116"/>
      <c r="O1046" s="116"/>
      <c r="P1046" s="116"/>
    </row>
    <row r="1047" spans="2:16" s="108" customFormat="1" ht="21.75" hidden="1" customHeight="1">
      <c r="B1047" s="109"/>
      <c r="C1047" s="122"/>
      <c r="D1047" s="111" t="s">
        <v>388</v>
      </c>
      <c r="E1047" s="250">
        <f>E1048+E1049</f>
        <v>624000000</v>
      </c>
      <c r="F1047" s="147">
        <v>64189783336.760002</v>
      </c>
      <c r="G1047" s="126">
        <f t="shared" ref="G1047:G1117" si="20">+E1047/F1047*100</f>
        <v>0.97211731768324827</v>
      </c>
      <c r="H1047" s="120"/>
      <c r="I1047" s="120"/>
      <c r="J1047" s="116"/>
      <c r="K1047" s="116"/>
      <c r="L1047" s="116"/>
      <c r="M1047" s="116"/>
      <c r="N1047" s="116"/>
      <c r="O1047" s="116"/>
      <c r="P1047" s="116"/>
    </row>
    <row r="1048" spans="2:16" s="108" customFormat="1" ht="21.75" hidden="1" customHeight="1">
      <c r="B1048" s="109"/>
      <c r="C1048" s="122"/>
      <c r="D1048" s="123" t="s">
        <v>927</v>
      </c>
      <c r="E1048" s="696">
        <v>500000000</v>
      </c>
      <c r="F1048" s="147">
        <v>64189783336.760002</v>
      </c>
      <c r="G1048" s="126">
        <f t="shared" si="20"/>
        <v>0.77894015840003872</v>
      </c>
      <c r="H1048" s="120"/>
      <c r="I1048" s="120"/>
      <c r="J1048" s="116"/>
      <c r="K1048" s="116"/>
      <c r="L1048" s="116"/>
      <c r="M1048" s="116"/>
      <c r="N1048" s="116"/>
      <c r="O1048" s="116"/>
      <c r="P1048" s="116"/>
    </row>
    <row r="1049" spans="2:16" s="108" customFormat="1" ht="35.25" hidden="1" customHeight="1">
      <c r="B1049" s="109"/>
      <c r="C1049" s="122"/>
      <c r="D1049" s="123" t="s">
        <v>928</v>
      </c>
      <c r="E1049" s="696">
        <v>124000000</v>
      </c>
      <c r="F1049" s="147">
        <v>64189783336.760002</v>
      </c>
      <c r="G1049" s="126">
        <f t="shared" si="20"/>
        <v>0.19317715928320961</v>
      </c>
      <c r="H1049" s="120"/>
      <c r="I1049" s="120"/>
      <c r="J1049" s="116"/>
      <c r="K1049" s="116"/>
      <c r="L1049" s="116"/>
      <c r="M1049" s="116"/>
      <c r="N1049" s="116"/>
      <c r="O1049" s="116"/>
      <c r="P1049" s="116"/>
    </row>
    <row r="1050" spans="2:16" s="108" customFormat="1" ht="21.75" hidden="1" customHeight="1">
      <c r="B1050" s="109"/>
      <c r="C1050" s="122"/>
      <c r="D1050" s="111" t="s">
        <v>106</v>
      </c>
      <c r="E1050" s="250">
        <f>E1051</f>
        <v>200000000</v>
      </c>
      <c r="F1050" s="147">
        <v>64189783336.760002</v>
      </c>
      <c r="G1050" s="126">
        <f t="shared" si="20"/>
        <v>0.31157606336001548</v>
      </c>
      <c r="H1050" s="120"/>
      <c r="I1050" s="120"/>
      <c r="J1050" s="116"/>
      <c r="K1050" s="116"/>
      <c r="L1050" s="116"/>
      <c r="M1050" s="116"/>
      <c r="N1050" s="116"/>
      <c r="O1050" s="116"/>
      <c r="P1050" s="116"/>
    </row>
    <row r="1051" spans="2:16" s="108" customFormat="1" ht="35.25" hidden="1" customHeight="1">
      <c r="B1051" s="109"/>
      <c r="C1051" s="122"/>
      <c r="D1051" s="123" t="s">
        <v>929</v>
      </c>
      <c r="E1051" s="696">
        <v>200000000</v>
      </c>
      <c r="F1051" s="147">
        <v>64189783336.760002</v>
      </c>
      <c r="G1051" s="126">
        <f t="shared" si="20"/>
        <v>0.31157606336001548</v>
      </c>
      <c r="H1051" s="120"/>
      <c r="I1051" s="120"/>
      <c r="J1051" s="116"/>
      <c r="K1051" s="116"/>
      <c r="L1051" s="116"/>
      <c r="M1051" s="116"/>
      <c r="N1051" s="116"/>
      <c r="O1051" s="116"/>
      <c r="P1051" s="116"/>
    </row>
    <row r="1052" spans="2:16" s="108" customFormat="1" ht="21.75" hidden="1" customHeight="1">
      <c r="B1052" s="109"/>
      <c r="C1052" s="122"/>
      <c r="D1052" s="111" t="s">
        <v>930</v>
      </c>
      <c r="E1052" s="250">
        <f>SUM(E1053:E1059)</f>
        <v>2499412802</v>
      </c>
      <c r="F1052" s="147">
        <v>64189783336.760002</v>
      </c>
      <c r="G1052" s="126">
        <f t="shared" si="20"/>
        <v>3.893786007793929</v>
      </c>
      <c r="H1052" s="120"/>
      <c r="I1052" s="120"/>
      <c r="J1052" s="116"/>
      <c r="K1052" s="116"/>
      <c r="L1052" s="116"/>
      <c r="M1052" s="116"/>
      <c r="N1052" s="116"/>
      <c r="O1052" s="116"/>
      <c r="P1052" s="116"/>
    </row>
    <row r="1053" spans="2:16" s="108" customFormat="1" ht="21.75" hidden="1" customHeight="1">
      <c r="B1053" s="109"/>
      <c r="C1053" s="122"/>
      <c r="D1053" s="123" t="s">
        <v>931</v>
      </c>
      <c r="E1053" s="696">
        <v>210000000</v>
      </c>
      <c r="F1053" s="147">
        <v>64189783336.760002</v>
      </c>
      <c r="G1053" s="126">
        <f t="shared" si="20"/>
        <v>0.32715486652801623</v>
      </c>
      <c r="H1053" s="120"/>
      <c r="I1053" s="120"/>
      <c r="J1053" s="116"/>
      <c r="K1053" s="116"/>
      <c r="L1053" s="116"/>
      <c r="M1053" s="116"/>
      <c r="N1053" s="116"/>
      <c r="O1053" s="116"/>
      <c r="P1053" s="116"/>
    </row>
    <row r="1054" spans="2:16" s="108" customFormat="1" ht="21.75" hidden="1" customHeight="1">
      <c r="B1054" s="109"/>
      <c r="C1054" s="122"/>
      <c r="D1054" s="123" t="s">
        <v>932</v>
      </c>
      <c r="E1054" s="696">
        <v>198435000</v>
      </c>
      <c r="F1054" s="147">
        <v>64189783336.760002</v>
      </c>
      <c r="G1054" s="126">
        <f t="shared" si="20"/>
        <v>0.30913798066422332</v>
      </c>
      <c r="H1054" s="120"/>
      <c r="I1054" s="120"/>
      <c r="J1054" s="116"/>
      <c r="K1054" s="116"/>
      <c r="L1054" s="116"/>
      <c r="M1054" s="116"/>
      <c r="N1054" s="116"/>
      <c r="O1054" s="116"/>
      <c r="P1054" s="116"/>
    </row>
    <row r="1055" spans="2:16" s="108" customFormat="1" ht="35.25" hidden="1" customHeight="1">
      <c r="B1055" s="109"/>
      <c r="C1055" s="122"/>
      <c r="D1055" s="123" t="s">
        <v>933</v>
      </c>
      <c r="E1055" s="696">
        <v>366500000</v>
      </c>
      <c r="F1055" s="147">
        <v>64189783336.760002</v>
      </c>
      <c r="G1055" s="126">
        <f t="shared" si="20"/>
        <v>0.57096313610722838</v>
      </c>
      <c r="H1055" s="120"/>
      <c r="I1055" s="120"/>
      <c r="J1055" s="116"/>
      <c r="K1055" s="116"/>
      <c r="L1055" s="116"/>
      <c r="M1055" s="116"/>
      <c r="N1055" s="116"/>
      <c r="O1055" s="116"/>
      <c r="P1055" s="116"/>
    </row>
    <row r="1056" spans="2:16" s="108" customFormat="1" ht="32.25" hidden="1" customHeight="1">
      <c r="B1056" s="109"/>
      <c r="C1056" s="122"/>
      <c r="D1056" s="123" t="s">
        <v>934</v>
      </c>
      <c r="E1056" s="696">
        <v>225000000</v>
      </c>
      <c r="F1056" s="147">
        <v>64189783336.760002</v>
      </c>
      <c r="G1056" s="126">
        <f t="shared" si="20"/>
        <v>0.35052307128001742</v>
      </c>
      <c r="H1056" s="120"/>
      <c r="I1056" s="120"/>
      <c r="J1056" s="116"/>
      <c r="K1056" s="116"/>
      <c r="L1056" s="116"/>
      <c r="M1056" s="116"/>
      <c r="N1056" s="116"/>
      <c r="O1056" s="116"/>
      <c r="P1056" s="116"/>
    </row>
    <row r="1057" spans="2:16" s="108" customFormat="1" ht="35.25" hidden="1" customHeight="1">
      <c r="B1057" s="109"/>
      <c r="C1057" s="122"/>
      <c r="D1057" s="123" t="s">
        <v>935</v>
      </c>
      <c r="E1057" s="696">
        <v>300000000</v>
      </c>
      <c r="F1057" s="147">
        <v>64189783336.760002</v>
      </c>
      <c r="G1057" s="126">
        <f t="shared" si="20"/>
        <v>0.46736409504002324</v>
      </c>
      <c r="H1057" s="120"/>
      <c r="I1057" s="120"/>
      <c r="J1057" s="116"/>
      <c r="K1057" s="116"/>
      <c r="L1057" s="116"/>
      <c r="M1057" s="116"/>
      <c r="N1057" s="116"/>
      <c r="O1057" s="116"/>
      <c r="P1057" s="116"/>
    </row>
    <row r="1058" spans="2:16" s="108" customFormat="1" ht="35.25" hidden="1" customHeight="1">
      <c r="B1058" s="109"/>
      <c r="C1058" s="122"/>
      <c r="D1058" s="123" t="s">
        <v>936</v>
      </c>
      <c r="E1058" s="696">
        <v>210000000</v>
      </c>
      <c r="F1058" s="147">
        <v>64189783336.760002</v>
      </c>
      <c r="G1058" s="126">
        <f t="shared" si="20"/>
        <v>0.32715486652801623</v>
      </c>
      <c r="H1058" s="120"/>
      <c r="I1058" s="120"/>
      <c r="J1058" s="116"/>
      <c r="K1058" s="116"/>
      <c r="L1058" s="116"/>
      <c r="M1058" s="116"/>
      <c r="N1058" s="116"/>
      <c r="O1058" s="116"/>
      <c r="P1058" s="116"/>
    </row>
    <row r="1059" spans="2:16" s="108" customFormat="1" ht="21.75" hidden="1" customHeight="1">
      <c r="B1059" s="109"/>
      <c r="C1059" s="122"/>
      <c r="D1059" s="123" t="s">
        <v>937</v>
      </c>
      <c r="E1059" s="696">
        <v>989477802</v>
      </c>
      <c r="F1059" s="147">
        <v>64189783336.760002</v>
      </c>
      <c r="G1059" s="126">
        <f t="shared" si="20"/>
        <v>1.5414879916464044</v>
      </c>
      <c r="H1059" s="120"/>
      <c r="I1059" s="120"/>
      <c r="J1059" s="116"/>
      <c r="K1059" s="116"/>
      <c r="L1059" s="116"/>
      <c r="M1059" s="116"/>
      <c r="N1059" s="116"/>
      <c r="O1059" s="116"/>
      <c r="P1059" s="116"/>
    </row>
    <row r="1060" spans="2:16" s="108" customFormat="1" ht="21.75" hidden="1" customHeight="1">
      <c r="B1060" s="109"/>
      <c r="C1060" s="122"/>
      <c r="D1060" s="111" t="s">
        <v>938</v>
      </c>
      <c r="E1060" s="250">
        <f>SUM(E1061:E1068)</f>
        <v>8217477802</v>
      </c>
      <c r="F1060" s="147">
        <v>64189783336.760002</v>
      </c>
      <c r="G1060" s="126">
        <f t="shared" si="20"/>
        <v>12.801846921477363</v>
      </c>
      <c r="H1060" s="120"/>
      <c r="I1060" s="120"/>
      <c r="J1060" s="116"/>
      <c r="K1060" s="116"/>
      <c r="L1060" s="116"/>
      <c r="M1060" s="116"/>
      <c r="N1060" s="116"/>
      <c r="O1060" s="116"/>
      <c r="P1060" s="116"/>
    </row>
    <row r="1061" spans="2:16" s="108" customFormat="1" ht="21.75" hidden="1" customHeight="1">
      <c r="B1061" s="109"/>
      <c r="C1061" s="122"/>
      <c r="D1061" s="123" t="s">
        <v>939</v>
      </c>
      <c r="E1061" s="696">
        <v>4008000000</v>
      </c>
      <c r="F1061" s="147">
        <v>64189783336.760002</v>
      </c>
      <c r="G1061" s="126">
        <f t="shared" si="20"/>
        <v>6.2439843097347101</v>
      </c>
      <c r="H1061" s="120"/>
      <c r="I1061" s="120"/>
      <c r="J1061" s="116"/>
      <c r="K1061" s="116"/>
      <c r="L1061" s="116"/>
      <c r="M1061" s="116"/>
      <c r="N1061" s="116"/>
      <c r="O1061" s="116"/>
      <c r="P1061" s="116"/>
    </row>
    <row r="1062" spans="2:16" s="108" customFormat="1" ht="21.75" hidden="1" customHeight="1">
      <c r="B1062" s="109"/>
      <c r="C1062" s="122"/>
      <c r="D1062" s="123" t="s">
        <v>931</v>
      </c>
      <c r="E1062" s="696">
        <v>210000000</v>
      </c>
      <c r="F1062" s="147">
        <v>64189783336.760002</v>
      </c>
      <c r="G1062" s="126">
        <f t="shared" si="20"/>
        <v>0.32715486652801623</v>
      </c>
      <c r="H1062" s="120"/>
      <c r="I1062" s="120"/>
      <c r="J1062" s="116"/>
      <c r="K1062" s="116"/>
      <c r="L1062" s="116"/>
      <c r="M1062" s="116"/>
      <c r="N1062" s="116"/>
      <c r="O1062" s="116"/>
      <c r="P1062" s="116"/>
    </row>
    <row r="1063" spans="2:16" s="108" customFormat="1" ht="35.25" hidden="1" customHeight="1">
      <c r="B1063" s="109"/>
      <c r="C1063" s="122"/>
      <c r="D1063" s="123" t="s">
        <v>940</v>
      </c>
      <c r="E1063" s="696">
        <v>500000000</v>
      </c>
      <c r="F1063" s="147">
        <v>64189783336.760002</v>
      </c>
      <c r="G1063" s="126">
        <f t="shared" si="20"/>
        <v>0.77894015840003872</v>
      </c>
      <c r="H1063" s="120"/>
      <c r="I1063" s="120"/>
      <c r="J1063" s="116"/>
      <c r="K1063" s="116"/>
      <c r="L1063" s="116"/>
      <c r="M1063" s="116"/>
      <c r="N1063" s="116"/>
      <c r="O1063" s="116"/>
      <c r="P1063" s="116"/>
    </row>
    <row r="1064" spans="2:16" s="108" customFormat="1" ht="35.25" hidden="1" customHeight="1">
      <c r="B1064" s="109"/>
      <c r="C1064" s="122"/>
      <c r="D1064" s="123" t="s">
        <v>941</v>
      </c>
      <c r="E1064" s="696">
        <v>300000000</v>
      </c>
      <c r="F1064" s="147">
        <v>64189783336.760002</v>
      </c>
      <c r="G1064" s="126">
        <f t="shared" si="20"/>
        <v>0.46736409504002324</v>
      </c>
      <c r="H1064" s="120"/>
      <c r="I1064" s="120"/>
      <c r="J1064" s="116"/>
      <c r="K1064" s="116"/>
      <c r="L1064" s="116"/>
      <c r="M1064" s="116"/>
      <c r="N1064" s="116"/>
      <c r="O1064" s="116"/>
      <c r="P1064" s="116"/>
    </row>
    <row r="1065" spans="2:16" s="108" customFormat="1" ht="21.75" hidden="1" customHeight="1">
      <c r="B1065" s="109"/>
      <c r="C1065" s="122"/>
      <c r="D1065" s="123" t="s">
        <v>942</v>
      </c>
      <c r="E1065" s="696">
        <v>1000000000</v>
      </c>
      <c r="F1065" s="147">
        <v>64189783336.760002</v>
      </c>
      <c r="G1065" s="126">
        <f t="shared" si="20"/>
        <v>1.5578803168000774</v>
      </c>
      <c r="H1065" s="120"/>
      <c r="I1065" s="120"/>
      <c r="J1065" s="116"/>
      <c r="K1065" s="116"/>
      <c r="L1065" s="116"/>
      <c r="M1065" s="116"/>
      <c r="N1065" s="116"/>
      <c r="O1065" s="116"/>
      <c r="P1065" s="116"/>
    </row>
    <row r="1066" spans="2:16" s="108" customFormat="1" ht="35.25" hidden="1" customHeight="1">
      <c r="B1066" s="109"/>
      <c r="C1066" s="122"/>
      <c r="D1066" s="123" t="s">
        <v>936</v>
      </c>
      <c r="E1066" s="696">
        <v>210000000</v>
      </c>
      <c r="F1066" s="147">
        <v>64189783336.760002</v>
      </c>
      <c r="G1066" s="126">
        <f t="shared" si="20"/>
        <v>0.32715486652801623</v>
      </c>
      <c r="H1066" s="120"/>
      <c r="I1066" s="120"/>
      <c r="J1066" s="116"/>
      <c r="K1066" s="116"/>
      <c r="L1066" s="116"/>
      <c r="M1066" s="116"/>
      <c r="N1066" s="116"/>
      <c r="O1066" s="116"/>
      <c r="P1066" s="116"/>
    </row>
    <row r="1067" spans="2:16" s="108" customFormat="1" ht="21.75" hidden="1" customHeight="1">
      <c r="B1067" s="109"/>
      <c r="C1067" s="122"/>
      <c r="D1067" s="123" t="s">
        <v>943</v>
      </c>
      <c r="E1067" s="696">
        <v>1000000000</v>
      </c>
      <c r="F1067" s="147">
        <v>64189783336.760002</v>
      </c>
      <c r="G1067" s="126">
        <f t="shared" si="20"/>
        <v>1.5578803168000774</v>
      </c>
      <c r="H1067" s="120"/>
      <c r="I1067" s="120"/>
      <c r="J1067" s="116"/>
      <c r="K1067" s="116"/>
      <c r="L1067" s="116"/>
      <c r="M1067" s="116"/>
      <c r="N1067" s="116"/>
      <c r="O1067" s="116"/>
      <c r="P1067" s="116"/>
    </row>
    <row r="1068" spans="2:16" s="108" customFormat="1" ht="21.75" hidden="1" customHeight="1">
      <c r="B1068" s="109"/>
      <c r="C1068" s="122"/>
      <c r="D1068" s="123" t="s">
        <v>937</v>
      </c>
      <c r="E1068" s="696">
        <v>989477802</v>
      </c>
      <c r="F1068" s="147">
        <v>64189783336.760002</v>
      </c>
      <c r="G1068" s="126">
        <f t="shared" si="20"/>
        <v>1.5414879916464044</v>
      </c>
      <c r="H1068" s="120"/>
      <c r="I1068" s="120"/>
      <c r="J1068" s="116"/>
      <c r="K1068" s="116"/>
      <c r="L1068" s="116"/>
      <c r="M1068" s="116"/>
      <c r="N1068" s="116"/>
      <c r="O1068" s="116"/>
      <c r="P1068" s="116"/>
    </row>
    <row r="1069" spans="2:16" s="108" customFormat="1" ht="15" hidden="1" customHeight="1">
      <c r="B1069" s="109"/>
      <c r="C1069" s="122"/>
      <c r="D1069" s="123"/>
      <c r="E1069" s="696"/>
      <c r="F1069" s="147"/>
      <c r="G1069" s="126"/>
      <c r="H1069" s="120"/>
      <c r="I1069" s="120"/>
      <c r="J1069" s="116"/>
      <c r="K1069" s="116"/>
      <c r="L1069" s="116"/>
      <c r="M1069" s="116"/>
      <c r="N1069" s="116"/>
      <c r="O1069" s="116"/>
      <c r="P1069" s="116"/>
    </row>
    <row r="1070" spans="2:16" s="108" customFormat="1" ht="21.75" hidden="1" customHeight="1">
      <c r="B1070" s="109"/>
      <c r="C1070" s="122"/>
      <c r="D1070" s="148" t="s">
        <v>161</v>
      </c>
      <c r="E1070" s="250">
        <f>E1071+E1073+E1075+E1077+E1083+E1085+E1087+E1089</f>
        <v>5971714400</v>
      </c>
      <c r="F1070" s="147">
        <v>64189783336.760002</v>
      </c>
      <c r="G1070" s="126">
        <f t="shared" si="20"/>
        <v>9.3032163213115844</v>
      </c>
      <c r="H1070" s="120"/>
      <c r="I1070" s="120"/>
      <c r="J1070" s="116"/>
      <c r="K1070" s="116"/>
      <c r="L1070" s="116"/>
      <c r="M1070" s="116"/>
      <c r="N1070" s="116"/>
      <c r="O1070" s="116"/>
      <c r="P1070" s="116"/>
    </row>
    <row r="1071" spans="2:16" s="108" customFormat="1" ht="21.75" hidden="1" customHeight="1">
      <c r="B1071" s="109"/>
      <c r="C1071" s="122"/>
      <c r="D1071" s="111" t="s">
        <v>162</v>
      </c>
      <c r="E1071" s="250">
        <f>E1072</f>
        <v>150000000</v>
      </c>
      <c r="F1071" s="147">
        <v>64189783336.760002</v>
      </c>
      <c r="G1071" s="126">
        <f t="shared" si="20"/>
        <v>0.23368204752001162</v>
      </c>
      <c r="H1071" s="120"/>
      <c r="I1071" s="120"/>
      <c r="J1071" s="116"/>
      <c r="K1071" s="116"/>
      <c r="L1071" s="116"/>
      <c r="M1071" s="116"/>
      <c r="N1071" s="116"/>
      <c r="O1071" s="116"/>
      <c r="P1071" s="116"/>
    </row>
    <row r="1072" spans="2:16" s="108" customFormat="1" ht="21.75" hidden="1" customHeight="1">
      <c r="B1072" s="109"/>
      <c r="C1072" s="122"/>
      <c r="D1072" s="123" t="s">
        <v>944</v>
      </c>
      <c r="E1072" s="696">
        <v>150000000</v>
      </c>
      <c r="F1072" s="147">
        <v>64189783336.760002</v>
      </c>
      <c r="G1072" s="126">
        <f t="shared" si="20"/>
        <v>0.23368204752001162</v>
      </c>
      <c r="H1072" s="120"/>
      <c r="I1072" s="120"/>
      <c r="J1072" s="116"/>
      <c r="K1072" s="116"/>
      <c r="L1072" s="116"/>
      <c r="M1072" s="116"/>
      <c r="N1072" s="116"/>
      <c r="O1072" s="116"/>
      <c r="P1072" s="116"/>
    </row>
    <row r="1073" spans="2:16" s="108" customFormat="1" ht="21.75" hidden="1" customHeight="1">
      <c r="B1073" s="109"/>
      <c r="C1073" s="122"/>
      <c r="D1073" s="111" t="s">
        <v>945</v>
      </c>
      <c r="E1073" s="250">
        <f>E1074</f>
        <v>1918386400</v>
      </c>
      <c r="F1073" s="147">
        <v>64189783336.760002</v>
      </c>
      <c r="G1073" s="126">
        <f t="shared" si="20"/>
        <v>2.9886164125769601</v>
      </c>
      <c r="H1073" s="120"/>
      <c r="I1073" s="120"/>
      <c r="J1073" s="116"/>
      <c r="K1073" s="116"/>
      <c r="L1073" s="116"/>
      <c r="M1073" s="116"/>
      <c r="N1073" s="116"/>
      <c r="O1073" s="116"/>
      <c r="P1073" s="116"/>
    </row>
    <row r="1074" spans="2:16" s="108" customFormat="1" ht="35.25" hidden="1" customHeight="1">
      <c r="B1074" s="109"/>
      <c r="C1074" s="122"/>
      <c r="D1074" s="123" t="s">
        <v>946</v>
      </c>
      <c r="E1074" s="696">
        <v>1918386400</v>
      </c>
      <c r="F1074" s="147">
        <v>64189783336.760002</v>
      </c>
      <c r="G1074" s="126">
        <f t="shared" si="20"/>
        <v>2.9886164125769601</v>
      </c>
      <c r="H1074" s="120"/>
      <c r="I1074" s="120"/>
      <c r="J1074" s="116"/>
      <c r="K1074" s="116"/>
      <c r="L1074" s="116"/>
      <c r="M1074" s="116"/>
      <c r="N1074" s="116"/>
      <c r="O1074" s="116"/>
      <c r="P1074" s="116"/>
    </row>
    <row r="1075" spans="2:16" s="108" customFormat="1" ht="21.75" hidden="1" customHeight="1">
      <c r="B1075" s="109"/>
      <c r="C1075" s="122"/>
      <c r="D1075" s="111" t="s">
        <v>190</v>
      </c>
      <c r="E1075" s="250">
        <f>E1076</f>
        <v>249997000</v>
      </c>
      <c r="F1075" s="147">
        <v>64189783336.760002</v>
      </c>
      <c r="G1075" s="126">
        <f t="shared" si="20"/>
        <v>0.38946540555906894</v>
      </c>
      <c r="H1075" s="120"/>
      <c r="I1075" s="120"/>
      <c r="J1075" s="116"/>
      <c r="K1075" s="116"/>
      <c r="L1075" s="116"/>
      <c r="M1075" s="116"/>
      <c r="N1075" s="116"/>
      <c r="O1075" s="116"/>
      <c r="P1075" s="116"/>
    </row>
    <row r="1076" spans="2:16" s="108" customFormat="1" ht="21.75" hidden="1" customHeight="1">
      <c r="B1076" s="109"/>
      <c r="C1076" s="122"/>
      <c r="D1076" s="123" t="s">
        <v>947</v>
      </c>
      <c r="E1076" s="696">
        <v>249997000</v>
      </c>
      <c r="F1076" s="147">
        <v>64189783336.760002</v>
      </c>
      <c r="G1076" s="126">
        <f t="shared" si="20"/>
        <v>0.38946540555906894</v>
      </c>
      <c r="H1076" s="120"/>
      <c r="I1076" s="120"/>
      <c r="J1076" s="116"/>
      <c r="K1076" s="116"/>
      <c r="L1076" s="116"/>
      <c r="M1076" s="116"/>
      <c r="N1076" s="116"/>
      <c r="O1076" s="116"/>
      <c r="P1076" s="116"/>
    </row>
    <row r="1077" spans="2:16" s="108" customFormat="1" ht="21.75" hidden="1" customHeight="1">
      <c r="B1077" s="109"/>
      <c r="C1077" s="122"/>
      <c r="D1077" s="111" t="s">
        <v>196</v>
      </c>
      <c r="E1077" s="250">
        <f>SUM(E1078:E1082)</f>
        <v>1398207500</v>
      </c>
      <c r="F1077" s="147">
        <v>64189783336.760002</v>
      </c>
      <c r="G1077" s="126">
        <f t="shared" si="20"/>
        <v>2.1782399430522443</v>
      </c>
      <c r="H1077" s="120"/>
      <c r="I1077" s="120"/>
      <c r="J1077" s="116"/>
      <c r="K1077" s="116"/>
      <c r="L1077" s="116"/>
      <c r="M1077" s="116"/>
      <c r="N1077" s="116"/>
      <c r="O1077" s="116"/>
      <c r="P1077" s="116"/>
    </row>
    <row r="1078" spans="2:16" s="108" customFormat="1" ht="21.75" hidden="1" customHeight="1">
      <c r="B1078" s="109"/>
      <c r="C1078" s="122"/>
      <c r="D1078" s="123" t="s">
        <v>948</v>
      </c>
      <c r="E1078" s="696">
        <v>236400000</v>
      </c>
      <c r="F1078" s="147">
        <v>64189783336.760002</v>
      </c>
      <c r="G1078" s="126">
        <f t="shared" si="20"/>
        <v>0.36828290689153831</v>
      </c>
      <c r="H1078" s="120"/>
      <c r="I1078" s="120"/>
      <c r="J1078" s="116"/>
      <c r="K1078" s="116"/>
      <c r="L1078" s="116"/>
      <c r="M1078" s="116"/>
      <c r="N1078" s="116"/>
      <c r="O1078" s="116"/>
      <c r="P1078" s="116"/>
    </row>
    <row r="1079" spans="2:16" s="108" customFormat="1" ht="21.75" hidden="1" customHeight="1">
      <c r="B1079" s="109"/>
      <c r="C1079" s="122"/>
      <c r="D1079" s="123" t="s">
        <v>949</v>
      </c>
      <c r="E1079" s="696">
        <v>80000000</v>
      </c>
      <c r="F1079" s="147">
        <v>64189783336.760002</v>
      </c>
      <c r="G1079" s="126">
        <f t="shared" si="20"/>
        <v>0.12463042534400619</v>
      </c>
      <c r="H1079" s="120"/>
      <c r="I1079" s="120"/>
      <c r="J1079" s="116"/>
      <c r="K1079" s="116"/>
      <c r="L1079" s="116"/>
      <c r="M1079" s="116"/>
      <c r="N1079" s="116"/>
      <c r="O1079" s="116"/>
      <c r="P1079" s="116"/>
    </row>
    <row r="1080" spans="2:16" s="108" customFormat="1" ht="21.75" hidden="1" customHeight="1">
      <c r="B1080" s="109"/>
      <c r="C1080" s="122"/>
      <c r="D1080" s="123" t="s">
        <v>950</v>
      </c>
      <c r="E1080" s="696">
        <v>421807500</v>
      </c>
      <c r="F1080" s="147">
        <v>64189783336.760002</v>
      </c>
      <c r="G1080" s="126">
        <f t="shared" si="20"/>
        <v>0.65712560172864865</v>
      </c>
      <c r="H1080" s="120"/>
      <c r="I1080" s="120"/>
      <c r="J1080" s="116"/>
      <c r="K1080" s="116"/>
      <c r="L1080" s="116"/>
      <c r="M1080" s="116"/>
      <c r="N1080" s="116"/>
      <c r="O1080" s="116"/>
      <c r="P1080" s="116"/>
    </row>
    <row r="1081" spans="2:16" s="108" customFormat="1" ht="21.75" hidden="1" customHeight="1">
      <c r="B1081" s="109"/>
      <c r="C1081" s="122"/>
      <c r="D1081" s="123" t="s">
        <v>951</v>
      </c>
      <c r="E1081" s="696">
        <v>580000000</v>
      </c>
      <c r="F1081" s="147">
        <v>64189783336.760002</v>
      </c>
      <c r="G1081" s="126">
        <f t="shared" si="20"/>
        <v>0.90357058374404486</v>
      </c>
      <c r="H1081" s="120"/>
      <c r="I1081" s="120"/>
      <c r="J1081" s="116"/>
      <c r="K1081" s="116"/>
      <c r="L1081" s="116"/>
      <c r="M1081" s="116"/>
      <c r="N1081" s="116"/>
      <c r="O1081" s="116"/>
      <c r="P1081" s="116"/>
    </row>
    <row r="1082" spans="2:16" s="108" customFormat="1" ht="35.25" hidden="1" customHeight="1">
      <c r="B1082" s="109"/>
      <c r="C1082" s="122"/>
      <c r="D1082" s="123" t="s">
        <v>952</v>
      </c>
      <c r="E1082" s="696">
        <v>80000000</v>
      </c>
      <c r="F1082" s="147">
        <v>64189783336.760002</v>
      </c>
      <c r="G1082" s="126">
        <f t="shared" si="20"/>
        <v>0.12463042534400619</v>
      </c>
      <c r="H1082" s="120"/>
      <c r="I1082" s="120"/>
      <c r="J1082" s="116"/>
      <c r="K1082" s="116"/>
      <c r="L1082" s="116"/>
      <c r="M1082" s="116"/>
      <c r="N1082" s="116"/>
      <c r="O1082" s="116"/>
      <c r="P1082" s="116"/>
    </row>
    <row r="1083" spans="2:16" s="108" customFormat="1" ht="21.75" hidden="1" customHeight="1">
      <c r="B1083" s="109"/>
      <c r="C1083" s="122"/>
      <c r="D1083" s="111" t="s">
        <v>953</v>
      </c>
      <c r="E1083" s="250">
        <f>E1084</f>
        <v>104106500</v>
      </c>
      <c r="F1083" s="147">
        <v>64189783336.760002</v>
      </c>
      <c r="G1083" s="126">
        <f t="shared" si="20"/>
        <v>0.16218546720094726</v>
      </c>
      <c r="H1083" s="120"/>
      <c r="I1083" s="120"/>
      <c r="J1083" s="116"/>
      <c r="K1083" s="116"/>
      <c r="L1083" s="116"/>
      <c r="M1083" s="116"/>
      <c r="N1083" s="116"/>
      <c r="O1083" s="116"/>
      <c r="P1083" s="116"/>
    </row>
    <row r="1084" spans="2:16" s="108" customFormat="1" ht="21.75" hidden="1" customHeight="1">
      <c r="B1084" s="109"/>
      <c r="C1084" s="122"/>
      <c r="D1084" s="123" t="s">
        <v>954</v>
      </c>
      <c r="E1084" s="696">
        <v>104106500</v>
      </c>
      <c r="F1084" s="147">
        <v>64189783336.760002</v>
      </c>
      <c r="G1084" s="126">
        <f t="shared" si="20"/>
        <v>0.16218546720094726</v>
      </c>
      <c r="H1084" s="120"/>
      <c r="I1084" s="120"/>
      <c r="J1084" s="116"/>
      <c r="K1084" s="116"/>
      <c r="L1084" s="116"/>
      <c r="M1084" s="116"/>
      <c r="N1084" s="116"/>
      <c r="O1084" s="116"/>
      <c r="P1084" s="116"/>
    </row>
    <row r="1085" spans="2:16" s="108" customFormat="1" ht="21.75" hidden="1" customHeight="1">
      <c r="B1085" s="109"/>
      <c r="C1085" s="122"/>
      <c r="D1085" s="111" t="s">
        <v>955</v>
      </c>
      <c r="E1085" s="250">
        <f>E1086</f>
        <v>1134000000</v>
      </c>
      <c r="F1085" s="147">
        <v>64189783336.760002</v>
      </c>
      <c r="G1085" s="126">
        <f t="shared" si="20"/>
        <v>1.7666362792512875</v>
      </c>
      <c r="H1085" s="120"/>
      <c r="I1085" s="120"/>
      <c r="J1085" s="116"/>
      <c r="K1085" s="116"/>
      <c r="L1085" s="116"/>
      <c r="M1085" s="116"/>
      <c r="N1085" s="116"/>
      <c r="O1085" s="116"/>
      <c r="P1085" s="116"/>
    </row>
    <row r="1086" spans="2:16" s="108" customFormat="1" ht="21.75" hidden="1" customHeight="1">
      <c r="B1086" s="109"/>
      <c r="C1086" s="122"/>
      <c r="D1086" s="123" t="s">
        <v>956</v>
      </c>
      <c r="E1086" s="696">
        <v>1134000000</v>
      </c>
      <c r="F1086" s="147">
        <v>64189783336.760002</v>
      </c>
      <c r="G1086" s="126">
        <f t="shared" si="20"/>
        <v>1.7666362792512875</v>
      </c>
      <c r="H1086" s="120"/>
      <c r="I1086" s="120"/>
      <c r="J1086" s="116"/>
      <c r="K1086" s="116"/>
      <c r="L1086" s="116"/>
      <c r="M1086" s="116"/>
      <c r="N1086" s="116"/>
      <c r="O1086" s="116"/>
      <c r="P1086" s="116"/>
    </row>
    <row r="1087" spans="2:16" s="108" customFormat="1" ht="21.75" hidden="1" customHeight="1">
      <c r="B1087" s="109"/>
      <c r="C1087" s="122"/>
      <c r="D1087" s="111" t="s">
        <v>877</v>
      </c>
      <c r="E1087" s="250">
        <f>E1088</f>
        <v>356117000</v>
      </c>
      <c r="F1087" s="147">
        <v>64189783336.760002</v>
      </c>
      <c r="G1087" s="126">
        <f t="shared" si="20"/>
        <v>0.5547876647778931</v>
      </c>
      <c r="H1087" s="120"/>
      <c r="I1087" s="120"/>
      <c r="J1087" s="116"/>
      <c r="K1087" s="116"/>
      <c r="L1087" s="116"/>
      <c r="M1087" s="116"/>
      <c r="N1087" s="116"/>
      <c r="O1087" s="116"/>
      <c r="P1087" s="116"/>
    </row>
    <row r="1088" spans="2:16" s="108" customFormat="1" ht="21.75" hidden="1" customHeight="1">
      <c r="B1088" s="109"/>
      <c r="C1088" s="122"/>
      <c r="D1088" s="123" t="s">
        <v>957</v>
      </c>
      <c r="E1088" s="696">
        <v>356117000</v>
      </c>
      <c r="F1088" s="147">
        <v>64189783336.760002</v>
      </c>
      <c r="G1088" s="126">
        <f t="shared" si="20"/>
        <v>0.5547876647778931</v>
      </c>
      <c r="H1088" s="120"/>
      <c r="I1088" s="120"/>
      <c r="J1088" s="116"/>
      <c r="K1088" s="116"/>
      <c r="L1088" s="116"/>
      <c r="M1088" s="116"/>
      <c r="N1088" s="116"/>
      <c r="O1088" s="116"/>
      <c r="P1088" s="116"/>
    </row>
    <row r="1089" spans="2:16" s="108" customFormat="1" ht="21.75" hidden="1" customHeight="1">
      <c r="B1089" s="109"/>
      <c r="C1089" s="122"/>
      <c r="D1089" s="111" t="s">
        <v>221</v>
      </c>
      <c r="E1089" s="250">
        <f>E1090</f>
        <v>660900000</v>
      </c>
      <c r="F1089" s="147">
        <v>64189783336.760002</v>
      </c>
      <c r="G1089" s="126">
        <f t="shared" si="20"/>
        <v>1.029603101373171</v>
      </c>
      <c r="H1089" s="120"/>
      <c r="I1089" s="120"/>
      <c r="J1089" s="116"/>
      <c r="K1089" s="116"/>
      <c r="L1089" s="116"/>
      <c r="M1089" s="116"/>
      <c r="N1089" s="116"/>
      <c r="O1089" s="116"/>
      <c r="P1089" s="116"/>
    </row>
    <row r="1090" spans="2:16" s="108" customFormat="1" ht="35.25" hidden="1" customHeight="1">
      <c r="B1090" s="109"/>
      <c r="C1090" s="122"/>
      <c r="D1090" s="123" t="s">
        <v>958</v>
      </c>
      <c r="E1090" s="696">
        <v>660900000</v>
      </c>
      <c r="F1090" s="147">
        <v>64189783336.760002</v>
      </c>
      <c r="G1090" s="126">
        <f t="shared" si="20"/>
        <v>1.029603101373171</v>
      </c>
      <c r="H1090" s="120"/>
      <c r="I1090" s="120"/>
      <c r="J1090" s="116"/>
      <c r="K1090" s="116"/>
      <c r="L1090" s="116"/>
      <c r="M1090" s="116"/>
      <c r="N1090" s="116"/>
      <c r="O1090" s="116"/>
      <c r="P1090" s="116"/>
    </row>
    <row r="1091" spans="2:16" s="108" customFormat="1" ht="15" hidden="1" customHeight="1">
      <c r="B1091" s="109"/>
      <c r="C1091" s="122"/>
      <c r="D1091" s="123"/>
      <c r="E1091" s="696"/>
      <c r="F1091" s="147"/>
      <c r="G1091" s="126"/>
      <c r="H1091" s="120"/>
      <c r="I1091" s="120"/>
      <c r="J1091" s="116"/>
      <c r="K1091" s="116"/>
      <c r="L1091" s="116"/>
      <c r="M1091" s="116"/>
      <c r="N1091" s="116"/>
      <c r="O1091" s="116"/>
      <c r="P1091" s="116"/>
    </row>
    <row r="1092" spans="2:16" s="108" customFormat="1" ht="21.75" hidden="1" customHeight="1">
      <c r="B1092" s="109"/>
      <c r="C1092" s="122"/>
      <c r="D1092" s="148" t="s">
        <v>959</v>
      </c>
      <c r="E1092" s="250">
        <f>E1093+E1095</f>
        <v>6000000000</v>
      </c>
      <c r="F1092" s="147">
        <v>64189783336.760002</v>
      </c>
      <c r="G1092" s="126">
        <f t="shared" si="20"/>
        <v>9.3472819008004642</v>
      </c>
      <c r="H1092" s="120"/>
      <c r="I1092" s="120"/>
      <c r="J1092" s="116"/>
      <c r="K1092" s="116"/>
      <c r="L1092" s="116"/>
      <c r="M1092" s="116"/>
      <c r="N1092" s="116"/>
      <c r="O1092" s="116"/>
      <c r="P1092" s="116"/>
    </row>
    <row r="1093" spans="2:16" s="108" customFormat="1" ht="21.75" hidden="1" customHeight="1">
      <c r="B1093" s="109"/>
      <c r="C1093" s="122"/>
      <c r="D1093" s="111" t="s">
        <v>162</v>
      </c>
      <c r="E1093" s="250">
        <f>E1094</f>
        <v>2100000000</v>
      </c>
      <c r="F1093" s="147">
        <v>64189783336.760002</v>
      </c>
      <c r="G1093" s="126">
        <f t="shared" si="20"/>
        <v>3.2715486652801626</v>
      </c>
      <c r="H1093" s="120"/>
      <c r="I1093" s="120"/>
      <c r="J1093" s="116"/>
      <c r="K1093" s="116"/>
      <c r="L1093" s="116"/>
      <c r="M1093" s="116"/>
      <c r="N1093" s="116"/>
      <c r="O1093" s="116"/>
      <c r="P1093" s="116"/>
    </row>
    <row r="1094" spans="2:16" s="108" customFormat="1" ht="21.75" hidden="1" customHeight="1">
      <c r="B1094" s="109"/>
      <c r="C1094" s="122"/>
      <c r="D1094" s="123" t="s">
        <v>960</v>
      </c>
      <c r="E1094" s="696">
        <v>2100000000</v>
      </c>
      <c r="F1094" s="147">
        <v>64189783336.760002</v>
      </c>
      <c r="G1094" s="126">
        <f t="shared" si="20"/>
        <v>3.2715486652801626</v>
      </c>
      <c r="H1094" s="120"/>
      <c r="I1094" s="120"/>
      <c r="J1094" s="116"/>
      <c r="K1094" s="116"/>
      <c r="L1094" s="116"/>
      <c r="M1094" s="116"/>
      <c r="N1094" s="116"/>
      <c r="O1094" s="116"/>
      <c r="P1094" s="116"/>
    </row>
    <row r="1095" spans="2:16" s="108" customFormat="1" ht="21.75" hidden="1" customHeight="1">
      <c r="B1095" s="109"/>
      <c r="C1095" s="122"/>
      <c r="D1095" s="111" t="s">
        <v>877</v>
      </c>
      <c r="E1095" s="250">
        <f>E1096</f>
        <v>3900000000</v>
      </c>
      <c r="F1095" s="147">
        <v>64189783336.760002</v>
      </c>
      <c r="G1095" s="126">
        <f t="shared" si="20"/>
        <v>6.0757332355203015</v>
      </c>
      <c r="H1095" s="120"/>
      <c r="I1095" s="120"/>
      <c r="J1095" s="116"/>
      <c r="K1095" s="116"/>
      <c r="L1095" s="116"/>
      <c r="M1095" s="116"/>
      <c r="N1095" s="116"/>
      <c r="O1095" s="116"/>
      <c r="P1095" s="116"/>
    </row>
    <row r="1096" spans="2:16" s="108" customFormat="1" ht="21.75" hidden="1" customHeight="1">
      <c r="B1096" s="109"/>
      <c r="C1096" s="122"/>
      <c r="D1096" s="123" t="s">
        <v>961</v>
      </c>
      <c r="E1096" s="696">
        <v>3900000000</v>
      </c>
      <c r="F1096" s="147">
        <v>64189783336.760002</v>
      </c>
      <c r="G1096" s="126">
        <f t="shared" si="20"/>
        <v>6.0757332355203015</v>
      </c>
      <c r="H1096" s="120"/>
      <c r="I1096" s="120"/>
      <c r="J1096" s="116"/>
      <c r="K1096" s="116"/>
      <c r="L1096" s="116"/>
      <c r="M1096" s="116"/>
      <c r="N1096" s="116"/>
      <c r="O1096" s="116"/>
      <c r="P1096" s="116"/>
    </row>
    <row r="1097" spans="2:16" s="108" customFormat="1" ht="15" hidden="1" customHeight="1">
      <c r="B1097" s="109"/>
      <c r="C1097" s="122"/>
      <c r="D1097" s="123"/>
      <c r="E1097" s="696"/>
      <c r="F1097" s="147"/>
      <c r="G1097" s="126"/>
      <c r="H1097" s="120"/>
      <c r="I1097" s="120"/>
      <c r="J1097" s="116"/>
      <c r="K1097" s="116"/>
      <c r="L1097" s="116"/>
      <c r="M1097" s="116"/>
      <c r="N1097" s="116"/>
      <c r="O1097" s="116"/>
      <c r="P1097" s="116"/>
    </row>
    <row r="1098" spans="2:16" s="108" customFormat="1" ht="21.75" hidden="1" customHeight="1">
      <c r="B1098" s="109"/>
      <c r="C1098" s="122"/>
      <c r="D1098" s="148" t="s">
        <v>489</v>
      </c>
      <c r="E1098" s="250">
        <f>E1099</f>
        <v>1400000000</v>
      </c>
      <c r="F1098" s="147">
        <v>64189783336.760002</v>
      </c>
      <c r="G1098" s="126">
        <f t="shared" si="20"/>
        <v>2.1810324435201083</v>
      </c>
      <c r="H1098" s="120"/>
      <c r="I1098" s="120"/>
      <c r="J1098" s="116"/>
      <c r="K1098" s="116"/>
      <c r="L1098" s="116"/>
      <c r="M1098" s="116"/>
      <c r="N1098" s="116"/>
      <c r="O1098" s="116"/>
      <c r="P1098" s="116"/>
    </row>
    <row r="1099" spans="2:16" s="108" customFormat="1" ht="21.75" hidden="1" customHeight="1">
      <c r="B1099" s="109"/>
      <c r="C1099" s="122"/>
      <c r="D1099" s="111" t="s">
        <v>962</v>
      </c>
      <c r="E1099" s="250">
        <f>E1100+E1101</f>
        <v>1400000000</v>
      </c>
      <c r="F1099" s="147">
        <v>64189783336.760002</v>
      </c>
      <c r="G1099" s="126">
        <f t="shared" si="20"/>
        <v>2.1810324435201083</v>
      </c>
      <c r="H1099" s="120"/>
      <c r="I1099" s="120"/>
      <c r="J1099" s="116"/>
      <c r="K1099" s="116"/>
      <c r="L1099" s="116"/>
      <c r="M1099" s="116"/>
      <c r="N1099" s="116"/>
      <c r="O1099" s="116"/>
      <c r="P1099" s="116"/>
    </row>
    <row r="1100" spans="2:16" s="108" customFormat="1" ht="35.25" hidden="1" customHeight="1">
      <c r="B1100" s="109"/>
      <c r="C1100" s="122"/>
      <c r="D1100" s="123" t="s">
        <v>963</v>
      </c>
      <c r="E1100" s="696">
        <v>700000000</v>
      </c>
      <c r="F1100" s="147">
        <v>64189783336.760002</v>
      </c>
      <c r="G1100" s="126">
        <f t="shared" si="20"/>
        <v>1.0905162217600541</v>
      </c>
      <c r="H1100" s="120"/>
      <c r="I1100" s="120"/>
      <c r="J1100" s="116"/>
      <c r="K1100" s="116"/>
      <c r="L1100" s="116"/>
      <c r="M1100" s="116"/>
      <c r="N1100" s="116"/>
      <c r="O1100" s="116"/>
      <c r="P1100" s="116"/>
    </row>
    <row r="1101" spans="2:16" s="108" customFormat="1" ht="35.25" hidden="1" customHeight="1">
      <c r="B1101" s="109"/>
      <c r="C1101" s="122"/>
      <c r="D1101" s="123" t="s">
        <v>964</v>
      </c>
      <c r="E1101" s="696">
        <v>700000000</v>
      </c>
      <c r="F1101" s="147">
        <v>64189783336.760002</v>
      </c>
      <c r="G1101" s="126">
        <f t="shared" si="20"/>
        <v>1.0905162217600541</v>
      </c>
      <c r="H1101" s="120"/>
      <c r="I1101" s="120"/>
      <c r="J1101" s="116"/>
      <c r="K1101" s="116"/>
      <c r="L1101" s="116"/>
      <c r="M1101" s="116"/>
      <c r="N1101" s="116"/>
      <c r="O1101" s="116"/>
      <c r="P1101" s="116"/>
    </row>
    <row r="1102" spans="2:16" s="108" customFormat="1" ht="15" hidden="1" customHeight="1">
      <c r="B1102" s="109"/>
      <c r="C1102" s="122"/>
      <c r="D1102" s="123"/>
      <c r="E1102" s="696"/>
      <c r="F1102" s="147"/>
      <c r="G1102" s="126"/>
      <c r="H1102" s="120"/>
      <c r="I1102" s="120"/>
      <c r="J1102" s="116"/>
      <c r="K1102" s="116"/>
      <c r="L1102" s="116"/>
      <c r="M1102" s="116"/>
      <c r="N1102" s="116"/>
      <c r="O1102" s="116"/>
      <c r="P1102" s="116"/>
    </row>
    <row r="1103" spans="2:16" s="108" customFormat="1" ht="21.75" hidden="1" customHeight="1">
      <c r="B1103" s="109"/>
      <c r="C1103" s="122"/>
      <c r="D1103" s="148" t="s">
        <v>965</v>
      </c>
      <c r="E1103" s="250">
        <f>E1104</f>
        <v>3665000000</v>
      </c>
      <c r="F1103" s="147">
        <v>64189783336.760002</v>
      </c>
      <c r="G1103" s="126">
        <f t="shared" si="20"/>
        <v>5.709631361072284</v>
      </c>
      <c r="H1103" s="120"/>
      <c r="I1103" s="120"/>
      <c r="J1103" s="116"/>
      <c r="K1103" s="116"/>
      <c r="L1103" s="116"/>
      <c r="M1103" s="116"/>
      <c r="N1103" s="116"/>
      <c r="O1103" s="116"/>
      <c r="P1103" s="116"/>
    </row>
    <row r="1104" spans="2:16" s="108" customFormat="1" ht="21.75" hidden="1" customHeight="1">
      <c r="B1104" s="109"/>
      <c r="C1104" s="122"/>
      <c r="D1104" s="111" t="s">
        <v>498</v>
      </c>
      <c r="E1104" s="250">
        <f>E1105</f>
        <v>3665000000</v>
      </c>
      <c r="F1104" s="147">
        <v>64189783336.760002</v>
      </c>
      <c r="G1104" s="126">
        <f t="shared" si="20"/>
        <v>5.709631361072284</v>
      </c>
      <c r="H1104" s="120"/>
      <c r="I1104" s="120"/>
      <c r="J1104" s="116"/>
      <c r="K1104" s="116"/>
      <c r="L1104" s="116"/>
      <c r="M1104" s="116"/>
      <c r="N1104" s="116"/>
      <c r="O1104" s="116"/>
      <c r="P1104" s="116"/>
    </row>
    <row r="1105" spans="2:16" s="108" customFormat="1" ht="21.75" hidden="1" customHeight="1">
      <c r="B1105" s="109"/>
      <c r="C1105" s="122"/>
      <c r="D1105" s="123" t="s">
        <v>966</v>
      </c>
      <c r="E1105" s="696">
        <v>3665000000</v>
      </c>
      <c r="F1105" s="147">
        <v>64189783336.760002</v>
      </c>
      <c r="G1105" s="126">
        <f t="shared" si="20"/>
        <v>5.709631361072284</v>
      </c>
      <c r="H1105" s="120"/>
      <c r="I1105" s="120"/>
      <c r="J1105" s="116"/>
      <c r="K1105" s="116"/>
      <c r="L1105" s="116"/>
      <c r="M1105" s="116"/>
      <c r="N1105" s="116"/>
      <c r="O1105" s="116"/>
      <c r="P1105" s="116"/>
    </row>
    <row r="1106" spans="2:16" s="108" customFormat="1" ht="15" hidden="1" customHeight="1">
      <c r="B1106" s="109"/>
      <c r="C1106" s="122"/>
      <c r="D1106" s="123"/>
      <c r="E1106" s="696"/>
      <c r="F1106" s="147"/>
      <c r="G1106" s="126"/>
      <c r="H1106" s="120"/>
      <c r="I1106" s="120"/>
      <c r="J1106" s="116"/>
      <c r="K1106" s="116"/>
      <c r="L1106" s="116"/>
      <c r="M1106" s="116"/>
      <c r="N1106" s="116"/>
      <c r="O1106" s="116"/>
      <c r="P1106" s="116"/>
    </row>
    <row r="1107" spans="2:16" s="108" customFormat="1" ht="21.75" hidden="1" customHeight="1">
      <c r="B1107" s="109"/>
      <c r="C1107" s="122"/>
      <c r="D1107" s="148" t="s">
        <v>967</v>
      </c>
      <c r="E1107" s="250">
        <f>E1108</f>
        <v>1000000000</v>
      </c>
      <c r="F1107" s="147">
        <v>64189783336.760002</v>
      </c>
      <c r="G1107" s="126">
        <f t="shared" si="20"/>
        <v>1.5578803168000774</v>
      </c>
      <c r="H1107" s="120"/>
      <c r="I1107" s="120"/>
      <c r="J1107" s="116"/>
      <c r="K1107" s="116"/>
      <c r="L1107" s="116"/>
      <c r="M1107" s="116"/>
      <c r="N1107" s="116"/>
      <c r="O1107" s="116"/>
      <c r="P1107" s="116"/>
    </row>
    <row r="1108" spans="2:16" s="108" customFormat="1" ht="21.75" hidden="1" customHeight="1">
      <c r="B1108" s="109"/>
      <c r="C1108" s="122"/>
      <c r="D1108" s="111" t="s">
        <v>912</v>
      </c>
      <c r="E1108" s="250">
        <f>E1109+E1110</f>
        <v>1000000000</v>
      </c>
      <c r="F1108" s="147">
        <v>64189783336.760002</v>
      </c>
      <c r="G1108" s="126">
        <f t="shared" si="20"/>
        <v>1.5578803168000774</v>
      </c>
      <c r="H1108" s="120"/>
      <c r="I1108" s="120"/>
      <c r="J1108" s="116"/>
      <c r="K1108" s="116"/>
      <c r="L1108" s="116"/>
      <c r="M1108" s="116"/>
      <c r="N1108" s="116"/>
      <c r="O1108" s="116"/>
      <c r="P1108" s="116"/>
    </row>
    <row r="1109" spans="2:16" s="108" customFormat="1" ht="21.75" hidden="1" customHeight="1">
      <c r="B1109" s="109"/>
      <c r="C1109" s="122"/>
      <c r="D1109" s="123" t="s">
        <v>968</v>
      </c>
      <c r="E1109" s="696">
        <v>298000000</v>
      </c>
      <c r="F1109" s="147">
        <v>64189783336.760002</v>
      </c>
      <c r="G1109" s="126">
        <f t="shared" si="20"/>
        <v>0.46424833440642305</v>
      </c>
      <c r="H1109" s="120"/>
      <c r="I1109" s="120"/>
      <c r="J1109" s="116"/>
      <c r="K1109" s="116"/>
      <c r="L1109" s="116"/>
      <c r="M1109" s="116"/>
      <c r="N1109" s="116"/>
      <c r="O1109" s="116"/>
      <c r="P1109" s="116"/>
    </row>
    <row r="1110" spans="2:16" s="108" customFormat="1" ht="21.75" hidden="1" customHeight="1">
      <c r="B1110" s="109"/>
      <c r="C1110" s="122"/>
      <c r="D1110" s="123" t="s">
        <v>969</v>
      </c>
      <c r="E1110" s="696">
        <v>702000000</v>
      </c>
      <c r="F1110" s="147">
        <v>64189783336.760002</v>
      </c>
      <c r="G1110" s="126">
        <f t="shared" si="20"/>
        <v>1.0936319823936544</v>
      </c>
      <c r="H1110" s="120"/>
      <c r="I1110" s="120"/>
      <c r="J1110" s="116"/>
      <c r="K1110" s="116"/>
      <c r="L1110" s="116"/>
      <c r="M1110" s="116"/>
      <c r="N1110" s="116"/>
      <c r="O1110" s="116"/>
      <c r="P1110" s="116"/>
    </row>
    <row r="1111" spans="2:16" s="108" customFormat="1" ht="15" hidden="1" customHeight="1">
      <c r="B1111" s="109"/>
      <c r="C1111" s="122"/>
      <c r="D1111" s="123"/>
      <c r="E1111" s="696"/>
      <c r="F1111" s="147"/>
      <c r="G1111" s="126"/>
      <c r="H1111" s="120"/>
      <c r="I1111" s="120"/>
      <c r="J1111" s="116"/>
      <c r="K1111" s="116"/>
      <c r="L1111" s="116"/>
      <c r="M1111" s="116"/>
      <c r="N1111" s="116"/>
      <c r="O1111" s="116"/>
      <c r="P1111" s="116"/>
    </row>
    <row r="1112" spans="2:16" s="108" customFormat="1" ht="21.75" hidden="1" customHeight="1">
      <c r="B1112" s="109"/>
      <c r="C1112" s="122"/>
      <c r="D1112" s="148" t="s">
        <v>762</v>
      </c>
      <c r="E1112" s="250">
        <f>E1113</f>
        <v>1405000000</v>
      </c>
      <c r="F1112" s="147">
        <v>64189783336.760002</v>
      </c>
      <c r="G1112" s="126">
        <f t="shared" si="20"/>
        <v>2.1888218451041088</v>
      </c>
      <c r="H1112" s="120"/>
      <c r="I1112" s="120"/>
      <c r="J1112" s="116"/>
      <c r="K1112" s="116"/>
      <c r="L1112" s="116"/>
      <c r="M1112" s="116"/>
      <c r="N1112" s="116"/>
      <c r="O1112" s="116"/>
      <c r="P1112" s="116"/>
    </row>
    <row r="1113" spans="2:16" s="108" customFormat="1" ht="21.75" hidden="1" customHeight="1">
      <c r="B1113" s="109"/>
      <c r="C1113" s="122"/>
      <c r="D1113" s="111" t="s">
        <v>970</v>
      </c>
      <c r="E1113" s="250">
        <f>E1114</f>
        <v>1405000000</v>
      </c>
      <c r="F1113" s="147">
        <v>64189783336.760002</v>
      </c>
      <c r="G1113" s="126">
        <f t="shared" si="20"/>
        <v>2.1888218451041088</v>
      </c>
      <c r="H1113" s="120"/>
      <c r="I1113" s="120"/>
      <c r="J1113" s="116"/>
      <c r="K1113" s="116"/>
      <c r="L1113" s="116"/>
      <c r="M1113" s="116"/>
      <c r="N1113" s="116"/>
      <c r="O1113" s="116"/>
      <c r="P1113" s="116"/>
    </row>
    <row r="1114" spans="2:16" s="108" customFormat="1" ht="35.25" hidden="1" customHeight="1">
      <c r="B1114" s="109"/>
      <c r="C1114" s="122"/>
      <c r="D1114" s="123" t="s">
        <v>971</v>
      </c>
      <c r="E1114" s="696">
        <v>1405000000</v>
      </c>
      <c r="F1114" s="147">
        <v>64189783336.760002</v>
      </c>
      <c r="G1114" s="126">
        <f t="shared" si="20"/>
        <v>2.1888218451041088</v>
      </c>
      <c r="H1114" s="120"/>
      <c r="I1114" s="120"/>
      <c r="J1114" s="116"/>
      <c r="K1114" s="116"/>
      <c r="L1114" s="116"/>
      <c r="M1114" s="116"/>
      <c r="N1114" s="116"/>
      <c r="O1114" s="116"/>
      <c r="P1114" s="116"/>
    </row>
    <row r="1115" spans="2:16" s="108" customFormat="1" ht="15" hidden="1" customHeight="1">
      <c r="B1115" s="109"/>
      <c r="C1115" s="122"/>
      <c r="D1115" s="123"/>
      <c r="E1115" s="696"/>
      <c r="F1115" s="147"/>
      <c r="G1115" s="126"/>
      <c r="H1115" s="120"/>
      <c r="I1115" s="120"/>
      <c r="J1115" s="116"/>
      <c r="K1115" s="116"/>
      <c r="L1115" s="116"/>
      <c r="M1115" s="116"/>
      <c r="N1115" s="116"/>
      <c r="O1115" s="116"/>
      <c r="P1115" s="116"/>
    </row>
    <row r="1116" spans="2:16" s="108" customFormat="1" ht="21.75" hidden="1" customHeight="1">
      <c r="B1116" s="109"/>
      <c r="C1116" s="122"/>
      <c r="D1116" s="148" t="s">
        <v>972</v>
      </c>
      <c r="E1116" s="250">
        <f>E1117</f>
        <v>143200000</v>
      </c>
      <c r="F1116" s="147">
        <v>64189783336.760002</v>
      </c>
      <c r="G1116" s="126">
        <f t="shared" si="20"/>
        <v>0.2230884613657711</v>
      </c>
      <c r="H1116" s="120"/>
      <c r="I1116" s="120"/>
      <c r="J1116" s="116"/>
      <c r="K1116" s="116"/>
      <c r="L1116" s="116"/>
      <c r="M1116" s="116"/>
      <c r="N1116" s="116"/>
      <c r="O1116" s="116"/>
      <c r="P1116" s="116"/>
    </row>
    <row r="1117" spans="2:16" s="108" customFormat="1" ht="21.75" hidden="1" customHeight="1">
      <c r="B1117" s="109"/>
      <c r="C1117" s="122"/>
      <c r="D1117" s="111" t="s">
        <v>973</v>
      </c>
      <c r="E1117" s="250">
        <f>E1118</f>
        <v>143200000</v>
      </c>
      <c r="F1117" s="147">
        <v>64189783336.760002</v>
      </c>
      <c r="G1117" s="126">
        <f t="shared" si="20"/>
        <v>0.2230884613657711</v>
      </c>
      <c r="H1117" s="120"/>
      <c r="I1117" s="120"/>
      <c r="J1117" s="116"/>
      <c r="K1117" s="116"/>
      <c r="L1117" s="116"/>
      <c r="M1117" s="116"/>
      <c r="N1117" s="116"/>
      <c r="O1117" s="116"/>
      <c r="P1117" s="116"/>
    </row>
    <row r="1118" spans="2:16" s="108" customFormat="1" ht="21.75" hidden="1" customHeight="1">
      <c r="B1118" s="109"/>
      <c r="C1118" s="122"/>
      <c r="D1118" s="123" t="s">
        <v>974</v>
      </c>
      <c r="E1118" s="696">
        <v>143200000</v>
      </c>
      <c r="F1118" s="147">
        <v>64189783336.760002</v>
      </c>
      <c r="G1118" s="126">
        <f t="shared" ref="G1118:G1190" si="21">+E1118/F1118*100</f>
        <v>0.2230884613657711</v>
      </c>
      <c r="H1118" s="120"/>
      <c r="I1118" s="120"/>
      <c r="J1118" s="116"/>
      <c r="K1118" s="116"/>
      <c r="L1118" s="116"/>
      <c r="M1118" s="116"/>
      <c r="N1118" s="116"/>
      <c r="O1118" s="116"/>
      <c r="P1118" s="116"/>
    </row>
    <row r="1119" spans="2:16" s="108" customFormat="1" ht="15" hidden="1" customHeight="1">
      <c r="B1119" s="109"/>
      <c r="C1119" s="122"/>
      <c r="D1119" s="123"/>
      <c r="E1119" s="696"/>
      <c r="F1119" s="147"/>
      <c r="G1119" s="126"/>
      <c r="H1119" s="120"/>
      <c r="I1119" s="120"/>
      <c r="J1119" s="116"/>
      <c r="K1119" s="116"/>
      <c r="L1119" s="116"/>
      <c r="M1119" s="116"/>
      <c r="N1119" s="116"/>
      <c r="O1119" s="116"/>
      <c r="P1119" s="116"/>
    </row>
    <row r="1120" spans="2:16" s="108" customFormat="1" ht="21.75" hidden="1" customHeight="1">
      <c r="B1120" s="109"/>
      <c r="C1120" s="122"/>
      <c r="D1120" s="148" t="s">
        <v>724</v>
      </c>
      <c r="E1120" s="250">
        <f>E1121</f>
        <v>1410000000</v>
      </c>
      <c r="F1120" s="147">
        <v>64189783336.760002</v>
      </c>
      <c r="G1120" s="126">
        <f t="shared" si="21"/>
        <v>2.1966112466881094</v>
      </c>
      <c r="H1120" s="120"/>
      <c r="I1120" s="120"/>
      <c r="J1120" s="116"/>
      <c r="K1120" s="116"/>
      <c r="L1120" s="116"/>
      <c r="M1120" s="116"/>
      <c r="N1120" s="116"/>
      <c r="O1120" s="116"/>
      <c r="P1120" s="116"/>
    </row>
    <row r="1121" spans="2:16" s="108" customFormat="1" ht="21.75" hidden="1" customHeight="1">
      <c r="B1121" s="109"/>
      <c r="C1121" s="122"/>
      <c r="D1121" s="111" t="s">
        <v>975</v>
      </c>
      <c r="E1121" s="250">
        <f>E1122</f>
        <v>1410000000</v>
      </c>
      <c r="F1121" s="147">
        <v>64189783336.760002</v>
      </c>
      <c r="G1121" s="126">
        <f t="shared" si="21"/>
        <v>2.1966112466881094</v>
      </c>
      <c r="H1121" s="120"/>
      <c r="I1121" s="120"/>
      <c r="J1121" s="116"/>
      <c r="K1121" s="116"/>
      <c r="L1121" s="116"/>
      <c r="M1121" s="116"/>
      <c r="N1121" s="116"/>
      <c r="O1121" s="116"/>
      <c r="P1121" s="116"/>
    </row>
    <row r="1122" spans="2:16" s="108" customFormat="1" ht="21.75" hidden="1" customHeight="1">
      <c r="B1122" s="109"/>
      <c r="C1122" s="122"/>
      <c r="D1122" s="123" t="s">
        <v>976</v>
      </c>
      <c r="E1122" s="696">
        <v>1410000000</v>
      </c>
      <c r="F1122" s="147">
        <v>64189783336.760002</v>
      </c>
      <c r="G1122" s="126">
        <f t="shared" si="21"/>
        <v>2.1966112466881094</v>
      </c>
      <c r="H1122" s="120"/>
      <c r="I1122" s="120"/>
      <c r="J1122" s="116"/>
      <c r="K1122" s="116"/>
      <c r="L1122" s="116"/>
      <c r="M1122" s="116"/>
      <c r="N1122" s="116"/>
      <c r="O1122" s="116"/>
      <c r="P1122" s="116"/>
    </row>
    <row r="1123" spans="2:16" s="108" customFormat="1" ht="15" hidden="1" customHeight="1">
      <c r="B1123" s="109"/>
      <c r="C1123" s="122"/>
      <c r="D1123" s="123"/>
      <c r="E1123" s="696"/>
      <c r="F1123" s="147"/>
      <c r="G1123" s="126"/>
      <c r="H1123" s="120"/>
      <c r="I1123" s="120"/>
      <c r="J1123" s="116"/>
      <c r="K1123" s="116"/>
      <c r="L1123" s="116"/>
      <c r="M1123" s="116"/>
      <c r="N1123" s="116"/>
      <c r="O1123" s="116"/>
      <c r="P1123" s="116"/>
    </row>
    <row r="1124" spans="2:16" s="108" customFormat="1" ht="21.75" hidden="1" customHeight="1">
      <c r="B1124" s="109"/>
      <c r="C1124" s="122"/>
      <c r="D1124" s="148" t="s">
        <v>977</v>
      </c>
      <c r="E1124" s="250">
        <f>E1125+E1127</f>
        <v>1000000000</v>
      </c>
      <c r="F1124" s="147">
        <v>64189783336.760002</v>
      </c>
      <c r="G1124" s="126">
        <f t="shared" si="21"/>
        <v>1.5578803168000774</v>
      </c>
      <c r="H1124" s="120"/>
      <c r="I1124" s="120"/>
      <c r="J1124" s="116"/>
      <c r="K1124" s="116"/>
      <c r="L1124" s="116"/>
      <c r="M1124" s="116"/>
      <c r="N1124" s="116"/>
      <c r="O1124" s="116"/>
      <c r="P1124" s="116"/>
    </row>
    <row r="1125" spans="2:16" s="108" customFormat="1" ht="35.25" hidden="1" customHeight="1">
      <c r="B1125" s="109"/>
      <c r="C1125" s="122"/>
      <c r="D1125" s="111" t="s">
        <v>546</v>
      </c>
      <c r="E1125" s="250">
        <f>E1126</f>
        <v>283840000</v>
      </c>
      <c r="F1125" s="147">
        <v>64189783336.760002</v>
      </c>
      <c r="G1125" s="126">
        <f t="shared" si="21"/>
        <v>0.44218874912053396</v>
      </c>
      <c r="H1125" s="120"/>
      <c r="I1125" s="120"/>
      <c r="J1125" s="116"/>
      <c r="K1125" s="116"/>
      <c r="L1125" s="116"/>
      <c r="M1125" s="116"/>
      <c r="N1125" s="116"/>
      <c r="O1125" s="116"/>
      <c r="P1125" s="116"/>
    </row>
    <row r="1126" spans="2:16" s="108" customFormat="1" ht="21.75" hidden="1" customHeight="1">
      <c r="B1126" s="109"/>
      <c r="C1126" s="122"/>
      <c r="D1126" s="123" t="s">
        <v>978</v>
      </c>
      <c r="E1126" s="696">
        <v>283840000</v>
      </c>
      <c r="F1126" s="147">
        <v>64189783336.760002</v>
      </c>
      <c r="G1126" s="126">
        <f t="shared" si="21"/>
        <v>0.44218874912053396</v>
      </c>
      <c r="H1126" s="120"/>
      <c r="I1126" s="120"/>
      <c r="J1126" s="116"/>
      <c r="K1126" s="116"/>
      <c r="L1126" s="116"/>
      <c r="M1126" s="116"/>
      <c r="N1126" s="116"/>
      <c r="O1126" s="116"/>
      <c r="P1126" s="116"/>
    </row>
    <row r="1127" spans="2:16" s="108" customFormat="1" ht="21.75" hidden="1" customHeight="1">
      <c r="B1127" s="109"/>
      <c r="C1127" s="122"/>
      <c r="D1127" s="111" t="s">
        <v>548</v>
      </c>
      <c r="E1127" s="250">
        <f>E1128</f>
        <v>716160000</v>
      </c>
      <c r="F1127" s="147">
        <v>64189783336.760002</v>
      </c>
      <c r="G1127" s="126">
        <f t="shared" si="21"/>
        <v>1.1156915676795434</v>
      </c>
      <c r="H1127" s="120"/>
      <c r="I1127" s="120"/>
      <c r="J1127" s="116"/>
      <c r="K1127" s="116"/>
      <c r="L1127" s="116"/>
      <c r="M1127" s="116"/>
      <c r="N1127" s="116"/>
      <c r="O1127" s="116"/>
      <c r="P1127" s="116"/>
    </row>
    <row r="1128" spans="2:16" s="108" customFormat="1" ht="21.75" hidden="1" customHeight="1">
      <c r="B1128" s="109"/>
      <c r="C1128" s="122"/>
      <c r="D1128" s="123" t="s">
        <v>979</v>
      </c>
      <c r="E1128" s="696">
        <v>716160000</v>
      </c>
      <c r="F1128" s="147">
        <v>64189783336.760002</v>
      </c>
      <c r="G1128" s="126">
        <f t="shared" si="21"/>
        <v>1.1156915676795434</v>
      </c>
      <c r="H1128" s="120"/>
      <c r="I1128" s="120"/>
      <c r="J1128" s="116"/>
      <c r="K1128" s="116"/>
      <c r="L1128" s="116"/>
      <c r="M1128" s="116"/>
      <c r="N1128" s="116"/>
      <c r="O1128" s="116"/>
      <c r="P1128" s="116"/>
    </row>
    <row r="1129" spans="2:16" s="108" customFormat="1" ht="15" hidden="1" customHeight="1">
      <c r="B1129" s="109"/>
      <c r="C1129" s="122"/>
      <c r="D1129" s="123"/>
      <c r="E1129" s="696"/>
      <c r="F1129" s="147"/>
      <c r="G1129" s="126"/>
      <c r="H1129" s="120"/>
      <c r="I1129" s="120"/>
      <c r="J1129" s="116"/>
      <c r="K1129" s="116"/>
      <c r="L1129" s="116"/>
      <c r="M1129" s="116"/>
      <c r="N1129" s="116"/>
      <c r="O1129" s="116"/>
      <c r="P1129" s="116"/>
    </row>
    <row r="1130" spans="2:16" s="108" customFormat="1" ht="21.75" hidden="1" customHeight="1">
      <c r="B1130" s="109"/>
      <c r="C1130" s="122"/>
      <c r="D1130" s="111" t="s">
        <v>503</v>
      </c>
      <c r="E1130" s="250">
        <f>E1131</f>
        <v>1000000000</v>
      </c>
      <c r="F1130" s="147">
        <v>64189783336.760002</v>
      </c>
      <c r="G1130" s="126">
        <f t="shared" si="21"/>
        <v>1.5578803168000774</v>
      </c>
      <c r="H1130" s="120"/>
      <c r="I1130" s="120"/>
      <c r="J1130" s="116"/>
      <c r="K1130" s="116"/>
      <c r="L1130" s="116"/>
      <c r="M1130" s="116"/>
      <c r="N1130" s="116"/>
      <c r="O1130" s="116"/>
      <c r="P1130" s="116"/>
    </row>
    <row r="1131" spans="2:16" s="108" customFormat="1" ht="21.75" hidden="1" customHeight="1">
      <c r="B1131" s="109"/>
      <c r="C1131" s="122"/>
      <c r="D1131" s="111" t="s">
        <v>980</v>
      </c>
      <c r="E1131" s="250">
        <f>E1132</f>
        <v>1000000000</v>
      </c>
      <c r="F1131" s="147">
        <v>64189783336.760002</v>
      </c>
      <c r="G1131" s="126">
        <f t="shared" si="21"/>
        <v>1.5578803168000774</v>
      </c>
      <c r="H1131" s="120"/>
      <c r="I1131" s="120"/>
      <c r="J1131" s="116"/>
      <c r="K1131" s="116"/>
      <c r="L1131" s="116"/>
      <c r="M1131" s="116"/>
      <c r="N1131" s="116"/>
      <c r="O1131" s="116"/>
      <c r="P1131" s="116"/>
    </row>
    <row r="1132" spans="2:16" s="108" customFormat="1" ht="21.75" hidden="1" customHeight="1">
      <c r="B1132" s="109"/>
      <c r="C1132" s="122"/>
      <c r="D1132" s="123" t="s">
        <v>981</v>
      </c>
      <c r="E1132" s="696">
        <v>1000000000</v>
      </c>
      <c r="F1132" s="147">
        <v>64189783336.760002</v>
      </c>
      <c r="G1132" s="126">
        <f t="shared" si="21"/>
        <v>1.5578803168000774</v>
      </c>
      <c r="H1132" s="120"/>
      <c r="I1132" s="120"/>
      <c r="J1132" s="116"/>
      <c r="K1132" s="116"/>
      <c r="L1132" s="116"/>
      <c r="M1132" s="116"/>
      <c r="N1132" s="116"/>
      <c r="O1132" s="116"/>
      <c r="P1132" s="116"/>
    </row>
    <row r="1133" spans="2:16" s="108" customFormat="1" ht="15" hidden="1" customHeight="1">
      <c r="B1133" s="109"/>
      <c r="C1133" s="122"/>
      <c r="D1133" s="123"/>
      <c r="E1133" s="696"/>
      <c r="F1133" s="147"/>
      <c r="G1133" s="126"/>
      <c r="H1133" s="120"/>
      <c r="I1133" s="120"/>
      <c r="J1133" s="116"/>
      <c r="K1133" s="116"/>
      <c r="L1133" s="116"/>
      <c r="M1133" s="116"/>
      <c r="N1133" s="116"/>
      <c r="O1133" s="116"/>
      <c r="P1133" s="116"/>
    </row>
    <row r="1134" spans="2:16" s="108" customFormat="1" ht="21.75" hidden="1" customHeight="1">
      <c r="B1134" s="109"/>
      <c r="C1134" s="122"/>
      <c r="D1134" s="148" t="s">
        <v>982</v>
      </c>
      <c r="E1134" s="250">
        <f>E1135+E1137+E1139</f>
        <v>1000000000</v>
      </c>
      <c r="F1134" s="147">
        <v>64189783336.760002</v>
      </c>
      <c r="G1134" s="126">
        <f t="shared" si="21"/>
        <v>1.5578803168000774</v>
      </c>
      <c r="H1134" s="120"/>
      <c r="I1134" s="120"/>
      <c r="J1134" s="116"/>
      <c r="K1134" s="116"/>
      <c r="L1134" s="116"/>
      <c r="M1134" s="116"/>
      <c r="N1134" s="116"/>
      <c r="O1134" s="116"/>
      <c r="P1134" s="116"/>
    </row>
    <row r="1135" spans="2:16" s="108" customFormat="1" ht="21.75" hidden="1" customHeight="1">
      <c r="B1135" s="109"/>
      <c r="C1135" s="122"/>
      <c r="D1135" s="111" t="s">
        <v>310</v>
      </c>
      <c r="E1135" s="250">
        <f>E1136</f>
        <v>150000000</v>
      </c>
      <c r="F1135" s="147">
        <v>64189783336.760002</v>
      </c>
      <c r="G1135" s="126">
        <f t="shared" si="21"/>
        <v>0.23368204752001162</v>
      </c>
      <c r="H1135" s="120"/>
      <c r="I1135" s="120"/>
      <c r="J1135" s="116"/>
      <c r="K1135" s="116"/>
      <c r="L1135" s="116"/>
      <c r="M1135" s="116"/>
      <c r="N1135" s="116"/>
      <c r="O1135" s="116"/>
      <c r="P1135" s="116"/>
    </row>
    <row r="1136" spans="2:16" s="108" customFormat="1" ht="35.25" hidden="1" customHeight="1">
      <c r="B1136" s="109"/>
      <c r="C1136" s="122"/>
      <c r="D1136" s="123" t="s">
        <v>983</v>
      </c>
      <c r="E1136" s="696">
        <v>150000000</v>
      </c>
      <c r="F1136" s="147">
        <v>64189783336.760002</v>
      </c>
      <c r="G1136" s="126">
        <f t="shared" si="21"/>
        <v>0.23368204752001162</v>
      </c>
      <c r="H1136" s="120"/>
      <c r="I1136" s="120"/>
      <c r="J1136" s="116"/>
      <c r="K1136" s="116"/>
      <c r="L1136" s="116"/>
      <c r="M1136" s="116"/>
      <c r="N1136" s="116"/>
      <c r="O1136" s="116"/>
      <c r="P1136" s="116"/>
    </row>
    <row r="1137" spans="2:16" s="108" customFormat="1" ht="21.75" hidden="1" customHeight="1">
      <c r="B1137" s="109"/>
      <c r="C1137" s="122"/>
      <c r="D1137" s="111" t="s">
        <v>312</v>
      </c>
      <c r="E1137" s="250">
        <f>E1138</f>
        <v>179614000</v>
      </c>
      <c r="F1137" s="147">
        <v>64189783336.760002</v>
      </c>
      <c r="G1137" s="126">
        <f t="shared" si="21"/>
        <v>0.27981711522172914</v>
      </c>
      <c r="H1137" s="120"/>
      <c r="I1137" s="120"/>
      <c r="J1137" s="116"/>
      <c r="K1137" s="116"/>
      <c r="L1137" s="116"/>
      <c r="M1137" s="116"/>
      <c r="N1137" s="116"/>
      <c r="O1137" s="116"/>
      <c r="P1137" s="116"/>
    </row>
    <row r="1138" spans="2:16" s="108" customFormat="1" ht="21.75" hidden="1" customHeight="1">
      <c r="B1138" s="109"/>
      <c r="C1138" s="122"/>
      <c r="D1138" s="123" t="s">
        <v>984</v>
      </c>
      <c r="E1138" s="696">
        <v>179614000</v>
      </c>
      <c r="F1138" s="147">
        <v>64189783336.760002</v>
      </c>
      <c r="G1138" s="126">
        <f t="shared" si="21"/>
        <v>0.27981711522172914</v>
      </c>
      <c r="H1138" s="120"/>
      <c r="I1138" s="120"/>
      <c r="J1138" s="116"/>
      <c r="K1138" s="116"/>
      <c r="L1138" s="116"/>
      <c r="M1138" s="116"/>
      <c r="N1138" s="116"/>
      <c r="O1138" s="116"/>
      <c r="P1138" s="116"/>
    </row>
    <row r="1139" spans="2:16" s="108" customFormat="1" ht="21.75" hidden="1" customHeight="1">
      <c r="B1139" s="109"/>
      <c r="C1139" s="122"/>
      <c r="D1139" s="111" t="s">
        <v>321</v>
      </c>
      <c r="E1139" s="250">
        <f>E1140+E1141</f>
        <v>670386000</v>
      </c>
      <c r="F1139" s="147">
        <v>64189783336.760002</v>
      </c>
      <c r="G1139" s="126">
        <f t="shared" si="21"/>
        <v>1.0443811540583368</v>
      </c>
      <c r="H1139" s="120"/>
      <c r="I1139" s="120"/>
      <c r="J1139" s="116"/>
      <c r="K1139" s="116"/>
      <c r="L1139" s="116"/>
      <c r="M1139" s="116"/>
      <c r="N1139" s="116"/>
      <c r="O1139" s="116"/>
      <c r="P1139" s="116"/>
    </row>
    <row r="1140" spans="2:16" s="108" customFormat="1" ht="21.75" hidden="1" customHeight="1">
      <c r="B1140" s="109"/>
      <c r="C1140" s="122"/>
      <c r="D1140" s="123" t="s">
        <v>985</v>
      </c>
      <c r="E1140" s="696">
        <v>520350000</v>
      </c>
      <c r="F1140" s="147">
        <v>64189783336.760002</v>
      </c>
      <c r="G1140" s="126">
        <f t="shared" si="21"/>
        <v>0.81064302284692036</v>
      </c>
      <c r="H1140" s="120"/>
      <c r="I1140" s="120"/>
      <c r="J1140" s="116"/>
      <c r="K1140" s="116"/>
      <c r="L1140" s="116"/>
      <c r="M1140" s="116"/>
      <c r="N1140" s="116"/>
      <c r="O1140" s="116"/>
      <c r="P1140" s="116"/>
    </row>
    <row r="1141" spans="2:16" s="108" customFormat="1" ht="21.75" hidden="1" customHeight="1">
      <c r="B1141" s="109"/>
      <c r="C1141" s="122"/>
      <c r="D1141" s="123" t="s">
        <v>986</v>
      </c>
      <c r="E1141" s="696">
        <v>150036000</v>
      </c>
      <c r="F1141" s="147">
        <v>64189783336.760002</v>
      </c>
      <c r="G1141" s="126">
        <f t="shared" si="21"/>
        <v>0.23373813121141643</v>
      </c>
      <c r="H1141" s="120"/>
      <c r="I1141" s="120"/>
      <c r="J1141" s="116"/>
      <c r="K1141" s="116"/>
      <c r="L1141" s="116"/>
      <c r="M1141" s="116"/>
      <c r="N1141" s="116"/>
      <c r="O1141" s="116"/>
      <c r="P1141" s="116"/>
    </row>
    <row r="1142" spans="2:16" s="108" customFormat="1" ht="15" hidden="1" customHeight="1">
      <c r="B1142" s="109"/>
      <c r="C1142" s="122"/>
      <c r="D1142" s="123"/>
      <c r="E1142" s="696"/>
      <c r="F1142" s="147"/>
      <c r="G1142" s="126"/>
      <c r="H1142" s="120"/>
      <c r="I1142" s="120"/>
      <c r="J1142" s="116"/>
      <c r="K1142" s="116"/>
      <c r="L1142" s="116"/>
      <c r="M1142" s="116"/>
      <c r="N1142" s="116"/>
      <c r="O1142" s="116"/>
      <c r="P1142" s="116"/>
    </row>
    <row r="1143" spans="2:16" s="108" customFormat="1" ht="21.75" hidden="1" customHeight="1">
      <c r="B1143" s="109"/>
      <c r="C1143" s="122"/>
      <c r="D1143" s="111" t="s">
        <v>987</v>
      </c>
      <c r="E1143" s="250">
        <f>E1144</f>
        <v>2000000000</v>
      </c>
      <c r="F1143" s="147">
        <v>64189783336.760002</v>
      </c>
      <c r="G1143" s="126">
        <f t="shared" si="21"/>
        <v>3.1157606336001549</v>
      </c>
      <c r="H1143" s="120"/>
      <c r="I1143" s="120"/>
      <c r="J1143" s="116"/>
      <c r="K1143" s="116"/>
      <c r="L1143" s="116"/>
      <c r="M1143" s="116"/>
      <c r="N1143" s="116"/>
      <c r="O1143" s="116"/>
      <c r="P1143" s="116"/>
    </row>
    <row r="1144" spans="2:16" s="108" customFormat="1" ht="21.75" hidden="1" customHeight="1">
      <c r="B1144" s="109"/>
      <c r="C1144" s="122"/>
      <c r="D1144" s="111" t="s">
        <v>542</v>
      </c>
      <c r="E1144" s="250">
        <f>E1145+E1146</f>
        <v>2000000000</v>
      </c>
      <c r="F1144" s="147">
        <v>64189783336.760002</v>
      </c>
      <c r="G1144" s="126">
        <f t="shared" si="21"/>
        <v>3.1157606336001549</v>
      </c>
      <c r="H1144" s="120"/>
      <c r="I1144" s="120"/>
      <c r="J1144" s="116"/>
      <c r="K1144" s="116"/>
      <c r="L1144" s="116"/>
      <c r="M1144" s="116"/>
      <c r="N1144" s="116"/>
      <c r="O1144" s="116"/>
      <c r="P1144" s="116"/>
    </row>
    <row r="1145" spans="2:16" s="108" customFormat="1" ht="21.75" hidden="1" customHeight="1">
      <c r="B1145" s="109"/>
      <c r="C1145" s="122"/>
      <c r="D1145" s="123" t="s">
        <v>988</v>
      </c>
      <c r="E1145" s="696">
        <v>1000000000</v>
      </c>
      <c r="F1145" s="147">
        <v>64189783336.760002</v>
      </c>
      <c r="G1145" s="126">
        <f t="shared" si="21"/>
        <v>1.5578803168000774</v>
      </c>
      <c r="H1145" s="120"/>
      <c r="I1145" s="120"/>
      <c r="J1145" s="116"/>
      <c r="K1145" s="116"/>
      <c r="L1145" s="116"/>
      <c r="M1145" s="116"/>
      <c r="N1145" s="116"/>
      <c r="O1145" s="116"/>
      <c r="P1145" s="116"/>
    </row>
    <row r="1146" spans="2:16" s="108" customFormat="1" ht="21.75" hidden="1" customHeight="1">
      <c r="B1146" s="109"/>
      <c r="C1146" s="122"/>
      <c r="D1146" s="123" t="s">
        <v>989</v>
      </c>
      <c r="E1146" s="696">
        <v>1000000000</v>
      </c>
      <c r="F1146" s="147">
        <v>64189783336.760002</v>
      </c>
      <c r="G1146" s="126">
        <f t="shared" si="21"/>
        <v>1.5578803168000774</v>
      </c>
      <c r="H1146" s="120"/>
      <c r="I1146" s="120"/>
      <c r="J1146" s="116"/>
      <c r="K1146" s="116"/>
      <c r="L1146" s="116"/>
      <c r="M1146" s="116"/>
      <c r="N1146" s="116"/>
      <c r="O1146" s="116"/>
      <c r="P1146" s="116"/>
    </row>
    <row r="1147" spans="2:16" s="108" customFormat="1" ht="15" hidden="1" customHeight="1">
      <c r="B1147" s="109"/>
      <c r="C1147" s="122"/>
      <c r="D1147" s="123"/>
      <c r="E1147" s="696"/>
      <c r="F1147" s="147"/>
      <c r="G1147" s="126"/>
      <c r="H1147" s="120"/>
      <c r="I1147" s="120"/>
      <c r="J1147" s="116"/>
      <c r="K1147" s="116"/>
      <c r="L1147" s="116"/>
      <c r="M1147" s="116"/>
      <c r="N1147" s="116"/>
      <c r="O1147" s="116"/>
      <c r="P1147" s="116"/>
    </row>
    <row r="1148" spans="2:16" s="108" customFormat="1" ht="21.75" hidden="1" customHeight="1">
      <c r="B1148" s="109"/>
      <c r="C1148" s="122"/>
      <c r="D1148" s="148" t="s">
        <v>363</v>
      </c>
      <c r="E1148" s="250">
        <f>E1149</f>
        <v>300000000</v>
      </c>
      <c r="F1148" s="147">
        <v>64189783336.760002</v>
      </c>
      <c r="G1148" s="126">
        <f t="shared" si="21"/>
        <v>0.46736409504002324</v>
      </c>
      <c r="H1148" s="120"/>
      <c r="I1148" s="120"/>
      <c r="J1148" s="116"/>
      <c r="K1148" s="116"/>
      <c r="L1148" s="116"/>
      <c r="M1148" s="116"/>
      <c r="N1148" s="116"/>
      <c r="O1148" s="116"/>
      <c r="P1148" s="116"/>
    </row>
    <row r="1149" spans="2:16" s="108" customFormat="1" ht="28.5" hidden="1" customHeight="1">
      <c r="B1149" s="109"/>
      <c r="C1149" s="122"/>
      <c r="D1149" s="111" t="s">
        <v>990</v>
      </c>
      <c r="E1149" s="250">
        <f>E1150+E1151</f>
        <v>300000000</v>
      </c>
      <c r="F1149" s="147">
        <v>64189783336.760002</v>
      </c>
      <c r="G1149" s="126">
        <f t="shared" si="21"/>
        <v>0.46736409504002324</v>
      </c>
      <c r="H1149" s="120"/>
      <c r="I1149" s="120"/>
      <c r="J1149" s="116"/>
      <c r="K1149" s="116"/>
      <c r="L1149" s="116"/>
      <c r="M1149" s="116"/>
      <c r="N1149" s="116"/>
      <c r="O1149" s="116"/>
      <c r="P1149" s="116"/>
    </row>
    <row r="1150" spans="2:16" s="108" customFormat="1" ht="35.25" hidden="1" customHeight="1">
      <c r="B1150" s="109"/>
      <c r="C1150" s="122"/>
      <c r="D1150" s="123" t="s">
        <v>991</v>
      </c>
      <c r="E1150" s="696">
        <v>275000000</v>
      </c>
      <c r="F1150" s="147">
        <v>64189783336.760002</v>
      </c>
      <c r="G1150" s="126">
        <f t="shared" si="21"/>
        <v>0.4284170871200213</v>
      </c>
      <c r="H1150" s="120"/>
      <c r="I1150" s="120"/>
      <c r="J1150" s="116"/>
      <c r="K1150" s="116"/>
      <c r="L1150" s="116"/>
      <c r="M1150" s="116"/>
      <c r="N1150" s="116"/>
      <c r="O1150" s="116"/>
      <c r="P1150" s="116"/>
    </row>
    <row r="1151" spans="2:16" s="108" customFormat="1" ht="21.75" hidden="1" customHeight="1">
      <c r="B1151" s="109"/>
      <c r="C1151" s="122"/>
      <c r="D1151" s="123" t="s">
        <v>992</v>
      </c>
      <c r="E1151" s="696">
        <v>25000000</v>
      </c>
      <c r="F1151" s="147">
        <v>64189783336.760002</v>
      </c>
      <c r="G1151" s="126">
        <f t="shared" si="21"/>
        <v>3.8947007920001935E-2</v>
      </c>
      <c r="H1151" s="120"/>
      <c r="I1151" s="120"/>
      <c r="J1151" s="116"/>
      <c r="K1151" s="116"/>
      <c r="L1151" s="116"/>
      <c r="M1151" s="116"/>
      <c r="N1151" s="116"/>
      <c r="O1151" s="116"/>
      <c r="P1151" s="116"/>
    </row>
    <row r="1152" spans="2:16" s="108" customFormat="1" ht="15" hidden="1" customHeight="1">
      <c r="B1152" s="109"/>
      <c r="C1152" s="122"/>
      <c r="D1152" s="123"/>
      <c r="E1152" s="696"/>
      <c r="F1152" s="147"/>
      <c r="G1152" s="126"/>
      <c r="H1152" s="120"/>
      <c r="I1152" s="120"/>
      <c r="J1152" s="116"/>
      <c r="K1152" s="116"/>
      <c r="L1152" s="116"/>
      <c r="M1152" s="116"/>
      <c r="N1152" s="116"/>
      <c r="O1152" s="116"/>
      <c r="P1152" s="116"/>
    </row>
    <row r="1153" spans="2:16" s="108" customFormat="1" ht="21.75" hidden="1" customHeight="1">
      <c r="B1153" s="109"/>
      <c r="C1153" s="122"/>
      <c r="D1153" s="111" t="s">
        <v>366</v>
      </c>
      <c r="E1153" s="250">
        <f>E1154+E1156</f>
        <v>883795666.75999999</v>
      </c>
      <c r="F1153" s="147">
        <v>64189783336.760002</v>
      </c>
      <c r="G1153" s="126">
        <f t="shared" si="21"/>
        <v>1.3768478733186045</v>
      </c>
      <c r="H1153" s="120"/>
      <c r="I1153" s="120"/>
      <c r="J1153" s="116"/>
      <c r="K1153" s="116"/>
      <c r="L1153" s="116"/>
      <c r="M1153" s="116"/>
      <c r="N1153" s="116"/>
      <c r="O1153" s="116"/>
      <c r="P1153" s="116"/>
    </row>
    <row r="1154" spans="2:16" s="108" customFormat="1" ht="21.75" hidden="1" customHeight="1">
      <c r="B1154" s="109"/>
      <c r="C1154" s="122"/>
      <c r="D1154" s="111" t="s">
        <v>993</v>
      </c>
      <c r="E1154" s="250">
        <f>E1155</f>
        <v>283795666.75999999</v>
      </c>
      <c r="F1154" s="147">
        <v>64189783336.760002</v>
      </c>
      <c r="G1154" s="126">
        <f t="shared" si="21"/>
        <v>0.44211968323855794</v>
      </c>
      <c r="H1154" s="120"/>
      <c r="I1154" s="120"/>
      <c r="J1154" s="116"/>
      <c r="K1154" s="116"/>
      <c r="L1154" s="116"/>
      <c r="M1154" s="116"/>
      <c r="N1154" s="116"/>
      <c r="O1154" s="116"/>
      <c r="P1154" s="116"/>
    </row>
    <row r="1155" spans="2:16" s="108" customFormat="1" ht="35.25" hidden="1" customHeight="1">
      <c r="B1155" s="109"/>
      <c r="C1155" s="122"/>
      <c r="D1155" s="123" t="s">
        <v>994</v>
      </c>
      <c r="E1155" s="696">
        <v>283795666.75999999</v>
      </c>
      <c r="F1155" s="147">
        <v>64189783336.760002</v>
      </c>
      <c r="G1155" s="126">
        <f t="shared" si="21"/>
        <v>0.44211968323855794</v>
      </c>
      <c r="H1155" s="120"/>
      <c r="I1155" s="120"/>
      <c r="J1155" s="116"/>
      <c r="K1155" s="116"/>
      <c r="L1155" s="116"/>
      <c r="M1155" s="116"/>
      <c r="N1155" s="116"/>
      <c r="O1155" s="116"/>
      <c r="P1155" s="116"/>
    </row>
    <row r="1156" spans="2:16" s="108" customFormat="1" ht="21.75" hidden="1" customHeight="1">
      <c r="B1156" s="109"/>
      <c r="C1156" s="122"/>
      <c r="D1156" s="111" t="s">
        <v>884</v>
      </c>
      <c r="E1156" s="250">
        <f>E1157</f>
        <v>600000000</v>
      </c>
      <c r="F1156" s="147">
        <v>64189783336.760002</v>
      </c>
      <c r="G1156" s="126">
        <f t="shared" si="21"/>
        <v>0.93472819008004648</v>
      </c>
      <c r="H1156" s="120"/>
      <c r="I1156" s="120"/>
      <c r="J1156" s="116"/>
      <c r="K1156" s="116"/>
      <c r="L1156" s="116"/>
      <c r="M1156" s="116"/>
      <c r="N1156" s="116"/>
      <c r="O1156" s="116"/>
      <c r="P1156" s="116"/>
    </row>
    <row r="1157" spans="2:16" s="108" customFormat="1" ht="35.25" hidden="1" customHeight="1">
      <c r="B1157" s="109"/>
      <c r="C1157" s="122"/>
      <c r="D1157" s="123" t="s">
        <v>995</v>
      </c>
      <c r="E1157" s="696">
        <v>600000000</v>
      </c>
      <c r="F1157" s="147">
        <v>64189783336.760002</v>
      </c>
      <c r="G1157" s="126">
        <f t="shared" si="21"/>
        <v>0.93472819008004648</v>
      </c>
      <c r="H1157" s="120"/>
      <c r="I1157" s="120"/>
      <c r="J1157" s="116"/>
      <c r="K1157" s="116"/>
      <c r="L1157" s="116"/>
      <c r="M1157" s="116"/>
      <c r="N1157" s="116"/>
      <c r="O1157" s="116"/>
      <c r="P1157" s="116"/>
    </row>
    <row r="1158" spans="2:16" s="108" customFormat="1" ht="35.25" hidden="1" customHeight="1">
      <c r="B1158" s="109"/>
      <c r="C1158" s="122"/>
      <c r="D1158" s="123"/>
      <c r="E1158" s="696"/>
      <c r="F1158" s="147"/>
      <c r="G1158" s="126"/>
      <c r="H1158" s="120"/>
      <c r="I1158" s="120"/>
      <c r="J1158" s="116"/>
      <c r="K1158" s="116"/>
      <c r="L1158" s="116"/>
      <c r="M1158" s="116"/>
      <c r="N1158" s="116"/>
      <c r="O1158" s="116"/>
      <c r="P1158" s="116"/>
    </row>
    <row r="1159" spans="2:16" s="108" customFormat="1" ht="21.75" hidden="1" customHeight="1">
      <c r="B1159" s="109"/>
      <c r="C1159" s="122"/>
      <c r="D1159" s="148" t="s">
        <v>996</v>
      </c>
      <c r="E1159" s="250">
        <f>E1160</f>
        <v>100000000</v>
      </c>
      <c r="F1159" s="147">
        <v>64189783336.760002</v>
      </c>
      <c r="G1159" s="126">
        <f t="shared" si="21"/>
        <v>0.15578803168000774</v>
      </c>
      <c r="H1159" s="120"/>
      <c r="I1159" s="120"/>
      <c r="J1159" s="116"/>
      <c r="K1159" s="116"/>
      <c r="L1159" s="116"/>
      <c r="M1159" s="116"/>
      <c r="N1159" s="116"/>
      <c r="O1159" s="116"/>
      <c r="P1159" s="116"/>
    </row>
    <row r="1160" spans="2:16" s="108" customFormat="1" ht="21.75" hidden="1" customHeight="1">
      <c r="B1160" s="109"/>
      <c r="C1160" s="122"/>
      <c r="D1160" s="111" t="s">
        <v>997</v>
      </c>
      <c r="E1160" s="250">
        <f>E1161</f>
        <v>100000000</v>
      </c>
      <c r="F1160" s="147">
        <v>64189783336.760002</v>
      </c>
      <c r="G1160" s="126">
        <f t="shared" si="21"/>
        <v>0.15578803168000774</v>
      </c>
      <c r="H1160" s="120"/>
      <c r="I1160" s="120"/>
      <c r="J1160" s="116"/>
      <c r="K1160" s="116"/>
      <c r="L1160" s="116"/>
      <c r="M1160" s="116"/>
      <c r="N1160" s="116"/>
      <c r="O1160" s="116"/>
      <c r="P1160" s="116"/>
    </row>
    <row r="1161" spans="2:16" s="108" customFormat="1" ht="35.25" hidden="1" customHeight="1">
      <c r="B1161" s="109"/>
      <c r="C1161" s="122"/>
      <c r="D1161" s="123" t="s">
        <v>998</v>
      </c>
      <c r="E1161" s="696">
        <v>100000000</v>
      </c>
      <c r="F1161" s="147">
        <v>64189783336.760002</v>
      </c>
      <c r="G1161" s="126">
        <f t="shared" si="21"/>
        <v>0.15578803168000774</v>
      </c>
      <c r="H1161" s="120"/>
      <c r="I1161" s="120"/>
      <c r="J1161" s="116"/>
      <c r="K1161" s="116"/>
      <c r="L1161" s="116"/>
      <c r="M1161" s="116"/>
      <c r="N1161" s="116"/>
      <c r="O1161" s="116"/>
      <c r="P1161" s="116"/>
    </row>
    <row r="1162" spans="2:16" s="108" customFormat="1" ht="15" hidden="1" customHeight="1">
      <c r="B1162" s="109"/>
      <c r="C1162" s="122"/>
      <c r="D1162" s="123"/>
      <c r="E1162" s="696"/>
      <c r="F1162" s="147"/>
      <c r="G1162" s="126"/>
      <c r="H1162" s="120"/>
      <c r="I1162" s="120"/>
      <c r="J1162" s="116"/>
      <c r="K1162" s="116"/>
      <c r="L1162" s="116"/>
      <c r="M1162" s="116"/>
      <c r="N1162" s="116"/>
      <c r="O1162" s="116"/>
      <c r="P1162" s="116"/>
    </row>
    <row r="1163" spans="2:16" s="108" customFormat="1" ht="21.75" hidden="1" customHeight="1">
      <c r="B1163" s="109"/>
      <c r="C1163" s="122"/>
      <c r="D1163" s="148" t="s">
        <v>999</v>
      </c>
      <c r="E1163" s="250">
        <f>E1164+E1226</f>
        <v>25370182666</v>
      </c>
      <c r="F1163" s="147">
        <v>64189783336.760002</v>
      </c>
      <c r="G1163" s="126">
        <f t="shared" si="21"/>
        <v>39.523708208983912</v>
      </c>
      <c r="H1163" s="120"/>
      <c r="I1163" s="120"/>
      <c r="J1163" s="116"/>
      <c r="K1163" s="116"/>
      <c r="L1163" s="116"/>
      <c r="M1163" s="116"/>
      <c r="N1163" s="116"/>
      <c r="O1163" s="116"/>
      <c r="P1163" s="116"/>
    </row>
    <row r="1164" spans="2:16" s="108" customFormat="1" ht="21.75" hidden="1" customHeight="1">
      <c r="B1164" s="109"/>
      <c r="C1164" s="122"/>
      <c r="D1164" s="111" t="s">
        <v>377</v>
      </c>
      <c r="E1164" s="250">
        <f>E1165+E1190+E1195</f>
        <v>11435182666</v>
      </c>
      <c r="F1164" s="147">
        <v>64189783336.760002</v>
      </c>
      <c r="G1164" s="126">
        <f t="shared" si="21"/>
        <v>17.814645994374835</v>
      </c>
      <c r="H1164" s="120"/>
      <c r="I1164" s="120"/>
      <c r="J1164" s="116"/>
      <c r="K1164" s="116"/>
      <c r="L1164" s="116"/>
      <c r="M1164" s="116"/>
      <c r="N1164" s="116"/>
      <c r="O1164" s="116"/>
      <c r="P1164" s="116"/>
    </row>
    <row r="1165" spans="2:16" s="108" customFormat="1" ht="21.75" hidden="1" customHeight="1">
      <c r="B1165" s="109"/>
      <c r="C1165" s="122"/>
      <c r="D1165" s="111" t="s">
        <v>897</v>
      </c>
      <c r="E1165" s="250">
        <f>E1166+E1168+E1170+E1172+E1174+E1176+E1178+E1180+E1182+E1184+E1186+E1188</f>
        <v>8200000000</v>
      </c>
      <c r="F1165" s="147">
        <v>64189783336.760002</v>
      </c>
      <c r="G1165" s="126">
        <f t="shared" si="21"/>
        <v>12.774618597760634</v>
      </c>
      <c r="H1165" s="120"/>
      <c r="I1165" s="120"/>
      <c r="J1165" s="116"/>
      <c r="K1165" s="116"/>
      <c r="L1165" s="116"/>
      <c r="M1165" s="116"/>
      <c r="N1165" s="116"/>
      <c r="O1165" s="116"/>
      <c r="P1165" s="116"/>
    </row>
    <row r="1166" spans="2:16" s="108" customFormat="1" ht="21.75" hidden="1" customHeight="1">
      <c r="B1166" s="109"/>
      <c r="C1166" s="122"/>
      <c r="D1166" s="111" t="s">
        <v>1000</v>
      </c>
      <c r="E1166" s="250">
        <f>E1167</f>
        <v>1000000000</v>
      </c>
      <c r="F1166" s="147">
        <v>64189783336.760002</v>
      </c>
      <c r="G1166" s="126">
        <f t="shared" si="21"/>
        <v>1.5578803168000774</v>
      </c>
      <c r="H1166" s="120"/>
      <c r="I1166" s="120"/>
      <c r="J1166" s="116"/>
      <c r="K1166" s="116"/>
      <c r="L1166" s="116"/>
      <c r="M1166" s="116"/>
      <c r="N1166" s="116"/>
      <c r="O1166" s="116"/>
      <c r="P1166" s="116"/>
    </row>
    <row r="1167" spans="2:16" s="108" customFormat="1" ht="21.75" hidden="1" customHeight="1">
      <c r="B1167" s="109"/>
      <c r="C1167" s="122"/>
      <c r="D1167" s="149" t="s">
        <v>1001</v>
      </c>
      <c r="E1167" s="696">
        <v>1000000000</v>
      </c>
      <c r="F1167" s="147">
        <v>64189783336.760002</v>
      </c>
      <c r="G1167" s="126">
        <f t="shared" si="21"/>
        <v>1.5578803168000774</v>
      </c>
      <c r="H1167" s="120"/>
      <c r="I1167" s="120"/>
      <c r="J1167" s="116"/>
      <c r="K1167" s="116"/>
      <c r="L1167" s="116"/>
      <c r="M1167" s="116"/>
      <c r="N1167" s="116"/>
      <c r="O1167" s="116"/>
      <c r="P1167" s="116"/>
    </row>
    <row r="1168" spans="2:16" s="108" customFormat="1" ht="21.75" hidden="1" customHeight="1">
      <c r="B1168" s="109"/>
      <c r="C1168" s="122"/>
      <c r="D1168" s="111" t="s">
        <v>1002</v>
      </c>
      <c r="E1168" s="250">
        <f>E1169</f>
        <v>350000000</v>
      </c>
      <c r="F1168" s="147">
        <v>64189783336.760002</v>
      </c>
      <c r="G1168" s="126">
        <f t="shared" si="21"/>
        <v>0.54525811088002707</v>
      </c>
      <c r="H1168" s="120"/>
      <c r="I1168" s="120"/>
      <c r="J1168" s="116"/>
      <c r="K1168" s="116"/>
      <c r="L1168" s="116"/>
      <c r="M1168" s="116"/>
      <c r="N1168" s="116"/>
      <c r="O1168" s="116"/>
      <c r="P1168" s="116"/>
    </row>
    <row r="1169" spans="2:16" s="108" customFormat="1" ht="21.75" hidden="1" customHeight="1">
      <c r="B1169" s="109"/>
      <c r="C1169" s="122"/>
      <c r="D1169" s="149" t="s">
        <v>1003</v>
      </c>
      <c r="E1169" s="696">
        <v>350000000</v>
      </c>
      <c r="F1169" s="147">
        <v>64189783336.760002</v>
      </c>
      <c r="G1169" s="126">
        <f t="shared" si="21"/>
        <v>0.54525811088002707</v>
      </c>
      <c r="H1169" s="120"/>
      <c r="I1169" s="120"/>
      <c r="J1169" s="116"/>
      <c r="K1169" s="116"/>
      <c r="L1169" s="116"/>
      <c r="M1169" s="116"/>
      <c r="N1169" s="116"/>
      <c r="O1169" s="116"/>
      <c r="P1169" s="116"/>
    </row>
    <row r="1170" spans="2:16" s="108" customFormat="1" ht="21.75" hidden="1" customHeight="1">
      <c r="B1170" s="109"/>
      <c r="C1170" s="122"/>
      <c r="D1170" s="111" t="s">
        <v>1004</v>
      </c>
      <c r="E1170" s="250">
        <f>E1171</f>
        <v>100000000</v>
      </c>
      <c r="F1170" s="147">
        <v>64189783336.760002</v>
      </c>
      <c r="G1170" s="126">
        <f t="shared" si="21"/>
        <v>0.15578803168000774</v>
      </c>
      <c r="H1170" s="120"/>
      <c r="I1170" s="120"/>
      <c r="J1170" s="116"/>
      <c r="K1170" s="116"/>
      <c r="L1170" s="116"/>
      <c r="M1170" s="116"/>
      <c r="N1170" s="116"/>
      <c r="O1170" s="116"/>
      <c r="P1170" s="116"/>
    </row>
    <row r="1171" spans="2:16" s="108" customFormat="1" ht="21.75" hidden="1" customHeight="1">
      <c r="B1171" s="109"/>
      <c r="C1171" s="122"/>
      <c r="D1171" s="149" t="s">
        <v>1005</v>
      </c>
      <c r="E1171" s="696">
        <v>100000000</v>
      </c>
      <c r="F1171" s="147">
        <v>64189783336.760002</v>
      </c>
      <c r="G1171" s="126">
        <f t="shared" si="21"/>
        <v>0.15578803168000774</v>
      </c>
      <c r="H1171" s="120"/>
      <c r="I1171" s="120"/>
      <c r="J1171" s="116"/>
      <c r="K1171" s="116"/>
      <c r="L1171" s="116"/>
      <c r="M1171" s="116"/>
      <c r="N1171" s="116"/>
      <c r="O1171" s="116"/>
      <c r="P1171" s="116"/>
    </row>
    <row r="1172" spans="2:16" s="108" customFormat="1" ht="21.75" hidden="1" customHeight="1">
      <c r="B1172" s="109"/>
      <c r="C1172" s="122"/>
      <c r="D1172" s="111" t="s">
        <v>1006</v>
      </c>
      <c r="E1172" s="250">
        <f>E1173</f>
        <v>250000000</v>
      </c>
      <c r="F1172" s="147">
        <v>64189783336.760002</v>
      </c>
      <c r="G1172" s="126">
        <f t="shared" si="21"/>
        <v>0.38947007920001936</v>
      </c>
      <c r="H1172" s="120"/>
      <c r="I1172" s="120"/>
      <c r="J1172" s="116"/>
      <c r="K1172" s="116"/>
      <c r="L1172" s="116"/>
      <c r="M1172" s="116"/>
      <c r="N1172" s="116"/>
      <c r="O1172" s="116"/>
      <c r="P1172" s="116"/>
    </row>
    <row r="1173" spans="2:16" s="108" customFormat="1" ht="21.75" hidden="1" customHeight="1">
      <c r="B1173" s="109"/>
      <c r="C1173" s="122"/>
      <c r="D1173" s="149" t="s">
        <v>1007</v>
      </c>
      <c r="E1173" s="696">
        <v>250000000</v>
      </c>
      <c r="F1173" s="147">
        <v>64189783336.760002</v>
      </c>
      <c r="G1173" s="126">
        <f t="shared" si="21"/>
        <v>0.38947007920001936</v>
      </c>
      <c r="H1173" s="120"/>
      <c r="I1173" s="120"/>
      <c r="J1173" s="116"/>
      <c r="K1173" s="116"/>
      <c r="L1173" s="116"/>
      <c r="M1173" s="116"/>
      <c r="N1173" s="116"/>
      <c r="O1173" s="116"/>
      <c r="P1173" s="116"/>
    </row>
    <row r="1174" spans="2:16" s="108" customFormat="1" ht="21.75" hidden="1" customHeight="1">
      <c r="B1174" s="109"/>
      <c r="C1174" s="122"/>
      <c r="D1174" s="111" t="s">
        <v>1008</v>
      </c>
      <c r="E1174" s="250">
        <f>E1175</f>
        <v>100000000</v>
      </c>
      <c r="F1174" s="147">
        <v>64189783336.760002</v>
      </c>
      <c r="G1174" s="126">
        <f t="shared" si="21"/>
        <v>0.15578803168000774</v>
      </c>
      <c r="H1174" s="120"/>
      <c r="I1174" s="120"/>
      <c r="J1174" s="116"/>
      <c r="K1174" s="116"/>
      <c r="L1174" s="116"/>
      <c r="M1174" s="116"/>
      <c r="N1174" s="116"/>
      <c r="O1174" s="116"/>
      <c r="P1174" s="116"/>
    </row>
    <row r="1175" spans="2:16" s="108" customFormat="1" ht="21.75" hidden="1" customHeight="1">
      <c r="B1175" s="109"/>
      <c r="C1175" s="122"/>
      <c r="D1175" s="149" t="s">
        <v>1009</v>
      </c>
      <c r="E1175" s="696">
        <v>100000000</v>
      </c>
      <c r="F1175" s="147">
        <v>64189783336.760002</v>
      </c>
      <c r="G1175" s="126">
        <f t="shared" si="21"/>
        <v>0.15578803168000774</v>
      </c>
      <c r="H1175" s="120"/>
      <c r="I1175" s="120"/>
      <c r="J1175" s="116"/>
      <c r="K1175" s="116"/>
      <c r="L1175" s="116"/>
      <c r="M1175" s="116"/>
      <c r="N1175" s="116"/>
      <c r="O1175" s="116"/>
      <c r="P1175" s="116"/>
    </row>
    <row r="1176" spans="2:16" s="108" customFormat="1" ht="21.75" hidden="1" customHeight="1">
      <c r="B1176" s="109"/>
      <c r="C1176" s="122"/>
      <c r="D1176" s="111" t="s">
        <v>1010</v>
      </c>
      <c r="E1176" s="250">
        <f>E1177</f>
        <v>100000000</v>
      </c>
      <c r="F1176" s="147">
        <v>64189783336.760002</v>
      </c>
      <c r="G1176" s="126">
        <f t="shared" si="21"/>
        <v>0.15578803168000774</v>
      </c>
      <c r="H1176" s="120"/>
      <c r="I1176" s="120"/>
      <c r="J1176" s="116"/>
      <c r="K1176" s="116"/>
      <c r="L1176" s="116"/>
      <c r="M1176" s="116"/>
      <c r="N1176" s="116"/>
      <c r="O1176" s="116"/>
      <c r="P1176" s="116"/>
    </row>
    <row r="1177" spans="2:16" s="108" customFormat="1" ht="21.75" hidden="1" customHeight="1">
      <c r="B1177" s="109"/>
      <c r="C1177" s="122"/>
      <c r="D1177" s="149" t="s">
        <v>1011</v>
      </c>
      <c r="E1177" s="696">
        <v>100000000</v>
      </c>
      <c r="F1177" s="147">
        <v>64189783336.760002</v>
      </c>
      <c r="G1177" s="126">
        <f t="shared" si="21"/>
        <v>0.15578803168000774</v>
      </c>
      <c r="H1177" s="120"/>
      <c r="I1177" s="120"/>
      <c r="J1177" s="116"/>
      <c r="K1177" s="116"/>
      <c r="L1177" s="116"/>
      <c r="M1177" s="116"/>
      <c r="N1177" s="116"/>
      <c r="O1177" s="116"/>
      <c r="P1177" s="116"/>
    </row>
    <row r="1178" spans="2:16" s="108" customFormat="1" ht="21.75" hidden="1" customHeight="1">
      <c r="B1178" s="109"/>
      <c r="C1178" s="122"/>
      <c r="D1178" s="111" t="s">
        <v>1012</v>
      </c>
      <c r="E1178" s="250">
        <f>E1179</f>
        <v>500000000</v>
      </c>
      <c r="F1178" s="147">
        <v>64189783336.760002</v>
      </c>
      <c r="G1178" s="126">
        <f t="shared" si="21"/>
        <v>0.77894015840003872</v>
      </c>
      <c r="H1178" s="120"/>
      <c r="I1178" s="120"/>
      <c r="J1178" s="116"/>
      <c r="K1178" s="116"/>
      <c r="L1178" s="116"/>
      <c r="M1178" s="116"/>
      <c r="N1178" s="116"/>
      <c r="O1178" s="116"/>
      <c r="P1178" s="116"/>
    </row>
    <row r="1179" spans="2:16" s="108" customFormat="1" ht="21.75" hidden="1" customHeight="1">
      <c r="B1179" s="109"/>
      <c r="C1179" s="122"/>
      <c r="D1179" s="149" t="s">
        <v>1013</v>
      </c>
      <c r="E1179" s="696">
        <v>500000000</v>
      </c>
      <c r="F1179" s="147">
        <v>64189783336.760002</v>
      </c>
      <c r="G1179" s="126">
        <f t="shared" si="21"/>
        <v>0.77894015840003872</v>
      </c>
      <c r="H1179" s="120"/>
      <c r="I1179" s="120"/>
      <c r="J1179" s="116"/>
      <c r="K1179" s="116"/>
      <c r="L1179" s="116"/>
      <c r="M1179" s="116"/>
      <c r="N1179" s="116"/>
      <c r="O1179" s="116"/>
      <c r="P1179" s="116"/>
    </row>
    <row r="1180" spans="2:16" s="108" customFormat="1" ht="21.75" hidden="1" customHeight="1">
      <c r="B1180" s="109"/>
      <c r="C1180" s="122"/>
      <c r="D1180" s="111" t="s">
        <v>1014</v>
      </c>
      <c r="E1180" s="250">
        <f>E1181</f>
        <v>1500000000</v>
      </c>
      <c r="F1180" s="147">
        <v>64189783336.760002</v>
      </c>
      <c r="G1180" s="126">
        <f t="shared" si="21"/>
        <v>2.336820475200116</v>
      </c>
      <c r="H1180" s="120"/>
      <c r="I1180" s="120"/>
      <c r="J1180" s="116"/>
      <c r="K1180" s="116"/>
      <c r="L1180" s="116"/>
      <c r="M1180" s="116"/>
      <c r="N1180" s="116"/>
      <c r="O1180" s="116"/>
      <c r="P1180" s="116"/>
    </row>
    <row r="1181" spans="2:16" s="108" customFormat="1" ht="21.75" hidden="1" customHeight="1">
      <c r="B1181" s="109"/>
      <c r="C1181" s="122"/>
      <c r="D1181" s="149" t="s">
        <v>1015</v>
      </c>
      <c r="E1181" s="696">
        <v>1500000000</v>
      </c>
      <c r="F1181" s="147">
        <v>64189783336.760002</v>
      </c>
      <c r="G1181" s="126">
        <f t="shared" si="21"/>
        <v>2.336820475200116</v>
      </c>
      <c r="H1181" s="120"/>
      <c r="I1181" s="120"/>
      <c r="J1181" s="116"/>
      <c r="K1181" s="116"/>
      <c r="L1181" s="116"/>
      <c r="M1181" s="116"/>
      <c r="N1181" s="116"/>
      <c r="O1181" s="116"/>
      <c r="P1181" s="116"/>
    </row>
    <row r="1182" spans="2:16" s="108" customFormat="1" ht="35.25" hidden="1" customHeight="1">
      <c r="B1182" s="109"/>
      <c r="C1182" s="122"/>
      <c r="D1182" s="111" t="s">
        <v>1016</v>
      </c>
      <c r="E1182" s="250">
        <f>E1183</f>
        <v>500000000</v>
      </c>
      <c r="F1182" s="147">
        <v>64189783336.760002</v>
      </c>
      <c r="G1182" s="126">
        <f t="shared" si="21"/>
        <v>0.77894015840003872</v>
      </c>
      <c r="H1182" s="120"/>
      <c r="I1182" s="120"/>
      <c r="J1182" s="116"/>
      <c r="K1182" s="116"/>
      <c r="L1182" s="116"/>
      <c r="M1182" s="116"/>
      <c r="N1182" s="116"/>
      <c r="O1182" s="116"/>
      <c r="P1182" s="116"/>
    </row>
    <row r="1183" spans="2:16" s="108" customFormat="1" ht="21.75" hidden="1" customHeight="1">
      <c r="B1183" s="109"/>
      <c r="C1183" s="122"/>
      <c r="D1183" s="149" t="s">
        <v>1017</v>
      </c>
      <c r="E1183" s="696">
        <v>500000000</v>
      </c>
      <c r="F1183" s="147">
        <v>64189783336.760002</v>
      </c>
      <c r="G1183" s="126">
        <f t="shared" si="21"/>
        <v>0.77894015840003872</v>
      </c>
      <c r="H1183" s="120"/>
      <c r="I1183" s="120"/>
      <c r="J1183" s="116"/>
      <c r="K1183" s="116"/>
      <c r="L1183" s="116"/>
      <c r="M1183" s="116"/>
      <c r="N1183" s="116"/>
      <c r="O1183" s="116"/>
      <c r="P1183" s="116"/>
    </row>
    <row r="1184" spans="2:16" s="108" customFormat="1" ht="21.75" hidden="1" customHeight="1">
      <c r="B1184" s="109"/>
      <c r="C1184" s="122"/>
      <c r="D1184" s="111" t="s">
        <v>1018</v>
      </c>
      <c r="E1184" s="250">
        <f>E1185</f>
        <v>500000000</v>
      </c>
      <c r="F1184" s="147">
        <v>64189783336.760002</v>
      </c>
      <c r="G1184" s="126">
        <f t="shared" si="21"/>
        <v>0.77894015840003872</v>
      </c>
      <c r="H1184" s="120"/>
      <c r="I1184" s="120"/>
      <c r="J1184" s="116"/>
      <c r="K1184" s="116"/>
      <c r="L1184" s="116"/>
      <c r="M1184" s="116"/>
      <c r="N1184" s="116"/>
      <c r="O1184" s="116"/>
      <c r="P1184" s="116"/>
    </row>
    <row r="1185" spans="2:16" s="108" customFormat="1" ht="21.75" hidden="1" customHeight="1">
      <c r="B1185" s="109"/>
      <c r="C1185" s="122"/>
      <c r="D1185" s="149" t="s">
        <v>1019</v>
      </c>
      <c r="E1185" s="696">
        <v>500000000</v>
      </c>
      <c r="F1185" s="147">
        <v>64189783336.760002</v>
      </c>
      <c r="G1185" s="126">
        <f t="shared" si="21"/>
        <v>0.77894015840003872</v>
      </c>
      <c r="H1185" s="120"/>
      <c r="I1185" s="120"/>
      <c r="J1185" s="116"/>
      <c r="K1185" s="116"/>
      <c r="L1185" s="116"/>
      <c r="M1185" s="116"/>
      <c r="N1185" s="116"/>
      <c r="O1185" s="116"/>
      <c r="P1185" s="116"/>
    </row>
    <row r="1186" spans="2:16" s="108" customFormat="1" ht="21.75" hidden="1" customHeight="1">
      <c r="B1186" s="109"/>
      <c r="C1186" s="122"/>
      <c r="D1186" s="111" t="s">
        <v>1020</v>
      </c>
      <c r="E1186" s="250">
        <f>E1187</f>
        <v>1000000000</v>
      </c>
      <c r="F1186" s="147">
        <v>64189783336.760002</v>
      </c>
      <c r="G1186" s="126">
        <f t="shared" si="21"/>
        <v>1.5578803168000774</v>
      </c>
      <c r="H1186" s="120"/>
      <c r="I1186" s="120"/>
      <c r="J1186" s="116"/>
      <c r="K1186" s="116"/>
      <c r="L1186" s="116"/>
      <c r="M1186" s="116"/>
      <c r="N1186" s="116"/>
      <c r="O1186" s="116"/>
      <c r="P1186" s="116"/>
    </row>
    <row r="1187" spans="2:16" s="108" customFormat="1" ht="21.75" hidden="1" customHeight="1">
      <c r="B1187" s="109"/>
      <c r="C1187" s="122"/>
      <c r="D1187" s="149" t="s">
        <v>1021</v>
      </c>
      <c r="E1187" s="696">
        <v>1000000000</v>
      </c>
      <c r="F1187" s="147">
        <v>64189783336.760002</v>
      </c>
      <c r="G1187" s="126">
        <f t="shared" si="21"/>
        <v>1.5578803168000774</v>
      </c>
      <c r="H1187" s="120"/>
      <c r="I1187" s="120"/>
      <c r="J1187" s="116"/>
      <c r="K1187" s="116"/>
      <c r="L1187" s="116"/>
      <c r="M1187" s="116"/>
      <c r="N1187" s="116"/>
      <c r="O1187" s="116"/>
      <c r="P1187" s="116"/>
    </row>
    <row r="1188" spans="2:16" s="108" customFormat="1" ht="21.75" hidden="1" customHeight="1">
      <c r="B1188" s="109"/>
      <c r="C1188" s="122"/>
      <c r="D1188" s="111" t="s">
        <v>1022</v>
      </c>
      <c r="E1188" s="250">
        <f>E1189</f>
        <v>2300000000</v>
      </c>
      <c r="F1188" s="147">
        <v>64189783336.760002</v>
      </c>
      <c r="G1188" s="126">
        <f t="shared" si="21"/>
        <v>3.5831247286401782</v>
      </c>
      <c r="H1188" s="120"/>
      <c r="I1188" s="120"/>
      <c r="J1188" s="116"/>
      <c r="K1188" s="116"/>
      <c r="L1188" s="116"/>
      <c r="M1188" s="116"/>
      <c r="N1188" s="116"/>
      <c r="O1188" s="116"/>
      <c r="P1188" s="116"/>
    </row>
    <row r="1189" spans="2:16" s="108" customFormat="1" ht="21.75" hidden="1" customHeight="1">
      <c r="B1189" s="109"/>
      <c r="C1189" s="122"/>
      <c r="D1189" s="149" t="s">
        <v>1023</v>
      </c>
      <c r="E1189" s="696">
        <v>2300000000</v>
      </c>
      <c r="F1189" s="147">
        <v>64189783336.760002</v>
      </c>
      <c r="G1189" s="126">
        <f t="shared" si="21"/>
        <v>3.5831247286401782</v>
      </c>
      <c r="H1189" s="120"/>
      <c r="I1189" s="120"/>
      <c r="J1189" s="116"/>
      <c r="K1189" s="116"/>
      <c r="L1189" s="116"/>
      <c r="M1189" s="116"/>
      <c r="N1189" s="116"/>
      <c r="O1189" s="116"/>
      <c r="P1189" s="116"/>
    </row>
    <row r="1190" spans="2:16" s="108" customFormat="1" ht="21.75" hidden="1" customHeight="1">
      <c r="B1190" s="109"/>
      <c r="C1190" s="122"/>
      <c r="D1190" s="111" t="s">
        <v>1024</v>
      </c>
      <c r="E1190" s="250">
        <f>E1191+E1193</f>
        <v>1585182666</v>
      </c>
      <c r="F1190" s="147">
        <v>64189783336.760002</v>
      </c>
      <c r="G1190" s="126">
        <f t="shared" si="21"/>
        <v>2.4695248738940712</v>
      </c>
      <c r="H1190" s="120"/>
      <c r="I1190" s="120"/>
      <c r="J1190" s="116"/>
      <c r="K1190" s="116"/>
      <c r="L1190" s="116"/>
      <c r="M1190" s="116"/>
      <c r="N1190" s="116"/>
      <c r="O1190" s="116"/>
      <c r="P1190" s="116"/>
    </row>
    <row r="1191" spans="2:16" s="108" customFormat="1" ht="21.75" hidden="1" customHeight="1">
      <c r="B1191" s="109"/>
      <c r="C1191" s="122"/>
      <c r="D1191" s="111" t="s">
        <v>1025</v>
      </c>
      <c r="E1191" s="250">
        <f>E1192</f>
        <v>301387000</v>
      </c>
      <c r="F1191" s="147">
        <v>64189783336.760002</v>
      </c>
      <c r="G1191" s="126">
        <f t="shared" ref="G1191:G1246" si="22">+E1191/F1191*100</f>
        <v>0.46952487503942492</v>
      </c>
      <c r="H1191" s="120"/>
      <c r="I1191" s="120"/>
      <c r="J1191" s="116"/>
      <c r="K1191" s="116"/>
      <c r="L1191" s="116"/>
      <c r="M1191" s="116"/>
      <c r="N1191" s="116"/>
      <c r="O1191" s="116"/>
      <c r="P1191" s="116"/>
    </row>
    <row r="1192" spans="2:16" s="108" customFormat="1" ht="21.75" hidden="1" customHeight="1">
      <c r="B1192" s="109"/>
      <c r="C1192" s="122"/>
      <c r="D1192" s="149" t="s">
        <v>1026</v>
      </c>
      <c r="E1192" s="696">
        <v>301387000</v>
      </c>
      <c r="F1192" s="147">
        <v>64189783336.760002</v>
      </c>
      <c r="G1192" s="126">
        <f t="shared" si="22"/>
        <v>0.46952487503942492</v>
      </c>
      <c r="H1192" s="120"/>
      <c r="I1192" s="120"/>
      <c r="J1192" s="116"/>
      <c r="K1192" s="116"/>
      <c r="L1192" s="116"/>
      <c r="M1192" s="116"/>
      <c r="N1192" s="116"/>
      <c r="O1192" s="116"/>
      <c r="P1192" s="116"/>
    </row>
    <row r="1193" spans="2:16" s="108" customFormat="1" ht="21.75" hidden="1" customHeight="1">
      <c r="B1193" s="109"/>
      <c r="C1193" s="122"/>
      <c r="D1193" s="111" t="s">
        <v>1027</v>
      </c>
      <c r="E1193" s="250">
        <f>E1194</f>
        <v>1283795666</v>
      </c>
      <c r="F1193" s="147">
        <v>64189783336.760002</v>
      </c>
      <c r="G1193" s="126">
        <f t="shared" si="22"/>
        <v>1.9999999988546464</v>
      </c>
      <c r="H1193" s="120"/>
      <c r="I1193" s="120"/>
      <c r="J1193" s="116"/>
      <c r="K1193" s="116"/>
      <c r="L1193" s="116"/>
      <c r="M1193" s="116"/>
      <c r="N1193" s="116"/>
      <c r="O1193" s="116"/>
      <c r="P1193" s="116"/>
    </row>
    <row r="1194" spans="2:16" s="108" customFormat="1" ht="21.75" hidden="1" customHeight="1">
      <c r="B1194" s="109"/>
      <c r="C1194" s="122"/>
      <c r="D1194" s="149" t="s">
        <v>1028</v>
      </c>
      <c r="E1194" s="696">
        <v>1283795666</v>
      </c>
      <c r="F1194" s="147">
        <v>64189783336.760002</v>
      </c>
      <c r="G1194" s="126">
        <f t="shared" si="22"/>
        <v>1.9999999988546464</v>
      </c>
      <c r="H1194" s="120"/>
      <c r="I1194" s="120"/>
      <c r="J1194" s="116"/>
      <c r="K1194" s="116"/>
      <c r="L1194" s="116"/>
      <c r="M1194" s="116"/>
      <c r="N1194" s="116"/>
      <c r="O1194" s="116"/>
      <c r="P1194" s="116"/>
    </row>
    <row r="1195" spans="2:16" s="108" customFormat="1" ht="21.75" hidden="1" customHeight="1">
      <c r="B1195" s="109"/>
      <c r="C1195" s="122"/>
      <c r="D1195" s="111" t="s">
        <v>1029</v>
      </c>
      <c r="E1195" s="250">
        <f>E1196+E1198+E1200+E1202+E1204+E1206+E1208+E1210+E1212+E1214+E1216+E1218+E1220+E1222+E1224</f>
        <v>1650000000</v>
      </c>
      <c r="F1195" s="147">
        <v>64189783336.760002</v>
      </c>
      <c r="G1195" s="126">
        <f t="shared" si="22"/>
        <v>2.5705025227201279</v>
      </c>
      <c r="H1195" s="120"/>
      <c r="I1195" s="120"/>
      <c r="J1195" s="116"/>
      <c r="K1195" s="116"/>
      <c r="L1195" s="116"/>
      <c r="M1195" s="116"/>
      <c r="N1195" s="116"/>
      <c r="O1195" s="116"/>
      <c r="P1195" s="116"/>
    </row>
    <row r="1196" spans="2:16" s="108" customFormat="1" ht="21.75" hidden="1" customHeight="1">
      <c r="B1196" s="109"/>
      <c r="C1196" s="122"/>
      <c r="D1196" s="111" t="s">
        <v>1030</v>
      </c>
      <c r="E1196" s="250">
        <f>E1197</f>
        <v>100000000</v>
      </c>
      <c r="F1196" s="147">
        <v>64189783336.760002</v>
      </c>
      <c r="G1196" s="126">
        <f t="shared" si="22"/>
        <v>0.15578803168000774</v>
      </c>
      <c r="H1196" s="120"/>
      <c r="I1196" s="120"/>
      <c r="J1196" s="116"/>
      <c r="K1196" s="116"/>
      <c r="L1196" s="116"/>
      <c r="M1196" s="116"/>
      <c r="N1196" s="116"/>
      <c r="O1196" s="116"/>
      <c r="P1196" s="116"/>
    </row>
    <row r="1197" spans="2:16" s="108" customFormat="1" ht="21.75" hidden="1" customHeight="1">
      <c r="B1197" s="109"/>
      <c r="C1197" s="122"/>
      <c r="D1197" s="149" t="s">
        <v>1031</v>
      </c>
      <c r="E1197" s="696">
        <v>100000000</v>
      </c>
      <c r="F1197" s="147">
        <v>64189783336.760002</v>
      </c>
      <c r="G1197" s="126">
        <f t="shared" si="22"/>
        <v>0.15578803168000774</v>
      </c>
      <c r="H1197" s="120"/>
      <c r="I1197" s="120"/>
      <c r="J1197" s="116"/>
      <c r="K1197" s="116"/>
      <c r="L1197" s="116"/>
      <c r="M1197" s="116"/>
      <c r="N1197" s="116"/>
      <c r="O1197" s="116"/>
      <c r="P1197" s="116"/>
    </row>
    <row r="1198" spans="2:16" s="108" customFormat="1" ht="21.75" hidden="1" customHeight="1">
      <c r="B1198" s="109"/>
      <c r="C1198" s="122"/>
      <c r="D1198" s="111" t="s">
        <v>1032</v>
      </c>
      <c r="E1198" s="250">
        <f>E1199</f>
        <v>100000000</v>
      </c>
      <c r="F1198" s="147">
        <v>64189783336.760002</v>
      </c>
      <c r="G1198" s="126">
        <f t="shared" si="22"/>
        <v>0.15578803168000774</v>
      </c>
      <c r="H1198" s="120"/>
      <c r="I1198" s="120"/>
      <c r="J1198" s="116"/>
      <c r="K1198" s="116"/>
      <c r="L1198" s="116"/>
      <c r="M1198" s="116"/>
      <c r="N1198" s="116"/>
      <c r="O1198" s="116"/>
      <c r="P1198" s="116"/>
    </row>
    <row r="1199" spans="2:16" s="108" customFormat="1" ht="21.75" hidden="1" customHeight="1">
      <c r="B1199" s="109"/>
      <c r="C1199" s="122"/>
      <c r="D1199" s="149" t="s">
        <v>1033</v>
      </c>
      <c r="E1199" s="696">
        <v>100000000</v>
      </c>
      <c r="F1199" s="147">
        <v>64189783336.760002</v>
      </c>
      <c r="G1199" s="126">
        <f t="shared" si="22"/>
        <v>0.15578803168000774</v>
      </c>
      <c r="H1199" s="120"/>
      <c r="I1199" s="120"/>
      <c r="J1199" s="116"/>
      <c r="K1199" s="116"/>
      <c r="L1199" s="116"/>
      <c r="M1199" s="116"/>
      <c r="N1199" s="116"/>
      <c r="O1199" s="116"/>
      <c r="P1199" s="116"/>
    </row>
    <row r="1200" spans="2:16" s="108" customFormat="1" ht="21.75" hidden="1" customHeight="1">
      <c r="B1200" s="109"/>
      <c r="C1200" s="122"/>
      <c r="D1200" s="111" t="s">
        <v>1034</v>
      </c>
      <c r="E1200" s="250">
        <f>E1201</f>
        <v>100000000</v>
      </c>
      <c r="F1200" s="147">
        <v>64189783336.760002</v>
      </c>
      <c r="G1200" s="126">
        <f t="shared" si="22"/>
        <v>0.15578803168000774</v>
      </c>
      <c r="H1200" s="120"/>
      <c r="I1200" s="120"/>
      <c r="J1200" s="116"/>
      <c r="K1200" s="116"/>
      <c r="L1200" s="116"/>
      <c r="M1200" s="116"/>
      <c r="N1200" s="116"/>
      <c r="O1200" s="116"/>
      <c r="P1200" s="116"/>
    </row>
    <row r="1201" spans="2:16" s="108" customFormat="1" ht="21.75" hidden="1" customHeight="1">
      <c r="B1201" s="109"/>
      <c r="C1201" s="122"/>
      <c r="D1201" s="149" t="s">
        <v>1035</v>
      </c>
      <c r="E1201" s="696">
        <v>100000000</v>
      </c>
      <c r="F1201" s="147">
        <v>64189783336.760002</v>
      </c>
      <c r="G1201" s="126">
        <f t="shared" si="22"/>
        <v>0.15578803168000774</v>
      </c>
      <c r="H1201" s="120"/>
      <c r="I1201" s="120"/>
      <c r="J1201" s="116"/>
      <c r="K1201" s="116"/>
      <c r="L1201" s="116"/>
      <c r="M1201" s="116"/>
      <c r="N1201" s="116"/>
      <c r="O1201" s="116"/>
      <c r="P1201" s="116"/>
    </row>
    <row r="1202" spans="2:16" s="108" customFormat="1" ht="21.75" hidden="1" customHeight="1">
      <c r="B1202" s="109"/>
      <c r="C1202" s="122"/>
      <c r="D1202" s="111" t="s">
        <v>1036</v>
      </c>
      <c r="E1202" s="250">
        <f>E1203</f>
        <v>100000000</v>
      </c>
      <c r="F1202" s="147">
        <v>64189783336.760002</v>
      </c>
      <c r="G1202" s="126">
        <f t="shared" si="22"/>
        <v>0.15578803168000774</v>
      </c>
      <c r="H1202" s="120"/>
      <c r="I1202" s="120"/>
      <c r="J1202" s="116"/>
      <c r="K1202" s="116"/>
      <c r="L1202" s="116"/>
      <c r="M1202" s="116"/>
      <c r="N1202" s="116"/>
      <c r="O1202" s="116"/>
      <c r="P1202" s="116"/>
    </row>
    <row r="1203" spans="2:16" s="108" customFormat="1" ht="21.75" hidden="1" customHeight="1">
      <c r="B1203" s="109"/>
      <c r="C1203" s="122"/>
      <c r="D1203" s="149" t="s">
        <v>1037</v>
      </c>
      <c r="E1203" s="696">
        <v>100000000</v>
      </c>
      <c r="F1203" s="147">
        <v>64189783336.760002</v>
      </c>
      <c r="G1203" s="126">
        <f t="shared" si="22"/>
        <v>0.15578803168000774</v>
      </c>
      <c r="H1203" s="120"/>
      <c r="I1203" s="120"/>
      <c r="J1203" s="116"/>
      <c r="K1203" s="116"/>
      <c r="L1203" s="116"/>
      <c r="M1203" s="116"/>
      <c r="N1203" s="116"/>
      <c r="O1203" s="116"/>
      <c r="P1203" s="116"/>
    </row>
    <row r="1204" spans="2:16" s="108" customFormat="1" ht="21.75" hidden="1" customHeight="1">
      <c r="B1204" s="109"/>
      <c r="C1204" s="122"/>
      <c r="D1204" s="111" t="s">
        <v>1038</v>
      </c>
      <c r="E1204" s="250">
        <f>E1205</f>
        <v>100000000</v>
      </c>
      <c r="F1204" s="147">
        <v>64189783336.760002</v>
      </c>
      <c r="G1204" s="126">
        <f t="shared" si="22"/>
        <v>0.15578803168000774</v>
      </c>
      <c r="H1204" s="120"/>
      <c r="I1204" s="120"/>
      <c r="J1204" s="116"/>
      <c r="K1204" s="116"/>
      <c r="L1204" s="116"/>
      <c r="M1204" s="116"/>
      <c r="N1204" s="116"/>
      <c r="O1204" s="116"/>
      <c r="P1204" s="116"/>
    </row>
    <row r="1205" spans="2:16" s="108" customFormat="1" ht="21.75" hidden="1" customHeight="1">
      <c r="B1205" s="109"/>
      <c r="C1205" s="122"/>
      <c r="D1205" s="149" t="s">
        <v>1039</v>
      </c>
      <c r="E1205" s="696">
        <v>100000000</v>
      </c>
      <c r="F1205" s="147">
        <v>64189783336.760002</v>
      </c>
      <c r="G1205" s="126">
        <f t="shared" si="22"/>
        <v>0.15578803168000774</v>
      </c>
      <c r="H1205" s="120"/>
      <c r="I1205" s="120"/>
      <c r="J1205" s="116"/>
      <c r="K1205" s="116"/>
      <c r="L1205" s="116"/>
      <c r="M1205" s="116"/>
      <c r="N1205" s="116"/>
      <c r="O1205" s="116"/>
      <c r="P1205" s="116"/>
    </row>
    <row r="1206" spans="2:16" s="108" customFormat="1" ht="21.75" hidden="1" customHeight="1">
      <c r="B1206" s="109"/>
      <c r="C1206" s="122"/>
      <c r="D1206" s="111" t="s">
        <v>1040</v>
      </c>
      <c r="E1206" s="250">
        <f>E1207</f>
        <v>200000000</v>
      </c>
      <c r="F1206" s="147">
        <v>64189783336.760002</v>
      </c>
      <c r="G1206" s="126">
        <f t="shared" si="22"/>
        <v>0.31157606336001548</v>
      </c>
      <c r="H1206" s="120"/>
      <c r="I1206" s="120"/>
      <c r="J1206" s="116"/>
      <c r="K1206" s="116"/>
      <c r="L1206" s="116"/>
      <c r="M1206" s="116"/>
      <c r="N1206" s="116"/>
      <c r="O1206" s="116"/>
      <c r="P1206" s="116"/>
    </row>
    <row r="1207" spans="2:16" s="108" customFormat="1" ht="21.75" hidden="1" customHeight="1">
      <c r="B1207" s="109"/>
      <c r="C1207" s="122"/>
      <c r="D1207" s="149" t="s">
        <v>1041</v>
      </c>
      <c r="E1207" s="696">
        <v>200000000</v>
      </c>
      <c r="F1207" s="147">
        <v>64189783336.760002</v>
      </c>
      <c r="G1207" s="126">
        <f t="shared" si="22"/>
        <v>0.31157606336001548</v>
      </c>
      <c r="H1207" s="120"/>
      <c r="I1207" s="120"/>
      <c r="J1207" s="116"/>
      <c r="K1207" s="116"/>
      <c r="L1207" s="116"/>
      <c r="M1207" s="116"/>
      <c r="N1207" s="116"/>
      <c r="O1207" s="116"/>
      <c r="P1207" s="116"/>
    </row>
    <row r="1208" spans="2:16" s="108" customFormat="1" ht="21.75" hidden="1" customHeight="1">
      <c r="B1208" s="109"/>
      <c r="C1208" s="122"/>
      <c r="D1208" s="111" t="s">
        <v>1042</v>
      </c>
      <c r="E1208" s="250">
        <f>E1209</f>
        <v>100000000</v>
      </c>
      <c r="F1208" s="147">
        <v>64189783336.760002</v>
      </c>
      <c r="G1208" s="126">
        <f t="shared" si="22"/>
        <v>0.15578803168000774</v>
      </c>
      <c r="H1208" s="120"/>
      <c r="I1208" s="120"/>
      <c r="J1208" s="116"/>
      <c r="K1208" s="116"/>
      <c r="L1208" s="116"/>
      <c r="M1208" s="116"/>
      <c r="N1208" s="116"/>
      <c r="O1208" s="116"/>
      <c r="P1208" s="116"/>
    </row>
    <row r="1209" spans="2:16" s="108" customFormat="1" ht="21.75" hidden="1" customHeight="1">
      <c r="B1209" s="109"/>
      <c r="C1209" s="122"/>
      <c r="D1209" s="149" t="s">
        <v>1043</v>
      </c>
      <c r="E1209" s="696">
        <v>100000000</v>
      </c>
      <c r="F1209" s="147">
        <v>64189783336.760002</v>
      </c>
      <c r="G1209" s="126">
        <f t="shared" si="22"/>
        <v>0.15578803168000774</v>
      </c>
      <c r="H1209" s="120"/>
      <c r="I1209" s="120"/>
      <c r="J1209" s="116"/>
      <c r="K1209" s="116"/>
      <c r="L1209" s="116"/>
      <c r="M1209" s="116"/>
      <c r="N1209" s="116"/>
      <c r="O1209" s="116"/>
      <c r="P1209" s="116"/>
    </row>
    <row r="1210" spans="2:16" s="108" customFormat="1" ht="21.75" hidden="1" customHeight="1">
      <c r="B1210" s="109"/>
      <c r="C1210" s="122"/>
      <c r="D1210" s="111" t="s">
        <v>1044</v>
      </c>
      <c r="E1210" s="250">
        <f>E1211</f>
        <v>100000000</v>
      </c>
      <c r="F1210" s="147">
        <v>64189783336.760002</v>
      </c>
      <c r="G1210" s="126">
        <f t="shared" si="22"/>
        <v>0.15578803168000774</v>
      </c>
      <c r="H1210" s="120"/>
      <c r="I1210" s="120"/>
      <c r="J1210" s="116"/>
      <c r="K1210" s="116"/>
      <c r="L1210" s="116"/>
      <c r="M1210" s="116"/>
      <c r="N1210" s="116"/>
      <c r="O1210" s="116"/>
      <c r="P1210" s="116"/>
    </row>
    <row r="1211" spans="2:16" s="108" customFormat="1" ht="21.75" hidden="1" customHeight="1">
      <c r="B1211" s="109"/>
      <c r="C1211" s="122"/>
      <c r="D1211" s="149" t="s">
        <v>1045</v>
      </c>
      <c r="E1211" s="696">
        <v>100000000</v>
      </c>
      <c r="F1211" s="147">
        <v>64189783336.760002</v>
      </c>
      <c r="G1211" s="126">
        <f t="shared" si="22"/>
        <v>0.15578803168000774</v>
      </c>
      <c r="H1211" s="120"/>
      <c r="I1211" s="120"/>
      <c r="J1211" s="116"/>
      <c r="K1211" s="116"/>
      <c r="L1211" s="116"/>
      <c r="M1211" s="116"/>
      <c r="N1211" s="116"/>
      <c r="O1211" s="116"/>
      <c r="P1211" s="116"/>
    </row>
    <row r="1212" spans="2:16" s="108" customFormat="1" ht="21.75" hidden="1" customHeight="1">
      <c r="B1212" s="109"/>
      <c r="C1212" s="122"/>
      <c r="D1212" s="111" t="s">
        <v>1046</v>
      </c>
      <c r="E1212" s="250">
        <f>E1213</f>
        <v>100000000</v>
      </c>
      <c r="F1212" s="147">
        <v>64189783336.760002</v>
      </c>
      <c r="G1212" s="126">
        <f t="shared" si="22"/>
        <v>0.15578803168000774</v>
      </c>
      <c r="H1212" s="120"/>
      <c r="I1212" s="120"/>
      <c r="J1212" s="116"/>
      <c r="K1212" s="116"/>
      <c r="L1212" s="116"/>
      <c r="M1212" s="116"/>
      <c r="N1212" s="116"/>
      <c r="O1212" s="116"/>
      <c r="P1212" s="116"/>
    </row>
    <row r="1213" spans="2:16" s="108" customFormat="1" ht="21.75" hidden="1" customHeight="1">
      <c r="B1213" s="109"/>
      <c r="C1213" s="122"/>
      <c r="D1213" s="149" t="s">
        <v>1047</v>
      </c>
      <c r="E1213" s="696">
        <v>100000000</v>
      </c>
      <c r="F1213" s="147">
        <v>64189783336.760002</v>
      </c>
      <c r="G1213" s="126">
        <f t="shared" si="22"/>
        <v>0.15578803168000774</v>
      </c>
      <c r="H1213" s="120"/>
      <c r="I1213" s="120"/>
      <c r="J1213" s="116"/>
      <c r="K1213" s="116"/>
      <c r="L1213" s="116"/>
      <c r="M1213" s="116"/>
      <c r="N1213" s="116"/>
      <c r="O1213" s="116"/>
      <c r="P1213" s="116"/>
    </row>
    <row r="1214" spans="2:16" s="108" customFormat="1" ht="21.75" hidden="1" customHeight="1">
      <c r="B1214" s="109"/>
      <c r="C1214" s="122"/>
      <c r="D1214" s="111" t="s">
        <v>1048</v>
      </c>
      <c r="E1214" s="250">
        <f>E1215</f>
        <v>100000000</v>
      </c>
      <c r="F1214" s="147">
        <v>64189783336.760002</v>
      </c>
      <c r="G1214" s="126">
        <f t="shared" si="22"/>
        <v>0.15578803168000774</v>
      </c>
      <c r="H1214" s="120"/>
      <c r="I1214" s="120"/>
      <c r="J1214" s="116"/>
      <c r="K1214" s="116"/>
      <c r="L1214" s="116"/>
      <c r="M1214" s="116"/>
      <c r="N1214" s="116"/>
      <c r="O1214" s="116"/>
      <c r="P1214" s="116"/>
    </row>
    <row r="1215" spans="2:16" s="108" customFormat="1" ht="21.75" hidden="1" customHeight="1">
      <c r="B1215" s="109"/>
      <c r="C1215" s="122"/>
      <c r="D1215" s="149" t="s">
        <v>1049</v>
      </c>
      <c r="E1215" s="696">
        <v>100000000</v>
      </c>
      <c r="F1215" s="147">
        <v>64189783336.760002</v>
      </c>
      <c r="G1215" s="126">
        <f t="shared" si="22"/>
        <v>0.15578803168000774</v>
      </c>
      <c r="H1215" s="120"/>
      <c r="I1215" s="120"/>
      <c r="J1215" s="116"/>
      <c r="K1215" s="116"/>
      <c r="L1215" s="116"/>
      <c r="M1215" s="116"/>
      <c r="N1215" s="116"/>
      <c r="O1215" s="116"/>
      <c r="P1215" s="116"/>
    </row>
    <row r="1216" spans="2:16" s="108" customFormat="1" ht="21.75" hidden="1" customHeight="1">
      <c r="B1216" s="109"/>
      <c r="C1216" s="122"/>
      <c r="D1216" s="111" t="s">
        <v>1050</v>
      </c>
      <c r="E1216" s="250">
        <f>E1217</f>
        <v>100000000</v>
      </c>
      <c r="F1216" s="147">
        <v>64189783336.760002</v>
      </c>
      <c r="G1216" s="126">
        <f t="shared" si="22"/>
        <v>0.15578803168000774</v>
      </c>
      <c r="H1216" s="120"/>
      <c r="I1216" s="120"/>
      <c r="J1216" s="116"/>
      <c r="K1216" s="116"/>
      <c r="L1216" s="116"/>
      <c r="M1216" s="116"/>
      <c r="N1216" s="116"/>
      <c r="O1216" s="116"/>
      <c r="P1216" s="116"/>
    </row>
    <row r="1217" spans="2:16" s="108" customFormat="1" ht="21.75" hidden="1" customHeight="1">
      <c r="B1217" s="109"/>
      <c r="C1217" s="122"/>
      <c r="D1217" s="149" t="s">
        <v>1051</v>
      </c>
      <c r="E1217" s="696">
        <v>100000000</v>
      </c>
      <c r="F1217" s="147">
        <v>64189783336.760002</v>
      </c>
      <c r="G1217" s="126">
        <f t="shared" si="22"/>
        <v>0.15578803168000774</v>
      </c>
      <c r="H1217" s="120"/>
      <c r="I1217" s="120"/>
      <c r="J1217" s="116"/>
      <c r="K1217" s="116"/>
      <c r="L1217" s="116"/>
      <c r="M1217" s="116"/>
      <c r="N1217" s="116"/>
      <c r="O1217" s="116"/>
      <c r="P1217" s="116"/>
    </row>
    <row r="1218" spans="2:16" s="108" customFormat="1" ht="21.75" hidden="1" customHeight="1">
      <c r="B1218" s="109"/>
      <c r="C1218" s="122"/>
      <c r="D1218" s="111" t="s">
        <v>1052</v>
      </c>
      <c r="E1218" s="250">
        <f>E1219</f>
        <v>100000000</v>
      </c>
      <c r="F1218" s="147">
        <v>64189783336.760002</v>
      </c>
      <c r="G1218" s="126">
        <f t="shared" si="22"/>
        <v>0.15578803168000774</v>
      </c>
      <c r="H1218" s="120"/>
      <c r="I1218" s="120"/>
      <c r="J1218" s="116"/>
      <c r="K1218" s="116"/>
      <c r="L1218" s="116"/>
      <c r="M1218" s="116"/>
      <c r="N1218" s="116"/>
      <c r="O1218" s="116"/>
      <c r="P1218" s="116"/>
    </row>
    <row r="1219" spans="2:16" s="108" customFormat="1" ht="21.75" hidden="1" customHeight="1">
      <c r="B1219" s="109"/>
      <c r="C1219" s="122"/>
      <c r="D1219" s="149" t="s">
        <v>1053</v>
      </c>
      <c r="E1219" s="696">
        <v>100000000</v>
      </c>
      <c r="F1219" s="147">
        <v>64189783336.760002</v>
      </c>
      <c r="G1219" s="126">
        <f t="shared" si="22"/>
        <v>0.15578803168000774</v>
      </c>
      <c r="H1219" s="120"/>
      <c r="I1219" s="120"/>
      <c r="J1219" s="116"/>
      <c r="K1219" s="116"/>
      <c r="L1219" s="116"/>
      <c r="M1219" s="116"/>
      <c r="N1219" s="116"/>
      <c r="O1219" s="116"/>
      <c r="P1219" s="116"/>
    </row>
    <row r="1220" spans="2:16" s="108" customFormat="1" ht="21.75" hidden="1" customHeight="1">
      <c r="B1220" s="109"/>
      <c r="C1220" s="122"/>
      <c r="D1220" s="111" t="s">
        <v>1054</v>
      </c>
      <c r="E1220" s="250">
        <f>E1221</f>
        <v>100000000</v>
      </c>
      <c r="F1220" s="147">
        <v>64189783336.760002</v>
      </c>
      <c r="G1220" s="126">
        <f t="shared" si="22"/>
        <v>0.15578803168000774</v>
      </c>
      <c r="H1220" s="120"/>
      <c r="I1220" s="120"/>
      <c r="J1220" s="116"/>
      <c r="K1220" s="116"/>
      <c r="L1220" s="116"/>
      <c r="M1220" s="116"/>
      <c r="N1220" s="116"/>
      <c r="O1220" s="116"/>
      <c r="P1220" s="116"/>
    </row>
    <row r="1221" spans="2:16" s="108" customFormat="1" ht="21.75" hidden="1" customHeight="1">
      <c r="B1221" s="109"/>
      <c r="C1221" s="122"/>
      <c r="D1221" s="149" t="s">
        <v>1055</v>
      </c>
      <c r="E1221" s="696">
        <v>100000000</v>
      </c>
      <c r="F1221" s="147">
        <v>64189783336.760002</v>
      </c>
      <c r="G1221" s="126">
        <f t="shared" si="22"/>
        <v>0.15578803168000774</v>
      </c>
      <c r="H1221" s="120"/>
      <c r="I1221" s="120"/>
      <c r="J1221" s="116"/>
      <c r="K1221" s="116"/>
      <c r="L1221" s="116"/>
      <c r="M1221" s="116"/>
      <c r="N1221" s="116"/>
      <c r="O1221" s="116"/>
      <c r="P1221" s="116"/>
    </row>
    <row r="1222" spans="2:16" s="108" customFormat="1" ht="21.75" hidden="1" customHeight="1">
      <c r="B1222" s="109"/>
      <c r="C1222" s="122"/>
      <c r="D1222" s="111" t="s">
        <v>1056</v>
      </c>
      <c r="E1222" s="250">
        <f>E1223</f>
        <v>100000000</v>
      </c>
      <c r="F1222" s="147">
        <v>64189783336.760002</v>
      </c>
      <c r="G1222" s="126">
        <f t="shared" si="22"/>
        <v>0.15578803168000774</v>
      </c>
      <c r="H1222" s="120"/>
      <c r="I1222" s="120"/>
      <c r="J1222" s="116"/>
      <c r="K1222" s="116"/>
      <c r="L1222" s="116"/>
      <c r="M1222" s="116"/>
      <c r="N1222" s="116"/>
      <c r="O1222" s="116"/>
      <c r="P1222" s="116"/>
    </row>
    <row r="1223" spans="2:16" s="108" customFormat="1" ht="21.75" hidden="1" customHeight="1">
      <c r="B1223" s="109"/>
      <c r="C1223" s="122"/>
      <c r="D1223" s="149" t="s">
        <v>1057</v>
      </c>
      <c r="E1223" s="696">
        <v>100000000</v>
      </c>
      <c r="F1223" s="147">
        <v>64189783336.760002</v>
      </c>
      <c r="G1223" s="126">
        <f t="shared" si="22"/>
        <v>0.15578803168000774</v>
      </c>
      <c r="H1223" s="120"/>
      <c r="I1223" s="120"/>
      <c r="J1223" s="116"/>
      <c r="K1223" s="116"/>
      <c r="L1223" s="116"/>
      <c r="M1223" s="116"/>
      <c r="N1223" s="116"/>
      <c r="O1223" s="116"/>
      <c r="P1223" s="116"/>
    </row>
    <row r="1224" spans="2:16" s="108" customFormat="1" ht="21.75" hidden="1" customHeight="1">
      <c r="B1224" s="109"/>
      <c r="C1224" s="122"/>
      <c r="D1224" s="111" t="s">
        <v>1058</v>
      </c>
      <c r="E1224" s="250">
        <f>E1225</f>
        <v>150000000</v>
      </c>
      <c r="F1224" s="147">
        <v>64189783336.760002</v>
      </c>
      <c r="G1224" s="126">
        <f t="shared" si="22"/>
        <v>0.23368204752001162</v>
      </c>
      <c r="H1224" s="120"/>
      <c r="I1224" s="120"/>
      <c r="J1224" s="116"/>
      <c r="K1224" s="116"/>
      <c r="L1224" s="116"/>
      <c r="M1224" s="116"/>
      <c r="N1224" s="116"/>
      <c r="O1224" s="116"/>
      <c r="P1224" s="116"/>
    </row>
    <row r="1225" spans="2:16" s="108" customFormat="1" ht="21.75" hidden="1" customHeight="1">
      <c r="B1225" s="109"/>
      <c r="C1225" s="122"/>
      <c r="D1225" s="149" t="s">
        <v>1059</v>
      </c>
      <c r="E1225" s="696">
        <v>150000000</v>
      </c>
      <c r="F1225" s="147">
        <v>64189783336.760002</v>
      </c>
      <c r="G1225" s="126">
        <f t="shared" si="22"/>
        <v>0.23368204752001162</v>
      </c>
      <c r="H1225" s="120"/>
      <c r="I1225" s="120"/>
      <c r="J1225" s="116"/>
      <c r="K1225" s="116"/>
      <c r="L1225" s="116"/>
      <c r="M1225" s="116"/>
      <c r="N1225" s="116"/>
      <c r="O1225" s="116"/>
      <c r="P1225" s="116"/>
    </row>
    <row r="1226" spans="2:16" s="108" customFormat="1" ht="21.75" hidden="1" customHeight="1">
      <c r="B1226" s="109"/>
      <c r="C1226" s="122"/>
      <c r="D1226" s="111" t="s">
        <v>378</v>
      </c>
      <c r="E1226" s="250">
        <f>E1227+E1242</f>
        <v>13935000000</v>
      </c>
      <c r="F1226" s="147">
        <v>64189783336.760002</v>
      </c>
      <c r="G1226" s="126">
        <f t="shared" si="22"/>
        <v>21.70906221460908</v>
      </c>
      <c r="H1226" s="120"/>
      <c r="I1226" s="120"/>
      <c r="J1226" s="116"/>
      <c r="K1226" s="116"/>
      <c r="L1226" s="116"/>
      <c r="M1226" s="116"/>
      <c r="N1226" s="116"/>
      <c r="O1226" s="116"/>
      <c r="P1226" s="116"/>
    </row>
    <row r="1227" spans="2:16" s="108" customFormat="1" ht="35.25" hidden="1" customHeight="1">
      <c r="B1227" s="109"/>
      <c r="C1227" s="122"/>
      <c r="D1227" s="111" t="s">
        <v>1060</v>
      </c>
      <c r="E1227" s="250">
        <f>E1228+E1230+E1232+E1234+E1236+E1238+E1240</f>
        <v>7305000000</v>
      </c>
      <c r="F1227" s="147">
        <v>64189783336.760002</v>
      </c>
      <c r="G1227" s="126">
        <f t="shared" si="22"/>
        <v>11.380315714224565</v>
      </c>
      <c r="H1227" s="120"/>
      <c r="I1227" s="120"/>
      <c r="J1227" s="116"/>
      <c r="K1227" s="116"/>
      <c r="L1227" s="116"/>
      <c r="M1227" s="116"/>
      <c r="N1227" s="116"/>
      <c r="O1227" s="116"/>
      <c r="P1227" s="116"/>
    </row>
    <row r="1228" spans="2:16" s="108" customFormat="1" ht="21.75" hidden="1" customHeight="1">
      <c r="B1228" s="109"/>
      <c r="C1228" s="122"/>
      <c r="D1228" s="111" t="s">
        <v>1061</v>
      </c>
      <c r="E1228" s="250">
        <f>E1229</f>
        <v>1000000000</v>
      </c>
      <c r="F1228" s="147">
        <v>64189783336.760002</v>
      </c>
      <c r="G1228" s="126">
        <f t="shared" si="22"/>
        <v>1.5578803168000774</v>
      </c>
      <c r="H1228" s="120"/>
      <c r="I1228" s="120"/>
      <c r="J1228" s="116"/>
      <c r="K1228" s="116"/>
      <c r="L1228" s="116"/>
      <c r="M1228" s="116"/>
      <c r="N1228" s="116"/>
      <c r="O1228" s="116"/>
      <c r="P1228" s="116"/>
    </row>
    <row r="1229" spans="2:16" s="108" customFormat="1" ht="21.75" hidden="1" customHeight="1">
      <c r="B1229" s="109"/>
      <c r="C1229" s="122"/>
      <c r="D1229" s="149" t="s">
        <v>1062</v>
      </c>
      <c r="E1229" s="696">
        <v>1000000000</v>
      </c>
      <c r="F1229" s="147">
        <v>64189783336.760002</v>
      </c>
      <c r="G1229" s="126">
        <f t="shared" si="22"/>
        <v>1.5578803168000774</v>
      </c>
      <c r="H1229" s="120"/>
      <c r="I1229" s="120"/>
      <c r="J1229" s="116"/>
      <c r="K1229" s="116"/>
      <c r="L1229" s="116"/>
      <c r="M1229" s="116"/>
      <c r="N1229" s="116"/>
      <c r="O1229" s="116"/>
      <c r="P1229" s="116"/>
    </row>
    <row r="1230" spans="2:16" s="108" customFormat="1" ht="21.75" hidden="1" customHeight="1">
      <c r="B1230" s="109"/>
      <c r="C1230" s="122"/>
      <c r="D1230" s="111" t="s">
        <v>1063</v>
      </c>
      <c r="E1230" s="250">
        <f>E1231</f>
        <v>500000000</v>
      </c>
      <c r="F1230" s="147">
        <v>64189783336.760002</v>
      </c>
      <c r="G1230" s="126">
        <f t="shared" si="22"/>
        <v>0.77894015840003872</v>
      </c>
      <c r="H1230" s="120"/>
      <c r="I1230" s="120"/>
      <c r="J1230" s="116"/>
      <c r="K1230" s="116"/>
      <c r="L1230" s="116"/>
      <c r="M1230" s="116"/>
      <c r="N1230" s="116"/>
      <c r="O1230" s="116"/>
      <c r="P1230" s="116"/>
    </row>
    <row r="1231" spans="2:16" s="108" customFormat="1" ht="21.75" hidden="1" customHeight="1">
      <c r="B1231" s="109"/>
      <c r="C1231" s="122"/>
      <c r="D1231" s="149" t="s">
        <v>1064</v>
      </c>
      <c r="E1231" s="696">
        <v>500000000</v>
      </c>
      <c r="F1231" s="147">
        <v>64189783336.760002</v>
      </c>
      <c r="G1231" s="126">
        <f t="shared" si="22"/>
        <v>0.77894015840003872</v>
      </c>
      <c r="H1231" s="120"/>
      <c r="I1231" s="120"/>
      <c r="J1231" s="116"/>
      <c r="K1231" s="116"/>
      <c r="L1231" s="116"/>
      <c r="M1231" s="116"/>
      <c r="N1231" s="116"/>
      <c r="O1231" s="116"/>
      <c r="P1231" s="116"/>
    </row>
    <row r="1232" spans="2:16" s="108" customFormat="1" ht="21.75" hidden="1" customHeight="1">
      <c r="B1232" s="109"/>
      <c r="C1232" s="122"/>
      <c r="D1232" s="111" t="s">
        <v>1065</v>
      </c>
      <c r="E1232" s="250">
        <f>E1233</f>
        <v>300000000</v>
      </c>
      <c r="F1232" s="147">
        <v>64189783336.760002</v>
      </c>
      <c r="G1232" s="126">
        <f t="shared" si="22"/>
        <v>0.46736409504002324</v>
      </c>
      <c r="H1232" s="120"/>
      <c r="I1232" s="120"/>
      <c r="J1232" s="116"/>
      <c r="K1232" s="116"/>
      <c r="L1232" s="116"/>
      <c r="M1232" s="116"/>
      <c r="N1232" s="116"/>
      <c r="O1232" s="116"/>
      <c r="P1232" s="116"/>
    </row>
    <row r="1233" spans="2:16" s="108" customFormat="1" ht="21.75" hidden="1" customHeight="1">
      <c r="B1233" s="109"/>
      <c r="C1233" s="122"/>
      <c r="D1233" s="149" t="s">
        <v>1066</v>
      </c>
      <c r="E1233" s="696">
        <v>300000000</v>
      </c>
      <c r="F1233" s="147">
        <v>64189783336.760002</v>
      </c>
      <c r="G1233" s="126">
        <f t="shared" si="22"/>
        <v>0.46736409504002324</v>
      </c>
      <c r="H1233" s="120"/>
      <c r="I1233" s="120"/>
      <c r="J1233" s="116"/>
      <c r="K1233" s="116"/>
      <c r="L1233" s="116"/>
      <c r="M1233" s="116"/>
      <c r="N1233" s="116"/>
      <c r="O1233" s="116"/>
      <c r="P1233" s="116"/>
    </row>
    <row r="1234" spans="2:16" s="108" customFormat="1" ht="21.75" hidden="1" customHeight="1">
      <c r="B1234" s="109"/>
      <c r="C1234" s="122"/>
      <c r="D1234" s="111" t="s">
        <v>1067</v>
      </c>
      <c r="E1234" s="250">
        <f>E1235</f>
        <v>1000000000</v>
      </c>
      <c r="F1234" s="147">
        <v>64189783336.760002</v>
      </c>
      <c r="G1234" s="126">
        <f t="shared" si="22"/>
        <v>1.5578803168000774</v>
      </c>
      <c r="H1234" s="120"/>
      <c r="I1234" s="120"/>
      <c r="J1234" s="116"/>
      <c r="K1234" s="116"/>
      <c r="L1234" s="116"/>
      <c r="M1234" s="116"/>
      <c r="N1234" s="116"/>
      <c r="O1234" s="116"/>
      <c r="P1234" s="116"/>
    </row>
    <row r="1235" spans="2:16" s="108" customFormat="1" ht="21.75" hidden="1" customHeight="1">
      <c r="B1235" s="109"/>
      <c r="C1235" s="122"/>
      <c r="D1235" s="149" t="s">
        <v>1068</v>
      </c>
      <c r="E1235" s="696">
        <v>1000000000</v>
      </c>
      <c r="F1235" s="147">
        <v>64189783336.760002</v>
      </c>
      <c r="G1235" s="126">
        <f t="shared" si="22"/>
        <v>1.5578803168000774</v>
      </c>
      <c r="H1235" s="120"/>
      <c r="I1235" s="120"/>
      <c r="J1235" s="116"/>
      <c r="K1235" s="116"/>
      <c r="L1235" s="116"/>
      <c r="M1235" s="116"/>
      <c r="N1235" s="116"/>
      <c r="O1235" s="116"/>
      <c r="P1235" s="116"/>
    </row>
    <row r="1236" spans="2:16" s="108" customFormat="1" ht="21.75" hidden="1" customHeight="1">
      <c r="B1236" s="109"/>
      <c r="C1236" s="122"/>
      <c r="D1236" s="111" t="s">
        <v>1069</v>
      </c>
      <c r="E1236" s="250">
        <f>E1237</f>
        <v>600000000</v>
      </c>
      <c r="F1236" s="147">
        <v>64189783336.760002</v>
      </c>
      <c r="G1236" s="126">
        <f t="shared" si="22"/>
        <v>0.93472819008004648</v>
      </c>
      <c r="H1236" s="120"/>
      <c r="I1236" s="120"/>
      <c r="J1236" s="116"/>
      <c r="K1236" s="116"/>
      <c r="L1236" s="116"/>
      <c r="M1236" s="116"/>
      <c r="N1236" s="116"/>
      <c r="O1236" s="116"/>
      <c r="P1236" s="116"/>
    </row>
    <row r="1237" spans="2:16" s="108" customFormat="1" ht="21.75" hidden="1" customHeight="1">
      <c r="B1237" s="109"/>
      <c r="C1237" s="122"/>
      <c r="D1237" s="149" t="s">
        <v>1070</v>
      </c>
      <c r="E1237" s="696">
        <v>600000000</v>
      </c>
      <c r="F1237" s="147">
        <v>64189783336.760002</v>
      </c>
      <c r="G1237" s="126">
        <f t="shared" si="22"/>
        <v>0.93472819008004648</v>
      </c>
      <c r="H1237" s="120"/>
      <c r="I1237" s="120"/>
      <c r="J1237" s="116"/>
      <c r="K1237" s="116"/>
      <c r="L1237" s="116"/>
      <c r="M1237" s="116"/>
      <c r="N1237" s="116"/>
      <c r="O1237" s="116"/>
      <c r="P1237" s="116"/>
    </row>
    <row r="1238" spans="2:16" s="108" customFormat="1" ht="21.75" hidden="1" customHeight="1">
      <c r="B1238" s="109"/>
      <c r="C1238" s="122"/>
      <c r="D1238" s="111" t="s">
        <v>1071</v>
      </c>
      <c r="E1238" s="250">
        <f>E1239</f>
        <v>1000000000</v>
      </c>
      <c r="F1238" s="147">
        <v>64189783336.760002</v>
      </c>
      <c r="G1238" s="126">
        <f t="shared" si="22"/>
        <v>1.5578803168000774</v>
      </c>
      <c r="H1238" s="120"/>
      <c r="I1238" s="120"/>
      <c r="J1238" s="116"/>
      <c r="K1238" s="116"/>
      <c r="L1238" s="116"/>
      <c r="M1238" s="116"/>
      <c r="N1238" s="116"/>
      <c r="O1238" s="116"/>
      <c r="P1238" s="116"/>
    </row>
    <row r="1239" spans="2:16" s="108" customFormat="1" ht="21.75" hidden="1" customHeight="1">
      <c r="B1239" s="109"/>
      <c r="C1239" s="122"/>
      <c r="D1239" s="149" t="s">
        <v>1072</v>
      </c>
      <c r="E1239" s="696">
        <v>1000000000</v>
      </c>
      <c r="F1239" s="147">
        <v>64189783336.760002</v>
      </c>
      <c r="G1239" s="126">
        <f t="shared" si="22"/>
        <v>1.5578803168000774</v>
      </c>
      <c r="H1239" s="120"/>
      <c r="I1239" s="120"/>
      <c r="J1239" s="116"/>
      <c r="K1239" s="116"/>
      <c r="L1239" s="116"/>
      <c r="M1239" s="116"/>
      <c r="N1239" s="116"/>
      <c r="O1239" s="116"/>
      <c r="P1239" s="116"/>
    </row>
    <row r="1240" spans="2:16" s="108" customFormat="1" ht="21.75" hidden="1" customHeight="1">
      <c r="B1240" s="109"/>
      <c r="C1240" s="122"/>
      <c r="D1240" s="111" t="s">
        <v>1073</v>
      </c>
      <c r="E1240" s="250">
        <f>E1241</f>
        <v>2905000000</v>
      </c>
      <c r="F1240" s="147">
        <v>64189783336.760002</v>
      </c>
      <c r="G1240" s="126">
        <f t="shared" si="22"/>
        <v>4.5256423203042244</v>
      </c>
      <c r="H1240" s="120"/>
      <c r="I1240" s="120"/>
      <c r="J1240" s="116"/>
      <c r="K1240" s="116"/>
      <c r="L1240" s="116"/>
      <c r="M1240" s="116"/>
      <c r="N1240" s="116"/>
      <c r="O1240" s="116"/>
      <c r="P1240" s="116"/>
    </row>
    <row r="1241" spans="2:16" s="108" customFormat="1" ht="21.75" hidden="1" customHeight="1">
      <c r="B1241" s="109"/>
      <c r="C1241" s="122"/>
      <c r="D1241" s="149" t="s">
        <v>1074</v>
      </c>
      <c r="E1241" s="696">
        <v>2905000000</v>
      </c>
      <c r="F1241" s="147">
        <v>64189783336.760002</v>
      </c>
      <c r="G1241" s="126">
        <f t="shared" si="22"/>
        <v>4.5256423203042244</v>
      </c>
      <c r="H1241" s="120"/>
      <c r="I1241" s="120"/>
      <c r="J1241" s="116"/>
      <c r="K1241" s="116"/>
      <c r="L1241" s="116"/>
      <c r="M1241" s="116"/>
      <c r="N1241" s="116"/>
      <c r="O1241" s="116"/>
      <c r="P1241" s="116"/>
    </row>
    <row r="1242" spans="2:16" s="108" customFormat="1" ht="21.75" hidden="1" customHeight="1">
      <c r="B1242" s="109"/>
      <c r="C1242" s="122"/>
      <c r="D1242" s="111" t="s">
        <v>1075</v>
      </c>
      <c r="E1242" s="250">
        <f>E1243+E1245</f>
        <v>6630000000</v>
      </c>
      <c r="F1242" s="147">
        <v>64189783336.760002</v>
      </c>
      <c r="G1242" s="126">
        <f t="shared" si="22"/>
        <v>10.328746500384513</v>
      </c>
      <c r="H1242" s="120"/>
      <c r="I1242" s="120"/>
      <c r="J1242" s="116"/>
      <c r="K1242" s="116"/>
      <c r="L1242" s="116"/>
      <c r="M1242" s="116"/>
      <c r="N1242" s="116"/>
      <c r="O1242" s="116"/>
      <c r="P1242" s="116"/>
    </row>
    <row r="1243" spans="2:16" s="108" customFormat="1" ht="21.75" hidden="1" customHeight="1">
      <c r="B1243" s="109"/>
      <c r="C1243" s="122"/>
      <c r="D1243" s="111" t="s">
        <v>1076</v>
      </c>
      <c r="E1243" s="250">
        <f>E1244</f>
        <v>630000000</v>
      </c>
      <c r="F1243" s="147">
        <v>64189783336.760002</v>
      </c>
      <c r="G1243" s="126">
        <f t="shared" si="22"/>
        <v>0.98146459958404864</v>
      </c>
      <c r="H1243" s="120"/>
      <c r="I1243" s="120"/>
      <c r="J1243" s="116"/>
      <c r="K1243" s="116"/>
      <c r="L1243" s="116"/>
      <c r="M1243" s="116"/>
      <c r="N1243" s="116"/>
      <c r="O1243" s="116"/>
      <c r="P1243" s="116"/>
    </row>
    <row r="1244" spans="2:16" s="108" customFormat="1" ht="21.75" hidden="1" customHeight="1">
      <c r="B1244" s="109"/>
      <c r="C1244" s="122"/>
      <c r="D1244" s="149" t="s">
        <v>1077</v>
      </c>
      <c r="E1244" s="696">
        <v>630000000</v>
      </c>
      <c r="F1244" s="147">
        <v>64189783336.760002</v>
      </c>
      <c r="G1244" s="126">
        <f t="shared" si="22"/>
        <v>0.98146459958404864</v>
      </c>
      <c r="H1244" s="120"/>
      <c r="I1244" s="120"/>
      <c r="J1244" s="116"/>
      <c r="K1244" s="116"/>
      <c r="L1244" s="116"/>
      <c r="M1244" s="116"/>
      <c r="N1244" s="116"/>
      <c r="O1244" s="116"/>
      <c r="P1244" s="116"/>
    </row>
    <row r="1245" spans="2:16" s="108" customFormat="1" ht="21.75" hidden="1" customHeight="1">
      <c r="B1245" s="109"/>
      <c r="C1245" s="122"/>
      <c r="D1245" s="111" t="s">
        <v>1078</v>
      </c>
      <c r="E1245" s="250">
        <f>E1246</f>
        <v>6000000000</v>
      </c>
      <c r="F1245" s="147">
        <v>64189783336.760002</v>
      </c>
      <c r="G1245" s="126">
        <f t="shared" si="22"/>
        <v>9.3472819008004642</v>
      </c>
      <c r="H1245" s="120"/>
      <c r="I1245" s="120"/>
      <c r="J1245" s="116"/>
      <c r="K1245" s="116"/>
      <c r="L1245" s="116"/>
      <c r="M1245" s="116"/>
      <c r="N1245" s="116"/>
      <c r="O1245" s="116"/>
      <c r="P1245" s="116"/>
    </row>
    <row r="1246" spans="2:16" s="108" customFormat="1" ht="21.75" hidden="1" customHeight="1">
      <c r="B1246" s="109"/>
      <c r="C1246" s="122"/>
      <c r="D1246" s="149" t="s">
        <v>1079</v>
      </c>
      <c r="E1246" s="696">
        <v>6000000000</v>
      </c>
      <c r="F1246" s="147">
        <v>64189783336.760002</v>
      </c>
      <c r="G1246" s="126">
        <f t="shared" si="22"/>
        <v>9.3472819008004642</v>
      </c>
      <c r="H1246" s="120"/>
      <c r="I1246" s="120"/>
      <c r="J1246" s="116"/>
      <c r="K1246" s="116"/>
      <c r="L1246" s="116"/>
      <c r="M1246" s="116"/>
      <c r="N1246" s="116"/>
      <c r="O1246" s="116"/>
      <c r="P1246" s="116"/>
    </row>
    <row r="1247" spans="2:16" s="108" customFormat="1" ht="15" hidden="1" customHeight="1">
      <c r="B1247" s="109"/>
      <c r="C1247" s="122"/>
      <c r="D1247" s="123"/>
      <c r="E1247" s="125"/>
      <c r="F1247" s="134"/>
      <c r="G1247" s="126"/>
      <c r="H1247" s="120"/>
      <c r="I1247" s="120"/>
      <c r="J1247" s="116"/>
      <c r="K1247" s="116"/>
      <c r="L1247" s="116"/>
      <c r="M1247" s="116"/>
      <c r="N1247" s="116"/>
      <c r="O1247" s="116"/>
      <c r="P1247" s="116"/>
    </row>
    <row r="1248" spans="2:16" s="117" customFormat="1" ht="21.75" hidden="1" customHeight="1">
      <c r="B1248" s="118"/>
      <c r="C1248" s="110" t="s">
        <v>1080</v>
      </c>
      <c r="D1248" s="111" t="s">
        <v>1081</v>
      </c>
      <c r="E1248" s="129">
        <f>+E1249+E1274+E1296+E1302+E1306+E1312+E1317+E1321+E1328+E1331+E1337+E1341+E1351+E1355+E1361</f>
        <v>64622624148.520004</v>
      </c>
      <c r="F1248" s="131">
        <v>1557405258400.0002</v>
      </c>
      <c r="G1248" s="127">
        <f>+E1248/F1248*100</f>
        <v>4.1493775496115912</v>
      </c>
      <c r="H1248" s="120"/>
      <c r="I1248" s="120"/>
      <c r="J1248" s="121"/>
      <c r="K1248" s="121"/>
      <c r="L1248" s="121"/>
      <c r="M1248" s="121"/>
      <c r="N1248" s="121"/>
      <c r="O1248" s="121"/>
      <c r="P1248" s="121"/>
    </row>
    <row r="1249" spans="2:16" s="108" customFormat="1" ht="20.25" hidden="1" customHeight="1">
      <c r="B1249" s="109"/>
      <c r="C1249" s="122"/>
      <c r="D1249" s="150" t="s">
        <v>767</v>
      </c>
      <c r="E1249" s="716">
        <f>+E1250+E1254+E1265+E1271</f>
        <v>11550378295.52</v>
      </c>
      <c r="F1249" s="134">
        <v>64622624148.520004</v>
      </c>
      <c r="G1249" s="126">
        <f>+E1249/F1249*100</f>
        <v>17.873582894086994</v>
      </c>
      <c r="H1249" s="120"/>
      <c r="I1249" s="120"/>
      <c r="J1249" s="116"/>
      <c r="K1249" s="116"/>
      <c r="L1249" s="116"/>
      <c r="M1249" s="116"/>
      <c r="N1249" s="116"/>
      <c r="O1249" s="116"/>
      <c r="P1249" s="116"/>
    </row>
    <row r="1250" spans="2:16" s="108" customFormat="1" ht="21.75" hidden="1" customHeight="1">
      <c r="B1250" s="109"/>
      <c r="C1250" s="122"/>
      <c r="D1250" s="151" t="s">
        <v>588</v>
      </c>
      <c r="E1250" s="717">
        <f>SUM(E1251:E1253)</f>
        <v>1650000000</v>
      </c>
      <c r="F1250" s="134">
        <v>64622624148.520004</v>
      </c>
      <c r="G1250" s="126">
        <f t="shared" ref="G1250:G1313" si="23">+E1250/F1250*100</f>
        <v>2.5532853574745906</v>
      </c>
      <c r="H1250" s="120"/>
      <c r="I1250" s="120"/>
      <c r="J1250" s="116"/>
      <c r="K1250" s="116"/>
      <c r="L1250" s="116"/>
      <c r="M1250" s="116"/>
      <c r="N1250" s="116"/>
      <c r="O1250" s="116"/>
      <c r="P1250" s="116"/>
    </row>
    <row r="1251" spans="2:16" s="108" customFormat="1" ht="27.75" hidden="1" customHeight="1">
      <c r="B1251" s="109"/>
      <c r="C1251" s="122"/>
      <c r="D1251" s="153" t="s">
        <v>1082</v>
      </c>
      <c r="E1251" s="718">
        <v>504000000</v>
      </c>
      <c r="F1251" s="134">
        <v>64622624148.520004</v>
      </c>
      <c r="G1251" s="126">
        <f t="shared" si="23"/>
        <v>0.77991261828314762</v>
      </c>
      <c r="H1251" s="120"/>
      <c r="I1251" s="120"/>
      <c r="J1251" s="116"/>
      <c r="K1251" s="116"/>
      <c r="L1251" s="116"/>
      <c r="M1251" s="116"/>
      <c r="N1251" s="116"/>
      <c r="O1251" s="116"/>
      <c r="P1251" s="116"/>
    </row>
    <row r="1252" spans="2:16" s="108" customFormat="1" ht="21.75" hidden="1" customHeight="1">
      <c r="B1252" s="109"/>
      <c r="C1252" s="122"/>
      <c r="D1252" s="153" t="s">
        <v>1083</v>
      </c>
      <c r="E1252" s="718">
        <v>1050000000</v>
      </c>
      <c r="F1252" s="134">
        <v>64622624148.520004</v>
      </c>
      <c r="G1252" s="126">
        <f t="shared" si="23"/>
        <v>1.6248179547565573</v>
      </c>
      <c r="H1252" s="120"/>
      <c r="I1252" s="120"/>
      <c r="J1252" s="116"/>
      <c r="K1252" s="116"/>
      <c r="L1252" s="116"/>
      <c r="M1252" s="116"/>
      <c r="N1252" s="116"/>
      <c r="O1252" s="116"/>
      <c r="P1252" s="116"/>
    </row>
    <row r="1253" spans="2:16" s="108" customFormat="1" ht="21.75" hidden="1" customHeight="1">
      <c r="B1253" s="109"/>
      <c r="C1253" s="122"/>
      <c r="D1253" s="153" t="s">
        <v>1084</v>
      </c>
      <c r="E1253" s="718">
        <v>96000000</v>
      </c>
      <c r="F1253" s="134">
        <v>64622624148.520004</v>
      </c>
      <c r="G1253" s="126">
        <f t="shared" si="23"/>
        <v>0.14855478443488526</v>
      </c>
      <c r="H1253" s="120"/>
      <c r="I1253" s="120"/>
      <c r="J1253" s="116"/>
      <c r="K1253" s="116"/>
      <c r="L1253" s="116"/>
      <c r="M1253" s="116"/>
      <c r="N1253" s="116"/>
      <c r="O1253" s="116"/>
      <c r="P1253" s="116"/>
    </row>
    <row r="1254" spans="2:16" s="108" customFormat="1" ht="21.75" hidden="1" customHeight="1">
      <c r="B1254" s="109"/>
      <c r="C1254" s="122"/>
      <c r="D1254" s="151" t="s">
        <v>1085</v>
      </c>
      <c r="E1254" s="717">
        <f>SUM(E1255:E1264)</f>
        <v>8551975343.5200005</v>
      </c>
      <c r="F1254" s="134">
        <v>64622624148.520004</v>
      </c>
      <c r="G1254" s="126">
        <f t="shared" si="23"/>
        <v>13.233717225511118</v>
      </c>
      <c r="H1254" s="120"/>
      <c r="I1254" s="120"/>
      <c r="J1254" s="116"/>
      <c r="K1254" s="116"/>
      <c r="L1254" s="116"/>
      <c r="M1254" s="116"/>
      <c r="N1254" s="116"/>
      <c r="O1254" s="116"/>
      <c r="P1254" s="116"/>
    </row>
    <row r="1255" spans="2:16" s="108" customFormat="1" ht="21.75" hidden="1" customHeight="1">
      <c r="B1255" s="109"/>
      <c r="C1255" s="122"/>
      <c r="D1255" s="153" t="s">
        <v>1086</v>
      </c>
      <c r="E1255" s="718">
        <v>200000000</v>
      </c>
      <c r="F1255" s="134">
        <v>64622624148.520004</v>
      </c>
      <c r="G1255" s="126">
        <f t="shared" si="23"/>
        <v>0.30948913423934427</v>
      </c>
      <c r="H1255" s="120"/>
      <c r="I1255" s="120"/>
      <c r="J1255" s="116"/>
      <c r="K1255" s="116"/>
      <c r="L1255" s="116"/>
      <c r="M1255" s="116"/>
      <c r="N1255" s="116"/>
      <c r="O1255" s="116"/>
      <c r="P1255" s="116"/>
    </row>
    <row r="1256" spans="2:16" s="108" customFormat="1" ht="21.75" hidden="1" customHeight="1">
      <c r="B1256" s="109"/>
      <c r="C1256" s="122"/>
      <c r="D1256" s="153" t="s">
        <v>1087</v>
      </c>
      <c r="E1256" s="718">
        <v>200000000</v>
      </c>
      <c r="F1256" s="134">
        <v>64622624148.520004</v>
      </c>
      <c r="G1256" s="126">
        <f t="shared" si="23"/>
        <v>0.30948913423934427</v>
      </c>
      <c r="H1256" s="120"/>
      <c r="I1256" s="120"/>
      <c r="J1256" s="116"/>
      <c r="K1256" s="116"/>
      <c r="L1256" s="116"/>
      <c r="M1256" s="116"/>
      <c r="N1256" s="116"/>
      <c r="O1256" s="116"/>
      <c r="P1256" s="116"/>
    </row>
    <row r="1257" spans="2:16" s="108" customFormat="1" ht="55.5" hidden="1" customHeight="1">
      <c r="B1257" s="109"/>
      <c r="C1257" s="122"/>
      <c r="D1257" s="153" t="s">
        <v>1088</v>
      </c>
      <c r="E1257" s="718">
        <v>300000000</v>
      </c>
      <c r="F1257" s="134">
        <v>64622624148.520004</v>
      </c>
      <c r="G1257" s="126">
        <f t="shared" si="23"/>
        <v>0.46423370135901643</v>
      </c>
      <c r="H1257" s="120"/>
      <c r="I1257" s="120"/>
      <c r="J1257" s="116"/>
      <c r="K1257" s="116"/>
      <c r="L1257" s="116"/>
      <c r="M1257" s="116"/>
      <c r="N1257" s="116"/>
      <c r="O1257" s="116"/>
      <c r="P1257" s="116"/>
    </row>
    <row r="1258" spans="2:16" s="108" customFormat="1" ht="55.5" hidden="1" customHeight="1">
      <c r="B1258" s="109"/>
      <c r="C1258" s="122"/>
      <c r="D1258" s="153" t="s">
        <v>1089</v>
      </c>
      <c r="E1258" s="718">
        <v>1440000000</v>
      </c>
      <c r="F1258" s="134">
        <v>64622624148.520004</v>
      </c>
      <c r="G1258" s="126">
        <f t="shared" si="23"/>
        <v>2.2283217665232788</v>
      </c>
      <c r="H1258" s="120"/>
      <c r="I1258" s="120"/>
      <c r="J1258" s="116"/>
      <c r="K1258" s="116"/>
      <c r="L1258" s="116"/>
      <c r="M1258" s="116"/>
      <c r="N1258" s="116"/>
      <c r="O1258" s="116"/>
      <c r="P1258" s="116"/>
    </row>
    <row r="1259" spans="2:16" s="108" customFormat="1" ht="21.75" hidden="1" customHeight="1">
      <c r="B1259" s="109"/>
      <c r="C1259" s="122"/>
      <c r="D1259" s="153" t="s">
        <v>1090</v>
      </c>
      <c r="E1259" s="718">
        <v>2831400000</v>
      </c>
      <c r="F1259" s="134">
        <v>64622624148.520004</v>
      </c>
      <c r="G1259" s="126">
        <f t="shared" si="23"/>
        <v>4.3814376734263973</v>
      </c>
      <c r="H1259" s="120"/>
      <c r="I1259" s="120"/>
      <c r="J1259" s="116"/>
      <c r="K1259" s="116"/>
      <c r="L1259" s="116"/>
      <c r="M1259" s="116"/>
      <c r="N1259" s="116"/>
      <c r="O1259" s="116"/>
      <c r="P1259" s="116"/>
    </row>
    <row r="1260" spans="2:16" s="108" customFormat="1" ht="21.75" hidden="1" customHeight="1">
      <c r="B1260" s="109"/>
      <c r="C1260" s="122"/>
      <c r="D1260" s="153" t="s">
        <v>1091</v>
      </c>
      <c r="E1260" s="718">
        <v>676078264</v>
      </c>
      <c r="F1260" s="134">
        <v>64622624148.520004</v>
      </c>
      <c r="G1260" s="126">
        <f t="shared" si="23"/>
        <v>1.0461943830169942</v>
      </c>
      <c r="H1260" s="120"/>
      <c r="I1260" s="120"/>
      <c r="J1260" s="116"/>
      <c r="K1260" s="116"/>
      <c r="L1260" s="116"/>
      <c r="M1260" s="116"/>
      <c r="N1260" s="116"/>
      <c r="O1260" s="116"/>
      <c r="P1260" s="116"/>
    </row>
    <row r="1261" spans="2:16" s="108" customFormat="1" ht="55.5" hidden="1" customHeight="1">
      <c r="B1261" s="109"/>
      <c r="C1261" s="122"/>
      <c r="D1261" s="153" t="s">
        <v>1092</v>
      </c>
      <c r="E1261" s="718">
        <v>900000000</v>
      </c>
      <c r="F1261" s="134">
        <v>64622624148.520004</v>
      </c>
      <c r="G1261" s="126">
        <f t="shared" si="23"/>
        <v>1.3927011040770494</v>
      </c>
      <c r="H1261" s="120"/>
      <c r="I1261" s="120"/>
      <c r="J1261" s="116"/>
      <c r="K1261" s="116"/>
      <c r="L1261" s="116"/>
      <c r="M1261" s="116"/>
      <c r="N1261" s="116"/>
      <c r="O1261" s="116"/>
      <c r="P1261" s="116"/>
    </row>
    <row r="1262" spans="2:16" s="108" customFormat="1" ht="21.75" hidden="1" customHeight="1">
      <c r="B1262" s="109"/>
      <c r="C1262" s="122"/>
      <c r="D1262" s="153" t="s">
        <v>1093</v>
      </c>
      <c r="E1262" s="718">
        <v>657000000</v>
      </c>
      <c r="F1262" s="134">
        <v>64622624148.520004</v>
      </c>
      <c r="G1262" s="126">
        <f t="shared" si="23"/>
        <v>1.0166718059762461</v>
      </c>
      <c r="H1262" s="120"/>
      <c r="I1262" s="120"/>
      <c r="J1262" s="116"/>
      <c r="K1262" s="116"/>
      <c r="L1262" s="116"/>
      <c r="M1262" s="116"/>
      <c r="N1262" s="116"/>
      <c r="O1262" s="116"/>
      <c r="P1262" s="116"/>
    </row>
    <row r="1263" spans="2:16" s="108" customFormat="1" ht="21.75" hidden="1" customHeight="1">
      <c r="B1263" s="109"/>
      <c r="C1263" s="122"/>
      <c r="D1263" s="153" t="s">
        <v>1094</v>
      </c>
      <c r="E1263" s="718">
        <v>939528879.51999998</v>
      </c>
      <c r="F1263" s="134">
        <v>64622624148.520004</v>
      </c>
      <c r="G1263" s="126">
        <f t="shared" si="23"/>
        <v>1.4538698975775299</v>
      </c>
      <c r="H1263" s="120"/>
      <c r="I1263" s="120"/>
      <c r="J1263" s="116"/>
      <c r="K1263" s="116"/>
      <c r="L1263" s="116"/>
      <c r="M1263" s="116"/>
      <c r="N1263" s="116"/>
      <c r="O1263" s="116"/>
      <c r="P1263" s="116"/>
    </row>
    <row r="1264" spans="2:16" s="108" customFormat="1" ht="32.25" hidden="1" customHeight="1">
      <c r="B1264" s="109"/>
      <c r="C1264" s="122"/>
      <c r="D1264" s="153" t="s">
        <v>1095</v>
      </c>
      <c r="E1264" s="718">
        <v>407968200</v>
      </c>
      <c r="F1264" s="134">
        <v>64622624148.520004</v>
      </c>
      <c r="G1264" s="126">
        <f t="shared" si="23"/>
        <v>0.63130862507591834</v>
      </c>
      <c r="H1264" s="120"/>
      <c r="I1264" s="120"/>
      <c r="J1264" s="116"/>
      <c r="K1264" s="116"/>
      <c r="L1264" s="116"/>
      <c r="M1264" s="116"/>
      <c r="N1264" s="116"/>
      <c r="O1264" s="116"/>
      <c r="P1264" s="116"/>
    </row>
    <row r="1265" spans="2:16" s="108" customFormat="1" ht="21.75" hidden="1" customHeight="1">
      <c r="B1265" s="109"/>
      <c r="C1265" s="122"/>
      <c r="D1265" s="151" t="s">
        <v>1096</v>
      </c>
      <c r="E1265" s="717">
        <f>+E1266+E1267+E1268+E1269+E1270</f>
        <v>1048402952</v>
      </c>
      <c r="F1265" s="134">
        <v>64622624148.520004</v>
      </c>
      <c r="G1265" s="126">
        <f t="shared" si="23"/>
        <v>1.6223466097422641</v>
      </c>
      <c r="H1265" s="120"/>
      <c r="I1265" s="120"/>
      <c r="J1265" s="116"/>
      <c r="K1265" s="116"/>
      <c r="L1265" s="116"/>
      <c r="M1265" s="116"/>
      <c r="N1265" s="116"/>
      <c r="O1265" s="116"/>
      <c r="P1265" s="116"/>
    </row>
    <row r="1266" spans="2:16" s="108" customFormat="1" ht="21.75" hidden="1" customHeight="1">
      <c r="B1266" s="109"/>
      <c r="C1266" s="122"/>
      <c r="D1266" s="153" t="s">
        <v>1097</v>
      </c>
      <c r="E1266" s="718">
        <v>288000000</v>
      </c>
      <c r="F1266" s="134">
        <v>64622624148.520004</v>
      </c>
      <c r="G1266" s="126">
        <f t="shared" si="23"/>
        <v>0.44566435330465581</v>
      </c>
      <c r="H1266" s="120"/>
      <c r="I1266" s="120"/>
      <c r="J1266" s="116"/>
      <c r="K1266" s="116"/>
      <c r="L1266" s="116"/>
      <c r="M1266" s="116"/>
      <c r="N1266" s="116"/>
      <c r="O1266" s="116"/>
      <c r="P1266" s="116"/>
    </row>
    <row r="1267" spans="2:16" s="108" customFormat="1" ht="55.5" hidden="1" customHeight="1">
      <c r="B1267" s="109"/>
      <c r="C1267" s="122"/>
      <c r="D1267" s="153" t="s">
        <v>1098</v>
      </c>
      <c r="E1267" s="718">
        <v>30000000</v>
      </c>
      <c r="F1267" s="134">
        <v>64622624148.520004</v>
      </c>
      <c r="G1267" s="126">
        <f t="shared" si="23"/>
        <v>4.6423370135901643E-2</v>
      </c>
      <c r="H1267" s="120"/>
      <c r="I1267" s="120"/>
      <c r="J1267" s="116"/>
      <c r="K1267" s="116"/>
      <c r="L1267" s="116"/>
      <c r="M1267" s="116"/>
      <c r="N1267" s="116"/>
      <c r="O1267" s="116"/>
      <c r="P1267" s="116"/>
    </row>
    <row r="1268" spans="2:16" s="108" customFormat="1" ht="21.75" hidden="1" customHeight="1">
      <c r="B1268" s="109"/>
      <c r="C1268" s="122"/>
      <c r="D1268" s="153" t="s">
        <v>1099</v>
      </c>
      <c r="E1268" s="718">
        <v>535402952</v>
      </c>
      <c r="F1268" s="134">
        <v>64622624148.520004</v>
      </c>
      <c r="G1268" s="126">
        <f t="shared" si="23"/>
        <v>0.82850698041834603</v>
      </c>
      <c r="H1268" s="120"/>
      <c r="I1268" s="120"/>
      <c r="J1268" s="116"/>
      <c r="K1268" s="116"/>
      <c r="L1268" s="116"/>
      <c r="M1268" s="116"/>
      <c r="N1268" s="116"/>
      <c r="O1268" s="116"/>
      <c r="P1268" s="116"/>
    </row>
    <row r="1269" spans="2:16" s="108" customFormat="1" ht="49.5" hidden="1" customHeight="1">
      <c r="B1269" s="109"/>
      <c r="C1269" s="122"/>
      <c r="D1269" s="153" t="s">
        <v>1100</v>
      </c>
      <c r="E1269" s="718">
        <v>75000000</v>
      </c>
      <c r="F1269" s="134">
        <v>64622624148.520004</v>
      </c>
      <c r="G1269" s="126">
        <f t="shared" si="23"/>
        <v>0.11605842533975411</v>
      </c>
      <c r="H1269" s="120"/>
      <c r="I1269" s="120"/>
      <c r="J1269" s="116"/>
      <c r="K1269" s="116"/>
      <c r="L1269" s="116"/>
      <c r="M1269" s="116"/>
      <c r="N1269" s="116"/>
      <c r="O1269" s="116"/>
      <c r="P1269" s="116"/>
    </row>
    <row r="1270" spans="2:16" s="108" customFormat="1" ht="21.75" hidden="1" customHeight="1">
      <c r="B1270" s="109"/>
      <c r="C1270" s="122"/>
      <c r="D1270" s="153" t="s">
        <v>1101</v>
      </c>
      <c r="E1270" s="718">
        <v>120000000</v>
      </c>
      <c r="F1270" s="134">
        <v>64622624148.520004</v>
      </c>
      <c r="G1270" s="126">
        <f t="shared" si="23"/>
        <v>0.18569348054360657</v>
      </c>
      <c r="H1270" s="120"/>
      <c r="I1270" s="120"/>
      <c r="J1270" s="116"/>
      <c r="K1270" s="116"/>
      <c r="L1270" s="116"/>
      <c r="M1270" s="116"/>
      <c r="N1270" s="116"/>
      <c r="O1270" s="116"/>
      <c r="P1270" s="116"/>
    </row>
    <row r="1271" spans="2:16" s="108" customFormat="1" ht="21.75" hidden="1" customHeight="1">
      <c r="B1271" s="109"/>
      <c r="C1271" s="122"/>
      <c r="D1271" s="151" t="s">
        <v>1102</v>
      </c>
      <c r="E1271" s="717">
        <f>+E1272</f>
        <v>300000000</v>
      </c>
      <c r="F1271" s="134">
        <v>64622624148.520004</v>
      </c>
      <c r="G1271" s="126">
        <f t="shared" si="23"/>
        <v>0.46423370135901643</v>
      </c>
      <c r="H1271" s="120"/>
      <c r="I1271" s="120"/>
      <c r="J1271" s="116"/>
      <c r="K1271" s="116"/>
      <c r="L1271" s="116"/>
      <c r="M1271" s="116"/>
      <c r="N1271" s="116"/>
      <c r="O1271" s="116"/>
      <c r="P1271" s="116"/>
    </row>
    <row r="1272" spans="2:16" s="108" customFormat="1" ht="30" hidden="1" customHeight="1">
      <c r="B1272" s="109"/>
      <c r="C1272" s="122"/>
      <c r="D1272" s="153" t="s">
        <v>1103</v>
      </c>
      <c r="E1272" s="718">
        <v>300000000</v>
      </c>
      <c r="F1272" s="134">
        <v>64622624148.520004</v>
      </c>
      <c r="G1272" s="126">
        <f t="shared" si="23"/>
        <v>0.46423370135901643</v>
      </c>
      <c r="H1272" s="120"/>
      <c r="I1272" s="120"/>
      <c r="J1272" s="116"/>
      <c r="K1272" s="116"/>
      <c r="L1272" s="116"/>
      <c r="M1272" s="116"/>
      <c r="N1272" s="116"/>
      <c r="O1272" s="116"/>
      <c r="P1272" s="116"/>
    </row>
    <row r="1273" spans="2:16" s="108" customFormat="1" ht="15" hidden="1" customHeight="1">
      <c r="B1273" s="109"/>
      <c r="C1273" s="122"/>
      <c r="D1273" s="123"/>
      <c r="E1273" s="719"/>
      <c r="F1273" s="134">
        <v>64622624148.520004</v>
      </c>
      <c r="G1273" s="126">
        <f t="shared" si="23"/>
        <v>0</v>
      </c>
      <c r="H1273" s="120"/>
      <c r="I1273" s="120"/>
      <c r="J1273" s="116"/>
      <c r="K1273" s="116"/>
      <c r="L1273" s="116"/>
      <c r="M1273" s="116"/>
      <c r="N1273" s="116"/>
      <c r="O1273" s="116"/>
      <c r="P1273" s="116"/>
    </row>
    <row r="1274" spans="2:16" s="108" customFormat="1" ht="21.75" hidden="1" customHeight="1">
      <c r="B1274" s="109"/>
      <c r="C1274" s="122"/>
      <c r="D1274" s="150" t="s">
        <v>65</v>
      </c>
      <c r="E1274" s="720">
        <f>+E1275+E1277+E1281+E1284+E1289+E1292</f>
        <v>15188479741</v>
      </c>
      <c r="F1274" s="134">
        <v>64622624148.520004</v>
      </c>
      <c r="G1274" s="126">
        <f t="shared" si="23"/>
        <v>23.503347227269554</v>
      </c>
      <c r="H1274" s="120"/>
      <c r="I1274" s="120"/>
      <c r="J1274" s="116"/>
      <c r="K1274" s="116"/>
      <c r="L1274" s="116"/>
      <c r="M1274" s="116"/>
      <c r="N1274" s="116"/>
      <c r="O1274" s="116"/>
      <c r="P1274" s="116"/>
    </row>
    <row r="1275" spans="2:16" s="108" customFormat="1" ht="21.75" hidden="1" customHeight="1">
      <c r="B1275" s="109"/>
      <c r="C1275" s="122"/>
      <c r="D1275" s="151" t="s">
        <v>606</v>
      </c>
      <c r="E1275" s="721">
        <f>E1276</f>
        <v>1000000000</v>
      </c>
      <c r="F1275" s="134">
        <v>64622624148.520004</v>
      </c>
      <c r="G1275" s="126">
        <f t="shared" si="23"/>
        <v>1.5474456711967215</v>
      </c>
      <c r="H1275" s="120"/>
      <c r="I1275" s="120"/>
      <c r="J1275" s="116"/>
      <c r="K1275" s="116"/>
      <c r="L1275" s="116"/>
      <c r="M1275" s="116"/>
      <c r="N1275" s="116"/>
      <c r="O1275" s="116"/>
      <c r="P1275" s="116"/>
    </row>
    <row r="1276" spans="2:16" s="108" customFormat="1" ht="21.75" hidden="1" customHeight="1">
      <c r="B1276" s="109"/>
      <c r="C1276" s="122"/>
      <c r="D1276" s="153" t="s">
        <v>1104</v>
      </c>
      <c r="E1276" s="722">
        <v>1000000000</v>
      </c>
      <c r="F1276" s="134">
        <v>64622624148.520004</v>
      </c>
      <c r="G1276" s="126">
        <f t="shared" si="23"/>
        <v>1.5474456711967215</v>
      </c>
      <c r="H1276" s="120"/>
      <c r="I1276" s="120"/>
      <c r="J1276" s="116"/>
      <c r="K1276" s="116"/>
      <c r="L1276" s="116"/>
      <c r="M1276" s="116"/>
      <c r="N1276" s="116"/>
      <c r="O1276" s="116"/>
      <c r="P1276" s="116"/>
    </row>
    <row r="1277" spans="2:16" s="108" customFormat="1" ht="21.75" hidden="1" customHeight="1">
      <c r="B1277" s="109"/>
      <c r="C1277" s="122"/>
      <c r="D1277" s="151" t="s">
        <v>173</v>
      </c>
      <c r="E1277" s="721">
        <f>+E1278+E1279+E1280</f>
        <v>643205890</v>
      </c>
      <c r="F1277" s="134">
        <v>64622624148.520004</v>
      </c>
      <c r="G1277" s="126">
        <f t="shared" si="23"/>
        <v>0.9953261701687347</v>
      </c>
      <c r="H1277" s="120"/>
      <c r="I1277" s="120"/>
      <c r="J1277" s="116"/>
      <c r="K1277" s="116"/>
      <c r="L1277" s="116"/>
      <c r="M1277" s="116"/>
      <c r="N1277" s="116"/>
      <c r="O1277" s="116"/>
      <c r="P1277" s="116"/>
    </row>
    <row r="1278" spans="2:16" s="108" customFormat="1" ht="32.25" hidden="1" customHeight="1">
      <c r="B1278" s="109"/>
      <c r="C1278" s="122"/>
      <c r="D1278" s="153" t="s">
        <v>1105</v>
      </c>
      <c r="E1278" s="722">
        <v>187980890</v>
      </c>
      <c r="F1278" s="134">
        <v>64622624148.520004</v>
      </c>
      <c r="G1278" s="126">
        <f t="shared" si="23"/>
        <v>0.29089021449820707</v>
      </c>
      <c r="H1278" s="120"/>
      <c r="I1278" s="120"/>
      <c r="J1278" s="116"/>
      <c r="K1278" s="116"/>
      <c r="L1278" s="116"/>
      <c r="M1278" s="116"/>
      <c r="N1278" s="116"/>
      <c r="O1278" s="116"/>
      <c r="P1278" s="116"/>
    </row>
    <row r="1279" spans="2:16" s="108" customFormat="1" ht="21.75" hidden="1" customHeight="1">
      <c r="B1279" s="109"/>
      <c r="C1279" s="122"/>
      <c r="D1279" s="153" t="s">
        <v>1106</v>
      </c>
      <c r="E1279" s="722">
        <v>31350000</v>
      </c>
      <c r="F1279" s="134">
        <v>64622624148.520004</v>
      </c>
      <c r="G1279" s="126">
        <f t="shared" si="23"/>
        <v>4.8512421792017216E-2</v>
      </c>
      <c r="H1279" s="120"/>
      <c r="I1279" s="120"/>
      <c r="J1279" s="116"/>
      <c r="K1279" s="116"/>
      <c r="L1279" s="116"/>
      <c r="M1279" s="116"/>
      <c r="N1279" s="116"/>
      <c r="O1279" s="116"/>
      <c r="P1279" s="116"/>
    </row>
    <row r="1280" spans="2:16" s="108" customFormat="1" ht="21.75" hidden="1" customHeight="1">
      <c r="B1280" s="109"/>
      <c r="C1280" s="122"/>
      <c r="D1280" s="153" t="s">
        <v>1107</v>
      </c>
      <c r="E1280" s="722">
        <v>423875000</v>
      </c>
      <c r="F1280" s="134">
        <v>64622624148.520004</v>
      </c>
      <c r="G1280" s="126">
        <f t="shared" si="23"/>
        <v>0.65592353387851032</v>
      </c>
      <c r="H1280" s="120"/>
      <c r="I1280" s="120"/>
      <c r="J1280" s="116"/>
      <c r="K1280" s="116"/>
      <c r="L1280" s="116"/>
      <c r="M1280" s="116"/>
      <c r="N1280" s="116"/>
      <c r="O1280" s="116"/>
      <c r="P1280" s="116"/>
    </row>
    <row r="1281" spans="2:16" s="108" customFormat="1" ht="21.75" hidden="1" customHeight="1">
      <c r="B1281" s="109"/>
      <c r="C1281" s="122"/>
      <c r="D1281" s="151" t="s">
        <v>683</v>
      </c>
      <c r="E1281" s="721">
        <f>+E1282+E1283</f>
        <v>1761655380</v>
      </c>
      <c r="F1281" s="134">
        <v>64622624148.520004</v>
      </c>
      <c r="G1281" s="126">
        <f t="shared" si="23"/>
        <v>2.7260659919214154</v>
      </c>
      <c r="H1281" s="120"/>
      <c r="I1281" s="120"/>
      <c r="J1281" s="116"/>
      <c r="K1281" s="116"/>
      <c r="L1281" s="116"/>
      <c r="M1281" s="116"/>
      <c r="N1281" s="116"/>
      <c r="O1281" s="116"/>
      <c r="P1281" s="116"/>
    </row>
    <row r="1282" spans="2:16" s="108" customFormat="1" ht="55.5" hidden="1" customHeight="1">
      <c r="B1282" s="109"/>
      <c r="C1282" s="122"/>
      <c r="D1282" s="153" t="s">
        <v>1108</v>
      </c>
      <c r="E1282" s="722">
        <v>1236655380</v>
      </c>
      <c r="F1282" s="134">
        <v>64622624148.520004</v>
      </c>
      <c r="G1282" s="126">
        <f t="shared" si="23"/>
        <v>1.9136570145431366</v>
      </c>
      <c r="H1282" s="120"/>
      <c r="I1282" s="120"/>
      <c r="J1282" s="116"/>
      <c r="K1282" s="116"/>
      <c r="L1282" s="116"/>
      <c r="M1282" s="116"/>
      <c r="N1282" s="116"/>
      <c r="O1282" s="116"/>
      <c r="P1282" s="116"/>
    </row>
    <row r="1283" spans="2:16" s="108" customFormat="1" ht="21.75" hidden="1" customHeight="1">
      <c r="B1283" s="109"/>
      <c r="C1283" s="122"/>
      <c r="D1283" s="153" t="s">
        <v>1109</v>
      </c>
      <c r="E1283" s="722">
        <v>525000000</v>
      </c>
      <c r="F1283" s="134">
        <v>64622624148.520004</v>
      </c>
      <c r="G1283" s="126">
        <f t="shared" si="23"/>
        <v>0.81240897737827866</v>
      </c>
      <c r="H1283" s="120"/>
      <c r="I1283" s="120"/>
      <c r="J1283" s="116"/>
      <c r="K1283" s="116"/>
      <c r="L1283" s="116"/>
      <c r="M1283" s="116"/>
      <c r="N1283" s="116"/>
      <c r="O1283" s="116"/>
      <c r="P1283" s="116"/>
    </row>
    <row r="1284" spans="2:16" s="108" customFormat="1" ht="21.75" hidden="1" customHeight="1">
      <c r="B1284" s="109"/>
      <c r="C1284" s="122"/>
      <c r="D1284" s="151" t="s">
        <v>602</v>
      </c>
      <c r="E1284" s="721">
        <f>+E1285+E1286+E1287+E1288</f>
        <v>2671821670</v>
      </c>
      <c r="F1284" s="134">
        <v>64622624148.520004</v>
      </c>
      <c r="G1284" s="126">
        <f t="shared" si="23"/>
        <v>4.1344988774510956</v>
      </c>
      <c r="H1284" s="120"/>
      <c r="I1284" s="120"/>
      <c r="J1284" s="116"/>
      <c r="K1284" s="116"/>
      <c r="L1284" s="116"/>
      <c r="M1284" s="116"/>
      <c r="N1284" s="116"/>
      <c r="O1284" s="116"/>
      <c r="P1284" s="116"/>
    </row>
    <row r="1285" spans="2:16" s="108" customFormat="1" ht="21.75" hidden="1" customHeight="1">
      <c r="B1285" s="109"/>
      <c r="C1285" s="122"/>
      <c r="D1285" s="153" t="s">
        <v>1110</v>
      </c>
      <c r="E1285" s="722">
        <v>220555000</v>
      </c>
      <c r="F1285" s="134">
        <v>64622624148.520004</v>
      </c>
      <c r="G1285" s="126">
        <f t="shared" si="23"/>
        <v>0.34129688001079289</v>
      </c>
      <c r="H1285" s="120"/>
      <c r="I1285" s="120"/>
      <c r="J1285" s="116"/>
      <c r="K1285" s="116"/>
      <c r="L1285" s="116"/>
      <c r="M1285" s="116"/>
      <c r="N1285" s="116"/>
      <c r="O1285" s="116"/>
      <c r="P1285" s="116"/>
    </row>
    <row r="1286" spans="2:16" s="108" customFormat="1" ht="55.5" hidden="1" customHeight="1">
      <c r="B1286" s="109"/>
      <c r="C1286" s="122"/>
      <c r="D1286" s="153" t="s">
        <v>1111</v>
      </c>
      <c r="E1286" s="722">
        <v>1300720000</v>
      </c>
      <c r="F1286" s="134">
        <v>64622624148.520004</v>
      </c>
      <c r="G1286" s="126">
        <f t="shared" si="23"/>
        <v>2.0127935334389995</v>
      </c>
      <c r="H1286" s="120"/>
      <c r="I1286" s="120"/>
      <c r="J1286" s="116"/>
      <c r="K1286" s="116"/>
      <c r="L1286" s="116"/>
      <c r="M1286" s="116"/>
      <c r="N1286" s="116"/>
      <c r="O1286" s="116"/>
      <c r="P1286" s="116"/>
    </row>
    <row r="1287" spans="2:16" s="108" customFormat="1" ht="21.75" hidden="1" customHeight="1">
      <c r="B1287" s="109"/>
      <c r="C1287" s="122"/>
      <c r="D1287" s="153" t="s">
        <v>1112</v>
      </c>
      <c r="E1287" s="722">
        <v>272120000</v>
      </c>
      <c r="F1287" s="134">
        <v>64622624148.520004</v>
      </c>
      <c r="G1287" s="126">
        <f t="shared" si="23"/>
        <v>0.42109091604605187</v>
      </c>
      <c r="H1287" s="120"/>
      <c r="I1287" s="120"/>
      <c r="J1287" s="116"/>
      <c r="K1287" s="116"/>
      <c r="L1287" s="116"/>
      <c r="M1287" s="116"/>
      <c r="N1287" s="116"/>
      <c r="O1287" s="116"/>
      <c r="P1287" s="116"/>
    </row>
    <row r="1288" spans="2:16" s="108" customFormat="1" ht="29.25" hidden="1" customHeight="1">
      <c r="B1288" s="109"/>
      <c r="C1288" s="122"/>
      <c r="D1288" s="153" t="s">
        <v>1113</v>
      </c>
      <c r="E1288" s="722">
        <v>878426670</v>
      </c>
      <c r="F1288" s="134">
        <v>64622624148.520004</v>
      </c>
      <c r="G1288" s="126">
        <f t="shared" si="23"/>
        <v>1.3593175479552511</v>
      </c>
      <c r="H1288" s="120"/>
      <c r="I1288" s="120"/>
      <c r="J1288" s="116"/>
      <c r="K1288" s="116"/>
      <c r="L1288" s="116"/>
      <c r="M1288" s="116"/>
      <c r="N1288" s="116"/>
      <c r="O1288" s="116"/>
      <c r="P1288" s="116"/>
    </row>
    <row r="1289" spans="2:16" s="108" customFormat="1" ht="36" hidden="1" customHeight="1">
      <c r="B1289" s="109"/>
      <c r="C1289" s="122"/>
      <c r="D1289" s="151" t="s">
        <v>686</v>
      </c>
      <c r="E1289" s="721">
        <f>SUM(E1290:E1291)</f>
        <v>6218650938</v>
      </c>
      <c r="F1289" s="134">
        <v>64622624148.520004</v>
      </c>
      <c r="G1289" s="126">
        <f t="shared" si="23"/>
        <v>9.6230244746915314</v>
      </c>
      <c r="H1289" s="120"/>
      <c r="I1289" s="120"/>
      <c r="J1289" s="116"/>
      <c r="K1289" s="116"/>
      <c r="L1289" s="116"/>
      <c r="M1289" s="116"/>
      <c r="N1289" s="116"/>
      <c r="O1289" s="116"/>
      <c r="P1289" s="116"/>
    </row>
    <row r="1290" spans="2:16" s="108" customFormat="1" ht="21.75" hidden="1" customHeight="1">
      <c r="B1290" s="109"/>
      <c r="C1290" s="122"/>
      <c r="D1290" s="153" t="s">
        <v>1114</v>
      </c>
      <c r="E1290" s="722">
        <v>5343383487</v>
      </c>
      <c r="F1290" s="134">
        <v>64622624148.520004</v>
      </c>
      <c r="G1290" s="126">
        <f t="shared" si="23"/>
        <v>8.2685956465021935</v>
      </c>
      <c r="H1290" s="120"/>
      <c r="I1290" s="120"/>
      <c r="J1290" s="116"/>
      <c r="K1290" s="116"/>
      <c r="L1290" s="116"/>
      <c r="M1290" s="116"/>
      <c r="N1290" s="116"/>
      <c r="O1290" s="116"/>
      <c r="P1290" s="116"/>
    </row>
    <row r="1291" spans="2:16" s="108" customFormat="1" ht="21.75" hidden="1" customHeight="1">
      <c r="B1291" s="109"/>
      <c r="C1291" s="122"/>
      <c r="D1291" s="153" t="s">
        <v>1115</v>
      </c>
      <c r="E1291" s="722">
        <v>875267451</v>
      </c>
      <c r="F1291" s="134">
        <v>64622624148.520004</v>
      </c>
      <c r="G1291" s="126">
        <f t="shared" si="23"/>
        <v>1.3544288281893384</v>
      </c>
      <c r="H1291" s="120"/>
      <c r="I1291" s="120"/>
      <c r="J1291" s="116"/>
      <c r="K1291" s="116"/>
      <c r="L1291" s="116"/>
      <c r="M1291" s="116"/>
      <c r="N1291" s="116"/>
      <c r="O1291" s="116"/>
      <c r="P1291" s="116"/>
    </row>
    <row r="1292" spans="2:16" s="108" customFormat="1" ht="21.75" hidden="1" customHeight="1">
      <c r="B1292" s="109"/>
      <c r="C1292" s="122"/>
      <c r="D1292" s="151" t="s">
        <v>1116</v>
      </c>
      <c r="E1292" s="721">
        <f>SUM(E1293:E1294)</f>
        <v>2893145863</v>
      </c>
      <c r="F1292" s="134">
        <v>64622624148.520004</v>
      </c>
      <c r="G1292" s="126">
        <f t="shared" si="23"/>
        <v>4.4769860418400533</v>
      </c>
      <c r="H1292" s="120"/>
      <c r="I1292" s="120"/>
      <c r="J1292" s="116"/>
      <c r="K1292" s="116"/>
      <c r="L1292" s="116"/>
      <c r="M1292" s="116"/>
      <c r="N1292" s="116"/>
      <c r="O1292" s="116"/>
      <c r="P1292" s="116"/>
    </row>
    <row r="1293" spans="2:16" s="108" customFormat="1" ht="21.75" hidden="1" customHeight="1">
      <c r="B1293" s="109"/>
      <c r="C1293" s="122"/>
      <c r="D1293" s="153" t="s">
        <v>1117</v>
      </c>
      <c r="E1293" s="722">
        <v>1425645863</v>
      </c>
      <c r="F1293" s="134">
        <v>64622624148.520004</v>
      </c>
      <c r="G1293" s="126">
        <f t="shared" si="23"/>
        <v>2.206109519358864</v>
      </c>
      <c r="H1293" s="120"/>
      <c r="I1293" s="120"/>
      <c r="J1293" s="116"/>
      <c r="K1293" s="116"/>
      <c r="L1293" s="116"/>
      <c r="M1293" s="116"/>
      <c r="N1293" s="116"/>
      <c r="O1293" s="116"/>
      <c r="P1293" s="116"/>
    </row>
    <row r="1294" spans="2:16" s="108" customFormat="1" ht="55.5" hidden="1" customHeight="1">
      <c r="B1294" s="109"/>
      <c r="C1294" s="122"/>
      <c r="D1294" s="153" t="s">
        <v>1118</v>
      </c>
      <c r="E1294" s="722">
        <v>1467500000</v>
      </c>
      <c r="F1294" s="134">
        <v>64622624148.520004</v>
      </c>
      <c r="G1294" s="126">
        <f t="shared" si="23"/>
        <v>2.2708765224811889</v>
      </c>
      <c r="H1294" s="120"/>
      <c r="I1294" s="120"/>
      <c r="J1294" s="116"/>
      <c r="K1294" s="116"/>
      <c r="L1294" s="116"/>
      <c r="M1294" s="116"/>
      <c r="N1294" s="116"/>
      <c r="O1294" s="116"/>
      <c r="P1294" s="116"/>
    </row>
    <row r="1295" spans="2:16" s="108" customFormat="1" ht="15" hidden="1" customHeight="1">
      <c r="B1295" s="109"/>
      <c r="C1295" s="122"/>
      <c r="D1295" s="123"/>
      <c r="E1295" s="723"/>
      <c r="F1295" s="134">
        <v>64622624148.520004</v>
      </c>
      <c r="G1295" s="126">
        <f t="shared" si="23"/>
        <v>0</v>
      </c>
      <c r="H1295" s="120"/>
      <c r="I1295" s="120"/>
      <c r="J1295" s="116"/>
      <c r="K1295" s="116"/>
      <c r="L1295" s="116"/>
      <c r="M1295" s="116"/>
      <c r="N1295" s="116"/>
      <c r="O1295" s="116"/>
      <c r="P1295" s="116"/>
    </row>
    <row r="1296" spans="2:16" s="108" customFormat="1" ht="21.75" hidden="1" customHeight="1">
      <c r="B1296" s="109"/>
      <c r="C1296" s="122"/>
      <c r="D1296" s="150" t="s">
        <v>832</v>
      </c>
      <c r="E1296" s="720">
        <f>+E1297+E1299</f>
        <v>12000000000</v>
      </c>
      <c r="F1296" s="134">
        <v>64622624148.520004</v>
      </c>
      <c r="G1296" s="126">
        <f t="shared" si="23"/>
        <v>18.569348054360656</v>
      </c>
      <c r="H1296" s="120"/>
      <c r="I1296" s="120"/>
      <c r="J1296" s="116"/>
      <c r="K1296" s="116"/>
      <c r="L1296" s="116"/>
      <c r="M1296" s="116"/>
      <c r="N1296" s="116"/>
      <c r="O1296" s="116"/>
      <c r="P1296" s="116"/>
    </row>
    <row r="1297" spans="2:16" s="108" customFormat="1" ht="21.75" hidden="1" customHeight="1">
      <c r="B1297" s="109"/>
      <c r="C1297" s="122"/>
      <c r="D1297" s="111" t="s">
        <v>1119</v>
      </c>
      <c r="E1297" s="724">
        <f>E1298</f>
        <v>4000000000</v>
      </c>
      <c r="F1297" s="134">
        <v>64622624148.520004</v>
      </c>
      <c r="G1297" s="126">
        <f t="shared" si="23"/>
        <v>6.189782684786886</v>
      </c>
      <c r="H1297" s="120"/>
      <c r="I1297" s="120"/>
      <c r="J1297" s="116"/>
      <c r="K1297" s="116"/>
      <c r="L1297" s="116"/>
      <c r="M1297" s="116"/>
      <c r="N1297" s="116"/>
      <c r="O1297" s="116"/>
      <c r="P1297" s="116"/>
    </row>
    <row r="1298" spans="2:16" s="108" customFormat="1" ht="55.5" hidden="1" customHeight="1">
      <c r="B1298" s="109"/>
      <c r="C1298" s="122"/>
      <c r="D1298" s="123" t="s">
        <v>1120</v>
      </c>
      <c r="E1298" s="723">
        <v>4000000000</v>
      </c>
      <c r="F1298" s="134">
        <v>64622624148.520004</v>
      </c>
      <c r="G1298" s="126">
        <f t="shared" si="23"/>
        <v>6.189782684786886</v>
      </c>
      <c r="H1298" s="120"/>
      <c r="I1298" s="120"/>
      <c r="J1298" s="116"/>
      <c r="K1298" s="116"/>
      <c r="L1298" s="116"/>
      <c r="M1298" s="116"/>
      <c r="N1298" s="116"/>
      <c r="O1298" s="116"/>
      <c r="P1298" s="116"/>
    </row>
    <row r="1299" spans="2:16" s="108" customFormat="1" ht="21.75" hidden="1" customHeight="1">
      <c r="B1299" s="109"/>
      <c r="C1299" s="122"/>
      <c r="D1299" s="111" t="s">
        <v>836</v>
      </c>
      <c r="E1299" s="724">
        <f>E1300</f>
        <v>8000000000</v>
      </c>
      <c r="F1299" s="134">
        <v>64622624148.520004</v>
      </c>
      <c r="G1299" s="126">
        <f t="shared" si="23"/>
        <v>12.379565369573772</v>
      </c>
      <c r="H1299" s="120"/>
      <c r="I1299" s="120"/>
      <c r="J1299" s="116"/>
      <c r="K1299" s="116"/>
      <c r="L1299" s="116"/>
      <c r="M1299" s="116"/>
      <c r="N1299" s="116"/>
      <c r="O1299" s="116"/>
      <c r="P1299" s="116"/>
    </row>
    <row r="1300" spans="2:16" s="108" customFormat="1" ht="21.75" hidden="1" customHeight="1">
      <c r="B1300" s="109"/>
      <c r="C1300" s="122"/>
      <c r="D1300" s="123" t="s">
        <v>1121</v>
      </c>
      <c r="E1300" s="723">
        <v>8000000000</v>
      </c>
      <c r="F1300" s="134">
        <v>64622624148.520004</v>
      </c>
      <c r="G1300" s="126">
        <f t="shared" si="23"/>
        <v>12.379565369573772</v>
      </c>
      <c r="H1300" s="120"/>
      <c r="I1300" s="120"/>
      <c r="J1300" s="116"/>
      <c r="K1300" s="116"/>
      <c r="L1300" s="116"/>
      <c r="M1300" s="116"/>
      <c r="N1300" s="116"/>
      <c r="O1300" s="116"/>
      <c r="P1300" s="116"/>
    </row>
    <row r="1301" spans="2:16" s="108" customFormat="1" ht="15" hidden="1" customHeight="1">
      <c r="B1301" s="109"/>
      <c r="C1301" s="122"/>
      <c r="D1301" s="123"/>
      <c r="E1301" s="719"/>
      <c r="F1301" s="134">
        <v>64622624148.520004</v>
      </c>
      <c r="G1301" s="126">
        <f t="shared" si="23"/>
        <v>0</v>
      </c>
      <c r="H1301" s="120"/>
      <c r="I1301" s="120"/>
      <c r="J1301" s="116"/>
      <c r="K1301" s="116"/>
      <c r="L1301" s="116"/>
      <c r="M1301" s="116"/>
      <c r="N1301" s="116"/>
      <c r="O1301" s="116"/>
      <c r="P1301" s="116"/>
    </row>
    <row r="1302" spans="2:16" s="108" customFormat="1" ht="21.75" hidden="1" customHeight="1">
      <c r="B1302" s="109"/>
      <c r="C1302" s="122"/>
      <c r="D1302" s="150" t="s">
        <v>651</v>
      </c>
      <c r="E1302" s="720">
        <f>+E1303</f>
        <v>2786482533</v>
      </c>
      <c r="F1302" s="134">
        <v>64622624148.520004</v>
      </c>
      <c r="G1302" s="126">
        <f t="shared" si="23"/>
        <v>4.3119303335561261</v>
      </c>
      <c r="H1302" s="120"/>
      <c r="I1302" s="120"/>
      <c r="J1302" s="116"/>
      <c r="K1302" s="116"/>
      <c r="L1302" s="116"/>
      <c r="M1302" s="116"/>
      <c r="N1302" s="116"/>
      <c r="O1302" s="116"/>
      <c r="P1302" s="116"/>
    </row>
    <row r="1303" spans="2:16" s="108" customFormat="1" ht="21.75" hidden="1" customHeight="1">
      <c r="B1303" s="109"/>
      <c r="C1303" s="122"/>
      <c r="D1303" s="111" t="s">
        <v>1122</v>
      </c>
      <c r="E1303" s="724">
        <f>E1304</f>
        <v>2786482533</v>
      </c>
      <c r="F1303" s="134">
        <v>64622624148.520004</v>
      </c>
      <c r="G1303" s="126">
        <f t="shared" si="23"/>
        <v>4.3119303335561261</v>
      </c>
      <c r="H1303" s="120"/>
      <c r="I1303" s="120"/>
      <c r="J1303" s="116"/>
      <c r="K1303" s="116"/>
      <c r="L1303" s="116"/>
      <c r="M1303" s="116"/>
      <c r="N1303" s="116"/>
      <c r="O1303" s="116"/>
      <c r="P1303" s="116"/>
    </row>
    <row r="1304" spans="2:16" s="108" customFormat="1" ht="55.5" hidden="1" customHeight="1">
      <c r="B1304" s="109"/>
      <c r="C1304" s="122"/>
      <c r="D1304" s="123" t="s">
        <v>1123</v>
      </c>
      <c r="E1304" s="723">
        <v>2786482533</v>
      </c>
      <c r="F1304" s="134">
        <v>64622624148.520004</v>
      </c>
      <c r="G1304" s="126">
        <f t="shared" si="23"/>
        <v>4.3119303335561261</v>
      </c>
      <c r="H1304" s="120"/>
      <c r="I1304" s="120"/>
      <c r="J1304" s="116"/>
      <c r="K1304" s="116"/>
      <c r="L1304" s="116"/>
      <c r="M1304" s="116"/>
      <c r="N1304" s="116"/>
      <c r="O1304" s="116"/>
      <c r="P1304" s="116"/>
    </row>
    <row r="1305" spans="2:16" s="108" customFormat="1" ht="15" hidden="1" customHeight="1">
      <c r="B1305" s="109"/>
      <c r="C1305" s="122"/>
      <c r="D1305" s="123"/>
      <c r="E1305" s="719"/>
      <c r="F1305" s="134">
        <v>64622624148.520004</v>
      </c>
      <c r="G1305" s="126">
        <f t="shared" si="23"/>
        <v>0</v>
      </c>
      <c r="H1305" s="120"/>
      <c r="I1305" s="120"/>
      <c r="J1305" s="116"/>
      <c r="K1305" s="116"/>
      <c r="L1305" s="116"/>
      <c r="M1305" s="116"/>
      <c r="N1305" s="116"/>
      <c r="O1305" s="116"/>
      <c r="P1305" s="116"/>
    </row>
    <row r="1306" spans="2:16" s="108" customFormat="1" ht="21.75" hidden="1" customHeight="1">
      <c r="B1306" s="109"/>
      <c r="C1306" s="122"/>
      <c r="D1306" s="150" t="s">
        <v>1124</v>
      </c>
      <c r="E1306" s="720">
        <f>+E1307+E1309</f>
        <v>490463600</v>
      </c>
      <c r="F1306" s="134">
        <v>64622624148.520004</v>
      </c>
      <c r="G1306" s="126">
        <f t="shared" si="23"/>
        <v>0.75896577469956028</v>
      </c>
      <c r="H1306" s="120"/>
      <c r="I1306" s="120"/>
      <c r="J1306" s="116"/>
      <c r="K1306" s="116"/>
      <c r="L1306" s="116"/>
      <c r="M1306" s="116"/>
      <c r="N1306" s="116"/>
      <c r="O1306" s="116"/>
      <c r="P1306" s="116"/>
    </row>
    <row r="1307" spans="2:16" s="108" customFormat="1" ht="21.75" hidden="1" customHeight="1">
      <c r="B1307" s="109"/>
      <c r="C1307" s="122"/>
      <c r="D1307" s="111" t="s">
        <v>1125</v>
      </c>
      <c r="E1307" s="724">
        <f>E1308</f>
        <v>226841100</v>
      </c>
      <c r="F1307" s="134">
        <v>64622624148.520004</v>
      </c>
      <c r="G1307" s="126">
        <f t="shared" si="23"/>
        <v>0.35102427824450261</v>
      </c>
      <c r="H1307" s="120"/>
      <c r="I1307" s="120"/>
      <c r="J1307" s="116"/>
      <c r="K1307" s="116"/>
      <c r="L1307" s="116"/>
      <c r="M1307" s="116"/>
      <c r="N1307" s="116"/>
      <c r="O1307" s="116"/>
      <c r="P1307" s="116"/>
    </row>
    <row r="1308" spans="2:16" s="108" customFormat="1" ht="55.5" hidden="1" customHeight="1">
      <c r="B1308" s="109"/>
      <c r="C1308" s="122"/>
      <c r="D1308" s="123" t="s">
        <v>1126</v>
      </c>
      <c r="E1308" s="723">
        <v>226841100</v>
      </c>
      <c r="F1308" s="134">
        <v>64622624148.520004</v>
      </c>
      <c r="G1308" s="126">
        <f t="shared" si="23"/>
        <v>0.35102427824450261</v>
      </c>
      <c r="H1308" s="120"/>
      <c r="I1308" s="120"/>
      <c r="J1308" s="116"/>
      <c r="K1308" s="116"/>
      <c r="L1308" s="116"/>
      <c r="M1308" s="116"/>
      <c r="N1308" s="116"/>
      <c r="O1308" s="116"/>
      <c r="P1308" s="116"/>
    </row>
    <row r="1309" spans="2:16" s="108" customFormat="1" ht="21.75" hidden="1" customHeight="1">
      <c r="B1309" s="109"/>
      <c r="C1309" s="122"/>
      <c r="D1309" s="111" t="s">
        <v>638</v>
      </c>
      <c r="E1309" s="724">
        <f>E1310</f>
        <v>263622500</v>
      </c>
      <c r="F1309" s="134">
        <v>64622624148.520004</v>
      </c>
      <c r="G1309" s="126">
        <f t="shared" si="23"/>
        <v>0.40794149645505773</v>
      </c>
      <c r="H1309" s="120"/>
      <c r="I1309" s="120"/>
      <c r="J1309" s="116"/>
      <c r="K1309" s="116"/>
      <c r="L1309" s="116"/>
      <c r="M1309" s="116"/>
      <c r="N1309" s="116"/>
      <c r="O1309" s="116"/>
      <c r="P1309" s="116"/>
    </row>
    <row r="1310" spans="2:16" s="108" customFormat="1" ht="55.5" hidden="1" customHeight="1">
      <c r="B1310" s="109"/>
      <c r="C1310" s="122"/>
      <c r="D1310" s="123" t="s">
        <v>1127</v>
      </c>
      <c r="E1310" s="723">
        <v>263622500</v>
      </c>
      <c r="F1310" s="134">
        <v>64622624148.520004</v>
      </c>
      <c r="G1310" s="126">
        <f t="shared" si="23"/>
        <v>0.40794149645505773</v>
      </c>
      <c r="H1310" s="120"/>
      <c r="I1310" s="120"/>
      <c r="J1310" s="116"/>
      <c r="K1310" s="116"/>
      <c r="L1310" s="116"/>
      <c r="M1310" s="116"/>
      <c r="N1310" s="116"/>
      <c r="O1310" s="116"/>
      <c r="P1310" s="116"/>
    </row>
    <row r="1311" spans="2:16" s="108" customFormat="1" ht="15" hidden="1" customHeight="1">
      <c r="B1311" s="109"/>
      <c r="C1311" s="122"/>
      <c r="D1311" s="123"/>
      <c r="E1311" s="719"/>
      <c r="F1311" s="134">
        <v>64622624148.520004</v>
      </c>
      <c r="G1311" s="126">
        <f t="shared" si="23"/>
        <v>0</v>
      </c>
      <c r="H1311" s="120"/>
      <c r="I1311" s="120"/>
      <c r="J1311" s="116"/>
      <c r="K1311" s="116"/>
      <c r="L1311" s="116"/>
      <c r="M1311" s="116"/>
      <c r="N1311" s="116"/>
      <c r="O1311" s="116"/>
      <c r="P1311" s="116"/>
    </row>
    <row r="1312" spans="2:16" s="108" customFormat="1" ht="21.75" hidden="1" customHeight="1">
      <c r="B1312" s="109"/>
      <c r="C1312" s="122"/>
      <c r="D1312" s="150" t="s">
        <v>1128</v>
      </c>
      <c r="E1312" s="720">
        <f>+E1313</f>
        <v>1084629600</v>
      </c>
      <c r="F1312" s="134">
        <v>64622624148.520004</v>
      </c>
      <c r="G1312" s="126">
        <f t="shared" si="23"/>
        <v>1.6784053793718317</v>
      </c>
      <c r="H1312" s="120"/>
      <c r="I1312" s="120"/>
      <c r="J1312" s="116"/>
      <c r="K1312" s="116"/>
      <c r="L1312" s="116"/>
      <c r="M1312" s="116"/>
      <c r="N1312" s="116"/>
      <c r="O1312" s="116"/>
      <c r="P1312" s="116"/>
    </row>
    <row r="1313" spans="2:16" s="108" customFormat="1" ht="21.75" hidden="1" customHeight="1">
      <c r="B1313" s="109"/>
      <c r="C1313" s="122"/>
      <c r="D1313" s="111" t="s">
        <v>759</v>
      </c>
      <c r="E1313" s="724">
        <f>+E1314+E1315</f>
        <v>1084629600</v>
      </c>
      <c r="F1313" s="134">
        <v>64622624148.520004</v>
      </c>
      <c r="G1313" s="126">
        <f t="shared" si="23"/>
        <v>1.6784053793718317</v>
      </c>
      <c r="H1313" s="120"/>
      <c r="I1313" s="120"/>
      <c r="J1313" s="116"/>
      <c r="K1313" s="116"/>
      <c r="L1313" s="116"/>
      <c r="M1313" s="116"/>
      <c r="N1313" s="116"/>
      <c r="O1313" s="116"/>
      <c r="P1313" s="116"/>
    </row>
    <row r="1314" spans="2:16" s="108" customFormat="1" ht="21.75" hidden="1" customHeight="1">
      <c r="B1314" s="109"/>
      <c r="C1314" s="122"/>
      <c r="D1314" s="123" t="s">
        <v>1129</v>
      </c>
      <c r="E1314" s="723">
        <v>679707425</v>
      </c>
      <c r="F1314" s="134">
        <v>64622624148.520004</v>
      </c>
      <c r="G1314" s="126">
        <f t="shared" ref="G1314:G1365" si="24">+E1314/F1314*100</f>
        <v>1.0518103124965201</v>
      </c>
      <c r="H1314" s="120"/>
      <c r="I1314" s="120"/>
      <c r="J1314" s="116"/>
      <c r="K1314" s="116"/>
      <c r="L1314" s="116"/>
      <c r="M1314" s="116"/>
      <c r="N1314" s="116"/>
      <c r="O1314" s="116"/>
      <c r="P1314" s="116"/>
    </row>
    <row r="1315" spans="2:16" s="108" customFormat="1" ht="32.25" hidden="1" customHeight="1">
      <c r="B1315" s="109"/>
      <c r="C1315" s="122"/>
      <c r="D1315" s="123" t="s">
        <v>1130</v>
      </c>
      <c r="E1315" s="723">
        <v>404922175</v>
      </c>
      <c r="F1315" s="134">
        <v>64622624148.520004</v>
      </c>
      <c r="G1315" s="126">
        <f t="shared" si="24"/>
        <v>0.6265950668753113</v>
      </c>
      <c r="H1315" s="120"/>
      <c r="I1315" s="120"/>
      <c r="J1315" s="116"/>
      <c r="K1315" s="116"/>
      <c r="L1315" s="116"/>
      <c r="M1315" s="116"/>
      <c r="N1315" s="116"/>
      <c r="O1315" s="116"/>
      <c r="P1315" s="116"/>
    </row>
    <row r="1316" spans="2:16" s="108" customFormat="1" ht="15" hidden="1" customHeight="1">
      <c r="B1316" s="109"/>
      <c r="C1316" s="122"/>
      <c r="D1316" s="123"/>
      <c r="E1316" s="719"/>
      <c r="F1316" s="134">
        <v>64622624148.520004</v>
      </c>
      <c r="G1316" s="126">
        <f t="shared" si="24"/>
        <v>0</v>
      </c>
      <c r="H1316" s="120"/>
      <c r="I1316" s="120"/>
      <c r="J1316" s="116"/>
      <c r="K1316" s="116"/>
      <c r="L1316" s="116"/>
      <c r="M1316" s="116"/>
      <c r="N1316" s="116"/>
      <c r="O1316" s="116"/>
      <c r="P1316" s="116"/>
    </row>
    <row r="1317" spans="2:16" s="108" customFormat="1" ht="21.75" hidden="1" customHeight="1">
      <c r="B1317" s="109"/>
      <c r="C1317" s="122"/>
      <c r="D1317" s="150" t="s">
        <v>1131</v>
      </c>
      <c r="E1317" s="725">
        <f>+E1318</f>
        <v>272320648</v>
      </c>
      <c r="F1317" s="134">
        <v>64622624148.520004</v>
      </c>
      <c r="G1317" s="126">
        <f t="shared" si="24"/>
        <v>0.42140140792508612</v>
      </c>
      <c r="H1317" s="120"/>
      <c r="I1317" s="120"/>
      <c r="J1317" s="116"/>
      <c r="K1317" s="116"/>
      <c r="L1317" s="116"/>
      <c r="M1317" s="116"/>
      <c r="N1317" s="116"/>
      <c r="O1317" s="116"/>
      <c r="P1317" s="116"/>
    </row>
    <row r="1318" spans="2:16" s="108" customFormat="1" ht="55.5" hidden="1" customHeight="1">
      <c r="B1318" s="109"/>
      <c r="C1318" s="122"/>
      <c r="D1318" s="111" t="s">
        <v>740</v>
      </c>
      <c r="E1318" s="724">
        <f>E1319</f>
        <v>272320648</v>
      </c>
      <c r="F1318" s="134">
        <v>64622624148.520004</v>
      </c>
      <c r="G1318" s="126">
        <f t="shared" si="24"/>
        <v>0.42140140792508612</v>
      </c>
      <c r="H1318" s="120"/>
      <c r="I1318" s="120"/>
      <c r="J1318" s="116"/>
      <c r="K1318" s="116"/>
      <c r="L1318" s="116"/>
      <c r="M1318" s="116"/>
      <c r="N1318" s="116"/>
      <c r="O1318" s="116"/>
      <c r="P1318" s="116"/>
    </row>
    <row r="1319" spans="2:16" s="108" customFormat="1" ht="31.5" hidden="1" customHeight="1">
      <c r="B1319" s="109"/>
      <c r="C1319" s="122"/>
      <c r="D1319" s="123" t="s">
        <v>1132</v>
      </c>
      <c r="E1319" s="723">
        <v>272320648</v>
      </c>
      <c r="F1319" s="134">
        <v>64622624148.520004</v>
      </c>
      <c r="G1319" s="126">
        <f t="shared" si="24"/>
        <v>0.42140140792508612</v>
      </c>
      <c r="H1319" s="120"/>
      <c r="I1319" s="120"/>
      <c r="J1319" s="116"/>
      <c r="K1319" s="116"/>
      <c r="L1319" s="116"/>
      <c r="M1319" s="116"/>
      <c r="N1319" s="116"/>
      <c r="O1319" s="116"/>
      <c r="P1319" s="116"/>
    </row>
    <row r="1320" spans="2:16" s="108" customFormat="1" ht="15" hidden="1" customHeight="1">
      <c r="B1320" s="109"/>
      <c r="C1320" s="122"/>
      <c r="D1320" s="123"/>
      <c r="E1320" s="719"/>
      <c r="F1320" s="134">
        <v>64622624148.520004</v>
      </c>
      <c r="G1320" s="126">
        <f t="shared" si="24"/>
        <v>0</v>
      </c>
      <c r="H1320" s="120"/>
      <c r="I1320" s="120"/>
      <c r="J1320" s="116"/>
      <c r="K1320" s="116"/>
      <c r="L1320" s="116"/>
      <c r="M1320" s="116"/>
      <c r="N1320" s="116"/>
      <c r="O1320" s="116"/>
      <c r="P1320" s="116"/>
    </row>
    <row r="1321" spans="2:16" s="117" customFormat="1" ht="21.75" hidden="1" customHeight="1">
      <c r="B1321" s="118"/>
      <c r="C1321" s="110"/>
      <c r="D1321" s="150" t="s">
        <v>642</v>
      </c>
      <c r="E1321" s="720">
        <f>+E1322+E1324</f>
        <v>12708050000</v>
      </c>
      <c r="F1321" s="134">
        <v>64622624148.520004</v>
      </c>
      <c r="G1321" s="126">
        <f t="shared" si="24"/>
        <v>19.665016961851496</v>
      </c>
      <c r="H1321" s="120"/>
      <c r="I1321" s="120"/>
      <c r="J1321" s="121"/>
      <c r="K1321" s="121"/>
      <c r="L1321" s="121"/>
      <c r="M1321" s="121"/>
      <c r="N1321" s="121"/>
      <c r="O1321" s="121"/>
      <c r="P1321" s="121"/>
    </row>
    <row r="1322" spans="2:16" s="108" customFormat="1" ht="21.75" hidden="1" customHeight="1">
      <c r="B1322" s="109"/>
      <c r="C1322" s="122"/>
      <c r="D1322" s="111" t="s">
        <v>1133</v>
      </c>
      <c r="E1322" s="724">
        <f>E1323</f>
        <v>3118150000</v>
      </c>
      <c r="F1322" s="134">
        <v>64622624148.520004</v>
      </c>
      <c r="G1322" s="126">
        <f t="shared" si="24"/>
        <v>4.8251677196420575</v>
      </c>
      <c r="H1322" s="120"/>
      <c r="I1322" s="120"/>
      <c r="J1322" s="116"/>
      <c r="K1322" s="116"/>
      <c r="L1322" s="116"/>
      <c r="M1322" s="116"/>
      <c r="N1322" s="116"/>
      <c r="O1322" s="116"/>
      <c r="P1322" s="116"/>
    </row>
    <row r="1323" spans="2:16" s="108" customFormat="1" ht="55.5" hidden="1" customHeight="1">
      <c r="B1323" s="109"/>
      <c r="C1323" s="122"/>
      <c r="D1323" s="123" t="s">
        <v>1134</v>
      </c>
      <c r="E1323" s="723">
        <v>3118150000</v>
      </c>
      <c r="F1323" s="134">
        <v>64622624148.520004</v>
      </c>
      <c r="G1323" s="126">
        <f t="shared" si="24"/>
        <v>4.8251677196420575</v>
      </c>
      <c r="H1323" s="120"/>
      <c r="I1323" s="120"/>
      <c r="J1323" s="116"/>
      <c r="K1323" s="116"/>
      <c r="L1323" s="116"/>
      <c r="M1323" s="116"/>
      <c r="N1323" s="116"/>
      <c r="O1323" s="116"/>
      <c r="P1323" s="116"/>
    </row>
    <row r="1324" spans="2:16" s="108" customFormat="1" ht="21.75" hidden="1" customHeight="1">
      <c r="B1324" s="109"/>
      <c r="C1324" s="122"/>
      <c r="D1324" s="111" t="s">
        <v>595</v>
      </c>
      <c r="E1324" s="724">
        <f>E1325+E1326</f>
        <v>9589900000</v>
      </c>
      <c r="F1324" s="134">
        <v>64622624148.520004</v>
      </c>
      <c r="G1324" s="126">
        <f t="shared" si="24"/>
        <v>14.839849242209437</v>
      </c>
      <c r="H1324" s="120"/>
      <c r="I1324" s="120"/>
      <c r="J1324" s="116"/>
      <c r="K1324" s="116"/>
      <c r="L1324" s="116"/>
      <c r="M1324" s="116"/>
      <c r="N1324" s="116"/>
      <c r="O1324" s="116"/>
      <c r="P1324" s="116"/>
    </row>
    <row r="1325" spans="2:16" s="108" customFormat="1" ht="45.75" hidden="1" customHeight="1">
      <c r="B1325" s="109"/>
      <c r="C1325" s="122"/>
      <c r="D1325" s="123" t="s">
        <v>1135</v>
      </c>
      <c r="E1325" s="723">
        <v>9048900000</v>
      </c>
      <c r="F1325" s="134">
        <v>64622624148.520004</v>
      </c>
      <c r="G1325" s="126">
        <f t="shared" si="24"/>
        <v>14.002681134092013</v>
      </c>
      <c r="H1325" s="120"/>
      <c r="I1325" s="120"/>
      <c r="J1325" s="116"/>
      <c r="K1325" s="116"/>
      <c r="L1325" s="116"/>
      <c r="M1325" s="116"/>
      <c r="N1325" s="116"/>
      <c r="O1325" s="116"/>
      <c r="P1325" s="116"/>
    </row>
    <row r="1326" spans="2:16" s="108" customFormat="1" ht="33" hidden="1" customHeight="1">
      <c r="B1326" s="109"/>
      <c r="C1326" s="122"/>
      <c r="D1326" s="123" t="s">
        <v>1136</v>
      </c>
      <c r="E1326" s="723">
        <v>541000000</v>
      </c>
      <c r="F1326" s="134">
        <v>64622624148.520004</v>
      </c>
      <c r="G1326" s="126">
        <f t="shared" si="24"/>
        <v>0.83716810811742626</v>
      </c>
      <c r="H1326" s="120"/>
      <c r="I1326" s="120"/>
      <c r="J1326" s="116"/>
      <c r="K1326" s="116"/>
      <c r="L1326" s="116"/>
      <c r="M1326" s="116"/>
      <c r="N1326" s="116"/>
      <c r="O1326" s="116"/>
      <c r="P1326" s="116"/>
    </row>
    <row r="1327" spans="2:16" s="108" customFormat="1" ht="15" hidden="1" customHeight="1">
      <c r="B1327" s="109"/>
      <c r="C1327" s="122"/>
      <c r="D1327" s="111"/>
      <c r="E1327" s="724"/>
      <c r="F1327" s="134">
        <v>64622624148.520004</v>
      </c>
      <c r="G1327" s="126">
        <f t="shared" si="24"/>
        <v>0</v>
      </c>
      <c r="H1327" s="120"/>
      <c r="I1327" s="120"/>
      <c r="J1327" s="116"/>
      <c r="K1327" s="116"/>
      <c r="L1327" s="116"/>
      <c r="M1327" s="116"/>
      <c r="N1327" s="116"/>
      <c r="O1327" s="116"/>
      <c r="P1327" s="116"/>
    </row>
    <row r="1328" spans="2:16" s="117" customFormat="1" ht="21.75" hidden="1" customHeight="1">
      <c r="B1328" s="118"/>
      <c r="C1328" s="110"/>
      <c r="D1328" s="150" t="s">
        <v>1137</v>
      </c>
      <c r="E1328" s="720">
        <f>+E1329</f>
        <v>500000000</v>
      </c>
      <c r="F1328" s="134">
        <v>64622624148.520004</v>
      </c>
      <c r="G1328" s="126">
        <f t="shared" si="24"/>
        <v>0.77372283559836075</v>
      </c>
      <c r="H1328" s="120"/>
      <c r="I1328" s="120"/>
      <c r="J1328" s="121"/>
      <c r="K1328" s="121"/>
      <c r="L1328" s="121"/>
      <c r="M1328" s="121"/>
      <c r="N1328" s="121"/>
      <c r="O1328" s="121"/>
      <c r="P1328" s="121"/>
    </row>
    <row r="1329" spans="2:16" s="108" customFormat="1" ht="21.75" hidden="1" customHeight="1">
      <c r="B1329" s="109"/>
      <c r="C1329" s="122"/>
      <c r="D1329" s="111" t="s">
        <v>1138</v>
      </c>
      <c r="E1329" s="724">
        <v>500000000</v>
      </c>
      <c r="F1329" s="134">
        <v>64622624148.520004</v>
      </c>
      <c r="G1329" s="126">
        <f t="shared" si="24"/>
        <v>0.77372283559836075</v>
      </c>
      <c r="H1329" s="120"/>
      <c r="I1329" s="120"/>
      <c r="J1329" s="116"/>
      <c r="K1329" s="116"/>
      <c r="L1329" s="116"/>
      <c r="M1329" s="116"/>
      <c r="N1329" s="116"/>
      <c r="O1329" s="116"/>
      <c r="P1329" s="116"/>
    </row>
    <row r="1330" spans="2:16" s="108" customFormat="1" ht="15" hidden="1" customHeight="1">
      <c r="B1330" s="109"/>
      <c r="C1330" s="122"/>
      <c r="D1330" s="123"/>
      <c r="E1330" s="719"/>
      <c r="F1330" s="134">
        <v>64622624148.520004</v>
      </c>
      <c r="G1330" s="126">
        <f t="shared" si="24"/>
        <v>0</v>
      </c>
      <c r="H1330" s="120"/>
      <c r="I1330" s="120"/>
      <c r="J1330" s="116"/>
      <c r="K1330" s="116"/>
      <c r="L1330" s="116"/>
      <c r="M1330" s="116"/>
      <c r="N1330" s="116"/>
      <c r="O1330" s="116"/>
      <c r="P1330" s="116"/>
    </row>
    <row r="1331" spans="2:16" s="108" customFormat="1" ht="21.75" hidden="1" customHeight="1">
      <c r="B1331" s="109"/>
      <c r="C1331" s="122"/>
      <c r="D1331" s="150" t="s">
        <v>1139</v>
      </c>
      <c r="E1331" s="720">
        <f>+E1332+E1334</f>
        <v>1990959064</v>
      </c>
      <c r="F1331" s="134">
        <v>64622624148.520004</v>
      </c>
      <c r="G1331" s="126">
        <f t="shared" si="24"/>
        <v>3.0809009851166764</v>
      </c>
      <c r="H1331" s="120"/>
      <c r="I1331" s="120"/>
      <c r="J1331" s="116"/>
      <c r="K1331" s="116"/>
      <c r="L1331" s="116"/>
      <c r="M1331" s="116"/>
      <c r="N1331" s="116"/>
      <c r="O1331" s="116"/>
      <c r="P1331" s="116"/>
    </row>
    <row r="1332" spans="2:16" s="108" customFormat="1" ht="32.25" hidden="1" customHeight="1">
      <c r="B1332" s="109"/>
      <c r="C1332" s="122"/>
      <c r="D1332" s="111" t="s">
        <v>1140</v>
      </c>
      <c r="E1332" s="724">
        <f>E1333</f>
        <v>321900000</v>
      </c>
      <c r="F1332" s="134">
        <v>64622624148.520004</v>
      </c>
      <c r="G1332" s="126">
        <f t="shared" si="24"/>
        <v>0.4981227615582246</v>
      </c>
      <c r="H1332" s="120"/>
      <c r="I1332" s="120"/>
      <c r="J1332" s="116"/>
      <c r="K1332" s="116"/>
      <c r="L1332" s="116"/>
      <c r="M1332" s="116"/>
      <c r="N1332" s="116"/>
      <c r="O1332" s="116"/>
      <c r="P1332" s="116"/>
    </row>
    <row r="1333" spans="2:16" s="108" customFormat="1" ht="55.5" hidden="1" customHeight="1">
      <c r="B1333" s="109"/>
      <c r="C1333" s="122"/>
      <c r="D1333" s="123" t="s">
        <v>1141</v>
      </c>
      <c r="E1333" s="723">
        <v>321900000</v>
      </c>
      <c r="F1333" s="134">
        <v>64622624148.520004</v>
      </c>
      <c r="G1333" s="126">
        <f t="shared" si="24"/>
        <v>0.4981227615582246</v>
      </c>
      <c r="H1333" s="120"/>
      <c r="I1333" s="120"/>
      <c r="J1333" s="116"/>
      <c r="K1333" s="116"/>
      <c r="L1333" s="116"/>
      <c r="M1333" s="116"/>
      <c r="N1333" s="116"/>
      <c r="O1333" s="116"/>
      <c r="P1333" s="116"/>
    </row>
    <row r="1334" spans="2:16" s="108" customFormat="1" ht="21.75" hidden="1" customHeight="1">
      <c r="B1334" s="109"/>
      <c r="C1334" s="122"/>
      <c r="D1334" s="111" t="s">
        <v>1142</v>
      </c>
      <c r="E1334" s="724">
        <f>E1335</f>
        <v>1669059064</v>
      </c>
      <c r="F1334" s="134">
        <v>64622624148.520004</v>
      </c>
      <c r="G1334" s="126">
        <f t="shared" si="24"/>
        <v>2.582778223558452</v>
      </c>
      <c r="H1334" s="120"/>
      <c r="I1334" s="120"/>
      <c r="J1334" s="116"/>
      <c r="K1334" s="116"/>
      <c r="L1334" s="116"/>
      <c r="M1334" s="116"/>
      <c r="N1334" s="116"/>
      <c r="O1334" s="116"/>
      <c r="P1334" s="116"/>
    </row>
    <row r="1335" spans="2:16" s="108" customFormat="1" ht="21.75" hidden="1" customHeight="1">
      <c r="B1335" s="109"/>
      <c r="C1335" s="122"/>
      <c r="D1335" s="123" t="s">
        <v>1143</v>
      </c>
      <c r="E1335" s="723">
        <v>1669059064</v>
      </c>
      <c r="F1335" s="134">
        <v>64622624148.520004</v>
      </c>
      <c r="G1335" s="126">
        <f t="shared" si="24"/>
        <v>2.582778223558452</v>
      </c>
      <c r="H1335" s="120"/>
      <c r="I1335" s="120"/>
      <c r="J1335" s="116"/>
      <c r="K1335" s="116"/>
      <c r="L1335" s="116"/>
      <c r="M1335" s="116"/>
      <c r="N1335" s="116"/>
      <c r="O1335" s="116"/>
      <c r="P1335" s="116"/>
    </row>
    <row r="1336" spans="2:16" s="108" customFormat="1" ht="15" hidden="1" customHeight="1">
      <c r="B1336" s="109"/>
      <c r="C1336" s="122"/>
      <c r="D1336" s="123"/>
      <c r="E1336" s="719"/>
      <c r="F1336" s="134">
        <v>64622624148.520004</v>
      </c>
      <c r="G1336" s="126">
        <f t="shared" si="24"/>
        <v>0</v>
      </c>
      <c r="H1336" s="120"/>
      <c r="I1336" s="120"/>
      <c r="J1336" s="116"/>
      <c r="K1336" s="116"/>
      <c r="L1336" s="116"/>
      <c r="M1336" s="116"/>
      <c r="N1336" s="116"/>
      <c r="O1336" s="116"/>
      <c r="P1336" s="116"/>
    </row>
    <row r="1337" spans="2:16" s="108" customFormat="1" ht="21.75" hidden="1" customHeight="1">
      <c r="B1337" s="109"/>
      <c r="C1337" s="122"/>
      <c r="D1337" s="150" t="s">
        <v>1144</v>
      </c>
      <c r="E1337" s="720">
        <f>E1338</f>
        <v>500000000</v>
      </c>
      <c r="F1337" s="134">
        <v>64622624148.520004</v>
      </c>
      <c r="G1337" s="126">
        <f t="shared" si="24"/>
        <v>0.77372283559836075</v>
      </c>
      <c r="H1337" s="120"/>
      <c r="I1337" s="120"/>
      <c r="J1337" s="116"/>
      <c r="K1337" s="116"/>
      <c r="L1337" s="116"/>
      <c r="M1337" s="116"/>
      <c r="N1337" s="116"/>
      <c r="O1337" s="116"/>
      <c r="P1337" s="116"/>
    </row>
    <row r="1338" spans="2:16" s="108" customFormat="1" ht="21.75" hidden="1" customHeight="1">
      <c r="B1338" s="109"/>
      <c r="C1338" s="122"/>
      <c r="D1338" s="111" t="s">
        <v>1102</v>
      </c>
      <c r="E1338" s="724">
        <f>E1339</f>
        <v>500000000</v>
      </c>
      <c r="F1338" s="134">
        <v>64622624148.520004</v>
      </c>
      <c r="G1338" s="126">
        <f t="shared" si="24"/>
        <v>0.77372283559836075</v>
      </c>
      <c r="H1338" s="120"/>
      <c r="I1338" s="120"/>
      <c r="J1338" s="116"/>
      <c r="K1338" s="116"/>
      <c r="L1338" s="116"/>
      <c r="M1338" s="116"/>
      <c r="N1338" s="116"/>
      <c r="O1338" s="116"/>
      <c r="P1338" s="116"/>
    </row>
    <row r="1339" spans="2:16" s="108" customFormat="1" ht="31.5" hidden="1" customHeight="1">
      <c r="B1339" s="109"/>
      <c r="C1339" s="122"/>
      <c r="D1339" s="123" t="s">
        <v>1145</v>
      </c>
      <c r="E1339" s="723">
        <v>500000000</v>
      </c>
      <c r="F1339" s="134">
        <v>64622624148.520004</v>
      </c>
      <c r="G1339" s="126">
        <f t="shared" si="24"/>
        <v>0.77372283559836075</v>
      </c>
      <c r="H1339" s="120"/>
      <c r="I1339" s="120"/>
      <c r="J1339" s="116"/>
      <c r="K1339" s="116"/>
      <c r="L1339" s="116"/>
      <c r="M1339" s="116"/>
      <c r="N1339" s="116"/>
      <c r="O1339" s="116"/>
      <c r="P1339" s="116"/>
    </row>
    <row r="1340" spans="2:16" s="108" customFormat="1" ht="15" hidden="1" customHeight="1">
      <c r="B1340" s="109"/>
      <c r="C1340" s="122"/>
      <c r="D1340" s="123"/>
      <c r="E1340" s="719"/>
      <c r="F1340" s="134">
        <v>64622624148.520004</v>
      </c>
      <c r="G1340" s="126">
        <f t="shared" si="24"/>
        <v>0</v>
      </c>
      <c r="H1340" s="120"/>
      <c r="I1340" s="120"/>
      <c r="J1340" s="116"/>
      <c r="K1340" s="116"/>
      <c r="L1340" s="116"/>
      <c r="M1340" s="116"/>
      <c r="N1340" s="116"/>
      <c r="O1340" s="116"/>
      <c r="P1340" s="116"/>
    </row>
    <row r="1341" spans="2:16" s="108" customFormat="1" ht="21.75" hidden="1" customHeight="1">
      <c r="B1341" s="109"/>
      <c r="C1341" s="122"/>
      <c r="D1341" s="150" t="s">
        <v>1146</v>
      </c>
      <c r="E1341" s="720">
        <f>+E1342+E1346+E1348</f>
        <v>1072000000</v>
      </c>
      <c r="F1341" s="134">
        <v>64622624148.520004</v>
      </c>
      <c r="G1341" s="126">
        <f t="shared" si="24"/>
        <v>1.6588617595228856</v>
      </c>
      <c r="H1341" s="120"/>
      <c r="I1341" s="120"/>
      <c r="J1341" s="116"/>
      <c r="K1341" s="116"/>
      <c r="L1341" s="116"/>
      <c r="M1341" s="116"/>
      <c r="N1341" s="116"/>
      <c r="O1341" s="116"/>
      <c r="P1341" s="116"/>
    </row>
    <row r="1342" spans="2:16" s="108" customFormat="1" ht="21.75" hidden="1" customHeight="1">
      <c r="B1342" s="109"/>
      <c r="C1342" s="122"/>
      <c r="D1342" s="111" t="s">
        <v>1147</v>
      </c>
      <c r="E1342" s="724">
        <f>E1343+E1344+E1345</f>
        <v>612000000</v>
      </c>
      <c r="F1342" s="134">
        <v>64622624148.520004</v>
      </c>
      <c r="G1342" s="126">
        <f t="shared" si="24"/>
        <v>0.94703675077239358</v>
      </c>
      <c r="H1342" s="120"/>
      <c r="I1342" s="120"/>
      <c r="J1342" s="116"/>
      <c r="K1342" s="116"/>
      <c r="L1342" s="116"/>
      <c r="M1342" s="116"/>
      <c r="N1342" s="116"/>
      <c r="O1342" s="116"/>
      <c r="P1342" s="116"/>
    </row>
    <row r="1343" spans="2:16" s="108" customFormat="1" ht="21.75" hidden="1" customHeight="1">
      <c r="B1343" s="109"/>
      <c r="C1343" s="122"/>
      <c r="D1343" s="123" t="s">
        <v>1148</v>
      </c>
      <c r="E1343" s="723">
        <v>300000000</v>
      </c>
      <c r="F1343" s="134">
        <v>64622624148.520004</v>
      </c>
      <c r="G1343" s="126">
        <f t="shared" si="24"/>
        <v>0.46423370135901643</v>
      </c>
      <c r="H1343" s="120"/>
      <c r="I1343" s="120"/>
      <c r="J1343" s="116"/>
      <c r="K1343" s="116"/>
      <c r="L1343" s="116"/>
      <c r="M1343" s="116"/>
      <c r="N1343" s="116"/>
      <c r="O1343" s="116"/>
      <c r="P1343" s="116"/>
    </row>
    <row r="1344" spans="2:16" s="108" customFormat="1" ht="21.75" hidden="1" customHeight="1">
      <c r="B1344" s="109"/>
      <c r="C1344" s="122"/>
      <c r="D1344" s="123" t="s">
        <v>1149</v>
      </c>
      <c r="E1344" s="723">
        <v>162000000</v>
      </c>
      <c r="F1344" s="134">
        <v>64622624148.520004</v>
      </c>
      <c r="G1344" s="126">
        <f t="shared" si="24"/>
        <v>0.25068619873386888</v>
      </c>
      <c r="H1344" s="120"/>
      <c r="I1344" s="120"/>
      <c r="J1344" s="116"/>
      <c r="K1344" s="116"/>
      <c r="L1344" s="116"/>
      <c r="M1344" s="116"/>
      <c r="N1344" s="116"/>
      <c r="O1344" s="116"/>
      <c r="P1344" s="116"/>
    </row>
    <row r="1345" spans="2:16" s="108" customFormat="1" ht="55.5" hidden="1" customHeight="1">
      <c r="B1345" s="109"/>
      <c r="C1345" s="122"/>
      <c r="D1345" s="123" t="s">
        <v>1150</v>
      </c>
      <c r="E1345" s="723">
        <v>150000000</v>
      </c>
      <c r="F1345" s="134">
        <v>64622624148.520004</v>
      </c>
      <c r="G1345" s="126">
        <f t="shared" si="24"/>
        <v>0.23211685067950821</v>
      </c>
      <c r="H1345" s="120"/>
      <c r="I1345" s="120"/>
      <c r="J1345" s="116"/>
      <c r="K1345" s="116"/>
      <c r="L1345" s="116"/>
      <c r="M1345" s="116"/>
      <c r="N1345" s="116"/>
      <c r="O1345" s="116"/>
      <c r="P1345" s="116"/>
    </row>
    <row r="1346" spans="2:16" s="108" customFormat="1" ht="21.75" hidden="1" customHeight="1">
      <c r="B1346" s="109"/>
      <c r="C1346" s="122"/>
      <c r="D1346" s="111" t="s">
        <v>709</v>
      </c>
      <c r="E1346" s="724">
        <v>250000000</v>
      </c>
      <c r="F1346" s="134">
        <v>64622624148.520004</v>
      </c>
      <c r="G1346" s="126">
        <f t="shared" si="24"/>
        <v>0.38686141779918037</v>
      </c>
      <c r="H1346" s="120"/>
      <c r="I1346" s="120"/>
      <c r="J1346" s="116"/>
      <c r="K1346" s="116"/>
      <c r="L1346" s="116"/>
      <c r="M1346" s="116"/>
      <c r="N1346" s="116"/>
      <c r="O1346" s="116"/>
      <c r="P1346" s="116"/>
    </row>
    <row r="1347" spans="2:16" s="108" customFormat="1" ht="21.75" hidden="1" customHeight="1">
      <c r="B1347" s="109"/>
      <c r="C1347" s="122"/>
      <c r="D1347" s="123" t="s">
        <v>1151</v>
      </c>
      <c r="E1347" s="723">
        <v>250000000</v>
      </c>
      <c r="F1347" s="134">
        <v>64622624148.520004</v>
      </c>
      <c r="G1347" s="126">
        <f t="shared" si="24"/>
        <v>0.38686141779918037</v>
      </c>
      <c r="H1347" s="120"/>
      <c r="I1347" s="120"/>
      <c r="J1347" s="116"/>
      <c r="K1347" s="116"/>
      <c r="L1347" s="116"/>
      <c r="M1347" s="116"/>
      <c r="N1347" s="116"/>
      <c r="O1347" s="116"/>
      <c r="P1347" s="116"/>
    </row>
    <row r="1348" spans="2:16" s="108" customFormat="1" ht="55.5" hidden="1" customHeight="1">
      <c r="B1348" s="109"/>
      <c r="C1348" s="122"/>
      <c r="D1348" s="111" t="s">
        <v>1152</v>
      </c>
      <c r="E1348" s="724">
        <f>E1349</f>
        <v>210000000</v>
      </c>
      <c r="F1348" s="134">
        <v>64622624148.520004</v>
      </c>
      <c r="G1348" s="126">
        <f t="shared" si="24"/>
        <v>0.32496359095131155</v>
      </c>
      <c r="H1348" s="120"/>
      <c r="I1348" s="120"/>
      <c r="J1348" s="116"/>
      <c r="K1348" s="116"/>
      <c r="L1348" s="116"/>
      <c r="M1348" s="116"/>
      <c r="N1348" s="116"/>
      <c r="O1348" s="116"/>
      <c r="P1348" s="116"/>
    </row>
    <row r="1349" spans="2:16" s="108" customFormat="1" ht="21.75" hidden="1" customHeight="1">
      <c r="B1349" s="109"/>
      <c r="C1349" s="122"/>
      <c r="D1349" s="123" t="s">
        <v>1153</v>
      </c>
      <c r="E1349" s="723">
        <v>210000000</v>
      </c>
      <c r="F1349" s="134">
        <v>64622624148.520004</v>
      </c>
      <c r="G1349" s="126">
        <f t="shared" si="24"/>
        <v>0.32496359095131155</v>
      </c>
      <c r="H1349" s="120"/>
      <c r="I1349" s="120"/>
      <c r="J1349" s="116"/>
      <c r="K1349" s="116"/>
      <c r="L1349" s="116"/>
      <c r="M1349" s="116"/>
      <c r="N1349" s="116"/>
      <c r="O1349" s="116"/>
      <c r="P1349" s="116"/>
    </row>
    <row r="1350" spans="2:16" s="108" customFormat="1" ht="15" hidden="1" customHeight="1">
      <c r="B1350" s="109"/>
      <c r="C1350" s="122"/>
      <c r="D1350" s="123"/>
      <c r="E1350" s="719"/>
      <c r="F1350" s="134">
        <v>64622624148.520004</v>
      </c>
      <c r="G1350" s="126">
        <f t="shared" si="24"/>
        <v>0</v>
      </c>
      <c r="H1350" s="120"/>
      <c r="I1350" s="120"/>
      <c r="J1350" s="116"/>
      <c r="K1350" s="116"/>
      <c r="L1350" s="116"/>
      <c r="M1350" s="116"/>
      <c r="N1350" s="116"/>
      <c r="O1350" s="116"/>
      <c r="P1350" s="116"/>
    </row>
    <row r="1351" spans="2:16" s="117" customFormat="1" ht="21.75" hidden="1" customHeight="1">
      <c r="B1351" s="118"/>
      <c r="C1351" s="110"/>
      <c r="D1351" s="150" t="s">
        <v>835</v>
      </c>
      <c r="E1351" s="720">
        <f>+E1352</f>
        <v>400000000</v>
      </c>
      <c r="F1351" s="134">
        <v>64622624148.520004</v>
      </c>
      <c r="G1351" s="126">
        <f t="shared" si="24"/>
        <v>0.61897826847868853</v>
      </c>
      <c r="H1351" s="120"/>
      <c r="I1351" s="120"/>
      <c r="J1351" s="121"/>
      <c r="K1351" s="121"/>
      <c r="L1351" s="121"/>
      <c r="M1351" s="121"/>
      <c r="N1351" s="121"/>
      <c r="O1351" s="121"/>
      <c r="P1351" s="121"/>
    </row>
    <row r="1352" spans="2:16" s="108" customFormat="1" ht="21.75" hidden="1" customHeight="1">
      <c r="B1352" s="109"/>
      <c r="C1352" s="122"/>
      <c r="D1352" s="111" t="s">
        <v>1154</v>
      </c>
      <c r="E1352" s="724">
        <f>+E1353</f>
        <v>400000000</v>
      </c>
      <c r="F1352" s="134">
        <v>64622624148.520004</v>
      </c>
      <c r="G1352" s="126">
        <f t="shared" si="24"/>
        <v>0.61897826847868853</v>
      </c>
      <c r="H1352" s="120"/>
      <c r="I1352" s="120"/>
      <c r="J1352" s="116"/>
      <c r="K1352" s="116"/>
      <c r="L1352" s="116"/>
      <c r="M1352" s="116"/>
      <c r="N1352" s="116"/>
      <c r="O1352" s="116"/>
      <c r="P1352" s="116"/>
    </row>
    <row r="1353" spans="2:16" s="108" customFormat="1" ht="55.5" hidden="1" customHeight="1">
      <c r="B1353" s="109"/>
      <c r="C1353" s="122"/>
      <c r="D1353" s="123" t="s">
        <v>1155</v>
      </c>
      <c r="E1353" s="723">
        <v>400000000</v>
      </c>
      <c r="F1353" s="134">
        <v>64622624148.520004</v>
      </c>
      <c r="G1353" s="126">
        <f t="shared" si="24"/>
        <v>0.61897826847868853</v>
      </c>
      <c r="H1353" s="120"/>
      <c r="I1353" s="120"/>
      <c r="J1353" s="116"/>
      <c r="K1353" s="116"/>
      <c r="L1353" s="116"/>
      <c r="M1353" s="116"/>
      <c r="N1353" s="116"/>
      <c r="O1353" s="116"/>
      <c r="P1353" s="116"/>
    </row>
    <row r="1354" spans="2:16" s="108" customFormat="1" ht="15" hidden="1" customHeight="1">
      <c r="B1354" s="109"/>
      <c r="C1354" s="122"/>
      <c r="D1354" s="123"/>
      <c r="E1354" s="719"/>
      <c r="F1354" s="134">
        <v>64622624148.520004</v>
      </c>
      <c r="G1354" s="126">
        <f t="shared" si="24"/>
        <v>0</v>
      </c>
      <c r="H1354" s="120"/>
      <c r="I1354" s="120"/>
      <c r="J1354" s="116"/>
      <c r="K1354" s="116"/>
      <c r="L1354" s="116"/>
      <c r="M1354" s="116"/>
      <c r="N1354" s="116"/>
      <c r="O1354" s="116"/>
      <c r="P1354" s="116"/>
    </row>
    <row r="1355" spans="2:16" s="117" customFormat="1" ht="21.75" hidden="1" customHeight="1">
      <c r="B1355" s="118"/>
      <c r="C1355" s="110"/>
      <c r="D1355" s="150" t="s">
        <v>1156</v>
      </c>
      <c r="E1355" s="720">
        <f>+E1356+E1358</f>
        <v>3028892140</v>
      </c>
      <c r="F1355" s="134">
        <v>64622624148.520004</v>
      </c>
      <c r="G1355" s="126">
        <f t="shared" si="24"/>
        <v>4.6870460305647743</v>
      </c>
      <c r="H1355" s="120"/>
      <c r="I1355" s="120"/>
      <c r="J1355" s="121"/>
      <c r="K1355" s="121"/>
      <c r="L1355" s="121"/>
      <c r="M1355" s="121"/>
      <c r="N1355" s="121"/>
      <c r="O1355" s="121"/>
      <c r="P1355" s="121"/>
    </row>
    <row r="1356" spans="2:16" s="108" customFormat="1" ht="21.75" hidden="1" customHeight="1">
      <c r="B1356" s="109"/>
      <c r="C1356" s="122"/>
      <c r="D1356" s="151" t="s">
        <v>1133</v>
      </c>
      <c r="E1356" s="721">
        <f>E1357</f>
        <v>2528900000</v>
      </c>
      <c r="F1356" s="134">
        <v>64622624148.520004</v>
      </c>
      <c r="G1356" s="126">
        <f t="shared" si="24"/>
        <v>3.9133353578893888</v>
      </c>
      <c r="H1356" s="120"/>
      <c r="I1356" s="120"/>
      <c r="J1356" s="116"/>
      <c r="K1356" s="116"/>
      <c r="L1356" s="116"/>
      <c r="M1356" s="116"/>
      <c r="N1356" s="116"/>
      <c r="O1356" s="116"/>
      <c r="P1356" s="116"/>
    </row>
    <row r="1357" spans="2:16" s="108" customFormat="1" ht="27.75" hidden="1" customHeight="1">
      <c r="B1357" s="109"/>
      <c r="C1357" s="122"/>
      <c r="D1357" s="153" t="s">
        <v>1134</v>
      </c>
      <c r="E1357" s="722">
        <v>2528900000</v>
      </c>
      <c r="F1357" s="134">
        <v>64622624148.520004</v>
      </c>
      <c r="G1357" s="126">
        <f t="shared" si="24"/>
        <v>3.9133353578893888</v>
      </c>
      <c r="H1357" s="120"/>
      <c r="I1357" s="120"/>
      <c r="J1357" s="116"/>
      <c r="K1357" s="116"/>
      <c r="L1357" s="116"/>
      <c r="M1357" s="116"/>
      <c r="N1357" s="116"/>
      <c r="O1357" s="116"/>
      <c r="P1357" s="116"/>
    </row>
    <row r="1358" spans="2:16" s="108" customFormat="1" ht="21.75" hidden="1" customHeight="1">
      <c r="B1358" s="109"/>
      <c r="C1358" s="122"/>
      <c r="D1358" s="151" t="s">
        <v>1157</v>
      </c>
      <c r="E1358" s="721">
        <f>E1359</f>
        <v>499992140</v>
      </c>
      <c r="F1358" s="134">
        <v>64622624148.520004</v>
      </c>
      <c r="G1358" s="126">
        <f t="shared" si="24"/>
        <v>0.77371067267538507</v>
      </c>
      <c r="H1358" s="120"/>
      <c r="I1358" s="120"/>
      <c r="J1358" s="116"/>
      <c r="K1358" s="116"/>
      <c r="L1358" s="116"/>
      <c r="M1358" s="116"/>
      <c r="N1358" s="116"/>
      <c r="O1358" s="116"/>
      <c r="P1358" s="116"/>
    </row>
    <row r="1359" spans="2:16" s="108" customFormat="1" ht="21.75" hidden="1" customHeight="1">
      <c r="B1359" s="109"/>
      <c r="C1359" s="122"/>
      <c r="D1359" s="153" t="s">
        <v>1158</v>
      </c>
      <c r="E1359" s="722">
        <v>499992140</v>
      </c>
      <c r="F1359" s="134">
        <v>64622624148.520004</v>
      </c>
      <c r="G1359" s="126">
        <f t="shared" si="24"/>
        <v>0.77371067267538507</v>
      </c>
      <c r="H1359" s="120"/>
      <c r="I1359" s="120"/>
      <c r="J1359" s="116"/>
      <c r="K1359" s="116"/>
      <c r="L1359" s="116"/>
      <c r="M1359" s="116"/>
      <c r="N1359" s="116"/>
      <c r="O1359" s="116"/>
      <c r="P1359" s="116"/>
    </row>
    <row r="1360" spans="2:16" s="108" customFormat="1" ht="15" hidden="1" customHeight="1">
      <c r="B1360" s="109"/>
      <c r="C1360" s="122"/>
      <c r="D1360" s="123"/>
      <c r="E1360" s="719"/>
      <c r="F1360" s="134">
        <v>64622624148.520004</v>
      </c>
      <c r="G1360" s="126">
        <f t="shared" si="24"/>
        <v>0</v>
      </c>
      <c r="H1360" s="120"/>
      <c r="I1360" s="120"/>
      <c r="J1360" s="116"/>
      <c r="K1360" s="116"/>
      <c r="L1360" s="116"/>
      <c r="M1360" s="116"/>
      <c r="N1360" s="116"/>
      <c r="O1360" s="116"/>
      <c r="P1360" s="116"/>
    </row>
    <row r="1361" spans="2:16" s="117" customFormat="1" ht="21.75" hidden="1" customHeight="1">
      <c r="B1361" s="118"/>
      <c r="C1361" s="110"/>
      <c r="D1361" s="150" t="s">
        <v>1159</v>
      </c>
      <c r="E1361" s="720">
        <f>E1362+E1364</f>
        <v>1049968527</v>
      </c>
      <c r="F1361" s="134">
        <v>64622624148.520004</v>
      </c>
      <c r="G1361" s="126">
        <f t="shared" si="24"/>
        <v>1.6247692519989481</v>
      </c>
      <c r="H1361" s="120"/>
      <c r="I1361" s="120"/>
      <c r="J1361" s="121"/>
      <c r="K1361" s="121"/>
      <c r="L1361" s="121"/>
      <c r="M1361" s="121"/>
      <c r="N1361" s="121"/>
      <c r="O1361" s="121"/>
      <c r="P1361" s="121"/>
    </row>
    <row r="1362" spans="2:16" s="108" customFormat="1" ht="36" hidden="1" customHeight="1">
      <c r="B1362" s="109"/>
      <c r="C1362" s="122"/>
      <c r="D1362" s="151" t="s">
        <v>1140</v>
      </c>
      <c r="E1362" s="721">
        <f>E1363</f>
        <v>349968527</v>
      </c>
      <c r="F1362" s="134">
        <v>64622624148.520004</v>
      </c>
      <c r="G1362" s="126">
        <f t="shared" si="24"/>
        <v>0.54155728216124299</v>
      </c>
      <c r="H1362" s="120"/>
      <c r="I1362" s="120"/>
      <c r="J1362" s="116"/>
      <c r="K1362" s="116"/>
      <c r="L1362" s="116"/>
      <c r="M1362" s="116"/>
      <c r="N1362" s="116"/>
      <c r="O1362" s="116"/>
      <c r="P1362" s="116"/>
    </row>
    <row r="1363" spans="2:16" s="108" customFormat="1" ht="33" hidden="1" customHeight="1">
      <c r="B1363" s="109"/>
      <c r="C1363" s="122"/>
      <c r="D1363" s="153" t="s">
        <v>1160</v>
      </c>
      <c r="E1363" s="722">
        <v>349968527</v>
      </c>
      <c r="F1363" s="134">
        <v>64622624148.520004</v>
      </c>
      <c r="G1363" s="126">
        <f t="shared" si="24"/>
        <v>0.54155728216124299</v>
      </c>
      <c r="H1363" s="120"/>
      <c r="I1363" s="120"/>
      <c r="J1363" s="116"/>
      <c r="K1363" s="116"/>
      <c r="L1363" s="116"/>
      <c r="M1363" s="116"/>
      <c r="N1363" s="116"/>
      <c r="O1363" s="116"/>
      <c r="P1363" s="116"/>
    </row>
    <row r="1364" spans="2:16" s="108" customFormat="1" ht="21.75" hidden="1" customHeight="1">
      <c r="B1364" s="109"/>
      <c r="C1364" s="122"/>
      <c r="D1364" s="151" t="s">
        <v>1161</v>
      </c>
      <c r="E1364" s="721">
        <f>E1365</f>
        <v>700000000</v>
      </c>
      <c r="F1364" s="134">
        <v>64622624148.520004</v>
      </c>
      <c r="G1364" s="126">
        <f t="shared" si="24"/>
        <v>1.083211969837705</v>
      </c>
      <c r="H1364" s="120"/>
      <c r="I1364" s="120"/>
      <c r="J1364" s="116"/>
      <c r="K1364" s="116"/>
      <c r="L1364" s="116"/>
      <c r="M1364" s="116"/>
      <c r="N1364" s="116"/>
      <c r="O1364" s="116"/>
      <c r="P1364" s="116"/>
    </row>
    <row r="1365" spans="2:16" s="108" customFormat="1" ht="36" hidden="1" customHeight="1">
      <c r="B1365" s="109"/>
      <c r="C1365" s="122"/>
      <c r="D1365" s="153" t="s">
        <v>1162</v>
      </c>
      <c r="E1365" s="722">
        <v>700000000</v>
      </c>
      <c r="F1365" s="134">
        <v>64622624148.520004</v>
      </c>
      <c r="G1365" s="126">
        <f t="shared" si="24"/>
        <v>1.083211969837705</v>
      </c>
      <c r="H1365" s="120"/>
      <c r="I1365" s="120"/>
      <c r="J1365" s="116"/>
      <c r="K1365" s="116"/>
      <c r="L1365" s="116"/>
      <c r="M1365" s="116"/>
      <c r="N1365" s="116"/>
      <c r="O1365" s="116"/>
      <c r="P1365" s="116"/>
    </row>
    <row r="1366" spans="2:16" s="108" customFormat="1" ht="15" hidden="1" customHeight="1">
      <c r="B1366" s="109"/>
      <c r="C1366" s="122"/>
      <c r="D1366" s="123"/>
      <c r="E1366" s="125"/>
      <c r="F1366" s="134"/>
      <c r="G1366" s="126"/>
      <c r="H1366" s="120"/>
      <c r="I1366" s="120"/>
      <c r="J1366" s="116"/>
      <c r="K1366" s="116"/>
      <c r="L1366" s="116"/>
      <c r="M1366" s="116"/>
      <c r="N1366" s="116"/>
      <c r="O1366" s="116"/>
      <c r="P1366" s="116"/>
    </row>
    <row r="1367" spans="2:16" s="117" customFormat="1" ht="21.75" hidden="1" customHeight="1">
      <c r="B1367" s="118"/>
      <c r="C1367" s="110" t="s">
        <v>1163</v>
      </c>
      <c r="D1367" s="111" t="s">
        <v>1164</v>
      </c>
      <c r="E1367" s="129">
        <f>+E1368+E1376+E1382+E1388+E1392+E1396+E1400+E1404+E1408+E1412+E1421+E1425+E1429+E1433+E1437</f>
        <v>31309836558.849995</v>
      </c>
      <c r="F1367" s="114">
        <v>1557405258400.0002</v>
      </c>
      <c r="G1367" s="127">
        <f>+E1367/F1367*100</f>
        <v>2.0103846696277463</v>
      </c>
      <c r="H1367" s="120" t="s">
        <v>443</v>
      </c>
      <c r="I1367" s="120"/>
      <c r="J1367" s="121"/>
      <c r="K1367" s="121"/>
      <c r="L1367" s="121"/>
      <c r="M1367" s="121"/>
      <c r="N1367" s="121"/>
      <c r="O1367" s="121"/>
      <c r="P1367" s="121"/>
    </row>
    <row r="1368" spans="2:16" s="108" customFormat="1" ht="21.75" hidden="1" customHeight="1">
      <c r="B1368" s="109"/>
      <c r="C1368" s="122"/>
      <c r="D1368" s="157" t="s">
        <v>444</v>
      </c>
      <c r="E1368" s="726">
        <f>+E1369+E1372</f>
        <v>9392950967.6599998</v>
      </c>
      <c r="F1368" s="134">
        <v>31309836558.849998</v>
      </c>
      <c r="G1368" s="126">
        <f>+E1368/F1368*100</f>
        <v>30.000000000015969</v>
      </c>
      <c r="H1368" s="120"/>
      <c r="I1368" s="120"/>
      <c r="J1368" s="116"/>
      <c r="K1368" s="116"/>
      <c r="L1368" s="116"/>
      <c r="M1368" s="116"/>
      <c r="N1368" s="116"/>
      <c r="O1368" s="116"/>
      <c r="P1368" s="116"/>
    </row>
    <row r="1369" spans="2:16" s="108" customFormat="1" ht="21.75" hidden="1" customHeight="1">
      <c r="B1369" s="109"/>
      <c r="C1369" s="122"/>
      <c r="D1369" s="157" t="s">
        <v>1165</v>
      </c>
      <c r="E1369" s="726">
        <f>+E1370+E1371</f>
        <v>6506666671.6599998</v>
      </c>
      <c r="F1369" s="134">
        <v>31309836558.849998</v>
      </c>
      <c r="G1369" s="126">
        <f t="shared" ref="G1369:G1431" si="25">+E1369/F1369*100</f>
        <v>20.781541479560467</v>
      </c>
      <c r="H1369" s="120"/>
      <c r="I1369" s="120"/>
      <c r="J1369" s="116"/>
      <c r="K1369" s="116"/>
      <c r="L1369" s="116"/>
      <c r="M1369" s="116"/>
      <c r="N1369" s="116"/>
      <c r="O1369" s="116"/>
      <c r="P1369" s="116"/>
    </row>
    <row r="1370" spans="2:16" s="108" customFormat="1" ht="21.75" hidden="1" customHeight="1">
      <c r="B1370" s="109"/>
      <c r="C1370" s="122"/>
      <c r="D1370" s="159" t="s">
        <v>1166</v>
      </c>
      <c r="E1370" s="727">
        <v>4518000000</v>
      </c>
      <c r="F1370" s="134">
        <v>31309836558.849998</v>
      </c>
      <c r="G1370" s="126">
        <f t="shared" si="25"/>
        <v>14.429969928166066</v>
      </c>
      <c r="H1370" s="120"/>
      <c r="I1370" s="120"/>
      <c r="J1370" s="116"/>
      <c r="K1370" s="116"/>
      <c r="L1370" s="116"/>
      <c r="M1370" s="116"/>
      <c r="N1370" s="116"/>
      <c r="O1370" s="116"/>
      <c r="P1370" s="116"/>
    </row>
    <row r="1371" spans="2:16" s="108" customFormat="1" ht="32.25" hidden="1" customHeight="1">
      <c r="B1371" s="109"/>
      <c r="C1371" s="122"/>
      <c r="D1371" s="159" t="s">
        <v>1167</v>
      </c>
      <c r="E1371" s="727">
        <v>1988666671.6600001</v>
      </c>
      <c r="F1371" s="134">
        <v>31309836558.849998</v>
      </c>
      <c r="G1371" s="126">
        <f t="shared" si="25"/>
        <v>6.3515715513944011</v>
      </c>
      <c r="H1371" s="120"/>
      <c r="I1371" s="120"/>
      <c r="J1371" s="116"/>
      <c r="K1371" s="116"/>
      <c r="L1371" s="116"/>
      <c r="M1371" s="116"/>
      <c r="N1371" s="116"/>
      <c r="O1371" s="116"/>
      <c r="P1371" s="116"/>
    </row>
    <row r="1372" spans="2:16" s="108" customFormat="1" ht="21.75" hidden="1" customHeight="1">
      <c r="B1372" s="109"/>
      <c r="C1372" s="122"/>
      <c r="D1372" s="157" t="s">
        <v>1168</v>
      </c>
      <c r="E1372" s="726">
        <v>2886284296</v>
      </c>
      <c r="F1372" s="134">
        <v>31309836558.849998</v>
      </c>
      <c r="G1372" s="126">
        <f t="shared" si="25"/>
        <v>9.2184585204555045</v>
      </c>
      <c r="H1372" s="120"/>
      <c r="I1372" s="120"/>
      <c r="J1372" s="116"/>
      <c r="K1372" s="116"/>
      <c r="L1372" s="116"/>
      <c r="M1372" s="116"/>
      <c r="N1372" s="116"/>
      <c r="O1372" s="116"/>
      <c r="P1372" s="116"/>
    </row>
    <row r="1373" spans="2:16" s="108" customFormat="1" ht="21.75" hidden="1" customHeight="1">
      <c r="B1373" s="109"/>
      <c r="C1373" s="122"/>
      <c r="D1373" s="159" t="s">
        <v>1169</v>
      </c>
      <c r="E1373" s="727">
        <v>1944000000</v>
      </c>
      <c r="F1373" s="134">
        <v>31309836558.849998</v>
      </c>
      <c r="G1373" s="126">
        <f t="shared" si="25"/>
        <v>6.2089113635136863</v>
      </c>
      <c r="H1373" s="120"/>
      <c r="I1373" s="120"/>
      <c r="J1373" s="116"/>
      <c r="K1373" s="116"/>
      <c r="L1373" s="116"/>
      <c r="M1373" s="116"/>
      <c r="N1373" s="116"/>
      <c r="O1373" s="116"/>
      <c r="P1373" s="116"/>
    </row>
    <row r="1374" spans="2:16" s="108" customFormat="1" ht="21.75" hidden="1" customHeight="1">
      <c r="B1374" s="109"/>
      <c r="C1374" s="122"/>
      <c r="D1374" s="159" t="s">
        <v>1170</v>
      </c>
      <c r="E1374" s="727">
        <v>942284296</v>
      </c>
      <c r="F1374" s="134">
        <v>31309836558.849998</v>
      </c>
      <c r="G1374" s="126">
        <f t="shared" si="25"/>
        <v>3.0095471569418177</v>
      </c>
      <c r="H1374" s="120"/>
      <c r="I1374" s="120"/>
      <c r="J1374" s="116"/>
      <c r="K1374" s="116"/>
      <c r="L1374" s="116"/>
      <c r="M1374" s="116"/>
      <c r="N1374" s="116"/>
      <c r="O1374" s="116"/>
      <c r="P1374" s="116"/>
    </row>
    <row r="1375" spans="2:16" s="108" customFormat="1" ht="15" hidden="1" customHeight="1">
      <c r="B1375" s="109"/>
      <c r="C1375" s="122"/>
      <c r="D1375" s="157"/>
      <c r="E1375" s="726"/>
      <c r="F1375" s="134"/>
      <c r="G1375" s="126"/>
      <c r="H1375" s="120"/>
      <c r="I1375" s="120"/>
      <c r="J1375" s="116"/>
      <c r="K1375" s="116"/>
      <c r="L1375" s="116"/>
      <c r="M1375" s="116"/>
      <c r="N1375" s="116"/>
      <c r="O1375" s="116"/>
      <c r="P1375" s="116"/>
    </row>
    <row r="1376" spans="2:16" s="108" customFormat="1" ht="21.75" hidden="1" customHeight="1">
      <c r="B1376" s="109"/>
      <c r="C1376" s="122"/>
      <c r="D1376" s="157" t="s">
        <v>161</v>
      </c>
      <c r="E1376" s="726">
        <f>+E1377+E1379</f>
        <v>1299999638.72</v>
      </c>
      <c r="F1376" s="134">
        <v>31309836558.849998</v>
      </c>
      <c r="G1376" s="126">
        <f t="shared" si="25"/>
        <v>4.1520486262408927</v>
      </c>
      <c r="H1376" s="120"/>
      <c r="I1376" s="120"/>
      <c r="J1376" s="116"/>
      <c r="K1376" s="116"/>
      <c r="L1376" s="116"/>
      <c r="M1376" s="116"/>
      <c r="N1376" s="116"/>
      <c r="O1376" s="116"/>
      <c r="P1376" s="116"/>
    </row>
    <row r="1377" spans="2:16" s="108" customFormat="1" ht="21.75" hidden="1" customHeight="1">
      <c r="B1377" s="109"/>
      <c r="C1377" s="122"/>
      <c r="D1377" s="157" t="s">
        <v>1171</v>
      </c>
      <c r="E1377" s="726">
        <f>E1378</f>
        <v>500000000</v>
      </c>
      <c r="F1377" s="134">
        <v>31309836558.849998</v>
      </c>
      <c r="G1377" s="126">
        <f t="shared" si="25"/>
        <v>1.596942223125948</v>
      </c>
      <c r="H1377" s="120"/>
      <c r="I1377" s="120"/>
      <c r="J1377" s="116"/>
      <c r="K1377" s="116"/>
      <c r="L1377" s="116"/>
      <c r="M1377" s="116"/>
      <c r="N1377" s="116"/>
      <c r="O1377" s="116"/>
      <c r="P1377" s="116"/>
    </row>
    <row r="1378" spans="2:16" s="108" customFormat="1" ht="21.75" hidden="1" customHeight="1">
      <c r="B1378" s="109"/>
      <c r="C1378" s="122"/>
      <c r="D1378" s="159" t="s">
        <v>1172</v>
      </c>
      <c r="E1378" s="727">
        <v>500000000</v>
      </c>
      <c r="F1378" s="134">
        <v>31309836558.849998</v>
      </c>
      <c r="G1378" s="126">
        <f t="shared" si="25"/>
        <v>1.596942223125948</v>
      </c>
      <c r="H1378" s="120"/>
      <c r="I1378" s="120"/>
      <c r="J1378" s="116"/>
      <c r="K1378" s="116"/>
      <c r="L1378" s="116"/>
      <c r="M1378" s="116"/>
      <c r="N1378" s="116"/>
      <c r="O1378" s="116"/>
      <c r="P1378" s="116"/>
    </row>
    <row r="1379" spans="2:16" s="108" customFormat="1" ht="21.75" hidden="1" customHeight="1">
      <c r="B1379" s="109"/>
      <c r="C1379" s="122"/>
      <c r="D1379" s="157" t="s">
        <v>1173</v>
      </c>
      <c r="E1379" s="726">
        <f>E1380</f>
        <v>799999638.72000003</v>
      </c>
      <c r="F1379" s="134">
        <v>31309836558.849998</v>
      </c>
      <c r="G1379" s="126">
        <f t="shared" si="25"/>
        <v>2.5551064031149444</v>
      </c>
      <c r="H1379" s="120"/>
      <c r="I1379" s="120"/>
      <c r="J1379" s="116"/>
      <c r="K1379" s="116"/>
      <c r="L1379" s="116"/>
      <c r="M1379" s="116"/>
      <c r="N1379" s="116"/>
      <c r="O1379" s="116"/>
      <c r="P1379" s="116"/>
    </row>
    <row r="1380" spans="2:16" s="108" customFormat="1" ht="21.75" hidden="1" customHeight="1">
      <c r="B1380" s="109"/>
      <c r="C1380" s="122"/>
      <c r="D1380" s="159" t="s">
        <v>1174</v>
      </c>
      <c r="E1380" s="727">
        <v>799999638.72000003</v>
      </c>
      <c r="F1380" s="134">
        <v>31309836558.849998</v>
      </c>
      <c r="G1380" s="126">
        <f t="shared" si="25"/>
        <v>2.5551064031149444</v>
      </c>
      <c r="H1380" s="120"/>
      <c r="I1380" s="120"/>
      <c r="J1380" s="116"/>
      <c r="K1380" s="116"/>
      <c r="L1380" s="116"/>
      <c r="M1380" s="116"/>
      <c r="N1380" s="116"/>
      <c r="O1380" s="116"/>
      <c r="P1380" s="116"/>
    </row>
    <row r="1381" spans="2:16" s="108" customFormat="1" ht="15" hidden="1" customHeight="1">
      <c r="B1381" s="109"/>
      <c r="C1381" s="122"/>
      <c r="D1381" s="159"/>
      <c r="E1381" s="727"/>
      <c r="F1381" s="134"/>
      <c r="G1381" s="126"/>
      <c r="H1381" s="120"/>
      <c r="I1381" s="120"/>
      <c r="J1381" s="116"/>
      <c r="K1381" s="116"/>
      <c r="L1381" s="116"/>
      <c r="M1381" s="116"/>
      <c r="N1381" s="116"/>
      <c r="O1381" s="116"/>
      <c r="P1381" s="116"/>
    </row>
    <row r="1382" spans="2:16" s="108" customFormat="1" ht="21.75" hidden="1" customHeight="1">
      <c r="B1382" s="109"/>
      <c r="C1382" s="122"/>
      <c r="D1382" s="157" t="s">
        <v>959</v>
      </c>
      <c r="E1382" s="726">
        <f>+E1383+E1385</f>
        <v>4196475483</v>
      </c>
      <c r="F1382" s="134">
        <v>31309836558.849998</v>
      </c>
      <c r="G1382" s="126">
        <f t="shared" si="25"/>
        <v>13.403057774231113</v>
      </c>
      <c r="H1382" s="120"/>
      <c r="I1382" s="120"/>
      <c r="J1382" s="116"/>
      <c r="K1382" s="116"/>
      <c r="L1382" s="116"/>
      <c r="M1382" s="116"/>
      <c r="N1382" s="116"/>
      <c r="O1382" s="116"/>
      <c r="P1382" s="116"/>
    </row>
    <row r="1383" spans="2:16" s="108" customFormat="1" ht="21.75" hidden="1" customHeight="1">
      <c r="B1383" s="109"/>
      <c r="C1383" s="122"/>
      <c r="D1383" s="157" t="s">
        <v>173</v>
      </c>
      <c r="E1383" s="726">
        <f>E1384</f>
        <v>956275000</v>
      </c>
      <c r="F1383" s="134">
        <v>31309836558.849998</v>
      </c>
      <c r="G1383" s="126">
        <f t="shared" si="25"/>
        <v>3.0542318488395321</v>
      </c>
      <c r="H1383" s="120"/>
      <c r="I1383" s="120"/>
      <c r="J1383" s="116"/>
      <c r="K1383" s="116"/>
      <c r="L1383" s="116"/>
      <c r="M1383" s="116"/>
      <c r="N1383" s="116"/>
      <c r="O1383" s="116"/>
      <c r="P1383" s="116"/>
    </row>
    <row r="1384" spans="2:16" s="108" customFormat="1" ht="32.25" hidden="1" customHeight="1">
      <c r="B1384" s="109"/>
      <c r="C1384" s="122"/>
      <c r="D1384" s="159" t="s">
        <v>1175</v>
      </c>
      <c r="E1384" s="727">
        <v>956275000</v>
      </c>
      <c r="F1384" s="134">
        <v>31309836558.849998</v>
      </c>
      <c r="G1384" s="126">
        <f t="shared" si="25"/>
        <v>3.0542318488395321</v>
      </c>
      <c r="H1384" s="120"/>
      <c r="I1384" s="120"/>
      <c r="J1384" s="116"/>
      <c r="K1384" s="116"/>
      <c r="L1384" s="116"/>
      <c r="M1384" s="116"/>
      <c r="N1384" s="116"/>
      <c r="O1384" s="116"/>
      <c r="P1384" s="116"/>
    </row>
    <row r="1385" spans="2:16" s="108" customFormat="1" ht="21.75" hidden="1" customHeight="1">
      <c r="B1385" s="109"/>
      <c r="C1385" s="122"/>
      <c r="D1385" s="157" t="s">
        <v>877</v>
      </c>
      <c r="E1385" s="726">
        <f>E1386</f>
        <v>3240200483</v>
      </c>
      <c r="F1385" s="134">
        <v>31309836558.849998</v>
      </c>
      <c r="G1385" s="126">
        <f t="shared" si="25"/>
        <v>10.348825925391582</v>
      </c>
      <c r="H1385" s="120"/>
      <c r="I1385" s="120"/>
      <c r="J1385" s="116"/>
      <c r="K1385" s="116"/>
      <c r="L1385" s="116"/>
      <c r="M1385" s="116"/>
      <c r="N1385" s="116"/>
      <c r="O1385" s="116"/>
      <c r="P1385" s="116"/>
    </row>
    <row r="1386" spans="2:16" s="108" customFormat="1" ht="21.75" hidden="1" customHeight="1">
      <c r="B1386" s="109"/>
      <c r="C1386" s="122"/>
      <c r="D1386" s="159" t="s">
        <v>1172</v>
      </c>
      <c r="E1386" s="727">
        <v>3240200483</v>
      </c>
      <c r="F1386" s="134">
        <v>31309836558.849998</v>
      </c>
      <c r="G1386" s="126">
        <f t="shared" si="25"/>
        <v>10.348825925391582</v>
      </c>
      <c r="H1386" s="120"/>
      <c r="I1386" s="120"/>
      <c r="J1386" s="116"/>
      <c r="K1386" s="116"/>
      <c r="L1386" s="116"/>
      <c r="M1386" s="116"/>
      <c r="N1386" s="116"/>
      <c r="O1386" s="116"/>
      <c r="P1386" s="116"/>
    </row>
    <row r="1387" spans="2:16" s="108" customFormat="1" ht="15" hidden="1" customHeight="1">
      <c r="B1387" s="109"/>
      <c r="C1387" s="122"/>
      <c r="D1387" s="159"/>
      <c r="E1387" s="727"/>
      <c r="F1387" s="134"/>
      <c r="G1387" s="126"/>
      <c r="H1387" s="120"/>
      <c r="I1387" s="120"/>
      <c r="J1387" s="116"/>
      <c r="K1387" s="116"/>
      <c r="L1387" s="116"/>
      <c r="M1387" s="116"/>
      <c r="N1387" s="116"/>
      <c r="O1387" s="116"/>
      <c r="P1387" s="116"/>
    </row>
    <row r="1388" spans="2:16" s="108" customFormat="1" ht="21.75" hidden="1" customHeight="1">
      <c r="B1388" s="109"/>
      <c r="C1388" s="122"/>
      <c r="D1388" s="157" t="s">
        <v>1176</v>
      </c>
      <c r="E1388" s="726">
        <f>E1389</f>
        <v>3097400900</v>
      </c>
      <c r="F1388" s="134">
        <v>31309836558.849998</v>
      </c>
      <c r="G1388" s="126">
        <f t="shared" si="25"/>
        <v>9.8927405583166248</v>
      </c>
      <c r="H1388" s="120"/>
      <c r="I1388" s="120"/>
      <c r="J1388" s="116"/>
      <c r="K1388" s="116"/>
      <c r="L1388" s="116"/>
      <c r="M1388" s="116"/>
      <c r="N1388" s="116"/>
      <c r="O1388" s="116"/>
      <c r="P1388" s="116"/>
    </row>
    <row r="1389" spans="2:16" s="108" customFormat="1" ht="21.75" hidden="1" customHeight="1">
      <c r="B1389" s="109"/>
      <c r="C1389" s="122"/>
      <c r="D1389" s="157" t="s">
        <v>498</v>
      </c>
      <c r="E1389" s="726">
        <f>E1390</f>
        <v>3097400900</v>
      </c>
      <c r="F1389" s="134">
        <v>31309836558.849998</v>
      </c>
      <c r="G1389" s="126">
        <f t="shared" si="25"/>
        <v>9.8927405583166248</v>
      </c>
      <c r="H1389" s="120"/>
      <c r="I1389" s="120"/>
      <c r="J1389" s="116"/>
      <c r="K1389" s="116"/>
      <c r="L1389" s="116"/>
      <c r="M1389" s="116"/>
      <c r="N1389" s="116"/>
      <c r="O1389" s="116"/>
      <c r="P1389" s="116"/>
    </row>
    <row r="1390" spans="2:16" s="108" customFormat="1" ht="21.75" hidden="1" customHeight="1">
      <c r="B1390" s="109"/>
      <c r="C1390" s="122"/>
      <c r="D1390" s="159" t="s">
        <v>1177</v>
      </c>
      <c r="E1390" s="727">
        <v>3097400900</v>
      </c>
      <c r="F1390" s="134">
        <v>31309836558.849998</v>
      </c>
      <c r="G1390" s="126">
        <f t="shared" si="25"/>
        <v>9.8927405583166248</v>
      </c>
      <c r="H1390" s="120"/>
      <c r="I1390" s="120"/>
      <c r="J1390" s="116"/>
      <c r="K1390" s="116"/>
      <c r="L1390" s="116"/>
      <c r="M1390" s="116"/>
      <c r="N1390" s="116"/>
      <c r="O1390" s="116"/>
      <c r="P1390" s="116"/>
    </row>
    <row r="1391" spans="2:16" s="108" customFormat="1" ht="15" hidden="1" customHeight="1">
      <c r="B1391" s="109"/>
      <c r="C1391" s="122"/>
      <c r="D1391" s="159"/>
      <c r="E1391" s="727"/>
      <c r="F1391" s="134"/>
      <c r="G1391" s="126"/>
      <c r="H1391" s="120"/>
      <c r="I1391" s="120"/>
      <c r="J1391" s="116"/>
      <c r="K1391" s="116"/>
      <c r="L1391" s="116"/>
      <c r="M1391" s="116"/>
      <c r="N1391" s="116"/>
      <c r="O1391" s="116"/>
      <c r="P1391" s="116"/>
    </row>
    <row r="1392" spans="2:16" s="108" customFormat="1" ht="21.75" hidden="1" customHeight="1">
      <c r="B1392" s="109"/>
      <c r="C1392" s="122"/>
      <c r="D1392" s="157" t="s">
        <v>518</v>
      </c>
      <c r="E1392" s="726">
        <f>E1393</f>
        <v>3164566411.77</v>
      </c>
      <c r="F1392" s="134">
        <v>31309836558.849998</v>
      </c>
      <c r="G1392" s="126">
        <f t="shared" si="25"/>
        <v>10.107259441683377</v>
      </c>
      <c r="H1392" s="120"/>
      <c r="I1392" s="120"/>
      <c r="J1392" s="116"/>
      <c r="K1392" s="116"/>
      <c r="L1392" s="116"/>
      <c r="M1392" s="116"/>
      <c r="N1392" s="116"/>
      <c r="O1392" s="116"/>
      <c r="P1392" s="116"/>
    </row>
    <row r="1393" spans="2:16" s="108" customFormat="1" ht="21.75" hidden="1" customHeight="1">
      <c r="B1393" s="109"/>
      <c r="C1393" s="122"/>
      <c r="D1393" s="157" t="s">
        <v>1178</v>
      </c>
      <c r="E1393" s="726">
        <f>E1394</f>
        <v>3164566411.77</v>
      </c>
      <c r="F1393" s="134">
        <v>31309836558.849998</v>
      </c>
      <c r="G1393" s="126">
        <f t="shared" si="25"/>
        <v>10.107259441683377</v>
      </c>
      <c r="H1393" s="120"/>
      <c r="I1393" s="120"/>
      <c r="J1393" s="116"/>
      <c r="K1393" s="116"/>
      <c r="L1393" s="116"/>
      <c r="M1393" s="116"/>
      <c r="N1393" s="116"/>
      <c r="O1393" s="116"/>
      <c r="P1393" s="116"/>
    </row>
    <row r="1394" spans="2:16" s="108" customFormat="1" ht="21.75" hidden="1" customHeight="1">
      <c r="B1394" s="109"/>
      <c r="C1394" s="122"/>
      <c r="D1394" s="159" t="s">
        <v>1179</v>
      </c>
      <c r="E1394" s="727">
        <v>3164566411.77</v>
      </c>
      <c r="F1394" s="134">
        <v>31309836558.849998</v>
      </c>
      <c r="G1394" s="126">
        <f t="shared" si="25"/>
        <v>10.107259441683377</v>
      </c>
      <c r="H1394" s="120"/>
      <c r="I1394" s="120"/>
      <c r="J1394" s="116"/>
      <c r="K1394" s="116"/>
      <c r="L1394" s="116"/>
      <c r="M1394" s="116"/>
      <c r="N1394" s="116"/>
      <c r="O1394" s="116"/>
      <c r="P1394" s="116"/>
    </row>
    <row r="1395" spans="2:16" s="108" customFormat="1" ht="15" hidden="1" customHeight="1">
      <c r="B1395" s="109"/>
      <c r="C1395" s="122"/>
      <c r="D1395" s="157"/>
      <c r="E1395" s="726"/>
      <c r="F1395" s="134"/>
      <c r="G1395" s="126"/>
      <c r="H1395" s="120"/>
      <c r="I1395" s="120"/>
      <c r="J1395" s="116"/>
      <c r="K1395" s="116"/>
      <c r="L1395" s="116"/>
      <c r="M1395" s="116"/>
      <c r="N1395" s="116"/>
      <c r="O1395" s="116"/>
      <c r="P1395" s="116"/>
    </row>
    <row r="1396" spans="2:16" s="108" customFormat="1" ht="21.75" hidden="1" customHeight="1">
      <c r="B1396" s="109"/>
      <c r="C1396" s="122"/>
      <c r="D1396" s="157" t="s">
        <v>366</v>
      </c>
      <c r="E1396" s="726">
        <f>E1397</f>
        <v>300026731.17000002</v>
      </c>
      <c r="F1396" s="134">
        <v>31309836558.849998</v>
      </c>
      <c r="G1396" s="126">
        <f t="shared" si="25"/>
        <v>0.95825071014366203</v>
      </c>
      <c r="H1396" s="120"/>
      <c r="I1396" s="120"/>
      <c r="J1396" s="116"/>
      <c r="K1396" s="116"/>
      <c r="L1396" s="116"/>
      <c r="M1396" s="116"/>
      <c r="N1396" s="116"/>
      <c r="O1396" s="116"/>
      <c r="P1396" s="116"/>
    </row>
    <row r="1397" spans="2:16" s="108" customFormat="1" ht="21.75" hidden="1" customHeight="1">
      <c r="B1397" s="109"/>
      <c r="C1397" s="122"/>
      <c r="D1397" s="157" t="s">
        <v>1180</v>
      </c>
      <c r="E1397" s="726">
        <f>E1398</f>
        <v>300026731.17000002</v>
      </c>
      <c r="F1397" s="134">
        <v>31309836558.849998</v>
      </c>
      <c r="G1397" s="126">
        <f t="shared" si="25"/>
        <v>0.95825071014366203</v>
      </c>
      <c r="H1397" s="120"/>
      <c r="I1397" s="120"/>
      <c r="J1397" s="116"/>
      <c r="K1397" s="116"/>
      <c r="L1397" s="116"/>
      <c r="M1397" s="116"/>
      <c r="N1397" s="116"/>
      <c r="O1397" s="116"/>
      <c r="P1397" s="116"/>
    </row>
    <row r="1398" spans="2:16" s="108" customFormat="1" ht="34.5" hidden="1" customHeight="1">
      <c r="B1398" s="109"/>
      <c r="C1398" s="122"/>
      <c r="D1398" s="159" t="s">
        <v>1181</v>
      </c>
      <c r="E1398" s="727">
        <v>300026731.17000002</v>
      </c>
      <c r="F1398" s="134">
        <v>31309836558.849998</v>
      </c>
      <c r="G1398" s="126">
        <f t="shared" si="25"/>
        <v>0.95825071014366203</v>
      </c>
      <c r="H1398" s="120"/>
      <c r="I1398" s="120"/>
      <c r="J1398" s="116"/>
      <c r="K1398" s="116"/>
      <c r="L1398" s="116"/>
      <c r="M1398" s="116"/>
      <c r="N1398" s="116"/>
      <c r="O1398" s="116"/>
      <c r="P1398" s="116"/>
    </row>
    <row r="1399" spans="2:16" s="108" customFormat="1" ht="15" hidden="1" customHeight="1">
      <c r="B1399" s="109"/>
      <c r="C1399" s="122"/>
      <c r="D1399" s="159"/>
      <c r="E1399" s="727"/>
      <c r="F1399" s="134"/>
      <c r="G1399" s="126"/>
      <c r="H1399" s="120"/>
      <c r="I1399" s="120"/>
      <c r="J1399" s="116"/>
      <c r="K1399" s="116"/>
      <c r="L1399" s="116"/>
      <c r="M1399" s="116"/>
      <c r="N1399" s="116"/>
      <c r="O1399" s="116"/>
      <c r="P1399" s="116"/>
    </row>
    <row r="1400" spans="2:16" s="108" customFormat="1" ht="21.75" hidden="1" customHeight="1">
      <c r="B1400" s="109"/>
      <c r="C1400" s="122"/>
      <c r="D1400" s="157" t="s">
        <v>1182</v>
      </c>
      <c r="E1400" s="726">
        <f>E1401</f>
        <v>326170000</v>
      </c>
      <c r="F1400" s="134">
        <v>31309836558.849998</v>
      </c>
      <c r="G1400" s="126">
        <f t="shared" si="25"/>
        <v>1.0417492898339809</v>
      </c>
      <c r="H1400" s="120"/>
      <c r="I1400" s="120"/>
      <c r="J1400" s="116"/>
      <c r="K1400" s="116"/>
      <c r="L1400" s="116"/>
      <c r="M1400" s="116"/>
      <c r="N1400" s="116"/>
      <c r="O1400" s="116"/>
      <c r="P1400" s="116"/>
    </row>
    <row r="1401" spans="2:16" s="108" customFormat="1" ht="33.75" hidden="1" customHeight="1">
      <c r="B1401" s="109"/>
      <c r="C1401" s="122"/>
      <c r="D1401" s="157" t="s">
        <v>1183</v>
      </c>
      <c r="E1401" s="726">
        <f>E1402</f>
        <v>326170000</v>
      </c>
      <c r="F1401" s="134">
        <v>31309836558.849998</v>
      </c>
      <c r="G1401" s="126">
        <f t="shared" si="25"/>
        <v>1.0417492898339809</v>
      </c>
      <c r="H1401" s="120"/>
      <c r="I1401" s="120"/>
      <c r="J1401" s="116"/>
      <c r="K1401" s="116"/>
      <c r="L1401" s="116"/>
      <c r="M1401" s="116"/>
      <c r="N1401" s="116"/>
      <c r="O1401" s="116"/>
      <c r="P1401" s="116"/>
    </row>
    <row r="1402" spans="2:16" s="108" customFormat="1" ht="33" hidden="1" customHeight="1">
      <c r="B1402" s="109"/>
      <c r="C1402" s="122"/>
      <c r="D1402" s="159" t="s">
        <v>1184</v>
      </c>
      <c r="E1402" s="727">
        <v>326170000</v>
      </c>
      <c r="F1402" s="134">
        <v>31309836558.849998</v>
      </c>
      <c r="G1402" s="126">
        <f t="shared" si="25"/>
        <v>1.0417492898339809</v>
      </c>
      <c r="H1402" s="120"/>
      <c r="I1402" s="120"/>
      <c r="J1402" s="116"/>
      <c r="K1402" s="116"/>
      <c r="L1402" s="116"/>
      <c r="M1402" s="116"/>
      <c r="N1402" s="116"/>
      <c r="O1402" s="116"/>
      <c r="P1402" s="116"/>
    </row>
    <row r="1403" spans="2:16" s="108" customFormat="1" ht="15" hidden="1" customHeight="1">
      <c r="B1403" s="109"/>
      <c r="C1403" s="122"/>
      <c r="D1403" s="157"/>
      <c r="E1403" s="726"/>
      <c r="F1403" s="134"/>
      <c r="G1403" s="126"/>
      <c r="H1403" s="120"/>
      <c r="I1403" s="120"/>
      <c r="J1403" s="116"/>
      <c r="K1403" s="116"/>
      <c r="L1403" s="116"/>
      <c r="M1403" s="116"/>
      <c r="N1403" s="116"/>
      <c r="O1403" s="116"/>
      <c r="P1403" s="116"/>
    </row>
    <row r="1404" spans="2:16" s="108" customFormat="1" ht="21.75" hidden="1" customHeight="1">
      <c r="B1404" s="109"/>
      <c r="C1404" s="122"/>
      <c r="D1404" s="157" t="s">
        <v>1137</v>
      </c>
      <c r="E1404" s="726">
        <f>E1405</f>
        <v>850000000</v>
      </c>
      <c r="F1404" s="134">
        <v>31309836558.849998</v>
      </c>
      <c r="G1404" s="126">
        <f t="shared" si="25"/>
        <v>2.7148017793141115</v>
      </c>
      <c r="H1404" s="120"/>
      <c r="I1404" s="120"/>
      <c r="J1404" s="116"/>
      <c r="K1404" s="116"/>
      <c r="L1404" s="116"/>
      <c r="M1404" s="116"/>
      <c r="N1404" s="116"/>
      <c r="O1404" s="116"/>
      <c r="P1404" s="116"/>
    </row>
    <row r="1405" spans="2:16" s="108" customFormat="1" ht="21.75" hidden="1" customHeight="1">
      <c r="B1405" s="109"/>
      <c r="C1405" s="122"/>
      <c r="D1405" s="157" t="s">
        <v>304</v>
      </c>
      <c r="E1405" s="726">
        <f>E1406</f>
        <v>850000000</v>
      </c>
      <c r="F1405" s="134">
        <v>31309836558.849998</v>
      </c>
      <c r="G1405" s="126">
        <f t="shared" si="25"/>
        <v>2.7148017793141115</v>
      </c>
      <c r="H1405" s="120"/>
      <c r="I1405" s="120"/>
      <c r="J1405" s="116"/>
      <c r="K1405" s="116"/>
      <c r="L1405" s="116"/>
      <c r="M1405" s="116"/>
      <c r="N1405" s="116"/>
      <c r="O1405" s="116"/>
      <c r="P1405" s="116"/>
    </row>
    <row r="1406" spans="2:16" s="108" customFormat="1" ht="21.75" hidden="1" customHeight="1">
      <c r="B1406" s="109"/>
      <c r="C1406" s="122"/>
      <c r="D1406" s="159" t="s">
        <v>1185</v>
      </c>
      <c r="E1406" s="727">
        <v>850000000</v>
      </c>
      <c r="F1406" s="134">
        <v>31309836558.849998</v>
      </c>
      <c r="G1406" s="126">
        <f t="shared" si="25"/>
        <v>2.7148017793141115</v>
      </c>
      <c r="H1406" s="120"/>
      <c r="I1406" s="120"/>
      <c r="J1406" s="116"/>
      <c r="K1406" s="116"/>
      <c r="L1406" s="116"/>
      <c r="M1406" s="116"/>
      <c r="N1406" s="116"/>
      <c r="O1406" s="116"/>
      <c r="P1406" s="116"/>
    </row>
    <row r="1407" spans="2:16" s="108" customFormat="1" ht="15" hidden="1" customHeight="1">
      <c r="B1407" s="109"/>
      <c r="C1407" s="122"/>
      <c r="D1407" s="159"/>
      <c r="E1407" s="727"/>
      <c r="F1407" s="134"/>
      <c r="G1407" s="126"/>
      <c r="H1407" s="120"/>
      <c r="I1407" s="120"/>
      <c r="J1407" s="116"/>
      <c r="K1407" s="116"/>
      <c r="L1407" s="116"/>
      <c r="M1407" s="116"/>
      <c r="N1407" s="116"/>
      <c r="O1407" s="116"/>
      <c r="P1407" s="116"/>
    </row>
    <row r="1408" spans="2:16" s="108" customFormat="1" ht="21.75" hidden="1" customHeight="1">
      <c r="B1408" s="109"/>
      <c r="C1408" s="122"/>
      <c r="D1408" s="157" t="s">
        <v>1186</v>
      </c>
      <c r="E1408" s="726">
        <f>E1409</f>
        <v>500000000</v>
      </c>
      <c r="F1408" s="134">
        <v>31309836558.849998</v>
      </c>
      <c r="G1408" s="126">
        <f t="shared" si="25"/>
        <v>1.596942223125948</v>
      </c>
      <c r="H1408" s="120"/>
      <c r="I1408" s="120"/>
      <c r="J1408" s="116"/>
      <c r="K1408" s="116"/>
      <c r="L1408" s="116"/>
      <c r="M1408" s="116"/>
      <c r="N1408" s="116"/>
      <c r="O1408" s="116"/>
      <c r="P1408" s="116"/>
    </row>
    <row r="1409" spans="2:16" s="108" customFormat="1" ht="21.75" hidden="1" customHeight="1">
      <c r="B1409" s="109"/>
      <c r="C1409" s="122"/>
      <c r="D1409" s="157" t="s">
        <v>506</v>
      </c>
      <c r="E1409" s="726">
        <f>E1410</f>
        <v>500000000</v>
      </c>
      <c r="F1409" s="134">
        <v>31309836558.849998</v>
      </c>
      <c r="G1409" s="126">
        <f t="shared" si="25"/>
        <v>1.596942223125948</v>
      </c>
      <c r="H1409" s="120"/>
      <c r="I1409" s="120"/>
      <c r="J1409" s="116"/>
      <c r="K1409" s="116"/>
      <c r="L1409" s="116"/>
      <c r="M1409" s="116"/>
      <c r="N1409" s="116"/>
      <c r="O1409" s="116"/>
      <c r="P1409" s="116"/>
    </row>
    <row r="1410" spans="2:16" s="108" customFormat="1" ht="21.75" hidden="1" customHeight="1">
      <c r="B1410" s="109"/>
      <c r="C1410" s="122"/>
      <c r="D1410" s="159" t="s">
        <v>707</v>
      </c>
      <c r="E1410" s="727">
        <v>500000000</v>
      </c>
      <c r="F1410" s="134">
        <v>31309836558.849998</v>
      </c>
      <c r="G1410" s="126">
        <f t="shared" si="25"/>
        <v>1.596942223125948</v>
      </c>
      <c r="H1410" s="120"/>
      <c r="I1410" s="120"/>
      <c r="J1410" s="116"/>
      <c r="K1410" s="116"/>
      <c r="L1410" s="116"/>
      <c r="M1410" s="116"/>
      <c r="N1410" s="116"/>
      <c r="O1410" s="116"/>
      <c r="P1410" s="116"/>
    </row>
    <row r="1411" spans="2:16" s="108" customFormat="1" ht="15" hidden="1" customHeight="1">
      <c r="B1411" s="109"/>
      <c r="C1411" s="122"/>
      <c r="D1411" s="159"/>
      <c r="E1411" s="727"/>
      <c r="F1411" s="134"/>
      <c r="G1411" s="126"/>
      <c r="H1411" s="120"/>
      <c r="I1411" s="120"/>
      <c r="J1411" s="116"/>
      <c r="K1411" s="116"/>
      <c r="L1411" s="116"/>
      <c r="M1411" s="116"/>
      <c r="N1411" s="116"/>
      <c r="O1411" s="116"/>
      <c r="P1411" s="116"/>
    </row>
    <row r="1412" spans="2:16" s="108" customFormat="1" ht="21.75" hidden="1" customHeight="1">
      <c r="B1412" s="109"/>
      <c r="C1412" s="122"/>
      <c r="D1412" s="157" t="s">
        <v>1187</v>
      </c>
      <c r="E1412" s="726">
        <f>+E1413+E1416+E1418</f>
        <v>2842156233</v>
      </c>
      <c r="F1412" s="134">
        <v>31309836558.849998</v>
      </c>
      <c r="G1412" s="126">
        <f t="shared" si="25"/>
        <v>9.0775185863965788</v>
      </c>
      <c r="H1412" s="120"/>
      <c r="I1412" s="120"/>
      <c r="J1412" s="116"/>
      <c r="K1412" s="116"/>
      <c r="L1412" s="116"/>
      <c r="M1412" s="116"/>
      <c r="N1412" s="116"/>
      <c r="O1412" s="116"/>
      <c r="P1412" s="116"/>
    </row>
    <row r="1413" spans="2:16" s="108" customFormat="1" ht="21.75" hidden="1" customHeight="1">
      <c r="B1413" s="109"/>
      <c r="C1413" s="122"/>
      <c r="D1413" s="157" t="s">
        <v>1188</v>
      </c>
      <c r="E1413" s="726">
        <f>+E1414+E1415</f>
        <v>1150000000</v>
      </c>
      <c r="F1413" s="134">
        <v>31309836558.849998</v>
      </c>
      <c r="G1413" s="126">
        <f t="shared" si="25"/>
        <v>3.6729671131896806</v>
      </c>
      <c r="H1413" s="120"/>
      <c r="I1413" s="120"/>
      <c r="J1413" s="116"/>
      <c r="K1413" s="116"/>
      <c r="L1413" s="116"/>
      <c r="M1413" s="116"/>
      <c r="N1413" s="116"/>
      <c r="O1413" s="116"/>
      <c r="P1413" s="116"/>
    </row>
    <row r="1414" spans="2:16" s="108" customFormat="1" ht="21.75" hidden="1" customHeight="1">
      <c r="B1414" s="109"/>
      <c r="C1414" s="122"/>
      <c r="D1414" s="159" t="s">
        <v>1189</v>
      </c>
      <c r="E1414" s="727">
        <v>500000000</v>
      </c>
      <c r="F1414" s="134">
        <v>31309836558.849998</v>
      </c>
      <c r="G1414" s="126">
        <f t="shared" si="25"/>
        <v>1.596942223125948</v>
      </c>
      <c r="H1414" s="120"/>
      <c r="I1414" s="120"/>
      <c r="J1414" s="116"/>
      <c r="K1414" s="116"/>
      <c r="L1414" s="116"/>
      <c r="M1414" s="116"/>
      <c r="N1414" s="116"/>
      <c r="O1414" s="116"/>
      <c r="P1414" s="116"/>
    </row>
    <row r="1415" spans="2:16" s="108" customFormat="1" ht="31.5" hidden="1" customHeight="1">
      <c r="B1415" s="109"/>
      <c r="C1415" s="122"/>
      <c r="D1415" s="159" t="s">
        <v>1190</v>
      </c>
      <c r="E1415" s="727">
        <v>650000000</v>
      </c>
      <c r="F1415" s="134">
        <v>31309836558.849998</v>
      </c>
      <c r="G1415" s="126">
        <f t="shared" si="25"/>
        <v>2.0760248900637324</v>
      </c>
      <c r="H1415" s="120"/>
      <c r="I1415" s="120"/>
      <c r="J1415" s="116"/>
      <c r="K1415" s="116"/>
      <c r="L1415" s="116"/>
      <c r="M1415" s="116"/>
      <c r="N1415" s="116"/>
      <c r="O1415" s="116"/>
      <c r="P1415" s="116"/>
    </row>
    <row r="1416" spans="2:16" s="108" customFormat="1" ht="21.75" hidden="1" customHeight="1">
      <c r="B1416" s="109"/>
      <c r="C1416" s="122"/>
      <c r="D1416" s="157" t="s">
        <v>912</v>
      </c>
      <c r="E1416" s="726">
        <f>E1417</f>
        <v>502800000</v>
      </c>
      <c r="F1416" s="134">
        <v>31309836558.849998</v>
      </c>
      <c r="G1416" s="126">
        <f t="shared" si="25"/>
        <v>1.6058850995754534</v>
      </c>
      <c r="H1416" s="120"/>
      <c r="I1416" s="120"/>
      <c r="J1416" s="116"/>
      <c r="K1416" s="116"/>
      <c r="L1416" s="116"/>
      <c r="M1416" s="116"/>
      <c r="N1416" s="116"/>
      <c r="O1416" s="116"/>
      <c r="P1416" s="116"/>
    </row>
    <row r="1417" spans="2:16" s="108" customFormat="1" ht="21.75" hidden="1" customHeight="1">
      <c r="B1417" s="109"/>
      <c r="C1417" s="122"/>
      <c r="D1417" s="159" t="s">
        <v>1191</v>
      </c>
      <c r="E1417" s="727">
        <v>502800000</v>
      </c>
      <c r="F1417" s="134">
        <v>31309836558.849998</v>
      </c>
      <c r="G1417" s="126">
        <f t="shared" si="25"/>
        <v>1.6058850995754534</v>
      </c>
      <c r="H1417" s="120"/>
      <c r="I1417" s="120"/>
      <c r="J1417" s="116"/>
      <c r="K1417" s="116"/>
      <c r="L1417" s="116"/>
      <c r="M1417" s="116"/>
      <c r="N1417" s="116"/>
      <c r="O1417" s="116"/>
      <c r="P1417" s="116"/>
    </row>
    <row r="1418" spans="2:16" s="108" customFormat="1" ht="21.75" hidden="1" customHeight="1">
      <c r="B1418" s="109"/>
      <c r="C1418" s="122"/>
      <c r="D1418" s="157" t="s">
        <v>1192</v>
      </c>
      <c r="E1418" s="726">
        <f>E1419</f>
        <v>1189356233</v>
      </c>
      <c r="F1418" s="134">
        <v>31309836558.849998</v>
      </c>
      <c r="G1418" s="126">
        <f t="shared" si="25"/>
        <v>3.7986663736314465</v>
      </c>
      <c r="H1418" s="120"/>
      <c r="I1418" s="120"/>
      <c r="J1418" s="116"/>
      <c r="K1418" s="116"/>
      <c r="L1418" s="116"/>
      <c r="M1418" s="116"/>
      <c r="N1418" s="116"/>
      <c r="O1418" s="116"/>
      <c r="P1418" s="116"/>
    </row>
    <row r="1419" spans="2:16" s="108" customFormat="1" ht="21.75" hidden="1" customHeight="1">
      <c r="B1419" s="109"/>
      <c r="C1419" s="122"/>
      <c r="D1419" s="159" t="s">
        <v>313</v>
      </c>
      <c r="E1419" s="727">
        <v>1189356233</v>
      </c>
      <c r="F1419" s="134">
        <v>31309836558.849998</v>
      </c>
      <c r="G1419" s="126">
        <f t="shared" si="25"/>
        <v>3.7986663736314465</v>
      </c>
      <c r="H1419" s="120"/>
      <c r="I1419" s="120"/>
      <c r="J1419" s="116"/>
      <c r="K1419" s="116"/>
      <c r="L1419" s="116"/>
      <c r="M1419" s="116"/>
      <c r="N1419" s="116"/>
      <c r="O1419" s="116"/>
      <c r="P1419" s="116"/>
    </row>
    <row r="1420" spans="2:16" s="108" customFormat="1" ht="15" hidden="1" customHeight="1">
      <c r="B1420" s="109"/>
      <c r="C1420" s="122"/>
      <c r="D1420" s="159"/>
      <c r="E1420" s="727"/>
      <c r="F1420" s="134"/>
      <c r="G1420" s="126"/>
      <c r="H1420" s="120"/>
      <c r="I1420" s="120"/>
      <c r="J1420" s="116"/>
      <c r="K1420" s="116"/>
      <c r="L1420" s="116"/>
      <c r="M1420" s="116"/>
      <c r="N1420" s="116"/>
      <c r="O1420" s="116"/>
      <c r="P1420" s="116"/>
    </row>
    <row r="1421" spans="2:16" s="108" customFormat="1" ht="21.75" hidden="1" customHeight="1">
      <c r="B1421" s="109"/>
      <c r="C1421" s="122"/>
      <c r="D1421" s="157" t="s">
        <v>1193</v>
      </c>
      <c r="E1421" s="726">
        <f>E1422</f>
        <v>2211500000</v>
      </c>
      <c r="F1421" s="134">
        <v>31309836558.849998</v>
      </c>
      <c r="G1421" s="126">
        <f t="shared" si="25"/>
        <v>7.0632754528860682</v>
      </c>
      <c r="H1421" s="120"/>
      <c r="I1421" s="120"/>
      <c r="J1421" s="116"/>
      <c r="K1421" s="116"/>
      <c r="L1421" s="116"/>
      <c r="M1421" s="116"/>
      <c r="N1421" s="116"/>
      <c r="O1421" s="116"/>
      <c r="P1421" s="116"/>
    </row>
    <row r="1422" spans="2:16" s="108" customFormat="1" ht="21.75" hidden="1" customHeight="1">
      <c r="B1422" s="109"/>
      <c r="C1422" s="122"/>
      <c r="D1422" s="157" t="s">
        <v>1194</v>
      </c>
      <c r="E1422" s="726">
        <f>E1423</f>
        <v>2211500000</v>
      </c>
      <c r="F1422" s="134">
        <v>31309836558.849998</v>
      </c>
      <c r="G1422" s="126">
        <f t="shared" si="25"/>
        <v>7.0632754528860682</v>
      </c>
      <c r="H1422" s="120"/>
      <c r="I1422" s="120"/>
      <c r="J1422" s="116"/>
      <c r="K1422" s="116"/>
      <c r="L1422" s="116"/>
      <c r="M1422" s="116"/>
      <c r="N1422" s="116"/>
      <c r="O1422" s="116"/>
      <c r="P1422" s="116"/>
    </row>
    <row r="1423" spans="2:16" s="108" customFormat="1" ht="21.75" hidden="1" customHeight="1">
      <c r="B1423" s="109"/>
      <c r="C1423" s="122"/>
      <c r="D1423" s="159" t="s">
        <v>1195</v>
      </c>
      <c r="E1423" s="727">
        <v>2211500000</v>
      </c>
      <c r="F1423" s="134">
        <v>31309836558.849998</v>
      </c>
      <c r="G1423" s="126">
        <f t="shared" si="25"/>
        <v>7.0632754528860682</v>
      </c>
      <c r="H1423" s="120"/>
      <c r="I1423" s="120"/>
      <c r="J1423" s="116"/>
      <c r="K1423" s="116"/>
      <c r="L1423" s="116"/>
      <c r="M1423" s="116"/>
      <c r="N1423" s="116"/>
      <c r="O1423" s="116"/>
      <c r="P1423" s="116"/>
    </row>
    <row r="1424" spans="2:16" s="108" customFormat="1" ht="15" hidden="1" customHeight="1">
      <c r="B1424" s="109"/>
      <c r="C1424" s="122"/>
      <c r="D1424" s="159"/>
      <c r="E1424" s="727"/>
      <c r="F1424" s="134"/>
      <c r="G1424" s="126"/>
      <c r="H1424" s="120"/>
      <c r="I1424" s="120"/>
      <c r="J1424" s="116"/>
      <c r="K1424" s="116"/>
      <c r="L1424" s="116"/>
      <c r="M1424" s="116"/>
      <c r="N1424" s="116"/>
      <c r="O1424" s="116"/>
      <c r="P1424" s="116"/>
    </row>
    <row r="1425" spans="2:16" s="108" customFormat="1" ht="21.75" hidden="1" customHeight="1">
      <c r="B1425" s="109"/>
      <c r="C1425" s="122"/>
      <c r="D1425" s="157" t="s">
        <v>1196</v>
      </c>
      <c r="E1425" s="726">
        <f>E1426</f>
        <v>750000000</v>
      </c>
      <c r="F1425" s="134">
        <v>31309836558.849998</v>
      </c>
      <c r="G1425" s="126">
        <f t="shared" si="25"/>
        <v>2.3954133346889219</v>
      </c>
      <c r="H1425" s="120"/>
      <c r="I1425" s="120"/>
      <c r="J1425" s="116"/>
      <c r="K1425" s="116"/>
      <c r="L1425" s="116"/>
      <c r="M1425" s="116"/>
      <c r="N1425" s="116"/>
      <c r="O1425" s="116"/>
      <c r="P1425" s="116"/>
    </row>
    <row r="1426" spans="2:16" s="108" customFormat="1" ht="21.75" hidden="1" customHeight="1">
      <c r="B1426" s="109"/>
      <c r="C1426" s="122"/>
      <c r="D1426" s="157" t="s">
        <v>1197</v>
      </c>
      <c r="E1426" s="726">
        <f>E1427</f>
        <v>750000000</v>
      </c>
      <c r="F1426" s="134">
        <v>31309836558.849998</v>
      </c>
      <c r="G1426" s="126">
        <f t="shared" si="25"/>
        <v>2.3954133346889219</v>
      </c>
      <c r="H1426" s="120"/>
      <c r="I1426" s="120"/>
      <c r="J1426" s="116"/>
      <c r="K1426" s="116"/>
      <c r="L1426" s="116"/>
      <c r="M1426" s="116"/>
      <c r="N1426" s="116"/>
      <c r="O1426" s="116"/>
      <c r="P1426" s="116"/>
    </row>
    <row r="1427" spans="2:16" s="108" customFormat="1" ht="21.75" hidden="1" customHeight="1">
      <c r="B1427" s="109"/>
      <c r="C1427" s="122"/>
      <c r="D1427" s="159" t="s">
        <v>1198</v>
      </c>
      <c r="E1427" s="727">
        <v>750000000</v>
      </c>
      <c r="F1427" s="134">
        <v>31309836558.849998</v>
      </c>
      <c r="G1427" s="126">
        <f t="shared" si="25"/>
        <v>2.3954133346889219</v>
      </c>
      <c r="H1427" s="120"/>
      <c r="I1427" s="120"/>
      <c r="J1427" s="116"/>
      <c r="K1427" s="116"/>
      <c r="L1427" s="116"/>
      <c r="M1427" s="116"/>
      <c r="N1427" s="116"/>
      <c r="O1427" s="116"/>
      <c r="P1427" s="116"/>
    </row>
    <row r="1428" spans="2:16" s="108" customFormat="1" ht="15" hidden="1" customHeight="1">
      <c r="B1428" s="109"/>
      <c r="C1428" s="122"/>
      <c r="D1428" s="157"/>
      <c r="E1428" s="726"/>
      <c r="F1428" s="134"/>
      <c r="G1428" s="126"/>
      <c r="H1428" s="120"/>
      <c r="I1428" s="120"/>
      <c r="J1428" s="116"/>
      <c r="K1428" s="116"/>
      <c r="L1428" s="116"/>
      <c r="M1428" s="116"/>
      <c r="N1428" s="116"/>
      <c r="O1428" s="116"/>
      <c r="P1428" s="116"/>
    </row>
    <row r="1429" spans="2:16" s="108" customFormat="1" ht="21.75" hidden="1" customHeight="1">
      <c r="B1429" s="109"/>
      <c r="C1429" s="122"/>
      <c r="D1429" s="157" t="s">
        <v>642</v>
      </c>
      <c r="E1429" s="726">
        <f>E1430</f>
        <v>1478590193.53</v>
      </c>
      <c r="F1429" s="134">
        <v>31309836558.849998</v>
      </c>
      <c r="G1429" s="126">
        <f t="shared" si="25"/>
        <v>4.7224462214960479</v>
      </c>
      <c r="H1429" s="120"/>
      <c r="I1429" s="120"/>
      <c r="J1429" s="116"/>
      <c r="K1429" s="116"/>
      <c r="L1429" s="116"/>
      <c r="M1429" s="116"/>
      <c r="N1429" s="116"/>
      <c r="O1429" s="116"/>
      <c r="P1429" s="116"/>
    </row>
    <row r="1430" spans="2:16" s="108" customFormat="1" ht="21.75" hidden="1" customHeight="1">
      <c r="B1430" s="109"/>
      <c r="C1430" s="122"/>
      <c r="D1430" s="157" t="s">
        <v>1199</v>
      </c>
      <c r="E1430" s="726">
        <f>E1431</f>
        <v>1478590193.53</v>
      </c>
      <c r="F1430" s="134">
        <v>31309836558.849998</v>
      </c>
      <c r="G1430" s="126">
        <f t="shared" si="25"/>
        <v>4.7224462214960479</v>
      </c>
      <c r="H1430" s="120"/>
      <c r="I1430" s="120"/>
      <c r="J1430" s="116"/>
      <c r="K1430" s="116"/>
      <c r="L1430" s="116"/>
      <c r="M1430" s="116"/>
      <c r="N1430" s="116"/>
      <c r="O1430" s="116"/>
      <c r="P1430" s="116"/>
    </row>
    <row r="1431" spans="2:16" s="108" customFormat="1" ht="35.25" hidden="1" customHeight="1">
      <c r="B1431" s="109"/>
      <c r="C1431" s="122"/>
      <c r="D1431" s="159" t="s">
        <v>1200</v>
      </c>
      <c r="E1431" s="727">
        <v>1478590193.53</v>
      </c>
      <c r="F1431" s="134">
        <v>31309836558.849998</v>
      </c>
      <c r="G1431" s="126">
        <f t="shared" si="25"/>
        <v>4.7224462214960479</v>
      </c>
      <c r="H1431" s="120"/>
      <c r="I1431" s="120"/>
      <c r="J1431" s="116"/>
      <c r="K1431" s="116"/>
      <c r="L1431" s="116"/>
      <c r="M1431" s="116"/>
      <c r="N1431" s="116"/>
      <c r="O1431" s="116"/>
      <c r="P1431" s="116"/>
    </row>
    <row r="1432" spans="2:16" s="108" customFormat="1" ht="15" hidden="1" customHeight="1">
      <c r="B1432" s="109"/>
      <c r="C1432" s="122"/>
      <c r="D1432" s="159"/>
      <c r="E1432" s="727"/>
      <c r="F1432" s="134"/>
      <c r="G1432" s="126"/>
      <c r="H1432" s="120"/>
      <c r="I1432" s="120"/>
      <c r="J1432" s="116"/>
      <c r="K1432" s="116"/>
      <c r="L1432" s="116"/>
      <c r="M1432" s="116"/>
      <c r="N1432" s="116"/>
      <c r="O1432" s="116"/>
      <c r="P1432" s="116"/>
    </row>
    <row r="1433" spans="2:16" s="108" customFormat="1" ht="21.75" hidden="1" customHeight="1">
      <c r="B1433" s="109"/>
      <c r="C1433" s="122"/>
      <c r="D1433" s="157" t="s">
        <v>1201</v>
      </c>
      <c r="E1433" s="726">
        <f>E1434</f>
        <v>400000000</v>
      </c>
      <c r="F1433" s="134">
        <v>31309836558.849998</v>
      </c>
      <c r="G1433" s="126">
        <f t="shared" ref="G1433:G1439" si="26">+E1433/F1433*100</f>
        <v>1.2775537785007585</v>
      </c>
      <c r="H1433" s="120"/>
      <c r="I1433" s="120"/>
      <c r="J1433" s="116"/>
      <c r="K1433" s="116"/>
      <c r="L1433" s="116"/>
      <c r="M1433" s="116"/>
      <c r="N1433" s="116"/>
      <c r="O1433" s="116"/>
      <c r="P1433" s="116"/>
    </row>
    <row r="1434" spans="2:16" s="108" customFormat="1" ht="21.75" hidden="1" customHeight="1">
      <c r="B1434" s="109"/>
      <c r="C1434" s="122"/>
      <c r="D1434" s="157" t="s">
        <v>1202</v>
      </c>
      <c r="E1434" s="726">
        <f>E1435</f>
        <v>400000000</v>
      </c>
      <c r="F1434" s="134">
        <v>31309836558.849998</v>
      </c>
      <c r="G1434" s="126">
        <f t="shared" si="26"/>
        <v>1.2775537785007585</v>
      </c>
      <c r="H1434" s="120"/>
      <c r="I1434" s="120"/>
      <c r="J1434" s="116"/>
      <c r="K1434" s="116"/>
      <c r="L1434" s="116"/>
      <c r="M1434" s="116"/>
      <c r="N1434" s="116"/>
      <c r="O1434" s="116"/>
      <c r="P1434" s="116"/>
    </row>
    <row r="1435" spans="2:16" s="108" customFormat="1" ht="46.5" hidden="1" customHeight="1">
      <c r="B1435" s="109"/>
      <c r="C1435" s="122"/>
      <c r="D1435" s="159" t="s">
        <v>1203</v>
      </c>
      <c r="E1435" s="727">
        <v>400000000</v>
      </c>
      <c r="F1435" s="134">
        <v>31309836558.849998</v>
      </c>
      <c r="G1435" s="126">
        <f t="shared" si="26"/>
        <v>1.2775537785007585</v>
      </c>
      <c r="H1435" s="120"/>
      <c r="I1435" s="120"/>
      <c r="J1435" s="116"/>
      <c r="K1435" s="116"/>
      <c r="L1435" s="116"/>
      <c r="M1435" s="116"/>
      <c r="N1435" s="116"/>
      <c r="O1435" s="116"/>
      <c r="P1435" s="116"/>
    </row>
    <row r="1436" spans="2:16" s="108" customFormat="1" ht="15" hidden="1" customHeight="1">
      <c r="B1436" s="109"/>
      <c r="C1436" s="122"/>
      <c r="D1436" s="159"/>
      <c r="E1436" s="727"/>
      <c r="F1436" s="134"/>
      <c r="G1436" s="126"/>
      <c r="H1436" s="120"/>
      <c r="I1436" s="120"/>
      <c r="J1436" s="116"/>
      <c r="K1436" s="116"/>
      <c r="L1436" s="116"/>
      <c r="M1436" s="116"/>
      <c r="N1436" s="116"/>
      <c r="O1436" s="116"/>
      <c r="P1436" s="116"/>
    </row>
    <row r="1437" spans="2:16" s="108" customFormat="1" ht="21.75" hidden="1" customHeight="1">
      <c r="B1437" s="109"/>
      <c r="C1437" s="122"/>
      <c r="D1437" s="157" t="s">
        <v>1204</v>
      </c>
      <c r="E1437" s="726">
        <f>E1438</f>
        <v>500000000</v>
      </c>
      <c r="F1437" s="134">
        <v>31309836558.849998</v>
      </c>
      <c r="G1437" s="126">
        <f t="shared" si="26"/>
        <v>1.596942223125948</v>
      </c>
      <c r="H1437" s="120"/>
      <c r="I1437" s="120"/>
      <c r="J1437" s="116"/>
      <c r="K1437" s="116"/>
      <c r="L1437" s="116"/>
      <c r="M1437" s="116"/>
      <c r="N1437" s="116"/>
      <c r="O1437" s="116"/>
      <c r="P1437" s="116"/>
    </row>
    <row r="1438" spans="2:16" s="108" customFormat="1" ht="21.75" hidden="1" customHeight="1">
      <c r="B1438" s="109"/>
      <c r="C1438" s="122"/>
      <c r="D1438" s="157" t="s">
        <v>1205</v>
      </c>
      <c r="E1438" s="726">
        <f>E1439</f>
        <v>500000000</v>
      </c>
      <c r="F1438" s="134">
        <v>31309836558.849998</v>
      </c>
      <c r="G1438" s="126">
        <f t="shared" si="26"/>
        <v>1.596942223125948</v>
      </c>
      <c r="H1438" s="120"/>
      <c r="I1438" s="120"/>
      <c r="J1438" s="116"/>
      <c r="K1438" s="116"/>
      <c r="L1438" s="116"/>
      <c r="M1438" s="116"/>
      <c r="N1438" s="116"/>
      <c r="O1438" s="116"/>
      <c r="P1438" s="116"/>
    </row>
    <row r="1439" spans="2:16" s="108" customFormat="1" ht="21.75" hidden="1" customHeight="1">
      <c r="B1439" s="109"/>
      <c r="C1439" s="122"/>
      <c r="D1439" s="159" t="s">
        <v>1206</v>
      </c>
      <c r="E1439" s="727">
        <v>500000000</v>
      </c>
      <c r="F1439" s="134">
        <v>31309836558.849998</v>
      </c>
      <c r="G1439" s="126">
        <f t="shared" si="26"/>
        <v>1.596942223125948</v>
      </c>
      <c r="H1439" s="120"/>
      <c r="I1439" s="120"/>
      <c r="J1439" s="116"/>
      <c r="K1439" s="116"/>
      <c r="L1439" s="116"/>
      <c r="M1439" s="116"/>
      <c r="N1439" s="116"/>
      <c r="O1439" s="116"/>
      <c r="P1439" s="116"/>
    </row>
    <row r="1440" spans="2:16" s="108" customFormat="1" ht="15" hidden="1" customHeight="1">
      <c r="B1440" s="109"/>
      <c r="C1440" s="122"/>
      <c r="D1440" s="123"/>
      <c r="E1440" s="125"/>
      <c r="F1440" s="134"/>
      <c r="G1440" s="126"/>
      <c r="H1440" s="120"/>
      <c r="I1440" s="120"/>
      <c r="J1440" s="116"/>
      <c r="K1440" s="116"/>
      <c r="L1440" s="116"/>
      <c r="M1440" s="116"/>
      <c r="N1440" s="116"/>
      <c r="O1440" s="116"/>
      <c r="P1440" s="116"/>
    </row>
    <row r="1441" spans="2:16" s="117" customFormat="1" ht="21" hidden="1" customHeight="1">
      <c r="B1441" s="118"/>
      <c r="C1441" s="110" t="s">
        <v>1207</v>
      </c>
      <c r="D1441" s="111" t="s">
        <v>1208</v>
      </c>
      <c r="E1441" s="129">
        <f>+E1442+E1456+E1463+E1479+E1485+E1490</f>
        <v>59981998273.220001</v>
      </c>
      <c r="F1441" s="114">
        <v>1557405258400.0002</v>
      </c>
      <c r="G1441" s="127">
        <f>+E1441/F1441*100</f>
        <v>3.8514059169700308</v>
      </c>
      <c r="H1441" s="120"/>
      <c r="I1441" s="120"/>
      <c r="J1441" s="121"/>
      <c r="K1441" s="121"/>
      <c r="L1441" s="121"/>
      <c r="M1441" s="121"/>
      <c r="N1441" s="121"/>
      <c r="O1441" s="121"/>
      <c r="P1441" s="121"/>
    </row>
    <row r="1442" spans="2:16" s="108" customFormat="1" ht="21.75" hidden="1" customHeight="1">
      <c r="B1442" s="109"/>
      <c r="C1442" s="122"/>
      <c r="D1442" s="161" t="s">
        <v>767</v>
      </c>
      <c r="E1442" s="524">
        <f>E1443+E1447+E1451</f>
        <v>27724525523</v>
      </c>
      <c r="F1442" s="114">
        <v>59981998273.220001</v>
      </c>
      <c r="G1442" s="126">
        <f t="shared" ref="G1442:G1495" si="27">+E1442/F1442*100</f>
        <v>46.221410291657612</v>
      </c>
      <c r="H1442" s="120"/>
      <c r="I1442" s="120"/>
      <c r="J1442" s="116"/>
      <c r="K1442" s="116"/>
      <c r="L1442" s="116"/>
      <c r="M1442" s="116"/>
      <c r="N1442" s="116"/>
      <c r="O1442" s="116"/>
      <c r="P1442" s="116"/>
    </row>
    <row r="1443" spans="2:16" s="108" customFormat="1" ht="21.75" hidden="1" customHeight="1">
      <c r="B1443" s="109"/>
      <c r="C1443" s="122"/>
      <c r="D1443" s="161" t="s">
        <v>388</v>
      </c>
      <c r="E1443" s="250">
        <f>SUM(E1444:E1446)</f>
        <v>4449669935</v>
      </c>
      <c r="F1443" s="114">
        <v>59981998273.220001</v>
      </c>
      <c r="G1443" s="126">
        <f t="shared" si="27"/>
        <v>7.4183422745131056</v>
      </c>
      <c r="H1443" s="120"/>
      <c r="I1443" s="120"/>
      <c r="J1443" s="116"/>
      <c r="K1443" s="116"/>
      <c r="L1443" s="116"/>
      <c r="M1443" s="116"/>
      <c r="N1443" s="116"/>
      <c r="O1443" s="116"/>
      <c r="P1443" s="116"/>
    </row>
    <row r="1444" spans="2:16" s="108" customFormat="1" ht="21.75" hidden="1" customHeight="1">
      <c r="B1444" s="109"/>
      <c r="C1444" s="122"/>
      <c r="D1444" s="163" t="s">
        <v>1209</v>
      </c>
      <c r="E1444" s="696">
        <v>113050000</v>
      </c>
      <c r="F1444" s="114">
        <v>59981998273.220001</v>
      </c>
      <c r="G1444" s="126">
        <f t="shared" si="27"/>
        <v>0.18847321405507947</v>
      </c>
      <c r="H1444" s="120"/>
      <c r="I1444" s="120"/>
      <c r="J1444" s="116"/>
      <c r="K1444" s="116"/>
      <c r="L1444" s="116"/>
      <c r="M1444" s="116"/>
      <c r="N1444" s="116"/>
      <c r="O1444" s="116"/>
      <c r="P1444" s="116"/>
    </row>
    <row r="1445" spans="2:16" s="108" customFormat="1" ht="34.5" hidden="1" customHeight="1">
      <c r="B1445" s="109"/>
      <c r="C1445" s="122"/>
      <c r="D1445" s="163" t="s">
        <v>1210</v>
      </c>
      <c r="E1445" s="696">
        <v>342790000</v>
      </c>
      <c r="F1445" s="114">
        <v>59981998273.220001</v>
      </c>
      <c r="G1445" s="126">
        <f t="shared" si="27"/>
        <v>0.5714881295527704</v>
      </c>
      <c r="H1445" s="120"/>
      <c r="I1445" s="120"/>
      <c r="J1445" s="116"/>
      <c r="K1445" s="116"/>
      <c r="L1445" s="116"/>
      <c r="M1445" s="116"/>
      <c r="N1445" s="116"/>
      <c r="O1445" s="116"/>
      <c r="P1445" s="116"/>
    </row>
    <row r="1446" spans="2:16" s="108" customFormat="1" ht="21.75" hidden="1" customHeight="1">
      <c r="B1446" s="109"/>
      <c r="C1446" s="122"/>
      <c r="D1446" s="163" t="s">
        <v>1211</v>
      </c>
      <c r="E1446" s="696">
        <v>3993829935</v>
      </c>
      <c r="F1446" s="114">
        <v>59981998273.220001</v>
      </c>
      <c r="G1446" s="126">
        <f t="shared" si="27"/>
        <v>6.6583809309052553</v>
      </c>
      <c r="H1446" s="120"/>
      <c r="I1446" s="120"/>
      <c r="J1446" s="116"/>
      <c r="K1446" s="116"/>
      <c r="L1446" s="116"/>
      <c r="M1446" s="116"/>
      <c r="N1446" s="116"/>
      <c r="O1446" s="116"/>
      <c r="P1446" s="116"/>
    </row>
    <row r="1447" spans="2:16" s="108" customFormat="1" ht="21.75" hidden="1" customHeight="1">
      <c r="B1447" s="109"/>
      <c r="C1447" s="122"/>
      <c r="D1447" s="161" t="s">
        <v>1212</v>
      </c>
      <c r="E1447" s="524">
        <f>SUM(E1448:E1450)</f>
        <v>17479968888</v>
      </c>
      <c r="F1447" s="114">
        <v>59981998273.220001</v>
      </c>
      <c r="G1447" s="126">
        <f t="shared" si="27"/>
        <v>29.142024926175615</v>
      </c>
      <c r="H1447" s="120"/>
      <c r="I1447" s="120"/>
      <c r="J1447" s="116"/>
      <c r="K1447" s="116"/>
      <c r="L1447" s="116"/>
      <c r="M1447" s="116"/>
      <c r="N1447" s="116"/>
      <c r="O1447" s="116"/>
      <c r="P1447" s="116"/>
    </row>
    <row r="1448" spans="2:16" s="108" customFormat="1" ht="33" hidden="1" customHeight="1">
      <c r="B1448" s="109"/>
      <c r="C1448" s="122"/>
      <c r="D1448" s="163" t="s">
        <v>1213</v>
      </c>
      <c r="E1448" s="511">
        <v>7537015800</v>
      </c>
      <c r="F1448" s="114">
        <v>59981998273.220001</v>
      </c>
      <c r="G1448" s="126">
        <f t="shared" si="27"/>
        <v>12.565463000529995</v>
      </c>
      <c r="H1448" s="120"/>
      <c r="I1448" s="120"/>
      <c r="J1448" s="116"/>
      <c r="K1448" s="116"/>
      <c r="L1448" s="116"/>
      <c r="M1448" s="116"/>
      <c r="N1448" s="116"/>
      <c r="O1448" s="116"/>
      <c r="P1448" s="116"/>
    </row>
    <row r="1449" spans="2:16" s="108" customFormat="1" ht="21.75" hidden="1" customHeight="1">
      <c r="B1449" s="109"/>
      <c r="C1449" s="122"/>
      <c r="D1449" s="163" t="s">
        <v>1214</v>
      </c>
      <c r="E1449" s="511">
        <v>5621225888</v>
      </c>
      <c r="F1449" s="114">
        <v>59981998273.220001</v>
      </c>
      <c r="G1449" s="126">
        <f t="shared" si="27"/>
        <v>9.3715215395044495</v>
      </c>
      <c r="H1449" s="120"/>
      <c r="I1449" s="120"/>
      <c r="J1449" s="116"/>
      <c r="K1449" s="116"/>
      <c r="L1449" s="116"/>
      <c r="M1449" s="116"/>
      <c r="N1449" s="116"/>
      <c r="O1449" s="116"/>
      <c r="P1449" s="116"/>
    </row>
    <row r="1450" spans="2:16" s="108" customFormat="1" ht="21.75" hidden="1" customHeight="1">
      <c r="B1450" s="109"/>
      <c r="C1450" s="122"/>
      <c r="D1450" s="163" t="s">
        <v>1215</v>
      </c>
      <c r="E1450" s="511">
        <v>4321727200</v>
      </c>
      <c r="F1450" s="114">
        <v>59981998273.220001</v>
      </c>
      <c r="G1450" s="126">
        <f t="shared" si="27"/>
        <v>7.2050403861411692</v>
      </c>
      <c r="H1450" s="120"/>
      <c r="I1450" s="120"/>
      <c r="J1450" s="116"/>
      <c r="K1450" s="116"/>
      <c r="L1450" s="116"/>
      <c r="M1450" s="116"/>
      <c r="N1450" s="116"/>
      <c r="O1450" s="116"/>
      <c r="P1450" s="116"/>
    </row>
    <row r="1451" spans="2:16" s="108" customFormat="1" ht="21.75" hidden="1" customHeight="1">
      <c r="B1451" s="109"/>
      <c r="C1451" s="122"/>
      <c r="D1451" s="161" t="s">
        <v>1216</v>
      </c>
      <c r="E1451" s="728">
        <f>SUM(E1452:E1454)</f>
        <v>5794886700</v>
      </c>
      <c r="F1451" s="114">
        <v>59981998273.220001</v>
      </c>
      <c r="G1451" s="126">
        <f t="shared" si="27"/>
        <v>9.6610430909688905</v>
      </c>
      <c r="H1451" s="120"/>
      <c r="I1451" s="120"/>
      <c r="J1451" s="116"/>
      <c r="K1451" s="116"/>
      <c r="L1451" s="116"/>
      <c r="M1451" s="116"/>
      <c r="N1451" s="116"/>
      <c r="O1451" s="116"/>
      <c r="P1451" s="116"/>
    </row>
    <row r="1452" spans="2:16" s="108" customFormat="1" ht="33" hidden="1" customHeight="1">
      <c r="B1452" s="109"/>
      <c r="C1452" s="122"/>
      <c r="D1452" s="163" t="s">
        <v>1217</v>
      </c>
      <c r="E1452" s="511">
        <v>1314741200</v>
      </c>
      <c r="F1452" s="114">
        <v>59981998273.220001</v>
      </c>
      <c r="G1452" s="126">
        <f t="shared" si="27"/>
        <v>2.1918929643045737</v>
      </c>
      <c r="H1452" s="120"/>
      <c r="I1452" s="120"/>
      <c r="J1452" s="116"/>
      <c r="K1452" s="116"/>
      <c r="L1452" s="116"/>
      <c r="M1452" s="116"/>
      <c r="N1452" s="116"/>
      <c r="O1452" s="116"/>
      <c r="P1452" s="116"/>
    </row>
    <row r="1453" spans="2:16" s="108" customFormat="1" ht="33" hidden="1" customHeight="1">
      <c r="B1453" s="109"/>
      <c r="C1453" s="122"/>
      <c r="D1453" s="163" t="s">
        <v>1218</v>
      </c>
      <c r="E1453" s="511">
        <v>1608210000</v>
      </c>
      <c r="F1453" s="114">
        <v>59981998273.220001</v>
      </c>
      <c r="G1453" s="126">
        <f t="shared" si="27"/>
        <v>2.6811544234897773</v>
      </c>
      <c r="H1453" s="120"/>
      <c r="I1453" s="120"/>
      <c r="J1453" s="116"/>
      <c r="K1453" s="116"/>
      <c r="L1453" s="116"/>
      <c r="M1453" s="116"/>
      <c r="N1453" s="116"/>
      <c r="O1453" s="116"/>
      <c r="P1453" s="116"/>
    </row>
    <row r="1454" spans="2:16" s="108" customFormat="1" ht="21.75" hidden="1" customHeight="1">
      <c r="B1454" s="109"/>
      <c r="C1454" s="122"/>
      <c r="D1454" s="163" t="s">
        <v>1215</v>
      </c>
      <c r="E1454" s="511">
        <v>2871935500</v>
      </c>
      <c r="F1454" s="114">
        <v>59981998273.220001</v>
      </c>
      <c r="G1454" s="126">
        <f t="shared" si="27"/>
        <v>4.7879957031745395</v>
      </c>
      <c r="H1454" s="120"/>
      <c r="I1454" s="120"/>
      <c r="J1454" s="116"/>
      <c r="K1454" s="116"/>
      <c r="L1454" s="116"/>
      <c r="M1454" s="116"/>
      <c r="N1454" s="116"/>
      <c r="O1454" s="116"/>
      <c r="P1454" s="116"/>
    </row>
    <row r="1455" spans="2:16" s="108" customFormat="1" ht="15" hidden="1" customHeight="1">
      <c r="B1455" s="109"/>
      <c r="C1455" s="122"/>
      <c r="D1455" s="163"/>
      <c r="E1455" s="511"/>
      <c r="F1455" s="114"/>
      <c r="G1455" s="126"/>
      <c r="H1455" s="120"/>
      <c r="I1455" s="120"/>
      <c r="J1455" s="116"/>
      <c r="K1455" s="116"/>
      <c r="L1455" s="116"/>
      <c r="M1455" s="116"/>
      <c r="N1455" s="116"/>
      <c r="O1455" s="116"/>
      <c r="P1455" s="116"/>
    </row>
    <row r="1456" spans="2:16" s="108" customFormat="1" ht="21.75" hidden="1" customHeight="1">
      <c r="B1456" s="109"/>
      <c r="C1456" s="122"/>
      <c r="D1456" s="161" t="s">
        <v>1219</v>
      </c>
      <c r="E1456" s="524">
        <f>E1457</f>
        <v>6129900000</v>
      </c>
      <c r="F1456" s="114">
        <v>59981998273.220001</v>
      </c>
      <c r="G1456" s="126">
        <f t="shared" si="27"/>
        <v>10.219566163964897</v>
      </c>
      <c r="H1456" s="120"/>
      <c r="I1456" s="120"/>
      <c r="J1456" s="116"/>
      <c r="K1456" s="116"/>
      <c r="L1456" s="116"/>
      <c r="M1456" s="116"/>
      <c r="N1456" s="116"/>
      <c r="O1456" s="116"/>
      <c r="P1456" s="116"/>
    </row>
    <row r="1457" spans="2:16" s="108" customFormat="1" ht="21.75" hidden="1" customHeight="1">
      <c r="B1457" s="109"/>
      <c r="C1457" s="122"/>
      <c r="D1457" s="161" t="s">
        <v>564</v>
      </c>
      <c r="E1457" s="524">
        <f>E1458</f>
        <v>6129900000</v>
      </c>
      <c r="F1457" s="114">
        <v>59981998273.220001</v>
      </c>
      <c r="G1457" s="126">
        <f t="shared" si="27"/>
        <v>10.219566163964897</v>
      </c>
      <c r="H1457" s="120"/>
      <c r="I1457" s="120"/>
      <c r="J1457" s="116"/>
      <c r="K1457" s="116"/>
      <c r="L1457" s="116"/>
      <c r="M1457" s="116"/>
      <c r="N1457" s="116"/>
      <c r="O1457" s="116"/>
      <c r="P1457" s="116"/>
    </row>
    <row r="1458" spans="2:16" s="108" customFormat="1" ht="21.75" hidden="1" customHeight="1">
      <c r="B1458" s="109"/>
      <c r="C1458" s="122"/>
      <c r="D1458" s="161" t="s">
        <v>377</v>
      </c>
      <c r="E1458" s="524">
        <f>SUM(E1459:E1460)</f>
        <v>6129900000</v>
      </c>
      <c r="F1458" s="114">
        <v>59981998273.220001</v>
      </c>
      <c r="G1458" s="126">
        <f t="shared" si="27"/>
        <v>10.219566163964897</v>
      </c>
      <c r="H1458" s="120"/>
      <c r="I1458" s="120"/>
      <c r="J1458" s="116"/>
      <c r="K1458" s="116"/>
      <c r="L1458" s="116"/>
      <c r="M1458" s="116"/>
      <c r="N1458" s="116"/>
      <c r="O1458" s="116"/>
      <c r="P1458" s="116"/>
    </row>
    <row r="1459" spans="2:16" s="108" customFormat="1" ht="33" hidden="1" customHeight="1">
      <c r="B1459" s="109"/>
      <c r="C1459" s="122"/>
      <c r="D1459" s="163" t="s">
        <v>1220</v>
      </c>
      <c r="E1459" s="511">
        <v>1680000000</v>
      </c>
      <c r="F1459" s="114">
        <v>59981998273.220001</v>
      </c>
      <c r="G1459" s="126">
        <f t="shared" si="27"/>
        <v>2.8008403327070632</v>
      </c>
      <c r="H1459" s="120"/>
      <c r="I1459" s="120"/>
      <c r="J1459" s="116"/>
      <c r="K1459" s="116"/>
      <c r="L1459" s="116"/>
      <c r="M1459" s="116"/>
      <c r="N1459" s="116"/>
      <c r="O1459" s="116"/>
      <c r="P1459" s="116"/>
    </row>
    <row r="1460" spans="2:16" s="108" customFormat="1" ht="45.75" hidden="1" customHeight="1">
      <c r="B1460" s="109"/>
      <c r="C1460" s="122"/>
      <c r="D1460" s="163" t="s">
        <v>1221</v>
      </c>
      <c r="E1460" s="511">
        <v>4449900000</v>
      </c>
      <c r="F1460" s="114">
        <v>59981998273.220001</v>
      </c>
      <c r="G1460" s="126">
        <f t="shared" si="27"/>
        <v>7.4187258312578326</v>
      </c>
      <c r="H1460" s="120"/>
      <c r="I1460" s="120"/>
      <c r="J1460" s="116"/>
      <c r="K1460" s="116"/>
      <c r="L1460" s="116"/>
      <c r="M1460" s="116"/>
      <c r="N1460" s="116"/>
      <c r="O1460" s="116"/>
      <c r="P1460" s="116"/>
    </row>
    <row r="1461" spans="2:16" s="108" customFormat="1" ht="15" hidden="1" customHeight="1">
      <c r="B1461" s="109"/>
      <c r="C1461" s="122"/>
      <c r="D1461" s="163"/>
      <c r="E1461" s="511"/>
      <c r="F1461" s="114"/>
      <c r="G1461" s="126"/>
      <c r="H1461" s="120"/>
      <c r="I1461" s="120"/>
      <c r="J1461" s="116"/>
      <c r="K1461" s="116"/>
      <c r="L1461" s="116"/>
      <c r="M1461" s="116"/>
      <c r="N1461" s="116"/>
      <c r="O1461" s="116"/>
      <c r="P1461" s="116"/>
    </row>
    <row r="1462" spans="2:16" s="108" customFormat="1" ht="21.75" hidden="1" customHeight="1">
      <c r="B1462" s="109"/>
      <c r="C1462" s="122"/>
      <c r="D1462" s="161" t="s">
        <v>671</v>
      </c>
      <c r="E1462" s="524">
        <f>E1463+E1479</f>
        <v>11668481750</v>
      </c>
      <c r="F1462" s="114">
        <v>59981998273.220001</v>
      </c>
      <c r="G1462" s="126">
        <f t="shared" si="27"/>
        <v>19.453306135033511</v>
      </c>
      <c r="H1462" s="120"/>
      <c r="I1462" s="120"/>
      <c r="J1462" s="116"/>
      <c r="K1462" s="116"/>
      <c r="L1462" s="116"/>
      <c r="M1462" s="116"/>
      <c r="N1462" s="116"/>
      <c r="O1462" s="116"/>
      <c r="P1462" s="116"/>
    </row>
    <row r="1463" spans="2:16" s="108" customFormat="1" ht="21.75" hidden="1" customHeight="1">
      <c r="B1463" s="109"/>
      <c r="C1463" s="122"/>
      <c r="D1463" s="161" t="s">
        <v>65</v>
      </c>
      <c r="E1463" s="524">
        <f>E1464+E1466+E1469+E1471+E1476</f>
        <v>8567981750</v>
      </c>
      <c r="F1463" s="114">
        <v>59981998273.220001</v>
      </c>
      <c r="G1463" s="126">
        <f t="shared" si="27"/>
        <v>14.284255271010743</v>
      </c>
      <c r="H1463" s="120"/>
      <c r="I1463" s="120"/>
      <c r="J1463" s="116"/>
      <c r="K1463" s="116"/>
      <c r="L1463" s="116"/>
      <c r="M1463" s="116"/>
      <c r="N1463" s="116"/>
      <c r="O1463" s="116"/>
      <c r="P1463" s="116"/>
    </row>
    <row r="1464" spans="2:16" s="108" customFormat="1" ht="21.75" hidden="1" customHeight="1">
      <c r="B1464" s="109"/>
      <c r="C1464" s="122"/>
      <c r="D1464" s="161" t="s">
        <v>162</v>
      </c>
      <c r="E1464" s="524">
        <f>E1465</f>
        <v>1883309000</v>
      </c>
      <c r="F1464" s="114">
        <v>59981998273.220001</v>
      </c>
      <c r="G1464" s="126">
        <f t="shared" si="27"/>
        <v>3.1397903608036946</v>
      </c>
      <c r="H1464" s="120"/>
      <c r="I1464" s="120"/>
      <c r="J1464" s="116"/>
      <c r="K1464" s="116"/>
      <c r="L1464" s="116"/>
      <c r="M1464" s="116"/>
      <c r="N1464" s="116"/>
      <c r="O1464" s="116"/>
      <c r="P1464" s="116"/>
    </row>
    <row r="1465" spans="2:16" s="108" customFormat="1" ht="21.75" hidden="1" customHeight="1">
      <c r="B1465" s="109"/>
      <c r="C1465" s="122"/>
      <c r="D1465" s="163" t="s">
        <v>1222</v>
      </c>
      <c r="E1465" s="511">
        <v>1883309000</v>
      </c>
      <c r="F1465" s="114">
        <v>59981998273.220001</v>
      </c>
      <c r="G1465" s="126">
        <f t="shared" si="27"/>
        <v>3.1397903608036946</v>
      </c>
      <c r="H1465" s="120"/>
      <c r="I1465" s="120"/>
      <c r="J1465" s="116"/>
      <c r="K1465" s="116"/>
      <c r="L1465" s="116"/>
      <c r="M1465" s="116"/>
      <c r="N1465" s="116"/>
      <c r="O1465" s="116"/>
      <c r="P1465" s="116"/>
    </row>
    <row r="1466" spans="2:16" s="108" customFormat="1" ht="21.75" hidden="1" customHeight="1">
      <c r="B1466" s="109"/>
      <c r="C1466" s="122"/>
      <c r="D1466" s="161" t="s">
        <v>173</v>
      </c>
      <c r="E1466" s="524">
        <f>SUM(E1467:E1468)</f>
        <v>3898687498</v>
      </c>
      <c r="F1466" s="114">
        <v>59981998273.220001</v>
      </c>
      <c r="G1466" s="126">
        <f t="shared" si="27"/>
        <v>6.4997626125114216</v>
      </c>
      <c r="H1466" s="120"/>
      <c r="I1466" s="120"/>
      <c r="J1466" s="116"/>
      <c r="K1466" s="116"/>
      <c r="L1466" s="116"/>
      <c r="M1466" s="116"/>
      <c r="N1466" s="116"/>
      <c r="O1466" s="116"/>
      <c r="P1466" s="116"/>
    </row>
    <row r="1467" spans="2:16" s="108" customFormat="1" ht="21.75" hidden="1" customHeight="1">
      <c r="B1467" s="109"/>
      <c r="C1467" s="122"/>
      <c r="D1467" s="163" t="s">
        <v>1223</v>
      </c>
      <c r="E1467" s="511">
        <v>506950498</v>
      </c>
      <c r="F1467" s="114">
        <v>59981998273.220001</v>
      </c>
      <c r="G1467" s="126">
        <f t="shared" si="27"/>
        <v>0.84517107231210209</v>
      </c>
      <c r="H1467" s="120"/>
      <c r="I1467" s="120"/>
      <c r="J1467" s="116"/>
      <c r="K1467" s="116"/>
      <c r="L1467" s="116"/>
      <c r="M1467" s="116"/>
      <c r="N1467" s="116"/>
      <c r="O1467" s="116"/>
      <c r="P1467" s="116"/>
    </row>
    <row r="1468" spans="2:16" s="108" customFormat="1" ht="33" hidden="1" customHeight="1">
      <c r="B1468" s="109"/>
      <c r="C1468" s="122"/>
      <c r="D1468" s="163" t="s">
        <v>1224</v>
      </c>
      <c r="E1468" s="511">
        <v>3391737000</v>
      </c>
      <c r="F1468" s="114">
        <v>59981998273.220001</v>
      </c>
      <c r="G1468" s="126">
        <f t="shared" si="27"/>
        <v>5.654591540199319</v>
      </c>
      <c r="H1468" s="120"/>
      <c r="I1468" s="120"/>
      <c r="J1468" s="116"/>
      <c r="K1468" s="116"/>
      <c r="L1468" s="116"/>
      <c r="M1468" s="116"/>
      <c r="N1468" s="116"/>
      <c r="O1468" s="116"/>
      <c r="P1468" s="116"/>
    </row>
    <row r="1469" spans="2:16" s="108" customFormat="1" ht="21.75" hidden="1" customHeight="1">
      <c r="B1469" s="109"/>
      <c r="C1469" s="122"/>
      <c r="D1469" s="161" t="s">
        <v>190</v>
      </c>
      <c r="E1469" s="524">
        <f>E1470</f>
        <v>1040525000</v>
      </c>
      <c r="F1469" s="114">
        <v>59981998273.220001</v>
      </c>
      <c r="G1469" s="126">
        <f t="shared" si="27"/>
        <v>1.7347288018988196</v>
      </c>
      <c r="H1469" s="120"/>
      <c r="I1469" s="120"/>
      <c r="J1469" s="116"/>
      <c r="K1469" s="116"/>
      <c r="L1469" s="116"/>
      <c r="M1469" s="116"/>
      <c r="N1469" s="116"/>
      <c r="O1469" s="116"/>
      <c r="P1469" s="116"/>
    </row>
    <row r="1470" spans="2:16" s="108" customFormat="1" ht="21.75" hidden="1" customHeight="1">
      <c r="B1470" s="109"/>
      <c r="C1470" s="122"/>
      <c r="D1470" s="163" t="s">
        <v>1225</v>
      </c>
      <c r="E1470" s="511">
        <v>1040525000</v>
      </c>
      <c r="F1470" s="114">
        <v>59981998273.220001</v>
      </c>
      <c r="G1470" s="126">
        <f t="shared" si="27"/>
        <v>1.7347288018988196</v>
      </c>
      <c r="H1470" s="120"/>
      <c r="I1470" s="120"/>
      <c r="J1470" s="116"/>
      <c r="K1470" s="116"/>
      <c r="L1470" s="116"/>
      <c r="M1470" s="116"/>
      <c r="N1470" s="116"/>
      <c r="O1470" s="116"/>
      <c r="P1470" s="116"/>
    </row>
    <row r="1471" spans="2:16" s="108" customFormat="1" ht="21.75" hidden="1" customHeight="1">
      <c r="B1471" s="109"/>
      <c r="C1471" s="122"/>
      <c r="D1471" s="161" t="s">
        <v>196</v>
      </c>
      <c r="E1471" s="524">
        <f>SUM(E1472:E1475)</f>
        <v>1150987100</v>
      </c>
      <c r="F1471" s="114">
        <v>59981998273.220001</v>
      </c>
      <c r="G1471" s="126">
        <f t="shared" si="27"/>
        <v>1.9188875548247251</v>
      </c>
      <c r="H1471" s="120"/>
      <c r="I1471" s="120"/>
      <c r="J1471" s="116"/>
      <c r="K1471" s="116"/>
      <c r="L1471" s="116"/>
      <c r="M1471" s="116"/>
      <c r="N1471" s="116"/>
      <c r="O1471" s="116"/>
      <c r="P1471" s="116"/>
    </row>
    <row r="1472" spans="2:16" s="108" customFormat="1" ht="21.75" hidden="1" customHeight="1">
      <c r="B1472" s="109"/>
      <c r="C1472" s="122"/>
      <c r="D1472" s="163" t="s">
        <v>1226</v>
      </c>
      <c r="E1472" s="511">
        <v>134994000</v>
      </c>
      <c r="F1472" s="114">
        <v>59981998273.220001</v>
      </c>
      <c r="G1472" s="126">
        <f t="shared" si="27"/>
        <v>0.22505752373420079</v>
      </c>
      <c r="H1472" s="120"/>
      <c r="I1472" s="120"/>
      <c r="J1472" s="116"/>
      <c r="K1472" s="116"/>
      <c r="L1472" s="116"/>
      <c r="M1472" s="116"/>
      <c r="N1472" s="116"/>
      <c r="O1472" s="116"/>
      <c r="P1472" s="116"/>
    </row>
    <row r="1473" spans="2:16" s="108" customFormat="1" ht="21.75" hidden="1" customHeight="1">
      <c r="B1473" s="109"/>
      <c r="C1473" s="122"/>
      <c r="D1473" s="163" t="s">
        <v>1227</v>
      </c>
      <c r="E1473" s="511">
        <v>544353100</v>
      </c>
      <c r="F1473" s="114">
        <v>59981998273.220001</v>
      </c>
      <c r="G1473" s="126">
        <f t="shared" si="27"/>
        <v>0.90752745102031029</v>
      </c>
      <c r="H1473" s="120"/>
      <c r="I1473" s="120"/>
      <c r="J1473" s="116"/>
      <c r="K1473" s="116"/>
      <c r="L1473" s="116"/>
      <c r="M1473" s="116"/>
      <c r="N1473" s="116"/>
      <c r="O1473" s="116"/>
      <c r="P1473" s="116"/>
    </row>
    <row r="1474" spans="2:16" s="108" customFormat="1" ht="21.75" hidden="1" customHeight="1">
      <c r="B1474" s="109"/>
      <c r="C1474" s="122"/>
      <c r="D1474" s="163" t="s">
        <v>1228</v>
      </c>
      <c r="E1474" s="511">
        <v>159340000</v>
      </c>
      <c r="F1474" s="114">
        <v>59981998273.220001</v>
      </c>
      <c r="G1474" s="126">
        <f t="shared" si="27"/>
        <v>0.26564636822234727</v>
      </c>
      <c r="H1474" s="120"/>
      <c r="I1474" s="120"/>
      <c r="J1474" s="116"/>
      <c r="K1474" s="116"/>
      <c r="L1474" s="116"/>
      <c r="M1474" s="116"/>
      <c r="N1474" s="116"/>
      <c r="O1474" s="116"/>
      <c r="P1474" s="116"/>
    </row>
    <row r="1475" spans="2:16" s="108" customFormat="1" ht="21.75" hidden="1" customHeight="1">
      <c r="B1475" s="109"/>
      <c r="C1475" s="122"/>
      <c r="D1475" s="163" t="s">
        <v>1229</v>
      </c>
      <c r="E1475" s="511">
        <v>312300000</v>
      </c>
      <c r="F1475" s="114">
        <v>59981998273.220001</v>
      </c>
      <c r="G1475" s="126">
        <f t="shared" si="27"/>
        <v>0.52065621184786659</v>
      </c>
      <c r="H1475" s="120"/>
      <c r="I1475" s="120"/>
      <c r="J1475" s="116"/>
      <c r="K1475" s="116"/>
      <c r="L1475" s="116"/>
      <c r="M1475" s="116"/>
      <c r="N1475" s="116"/>
      <c r="O1475" s="116"/>
      <c r="P1475" s="116"/>
    </row>
    <row r="1476" spans="2:16" s="108" customFormat="1" ht="21.75" hidden="1" customHeight="1">
      <c r="B1476" s="109"/>
      <c r="C1476" s="122"/>
      <c r="D1476" s="161" t="s">
        <v>212</v>
      </c>
      <c r="E1476" s="524">
        <f>E1477</f>
        <v>594473152</v>
      </c>
      <c r="F1476" s="114">
        <v>59981998273.220001</v>
      </c>
      <c r="G1476" s="126">
        <f t="shared" si="27"/>
        <v>0.99108594097208125</v>
      </c>
      <c r="H1476" s="120"/>
      <c r="I1476" s="120"/>
      <c r="J1476" s="116"/>
      <c r="K1476" s="116"/>
      <c r="L1476" s="116"/>
      <c r="M1476" s="116"/>
      <c r="N1476" s="116"/>
      <c r="O1476" s="116"/>
      <c r="P1476" s="116"/>
    </row>
    <row r="1477" spans="2:16" s="108" customFormat="1" ht="28.5" hidden="1" customHeight="1">
      <c r="B1477" s="109"/>
      <c r="C1477" s="122"/>
      <c r="D1477" s="163" t="s">
        <v>1230</v>
      </c>
      <c r="E1477" s="511">
        <v>594473152</v>
      </c>
      <c r="F1477" s="114">
        <v>59981998273.220001</v>
      </c>
      <c r="G1477" s="126">
        <f t="shared" si="27"/>
        <v>0.99108594097208125</v>
      </c>
      <c r="H1477" s="120"/>
      <c r="I1477" s="120"/>
      <c r="J1477" s="116"/>
      <c r="K1477" s="116"/>
      <c r="L1477" s="116"/>
      <c r="M1477" s="116"/>
      <c r="N1477" s="116"/>
      <c r="O1477" s="116"/>
      <c r="P1477" s="116"/>
    </row>
    <row r="1478" spans="2:16" s="108" customFormat="1" ht="15" hidden="1" customHeight="1">
      <c r="B1478" s="109"/>
      <c r="C1478" s="122"/>
      <c r="D1478" s="163"/>
      <c r="E1478" s="511"/>
      <c r="F1478" s="114"/>
      <c r="G1478" s="126"/>
      <c r="H1478" s="120"/>
      <c r="I1478" s="120"/>
      <c r="J1478" s="116"/>
      <c r="K1478" s="116"/>
      <c r="L1478" s="116"/>
      <c r="M1478" s="116"/>
      <c r="N1478" s="116"/>
      <c r="O1478" s="116"/>
      <c r="P1478" s="116"/>
    </row>
    <row r="1479" spans="2:16" s="108" customFormat="1" ht="21.75" hidden="1" customHeight="1">
      <c r="B1479" s="109"/>
      <c r="C1479" s="122"/>
      <c r="D1479" s="161" t="s">
        <v>1231</v>
      </c>
      <c r="E1479" s="524">
        <f t="shared" ref="E1479" si="28">E1480</f>
        <v>3100500000</v>
      </c>
      <c r="F1479" s="114">
        <v>59981998273.220001</v>
      </c>
      <c r="G1479" s="126">
        <f t="shared" si="27"/>
        <v>5.1690508640227675</v>
      </c>
      <c r="H1479" s="120"/>
      <c r="I1479" s="120"/>
      <c r="J1479" s="116"/>
      <c r="K1479" s="116"/>
      <c r="L1479" s="116"/>
      <c r="M1479" s="116"/>
      <c r="N1479" s="116"/>
      <c r="O1479" s="116"/>
      <c r="P1479" s="116"/>
    </row>
    <row r="1480" spans="2:16" s="108" customFormat="1" ht="21.75" hidden="1" customHeight="1">
      <c r="B1480" s="109"/>
      <c r="C1480" s="122"/>
      <c r="D1480" s="161" t="s">
        <v>1232</v>
      </c>
      <c r="E1480" s="524">
        <f>SUM(E1481:E1482)</f>
        <v>3100500000</v>
      </c>
      <c r="F1480" s="114">
        <v>59981998273.220001</v>
      </c>
      <c r="G1480" s="126">
        <f t="shared" si="27"/>
        <v>5.1690508640227675</v>
      </c>
      <c r="H1480" s="120"/>
      <c r="I1480" s="120"/>
      <c r="J1480" s="116"/>
      <c r="K1480" s="116"/>
      <c r="L1480" s="116"/>
      <c r="M1480" s="116"/>
      <c r="N1480" s="116"/>
      <c r="O1480" s="116"/>
      <c r="P1480" s="116"/>
    </row>
    <row r="1481" spans="2:16" s="108" customFormat="1" ht="21.75" hidden="1" customHeight="1">
      <c r="B1481" s="109"/>
      <c r="C1481" s="122"/>
      <c r="D1481" s="163" t="s">
        <v>1233</v>
      </c>
      <c r="E1481" s="511">
        <v>3000000000</v>
      </c>
      <c r="F1481" s="114">
        <v>59981998273.220001</v>
      </c>
      <c r="G1481" s="126">
        <f t="shared" si="27"/>
        <v>5.0015005941197561</v>
      </c>
      <c r="H1481" s="120"/>
      <c r="I1481" s="120"/>
      <c r="J1481" s="116"/>
      <c r="K1481" s="116"/>
      <c r="L1481" s="116"/>
      <c r="M1481" s="116"/>
      <c r="N1481" s="116"/>
      <c r="O1481" s="116"/>
      <c r="P1481" s="116"/>
    </row>
    <row r="1482" spans="2:16" s="108" customFormat="1" ht="21.75" hidden="1" customHeight="1">
      <c r="B1482" s="109"/>
      <c r="C1482" s="122"/>
      <c r="D1482" s="163" t="s">
        <v>1234</v>
      </c>
      <c r="E1482" s="511">
        <v>100500000</v>
      </c>
      <c r="F1482" s="114">
        <v>59981998273.220001</v>
      </c>
      <c r="G1482" s="126">
        <f t="shared" si="27"/>
        <v>0.16755026990301183</v>
      </c>
      <c r="H1482" s="120"/>
      <c r="I1482" s="120"/>
      <c r="J1482" s="116"/>
      <c r="K1482" s="116"/>
      <c r="L1482" s="116"/>
      <c r="M1482" s="116"/>
      <c r="N1482" s="116"/>
      <c r="O1482" s="116"/>
      <c r="P1482" s="116"/>
    </row>
    <row r="1483" spans="2:16" s="108" customFormat="1" ht="15" hidden="1" customHeight="1">
      <c r="B1483" s="109"/>
      <c r="C1483" s="122"/>
      <c r="D1483" s="163"/>
      <c r="E1483" s="511"/>
      <c r="F1483" s="114"/>
      <c r="G1483" s="126"/>
      <c r="H1483" s="120"/>
      <c r="I1483" s="120"/>
      <c r="J1483" s="116"/>
      <c r="K1483" s="116"/>
      <c r="L1483" s="116"/>
      <c r="M1483" s="116"/>
      <c r="N1483" s="116"/>
      <c r="O1483" s="116"/>
      <c r="P1483" s="116"/>
    </row>
    <row r="1484" spans="2:16" s="108" customFormat="1" ht="21.75" hidden="1" customHeight="1">
      <c r="B1484" s="109"/>
      <c r="C1484" s="122"/>
      <c r="D1484" s="161" t="s">
        <v>721</v>
      </c>
      <c r="E1484" s="524">
        <f t="shared" ref="E1484:E1486" si="29">E1485</f>
        <v>12959091000.219999</v>
      </c>
      <c r="F1484" s="114">
        <v>59981998273.220001</v>
      </c>
      <c r="G1484" s="126">
        <f t="shared" si="27"/>
        <v>21.6049671122841</v>
      </c>
      <c r="H1484" s="120"/>
      <c r="I1484" s="120"/>
      <c r="J1484" s="116"/>
      <c r="K1484" s="116"/>
      <c r="L1484" s="116"/>
      <c r="M1484" s="116"/>
      <c r="N1484" s="116"/>
      <c r="O1484" s="116"/>
      <c r="P1484" s="116"/>
    </row>
    <row r="1485" spans="2:16" s="108" customFormat="1" ht="30.75" hidden="1" customHeight="1">
      <c r="B1485" s="109"/>
      <c r="C1485" s="122"/>
      <c r="D1485" s="161" t="s">
        <v>1235</v>
      </c>
      <c r="E1485" s="524">
        <f t="shared" si="29"/>
        <v>12959091000.219999</v>
      </c>
      <c r="F1485" s="114">
        <v>59981998273.220001</v>
      </c>
      <c r="G1485" s="126">
        <f t="shared" si="27"/>
        <v>21.6049671122841</v>
      </c>
      <c r="H1485" s="120"/>
      <c r="I1485" s="120"/>
      <c r="J1485" s="116"/>
      <c r="K1485" s="116"/>
      <c r="L1485" s="116"/>
      <c r="M1485" s="116"/>
      <c r="N1485" s="116"/>
      <c r="O1485" s="116"/>
      <c r="P1485" s="116"/>
    </row>
    <row r="1486" spans="2:16" s="108" customFormat="1" ht="21.75" hidden="1" customHeight="1">
      <c r="B1486" s="109"/>
      <c r="C1486" s="122"/>
      <c r="D1486" s="161" t="s">
        <v>498</v>
      </c>
      <c r="E1486" s="524">
        <f t="shared" si="29"/>
        <v>12959091000.219999</v>
      </c>
      <c r="F1486" s="114">
        <v>59981998273.220001</v>
      </c>
      <c r="G1486" s="126">
        <f t="shared" si="27"/>
        <v>21.6049671122841</v>
      </c>
      <c r="H1486" s="120"/>
      <c r="I1486" s="120"/>
      <c r="J1486" s="116"/>
      <c r="K1486" s="116"/>
      <c r="L1486" s="116"/>
      <c r="M1486" s="116"/>
      <c r="N1486" s="116"/>
      <c r="O1486" s="116"/>
      <c r="P1486" s="116"/>
    </row>
    <row r="1487" spans="2:16" s="108" customFormat="1" ht="21.75" hidden="1" customHeight="1">
      <c r="B1487" s="109"/>
      <c r="C1487" s="122"/>
      <c r="D1487" s="163" t="s">
        <v>1236</v>
      </c>
      <c r="E1487" s="511">
        <v>12959091000.219999</v>
      </c>
      <c r="F1487" s="114">
        <v>59981998273.220001</v>
      </c>
      <c r="G1487" s="126">
        <f t="shared" si="27"/>
        <v>21.6049671122841</v>
      </c>
      <c r="H1487" s="120"/>
      <c r="I1487" s="120"/>
      <c r="J1487" s="116"/>
      <c r="K1487" s="116"/>
      <c r="L1487" s="116"/>
      <c r="M1487" s="116"/>
      <c r="N1487" s="116"/>
      <c r="O1487" s="116"/>
      <c r="P1487" s="116"/>
    </row>
    <row r="1488" spans="2:16" s="108" customFormat="1" ht="15" hidden="1" customHeight="1">
      <c r="B1488" s="109"/>
      <c r="C1488" s="122"/>
      <c r="D1488" s="163"/>
      <c r="E1488" s="511"/>
      <c r="F1488" s="114"/>
      <c r="G1488" s="126"/>
      <c r="H1488" s="120"/>
      <c r="I1488" s="120"/>
      <c r="J1488" s="116"/>
      <c r="K1488" s="116"/>
      <c r="L1488" s="116"/>
      <c r="M1488" s="116"/>
      <c r="N1488" s="116"/>
      <c r="O1488" s="116"/>
      <c r="P1488" s="116"/>
    </row>
    <row r="1489" spans="2:16" s="108" customFormat="1" ht="21.75" hidden="1" customHeight="1">
      <c r="B1489" s="109"/>
      <c r="C1489" s="122"/>
      <c r="D1489" s="161" t="s">
        <v>1237</v>
      </c>
      <c r="E1489" s="524">
        <f>E1490</f>
        <v>1500000000</v>
      </c>
      <c r="F1489" s="114">
        <v>59981998273.220001</v>
      </c>
      <c r="G1489" s="126">
        <f t="shared" si="27"/>
        <v>2.5007502970598781</v>
      </c>
      <c r="H1489" s="120"/>
      <c r="I1489" s="120"/>
      <c r="J1489" s="116"/>
      <c r="K1489" s="116"/>
      <c r="L1489" s="116"/>
      <c r="M1489" s="116"/>
      <c r="N1489" s="116"/>
      <c r="O1489" s="116"/>
      <c r="P1489" s="116"/>
    </row>
    <row r="1490" spans="2:16" s="108" customFormat="1" ht="21.75" hidden="1" customHeight="1">
      <c r="B1490" s="109"/>
      <c r="C1490" s="122"/>
      <c r="D1490" s="161" t="s">
        <v>1219</v>
      </c>
      <c r="E1490" s="524">
        <f>E1491</f>
        <v>1500000000</v>
      </c>
      <c r="F1490" s="114">
        <v>59981998273.220001</v>
      </c>
      <c r="G1490" s="126">
        <f t="shared" si="27"/>
        <v>2.5007502970598781</v>
      </c>
      <c r="H1490" s="120"/>
      <c r="I1490" s="120"/>
      <c r="J1490" s="116"/>
      <c r="K1490" s="116"/>
      <c r="L1490" s="116"/>
      <c r="M1490" s="116"/>
      <c r="N1490" s="116"/>
      <c r="O1490" s="116"/>
      <c r="P1490" s="116"/>
    </row>
    <row r="1491" spans="2:16" s="108" customFormat="1" ht="21.75" hidden="1" customHeight="1">
      <c r="B1491" s="109"/>
      <c r="C1491" s="122"/>
      <c r="D1491" s="161" t="s">
        <v>564</v>
      </c>
      <c r="E1491" s="524">
        <f>E1492</f>
        <v>1500000000</v>
      </c>
      <c r="F1491" s="114">
        <v>1557405258400.0002</v>
      </c>
      <c r="G1491" s="126">
        <f t="shared" si="27"/>
        <v>9.631404490960975E-2</v>
      </c>
      <c r="H1491" s="120"/>
      <c r="I1491" s="120"/>
      <c r="J1491" s="116"/>
      <c r="K1491" s="116"/>
      <c r="L1491" s="116"/>
      <c r="M1491" s="116"/>
      <c r="N1491" s="116"/>
      <c r="O1491" s="116"/>
      <c r="P1491" s="116"/>
    </row>
    <row r="1492" spans="2:16" s="108" customFormat="1" ht="21.75" hidden="1" customHeight="1">
      <c r="B1492" s="109"/>
      <c r="C1492" s="122"/>
      <c r="D1492" s="163" t="s">
        <v>377</v>
      </c>
      <c r="E1492" s="511">
        <f>SUM(E1493:E1495)</f>
        <v>1500000000</v>
      </c>
      <c r="F1492" s="114">
        <v>1557405258400.0002</v>
      </c>
      <c r="G1492" s="126">
        <f t="shared" si="27"/>
        <v>9.631404490960975E-2</v>
      </c>
      <c r="H1492" s="120"/>
      <c r="I1492" s="120"/>
      <c r="J1492" s="116"/>
      <c r="K1492" s="116"/>
      <c r="L1492" s="116"/>
      <c r="M1492" s="116"/>
      <c r="N1492" s="116"/>
      <c r="O1492" s="116"/>
      <c r="P1492" s="116"/>
    </row>
    <row r="1493" spans="2:16" s="108" customFormat="1" ht="51" hidden="1" customHeight="1">
      <c r="B1493" s="109"/>
      <c r="C1493" s="122"/>
      <c r="D1493" s="163" t="s">
        <v>1238</v>
      </c>
      <c r="E1493" s="511">
        <v>500000000</v>
      </c>
      <c r="F1493" s="114">
        <v>1557405258400.0002</v>
      </c>
      <c r="G1493" s="126">
        <f t="shared" si="27"/>
        <v>3.2104681636536583E-2</v>
      </c>
      <c r="H1493" s="120"/>
      <c r="I1493" s="120"/>
      <c r="J1493" s="116"/>
      <c r="K1493" s="116"/>
      <c r="L1493" s="116"/>
      <c r="M1493" s="116"/>
      <c r="N1493" s="116"/>
      <c r="O1493" s="116"/>
      <c r="P1493" s="116"/>
    </row>
    <row r="1494" spans="2:16" s="108" customFormat="1" ht="36.75" hidden="1" customHeight="1">
      <c r="B1494" s="109"/>
      <c r="C1494" s="122"/>
      <c r="D1494" s="163" t="s">
        <v>1239</v>
      </c>
      <c r="E1494" s="511">
        <v>400000000</v>
      </c>
      <c r="F1494" s="134">
        <v>1557405258400.0002</v>
      </c>
      <c r="G1494" s="126">
        <f t="shared" si="27"/>
        <v>2.5683745309229268E-2</v>
      </c>
      <c r="H1494" s="115"/>
      <c r="I1494" s="115"/>
      <c r="J1494" s="116"/>
      <c r="K1494" s="116"/>
      <c r="L1494" s="116"/>
      <c r="M1494" s="116"/>
      <c r="N1494" s="116"/>
      <c r="O1494" s="116"/>
      <c r="P1494" s="116"/>
    </row>
    <row r="1495" spans="2:16" s="108" customFormat="1" ht="36.75" hidden="1" customHeight="1">
      <c r="B1495" s="109"/>
      <c r="C1495" s="122"/>
      <c r="D1495" s="163" t="s">
        <v>1240</v>
      </c>
      <c r="E1495" s="511">
        <v>600000000</v>
      </c>
      <c r="F1495" s="114">
        <v>1557405258400.0002</v>
      </c>
      <c r="G1495" s="126">
        <f t="shared" si="27"/>
        <v>3.8525617963843899E-2</v>
      </c>
      <c r="H1495" s="120"/>
      <c r="I1495" s="120"/>
      <c r="J1495" s="116"/>
      <c r="K1495" s="116"/>
      <c r="L1495" s="116"/>
      <c r="M1495" s="116"/>
      <c r="N1495" s="116"/>
      <c r="O1495" s="116"/>
      <c r="P1495" s="116"/>
    </row>
    <row r="1496" spans="2:16" s="108" customFormat="1" ht="15" hidden="1" customHeight="1">
      <c r="B1496" s="109"/>
      <c r="C1496" s="122"/>
      <c r="D1496" s="123"/>
      <c r="E1496" s="125"/>
      <c r="F1496" s="113"/>
      <c r="G1496" s="126"/>
      <c r="H1496" s="120"/>
      <c r="I1496" s="120"/>
      <c r="J1496" s="116"/>
      <c r="K1496" s="116"/>
      <c r="L1496" s="116"/>
      <c r="M1496" s="116"/>
      <c r="N1496" s="116"/>
      <c r="O1496" s="116"/>
      <c r="P1496" s="116"/>
    </row>
    <row r="1497" spans="2:16" s="117" customFormat="1" ht="21.75" hidden="1" customHeight="1">
      <c r="B1497" s="118"/>
      <c r="C1497" s="110" t="s">
        <v>1241</v>
      </c>
      <c r="D1497" s="111" t="s">
        <v>1242</v>
      </c>
      <c r="E1497" s="129">
        <f>+E1498+E1530+E1551+E1557+E1562+E1566+E1570+E1576+E1580+E1590+E1595+E1603+E1607</f>
        <v>61685777431.099998</v>
      </c>
      <c r="F1497" s="114">
        <v>1557405258400.0002</v>
      </c>
      <c r="G1497" s="127">
        <f>+E1497/F1497*100</f>
        <v>3.9608044918554381</v>
      </c>
      <c r="H1497" s="120"/>
      <c r="I1497" s="120"/>
      <c r="J1497" s="121"/>
      <c r="K1497" s="121"/>
      <c r="L1497" s="121"/>
      <c r="M1497" s="121"/>
      <c r="N1497" s="121"/>
      <c r="O1497" s="121"/>
      <c r="P1497" s="121"/>
    </row>
    <row r="1498" spans="2:16" s="108" customFormat="1" ht="21.75" hidden="1" customHeight="1">
      <c r="B1498" s="109"/>
      <c r="C1498" s="122"/>
      <c r="D1498" s="150" t="s">
        <v>1243</v>
      </c>
      <c r="E1498" s="247">
        <f>+E1499+E1505+E1514+E1519+E1522+E1527</f>
        <v>41038700000</v>
      </c>
      <c r="F1498" s="125">
        <v>61685777431.099998</v>
      </c>
      <c r="G1498" s="126">
        <f>+E1498/F1498*100</f>
        <v>66.528625736845456</v>
      </c>
      <c r="H1498" s="120"/>
      <c r="I1498" s="120"/>
      <c r="J1498" s="116"/>
      <c r="K1498" s="116"/>
      <c r="L1498" s="116"/>
      <c r="M1498" s="116"/>
      <c r="N1498" s="116"/>
      <c r="O1498" s="116"/>
      <c r="P1498" s="116"/>
    </row>
    <row r="1499" spans="2:16" s="108" customFormat="1" ht="21.75" hidden="1" customHeight="1">
      <c r="B1499" s="109"/>
      <c r="C1499" s="122"/>
      <c r="D1499" s="150" t="s">
        <v>1244</v>
      </c>
      <c r="E1499" s="247">
        <f>SUM(E1500:E1504)</f>
        <v>3092753600</v>
      </c>
      <c r="F1499" s="125">
        <v>61685777431.099998</v>
      </c>
      <c r="G1499" s="126">
        <f t="shared" ref="G1499:G1562" si="30">+E1499/F1499*100</f>
        <v>5.0137223340574</v>
      </c>
      <c r="H1499" s="120"/>
      <c r="I1499" s="120"/>
      <c r="J1499" s="116"/>
      <c r="K1499" s="116"/>
      <c r="L1499" s="116"/>
      <c r="M1499" s="116"/>
      <c r="N1499" s="116"/>
      <c r="O1499" s="116"/>
      <c r="P1499" s="116"/>
    </row>
    <row r="1500" spans="2:16" s="108" customFormat="1" ht="21.75" hidden="1" customHeight="1">
      <c r="B1500" s="109"/>
      <c r="C1500" s="122"/>
      <c r="D1500" s="164" t="s">
        <v>1245</v>
      </c>
      <c r="E1500" s="248">
        <v>787500000</v>
      </c>
      <c r="F1500" s="125">
        <v>61685777431.099998</v>
      </c>
      <c r="G1500" s="126">
        <f t="shared" si="30"/>
        <v>1.2766313934838529</v>
      </c>
      <c r="H1500" s="120"/>
      <c r="I1500" s="120"/>
      <c r="J1500" s="116"/>
      <c r="K1500" s="116"/>
      <c r="L1500" s="116"/>
      <c r="M1500" s="116"/>
      <c r="N1500" s="116"/>
      <c r="O1500" s="116"/>
      <c r="P1500" s="116"/>
    </row>
    <row r="1501" spans="2:16" s="108" customFormat="1" ht="21.75" hidden="1" customHeight="1">
      <c r="B1501" s="109"/>
      <c r="C1501" s="122"/>
      <c r="D1501" s="164" t="s">
        <v>1246</v>
      </c>
      <c r="E1501" s="248">
        <v>480000000</v>
      </c>
      <c r="F1501" s="125">
        <v>61685777431.099998</v>
      </c>
      <c r="G1501" s="126">
        <f t="shared" si="30"/>
        <v>0.77813723031396753</v>
      </c>
      <c r="H1501" s="120"/>
      <c r="I1501" s="120"/>
      <c r="J1501" s="116"/>
      <c r="K1501" s="116"/>
      <c r="L1501" s="116"/>
      <c r="M1501" s="116"/>
      <c r="N1501" s="116"/>
      <c r="O1501" s="116"/>
      <c r="P1501" s="116"/>
    </row>
    <row r="1502" spans="2:16" s="108" customFormat="1" ht="21.75" hidden="1" customHeight="1">
      <c r="B1502" s="109"/>
      <c r="C1502" s="122"/>
      <c r="D1502" s="164" t="s">
        <v>1247</v>
      </c>
      <c r="E1502" s="248">
        <v>420000900</v>
      </c>
      <c r="F1502" s="125">
        <v>61685777431.099998</v>
      </c>
      <c r="G1502" s="126">
        <f t="shared" si="30"/>
        <v>0.68087153553202839</v>
      </c>
      <c r="H1502" s="120"/>
      <c r="I1502" s="120"/>
      <c r="J1502" s="116"/>
      <c r="K1502" s="116"/>
      <c r="L1502" s="116"/>
      <c r="M1502" s="116"/>
      <c r="N1502" s="116"/>
      <c r="O1502" s="116"/>
      <c r="P1502" s="116"/>
    </row>
    <row r="1503" spans="2:16" s="108" customFormat="1" ht="21.75" hidden="1" customHeight="1">
      <c r="B1503" s="109"/>
      <c r="C1503" s="122"/>
      <c r="D1503" s="164" t="s">
        <v>1248</v>
      </c>
      <c r="E1503" s="248">
        <v>1050000000</v>
      </c>
      <c r="F1503" s="125">
        <v>61685777431.099998</v>
      </c>
      <c r="G1503" s="126">
        <f t="shared" si="30"/>
        <v>1.7021751913118042</v>
      </c>
      <c r="H1503" s="120"/>
      <c r="I1503" s="120"/>
      <c r="J1503" s="116"/>
      <c r="K1503" s="116"/>
      <c r="L1503" s="116"/>
      <c r="M1503" s="116"/>
      <c r="N1503" s="116"/>
      <c r="O1503" s="116"/>
      <c r="P1503" s="116"/>
    </row>
    <row r="1504" spans="2:16" s="108" customFormat="1" ht="21.75" hidden="1" customHeight="1">
      <c r="B1504" s="109"/>
      <c r="C1504" s="122"/>
      <c r="D1504" s="164" t="s">
        <v>1249</v>
      </c>
      <c r="E1504" s="248">
        <v>355252700</v>
      </c>
      <c r="F1504" s="125">
        <v>61685777431.099998</v>
      </c>
      <c r="G1504" s="126">
        <f t="shared" si="30"/>
        <v>0.57590698341574753</v>
      </c>
      <c r="H1504" s="120"/>
      <c r="I1504" s="120"/>
      <c r="J1504" s="116"/>
      <c r="K1504" s="116"/>
      <c r="L1504" s="116"/>
      <c r="M1504" s="116"/>
      <c r="N1504" s="116"/>
      <c r="O1504" s="116"/>
      <c r="P1504" s="116"/>
    </row>
    <row r="1505" spans="2:16" s="108" customFormat="1" ht="33.75" hidden="1" customHeight="1">
      <c r="B1505" s="109"/>
      <c r="C1505" s="122"/>
      <c r="D1505" s="150" t="s">
        <v>1250</v>
      </c>
      <c r="E1505" s="247">
        <f>SUM(E1506:E1513)</f>
        <v>23990670618</v>
      </c>
      <c r="F1505" s="125">
        <v>61685777431.099998</v>
      </c>
      <c r="G1505" s="126">
        <f t="shared" si="30"/>
        <v>38.891737475135834</v>
      </c>
      <c r="H1505" s="120"/>
      <c r="I1505" s="120"/>
      <c r="J1505" s="116"/>
      <c r="K1505" s="116"/>
      <c r="L1505" s="116"/>
      <c r="M1505" s="116"/>
      <c r="N1505" s="116"/>
      <c r="O1505" s="116"/>
      <c r="P1505" s="116"/>
    </row>
    <row r="1506" spans="2:16" s="108" customFormat="1" ht="21.75" hidden="1" customHeight="1">
      <c r="B1506" s="109"/>
      <c r="C1506" s="122"/>
      <c r="D1506" s="164" t="s">
        <v>1251</v>
      </c>
      <c r="E1506" s="248">
        <v>2340000000</v>
      </c>
      <c r="F1506" s="125">
        <v>61685777431.099998</v>
      </c>
      <c r="G1506" s="126">
        <f t="shared" si="30"/>
        <v>3.7934189977805919</v>
      </c>
      <c r="H1506" s="120"/>
      <c r="I1506" s="120"/>
      <c r="J1506" s="116"/>
      <c r="K1506" s="116"/>
      <c r="L1506" s="116"/>
      <c r="M1506" s="116"/>
      <c r="N1506" s="116"/>
      <c r="O1506" s="116"/>
      <c r="P1506" s="116"/>
    </row>
    <row r="1507" spans="2:16" s="108" customFormat="1" ht="30" hidden="1" customHeight="1">
      <c r="B1507" s="109"/>
      <c r="C1507" s="122"/>
      <c r="D1507" s="164" t="s">
        <v>1252</v>
      </c>
      <c r="E1507" s="248">
        <v>3886159200</v>
      </c>
      <c r="F1507" s="125">
        <v>61685777431.099998</v>
      </c>
      <c r="G1507" s="126">
        <f t="shared" si="30"/>
        <v>6.2999274092648827</v>
      </c>
      <c r="H1507" s="120"/>
      <c r="I1507" s="120"/>
      <c r="J1507" s="116"/>
      <c r="K1507" s="116"/>
      <c r="L1507" s="116"/>
      <c r="M1507" s="116"/>
      <c r="N1507" s="116"/>
      <c r="O1507" s="116"/>
      <c r="P1507" s="116"/>
    </row>
    <row r="1508" spans="2:16" s="108" customFormat="1" ht="21.75" hidden="1" customHeight="1">
      <c r="B1508" s="109"/>
      <c r="C1508" s="122"/>
      <c r="D1508" s="164" t="s">
        <v>1253</v>
      </c>
      <c r="E1508" s="248">
        <v>4122003600</v>
      </c>
      <c r="F1508" s="125">
        <v>61685777431.099998</v>
      </c>
      <c r="G1508" s="126">
        <f t="shared" si="30"/>
        <v>6.6822593013504239</v>
      </c>
      <c r="H1508" s="120"/>
      <c r="I1508" s="120"/>
      <c r="J1508" s="116"/>
      <c r="K1508" s="116"/>
      <c r="L1508" s="116"/>
      <c r="M1508" s="116"/>
      <c r="N1508" s="116"/>
      <c r="O1508" s="116"/>
      <c r="P1508" s="116"/>
    </row>
    <row r="1509" spans="2:16" s="108" customFormat="1" ht="30.75" hidden="1" customHeight="1">
      <c r="B1509" s="109"/>
      <c r="C1509" s="122"/>
      <c r="D1509" s="164" t="s">
        <v>1254</v>
      </c>
      <c r="E1509" s="248">
        <v>2152500000</v>
      </c>
      <c r="F1509" s="125">
        <v>61685777431.099998</v>
      </c>
      <c r="G1509" s="126">
        <f t="shared" si="30"/>
        <v>3.4894591421891983</v>
      </c>
      <c r="H1509" s="120"/>
      <c r="I1509" s="120"/>
      <c r="J1509" s="116"/>
      <c r="K1509" s="116"/>
      <c r="L1509" s="116"/>
      <c r="M1509" s="116"/>
      <c r="N1509" s="116"/>
      <c r="O1509" s="116"/>
      <c r="P1509" s="116"/>
    </row>
    <row r="1510" spans="2:16" s="108" customFormat="1" ht="21.75" hidden="1" customHeight="1">
      <c r="B1510" s="109"/>
      <c r="C1510" s="122"/>
      <c r="D1510" s="164" t="s">
        <v>1255</v>
      </c>
      <c r="E1510" s="248">
        <v>5378643599.9700003</v>
      </c>
      <c r="F1510" s="125">
        <v>61685777431.099998</v>
      </c>
      <c r="G1510" s="126">
        <f t="shared" si="30"/>
        <v>8.7194225702637578</v>
      </c>
      <c r="H1510" s="120"/>
      <c r="I1510" s="120"/>
      <c r="J1510" s="116"/>
      <c r="K1510" s="116"/>
      <c r="L1510" s="116"/>
      <c r="M1510" s="116"/>
      <c r="N1510" s="116"/>
      <c r="O1510" s="116"/>
      <c r="P1510" s="116"/>
    </row>
    <row r="1511" spans="2:16" s="108" customFormat="1" ht="21.75" hidden="1" customHeight="1">
      <c r="B1511" s="109"/>
      <c r="C1511" s="122"/>
      <c r="D1511" s="164" t="s">
        <v>1256</v>
      </c>
      <c r="E1511" s="248">
        <v>587400000</v>
      </c>
      <c r="F1511" s="125">
        <v>61685777431.099998</v>
      </c>
      <c r="G1511" s="126">
        <f t="shared" si="30"/>
        <v>0.9522454355967177</v>
      </c>
      <c r="H1511" s="120"/>
      <c r="I1511" s="120"/>
      <c r="J1511" s="116"/>
      <c r="K1511" s="116"/>
      <c r="L1511" s="116"/>
      <c r="M1511" s="116"/>
      <c r="N1511" s="116"/>
      <c r="O1511" s="116"/>
      <c r="P1511" s="116"/>
    </row>
    <row r="1512" spans="2:16" s="108" customFormat="1" ht="21.75" hidden="1" customHeight="1">
      <c r="B1512" s="109"/>
      <c r="C1512" s="122"/>
      <c r="D1512" s="164" t="s">
        <v>1257</v>
      </c>
      <c r="E1512" s="248">
        <v>195182900</v>
      </c>
      <c r="F1512" s="125">
        <v>61685777431.099998</v>
      </c>
      <c r="G1512" s="126">
        <f t="shared" si="30"/>
        <v>0.31641475252218354</v>
      </c>
      <c r="H1512" s="120"/>
      <c r="I1512" s="120"/>
      <c r="J1512" s="116"/>
      <c r="K1512" s="116"/>
      <c r="L1512" s="116"/>
      <c r="M1512" s="116"/>
      <c r="N1512" s="116"/>
      <c r="O1512" s="116"/>
      <c r="P1512" s="116"/>
    </row>
    <row r="1513" spans="2:16" s="108" customFormat="1" ht="21.75" hidden="1" customHeight="1">
      <c r="B1513" s="109"/>
      <c r="C1513" s="122"/>
      <c r="D1513" s="164" t="s">
        <v>1258</v>
      </c>
      <c r="E1513" s="248">
        <v>5328781318.0299997</v>
      </c>
      <c r="F1513" s="125">
        <v>61685777431.099998</v>
      </c>
      <c r="G1513" s="126">
        <f t="shared" si="30"/>
        <v>8.6385898661680791</v>
      </c>
      <c r="H1513" s="120"/>
      <c r="I1513" s="120"/>
      <c r="J1513" s="116"/>
      <c r="K1513" s="116"/>
      <c r="L1513" s="116"/>
      <c r="M1513" s="116"/>
      <c r="N1513" s="116"/>
      <c r="O1513" s="116"/>
      <c r="P1513" s="116"/>
    </row>
    <row r="1514" spans="2:16" s="108" customFormat="1" ht="30" hidden="1" customHeight="1">
      <c r="B1514" s="109"/>
      <c r="C1514" s="122"/>
      <c r="D1514" s="150" t="s">
        <v>1259</v>
      </c>
      <c r="E1514" s="247">
        <f>SUM(E1515:E1518)</f>
        <v>5515000655</v>
      </c>
      <c r="F1514" s="125">
        <v>61685777431.099998</v>
      </c>
      <c r="G1514" s="126">
        <f t="shared" si="30"/>
        <v>8.9404736142946177</v>
      </c>
      <c r="H1514" s="120"/>
      <c r="I1514" s="120"/>
      <c r="J1514" s="116"/>
      <c r="K1514" s="116"/>
      <c r="L1514" s="116"/>
      <c r="M1514" s="116"/>
      <c r="N1514" s="116"/>
      <c r="O1514" s="116"/>
      <c r="P1514" s="116"/>
    </row>
    <row r="1515" spans="2:16" s="108" customFormat="1" ht="21.75" hidden="1" customHeight="1">
      <c r="B1515" s="109"/>
      <c r="C1515" s="122"/>
      <c r="D1515" s="164" t="s">
        <v>1260</v>
      </c>
      <c r="E1515" s="248">
        <v>2880000000</v>
      </c>
      <c r="F1515" s="125">
        <v>61685777431.099998</v>
      </c>
      <c r="G1515" s="126">
        <f t="shared" si="30"/>
        <v>4.6688233818838052</v>
      </c>
      <c r="H1515" s="120"/>
      <c r="I1515" s="120"/>
      <c r="J1515" s="116"/>
      <c r="K1515" s="116"/>
      <c r="L1515" s="116"/>
      <c r="M1515" s="116"/>
      <c r="N1515" s="116"/>
      <c r="O1515" s="116"/>
      <c r="P1515" s="116"/>
    </row>
    <row r="1516" spans="2:16" s="108" customFormat="1" ht="21.75" hidden="1" customHeight="1">
      <c r="B1516" s="109"/>
      <c r="C1516" s="122"/>
      <c r="D1516" s="164" t="s">
        <v>1261</v>
      </c>
      <c r="E1516" s="248">
        <v>687000000</v>
      </c>
      <c r="F1516" s="125">
        <v>61685777431.099998</v>
      </c>
      <c r="G1516" s="126">
        <f t="shared" si="30"/>
        <v>1.1137089108868661</v>
      </c>
      <c r="H1516" s="120"/>
      <c r="I1516" s="120"/>
      <c r="J1516" s="116"/>
      <c r="K1516" s="116"/>
      <c r="L1516" s="116"/>
      <c r="M1516" s="116"/>
      <c r="N1516" s="116"/>
      <c r="O1516" s="116"/>
      <c r="P1516" s="116"/>
    </row>
    <row r="1517" spans="2:16" s="108" customFormat="1" ht="31.5" hidden="1" customHeight="1">
      <c r="B1517" s="109"/>
      <c r="C1517" s="122"/>
      <c r="D1517" s="164" t="s">
        <v>1254</v>
      </c>
      <c r="E1517" s="248">
        <v>185800655</v>
      </c>
      <c r="F1517" s="125">
        <v>61685777431.099998</v>
      </c>
      <c r="G1517" s="126">
        <f t="shared" si="30"/>
        <v>0.3012050147337938</v>
      </c>
      <c r="H1517" s="120"/>
      <c r="I1517" s="120"/>
      <c r="J1517" s="116"/>
      <c r="K1517" s="116"/>
      <c r="L1517" s="116"/>
      <c r="M1517" s="116"/>
      <c r="N1517" s="116"/>
      <c r="O1517" s="116"/>
      <c r="P1517" s="116"/>
    </row>
    <row r="1518" spans="2:16" s="108" customFormat="1" ht="31.5" hidden="1" customHeight="1">
      <c r="B1518" s="109"/>
      <c r="C1518" s="122"/>
      <c r="D1518" s="164" t="s">
        <v>1262</v>
      </c>
      <c r="E1518" s="248">
        <v>1762200000</v>
      </c>
      <c r="F1518" s="125">
        <v>61685777431.099998</v>
      </c>
      <c r="G1518" s="126">
        <f t="shared" si="30"/>
        <v>2.8567363067901534</v>
      </c>
      <c r="H1518" s="120"/>
      <c r="I1518" s="120"/>
      <c r="J1518" s="116"/>
      <c r="K1518" s="116"/>
      <c r="L1518" s="116"/>
      <c r="M1518" s="116"/>
      <c r="N1518" s="116"/>
      <c r="O1518" s="116"/>
      <c r="P1518" s="116"/>
    </row>
    <row r="1519" spans="2:16" s="108" customFormat="1" ht="21.75" hidden="1" customHeight="1">
      <c r="B1519" s="109"/>
      <c r="C1519" s="122"/>
      <c r="D1519" s="150" t="s">
        <v>779</v>
      </c>
      <c r="E1519" s="247">
        <f>SUM(E1520:E1521)</f>
        <v>1786800000</v>
      </c>
      <c r="F1519" s="125">
        <v>61685777431.099998</v>
      </c>
      <c r="G1519" s="126">
        <f t="shared" si="30"/>
        <v>2.896615839843744</v>
      </c>
      <c r="H1519" s="120"/>
      <c r="I1519" s="120"/>
      <c r="J1519" s="116"/>
      <c r="K1519" s="116"/>
      <c r="L1519" s="116"/>
      <c r="M1519" s="116"/>
      <c r="N1519" s="116"/>
      <c r="O1519" s="116"/>
      <c r="P1519" s="116"/>
    </row>
    <row r="1520" spans="2:16" s="108" customFormat="1" ht="21.75" hidden="1" customHeight="1">
      <c r="B1520" s="109"/>
      <c r="C1520" s="122"/>
      <c r="D1520" s="164" t="s">
        <v>1263</v>
      </c>
      <c r="E1520" s="248">
        <v>612000000</v>
      </c>
      <c r="F1520" s="125">
        <v>61685777431.099998</v>
      </c>
      <c r="G1520" s="126">
        <f t="shared" si="30"/>
        <v>0.99212496865030853</v>
      </c>
      <c r="H1520" s="120"/>
      <c r="I1520" s="120"/>
      <c r="J1520" s="116"/>
      <c r="K1520" s="116"/>
      <c r="L1520" s="116"/>
      <c r="M1520" s="116"/>
      <c r="N1520" s="116"/>
      <c r="O1520" s="116"/>
      <c r="P1520" s="116"/>
    </row>
    <row r="1521" spans="2:16" s="108" customFormat="1" ht="42.75" hidden="1" customHeight="1">
      <c r="B1521" s="109"/>
      <c r="C1521" s="122"/>
      <c r="D1521" s="164" t="s">
        <v>1264</v>
      </c>
      <c r="E1521" s="248">
        <v>1174800000</v>
      </c>
      <c r="F1521" s="125">
        <v>61685777431.099998</v>
      </c>
      <c r="G1521" s="126">
        <f t="shared" si="30"/>
        <v>1.9044908711934354</v>
      </c>
      <c r="H1521" s="120"/>
      <c r="I1521" s="120"/>
      <c r="J1521" s="116"/>
      <c r="K1521" s="116"/>
      <c r="L1521" s="116"/>
      <c r="M1521" s="116"/>
      <c r="N1521" s="116"/>
      <c r="O1521" s="116"/>
      <c r="P1521" s="116"/>
    </row>
    <row r="1522" spans="2:16" s="108" customFormat="1" ht="21.75" hidden="1" customHeight="1">
      <c r="B1522" s="109"/>
      <c r="C1522" s="122"/>
      <c r="D1522" s="165" t="s">
        <v>783</v>
      </c>
      <c r="E1522" s="247">
        <f>SUM(E1523:E1526)</f>
        <v>2550675127</v>
      </c>
      <c r="F1522" s="125">
        <v>61685777431.099998</v>
      </c>
      <c r="G1522" s="126">
        <f t="shared" si="30"/>
        <v>4.1349484974052242</v>
      </c>
      <c r="H1522" s="120"/>
      <c r="I1522" s="120"/>
      <c r="J1522" s="116"/>
      <c r="K1522" s="116"/>
      <c r="L1522" s="116"/>
      <c r="M1522" s="116"/>
      <c r="N1522" s="116"/>
      <c r="O1522" s="116"/>
      <c r="P1522" s="116"/>
    </row>
    <row r="1523" spans="2:16" s="108" customFormat="1" ht="21.75" hidden="1" customHeight="1">
      <c r="B1523" s="109"/>
      <c r="C1523" s="122"/>
      <c r="D1523" s="164" t="s">
        <v>1260</v>
      </c>
      <c r="E1523" s="248">
        <v>900000000</v>
      </c>
      <c r="F1523" s="125">
        <v>61685777431.099998</v>
      </c>
      <c r="G1523" s="126">
        <f t="shared" si="30"/>
        <v>1.4590073068386893</v>
      </c>
      <c r="H1523" s="120"/>
      <c r="I1523" s="120"/>
      <c r="J1523" s="116"/>
      <c r="K1523" s="116"/>
      <c r="L1523" s="116"/>
      <c r="M1523" s="116"/>
      <c r="N1523" s="116"/>
      <c r="O1523" s="116"/>
      <c r="P1523" s="116"/>
    </row>
    <row r="1524" spans="2:16" s="108" customFormat="1" ht="21.75" hidden="1" customHeight="1">
      <c r="B1524" s="109"/>
      <c r="C1524" s="122"/>
      <c r="D1524" s="164" t="s">
        <v>1265</v>
      </c>
      <c r="E1524" s="248">
        <v>400000000</v>
      </c>
      <c r="F1524" s="125">
        <v>61685777431.099998</v>
      </c>
      <c r="G1524" s="126">
        <f t="shared" si="30"/>
        <v>0.64844769192830631</v>
      </c>
      <c r="H1524" s="120"/>
      <c r="I1524" s="120"/>
      <c r="J1524" s="116"/>
      <c r="K1524" s="116"/>
      <c r="L1524" s="116"/>
      <c r="M1524" s="116"/>
      <c r="N1524" s="116"/>
      <c r="O1524" s="116"/>
      <c r="P1524" s="116"/>
    </row>
    <row r="1525" spans="2:16" s="108" customFormat="1" ht="21.75" hidden="1" customHeight="1">
      <c r="B1525" s="109"/>
      <c r="C1525" s="122"/>
      <c r="D1525" s="164" t="s">
        <v>777</v>
      </c>
      <c r="E1525" s="248">
        <v>467475127</v>
      </c>
      <c r="F1525" s="125">
        <v>61685777431.099998</v>
      </c>
      <c r="G1525" s="126">
        <f t="shared" si="30"/>
        <v>0.75783291784260465</v>
      </c>
      <c r="H1525" s="120"/>
      <c r="I1525" s="120"/>
      <c r="J1525" s="116"/>
      <c r="K1525" s="116"/>
      <c r="L1525" s="116"/>
      <c r="M1525" s="116"/>
      <c r="N1525" s="116"/>
      <c r="O1525" s="116"/>
      <c r="P1525" s="116"/>
    </row>
    <row r="1526" spans="2:16" s="108" customFormat="1" ht="42.75" hidden="1" customHeight="1">
      <c r="B1526" s="109"/>
      <c r="C1526" s="122"/>
      <c r="D1526" s="164" t="s">
        <v>1266</v>
      </c>
      <c r="E1526" s="248">
        <v>783200000</v>
      </c>
      <c r="F1526" s="125">
        <v>61685777431.099998</v>
      </c>
      <c r="G1526" s="126">
        <f t="shared" si="30"/>
        <v>1.2696605807956236</v>
      </c>
      <c r="H1526" s="120"/>
      <c r="I1526" s="120"/>
      <c r="J1526" s="116"/>
      <c r="K1526" s="116"/>
      <c r="L1526" s="116"/>
      <c r="M1526" s="116"/>
      <c r="N1526" s="116"/>
      <c r="O1526" s="116"/>
      <c r="P1526" s="116"/>
    </row>
    <row r="1527" spans="2:16" s="108" customFormat="1" ht="21.75" hidden="1" customHeight="1">
      <c r="B1527" s="109"/>
      <c r="C1527" s="122"/>
      <c r="D1527" s="165" t="s">
        <v>595</v>
      </c>
      <c r="E1527" s="247">
        <f>SUM(E1528)</f>
        <v>4102800000</v>
      </c>
      <c r="F1527" s="125">
        <v>61685777431.099998</v>
      </c>
      <c r="G1527" s="126">
        <f t="shared" si="30"/>
        <v>6.6511279761086382</v>
      </c>
      <c r="H1527" s="120"/>
      <c r="I1527" s="120"/>
      <c r="J1527" s="116"/>
      <c r="K1527" s="116"/>
      <c r="L1527" s="116"/>
      <c r="M1527" s="116"/>
      <c r="N1527" s="116"/>
      <c r="O1527" s="116"/>
      <c r="P1527" s="116"/>
    </row>
    <row r="1528" spans="2:16" s="108" customFormat="1" ht="42.75" hidden="1" customHeight="1">
      <c r="B1528" s="109"/>
      <c r="C1528" s="122"/>
      <c r="D1528" s="164" t="s">
        <v>1267</v>
      </c>
      <c r="E1528" s="248">
        <v>4102800000</v>
      </c>
      <c r="F1528" s="125">
        <v>61685777431.099998</v>
      </c>
      <c r="G1528" s="126">
        <f t="shared" si="30"/>
        <v>6.6511279761086382</v>
      </c>
      <c r="H1528" s="120"/>
      <c r="I1528" s="120"/>
      <c r="J1528" s="116"/>
      <c r="K1528" s="116"/>
      <c r="L1528" s="116"/>
      <c r="M1528" s="116"/>
      <c r="N1528" s="116"/>
      <c r="O1528" s="116"/>
      <c r="P1528" s="116"/>
    </row>
    <row r="1529" spans="2:16" s="108" customFormat="1" ht="15" hidden="1" customHeight="1">
      <c r="B1529" s="109"/>
      <c r="C1529" s="122"/>
      <c r="D1529" s="164"/>
      <c r="E1529" s="248"/>
      <c r="F1529" s="125"/>
      <c r="G1529" s="126"/>
      <c r="H1529" s="120"/>
      <c r="I1529" s="120"/>
      <c r="J1529" s="116"/>
      <c r="K1529" s="116"/>
      <c r="L1529" s="116"/>
      <c r="M1529" s="116"/>
      <c r="N1529" s="116"/>
      <c r="O1529" s="116"/>
      <c r="P1529" s="116"/>
    </row>
    <row r="1530" spans="2:16" s="108" customFormat="1" ht="21.75" hidden="1" customHeight="1">
      <c r="B1530" s="109"/>
      <c r="C1530" s="122"/>
      <c r="D1530" s="165" t="s">
        <v>65</v>
      </c>
      <c r="E1530" s="247">
        <f>+E1531+E1533+E1535+E1537+E1540+E1542+E1544+E1546+E1548</f>
        <v>9252866615</v>
      </c>
      <c r="F1530" s="125">
        <v>61685777431.099998</v>
      </c>
      <c r="G1530" s="126">
        <f t="shared" si="30"/>
        <v>15.000000000543077</v>
      </c>
      <c r="H1530" s="120"/>
      <c r="I1530" s="120"/>
      <c r="J1530" s="116"/>
      <c r="K1530" s="116"/>
      <c r="L1530" s="116"/>
      <c r="M1530" s="116"/>
      <c r="N1530" s="116"/>
      <c r="O1530" s="116"/>
      <c r="P1530" s="116"/>
    </row>
    <row r="1531" spans="2:16" s="108" customFormat="1" ht="21.75" hidden="1" customHeight="1">
      <c r="B1531" s="109"/>
      <c r="C1531" s="122"/>
      <c r="D1531" s="165" t="s">
        <v>1116</v>
      </c>
      <c r="E1531" s="247">
        <f>E1532</f>
        <v>150000000</v>
      </c>
      <c r="F1531" s="125">
        <v>61685777431.099998</v>
      </c>
      <c r="G1531" s="126">
        <f t="shared" si="30"/>
        <v>0.24316788447311483</v>
      </c>
      <c r="H1531" s="120"/>
      <c r="I1531" s="120"/>
      <c r="J1531" s="116"/>
      <c r="K1531" s="116"/>
      <c r="L1531" s="116"/>
      <c r="M1531" s="116"/>
      <c r="N1531" s="116"/>
      <c r="O1531" s="116"/>
      <c r="P1531" s="116"/>
    </row>
    <row r="1532" spans="2:16" s="108" customFormat="1" ht="21.75" hidden="1" customHeight="1">
      <c r="B1532" s="109"/>
      <c r="C1532" s="122"/>
      <c r="D1532" s="164" t="s">
        <v>1268</v>
      </c>
      <c r="E1532" s="248">
        <v>150000000</v>
      </c>
      <c r="F1532" s="125">
        <v>61685777431.099998</v>
      </c>
      <c r="G1532" s="126">
        <f t="shared" si="30"/>
        <v>0.24316788447311483</v>
      </c>
      <c r="H1532" s="120"/>
      <c r="I1532" s="120"/>
      <c r="J1532" s="116"/>
      <c r="K1532" s="116"/>
      <c r="L1532" s="116"/>
      <c r="M1532" s="116"/>
      <c r="N1532" s="116"/>
      <c r="O1532" s="116"/>
      <c r="P1532" s="116"/>
    </row>
    <row r="1533" spans="2:16" s="108" customFormat="1" ht="21.75" hidden="1" customHeight="1">
      <c r="B1533" s="109"/>
      <c r="C1533" s="122"/>
      <c r="D1533" s="165" t="s">
        <v>1269</v>
      </c>
      <c r="E1533" s="247">
        <f>E1534</f>
        <v>288000000</v>
      </c>
      <c r="F1533" s="125">
        <v>61685777431.099998</v>
      </c>
      <c r="G1533" s="126">
        <f t="shared" si="30"/>
        <v>0.46688233818838049</v>
      </c>
      <c r="H1533" s="120"/>
      <c r="I1533" s="120"/>
      <c r="J1533" s="116"/>
      <c r="K1533" s="116"/>
      <c r="L1533" s="116"/>
      <c r="M1533" s="116"/>
      <c r="N1533" s="116"/>
      <c r="O1533" s="116"/>
      <c r="P1533" s="116"/>
    </row>
    <row r="1534" spans="2:16" s="108" customFormat="1" ht="21.75" hidden="1" customHeight="1">
      <c r="B1534" s="109"/>
      <c r="C1534" s="122"/>
      <c r="D1534" s="164" t="s">
        <v>1270</v>
      </c>
      <c r="E1534" s="248">
        <v>288000000</v>
      </c>
      <c r="F1534" s="125">
        <v>61685777431.099998</v>
      </c>
      <c r="G1534" s="126">
        <f t="shared" si="30"/>
        <v>0.46688233818838049</v>
      </c>
      <c r="H1534" s="120"/>
      <c r="I1534" s="120"/>
      <c r="J1534" s="116"/>
      <c r="K1534" s="116"/>
      <c r="L1534" s="116"/>
      <c r="M1534" s="116"/>
      <c r="N1534" s="116"/>
      <c r="O1534" s="116"/>
      <c r="P1534" s="116"/>
    </row>
    <row r="1535" spans="2:16" s="108" customFormat="1" ht="21.75" hidden="1" customHeight="1">
      <c r="B1535" s="109"/>
      <c r="C1535" s="122"/>
      <c r="D1535" s="165" t="s">
        <v>606</v>
      </c>
      <c r="E1535" s="247">
        <f>E1536</f>
        <v>885086615</v>
      </c>
      <c r="F1535" s="125">
        <v>61685777431.099998</v>
      </c>
      <c r="G1535" s="126">
        <f t="shared" si="30"/>
        <v>1.4348309316334686</v>
      </c>
      <c r="H1535" s="120"/>
      <c r="I1535" s="120"/>
      <c r="J1535" s="116"/>
      <c r="K1535" s="116"/>
      <c r="L1535" s="116"/>
      <c r="M1535" s="116"/>
      <c r="N1535" s="116"/>
      <c r="O1535" s="116"/>
      <c r="P1535" s="116"/>
    </row>
    <row r="1536" spans="2:16" s="108" customFormat="1" ht="21.75" hidden="1" customHeight="1">
      <c r="B1536" s="109"/>
      <c r="C1536" s="122"/>
      <c r="D1536" s="164" t="s">
        <v>1271</v>
      </c>
      <c r="E1536" s="248">
        <v>885086615</v>
      </c>
      <c r="F1536" s="125">
        <v>61685777431.099998</v>
      </c>
      <c r="G1536" s="126">
        <f t="shared" si="30"/>
        <v>1.4348309316334686</v>
      </c>
      <c r="H1536" s="120"/>
      <c r="I1536" s="120"/>
      <c r="J1536" s="116"/>
      <c r="K1536" s="116"/>
      <c r="L1536" s="116"/>
      <c r="M1536" s="116"/>
      <c r="N1536" s="116"/>
      <c r="O1536" s="116"/>
      <c r="P1536" s="116"/>
    </row>
    <row r="1537" spans="2:16" s="108" customFormat="1" ht="21.75" hidden="1" customHeight="1">
      <c r="B1537" s="109"/>
      <c r="C1537" s="122"/>
      <c r="D1537" s="165" t="s">
        <v>597</v>
      </c>
      <c r="E1537" s="247">
        <f>SUM(E1538:E1539)</f>
        <v>2136000000</v>
      </c>
      <c r="F1537" s="125">
        <v>61685777431.099998</v>
      </c>
      <c r="G1537" s="126">
        <f t="shared" si="30"/>
        <v>3.4627106748971554</v>
      </c>
      <c r="H1537" s="120"/>
      <c r="I1537" s="120"/>
      <c r="J1537" s="116"/>
      <c r="K1537" s="116"/>
      <c r="L1537" s="116"/>
      <c r="M1537" s="116"/>
      <c r="N1537" s="116"/>
      <c r="O1537" s="116"/>
      <c r="P1537" s="116"/>
    </row>
    <row r="1538" spans="2:16" s="108" customFormat="1" ht="21.75" hidden="1" customHeight="1">
      <c r="B1538" s="109"/>
      <c r="C1538" s="122"/>
      <c r="D1538" s="164" t="s">
        <v>1272</v>
      </c>
      <c r="E1538" s="248">
        <v>1980000000</v>
      </c>
      <c r="F1538" s="125">
        <v>61685777431.099998</v>
      </c>
      <c r="G1538" s="126">
        <f t="shared" si="30"/>
        <v>3.2098160750451159</v>
      </c>
      <c r="H1538" s="120"/>
      <c r="I1538" s="120"/>
      <c r="J1538" s="116"/>
      <c r="K1538" s="116"/>
      <c r="L1538" s="116"/>
      <c r="M1538" s="116"/>
      <c r="N1538" s="116"/>
      <c r="O1538" s="116"/>
      <c r="P1538" s="116"/>
    </row>
    <row r="1539" spans="2:16" s="108" customFormat="1" ht="42.75" hidden="1" customHeight="1">
      <c r="B1539" s="109"/>
      <c r="C1539" s="122"/>
      <c r="D1539" s="164" t="s">
        <v>1273</v>
      </c>
      <c r="E1539" s="248">
        <v>156000000</v>
      </c>
      <c r="F1539" s="125">
        <v>61685777431.099998</v>
      </c>
      <c r="G1539" s="126">
        <f t="shared" si="30"/>
        <v>0.25289459985203944</v>
      </c>
      <c r="H1539" s="120"/>
      <c r="I1539" s="120"/>
      <c r="J1539" s="116"/>
      <c r="K1539" s="116"/>
      <c r="L1539" s="116"/>
      <c r="M1539" s="116"/>
      <c r="N1539" s="116"/>
      <c r="O1539" s="116"/>
      <c r="P1539" s="116"/>
    </row>
    <row r="1540" spans="2:16" s="108" customFormat="1" ht="21.75" hidden="1" customHeight="1">
      <c r="B1540" s="109"/>
      <c r="C1540" s="122"/>
      <c r="D1540" s="165" t="s">
        <v>683</v>
      </c>
      <c r="E1540" s="247">
        <f>E1541</f>
        <v>210000000</v>
      </c>
      <c r="F1540" s="125">
        <v>61685777431.099998</v>
      </c>
      <c r="G1540" s="126">
        <f t="shared" si="30"/>
        <v>0.34043503826236082</v>
      </c>
      <c r="H1540" s="120"/>
      <c r="I1540" s="120"/>
      <c r="J1540" s="116"/>
      <c r="K1540" s="116"/>
      <c r="L1540" s="116"/>
      <c r="M1540" s="116"/>
      <c r="N1540" s="116"/>
      <c r="O1540" s="116"/>
      <c r="P1540" s="116"/>
    </row>
    <row r="1541" spans="2:16" s="108" customFormat="1" ht="42.75" hidden="1" customHeight="1">
      <c r="B1541" s="109"/>
      <c r="C1541" s="122"/>
      <c r="D1541" s="164" t="s">
        <v>1274</v>
      </c>
      <c r="E1541" s="248">
        <v>210000000</v>
      </c>
      <c r="F1541" s="125">
        <v>61685777431.099998</v>
      </c>
      <c r="G1541" s="126">
        <f t="shared" si="30"/>
        <v>0.34043503826236082</v>
      </c>
      <c r="H1541" s="120"/>
      <c r="I1541" s="120"/>
      <c r="J1541" s="116"/>
      <c r="K1541" s="116"/>
      <c r="L1541" s="116"/>
      <c r="M1541" s="116"/>
      <c r="N1541" s="116"/>
      <c r="O1541" s="116"/>
      <c r="P1541" s="116"/>
    </row>
    <row r="1542" spans="2:16" s="108" customFormat="1" ht="21.75" hidden="1" customHeight="1">
      <c r="B1542" s="109"/>
      <c r="C1542" s="122"/>
      <c r="D1542" s="165" t="s">
        <v>1275</v>
      </c>
      <c r="E1542" s="247">
        <f>E1543</f>
        <v>1058700000</v>
      </c>
      <c r="F1542" s="125">
        <v>61685777431.099998</v>
      </c>
      <c r="G1542" s="126">
        <f t="shared" si="30"/>
        <v>1.7162789286112448</v>
      </c>
      <c r="H1542" s="120"/>
      <c r="I1542" s="120"/>
      <c r="J1542" s="116"/>
      <c r="K1542" s="116"/>
      <c r="L1542" s="116"/>
      <c r="M1542" s="116"/>
      <c r="N1542" s="116"/>
      <c r="O1542" s="116"/>
      <c r="P1542" s="116"/>
    </row>
    <row r="1543" spans="2:16" s="108" customFormat="1" ht="21.75" hidden="1" customHeight="1">
      <c r="B1543" s="109"/>
      <c r="C1543" s="122"/>
      <c r="D1543" s="164" t="s">
        <v>1276</v>
      </c>
      <c r="E1543" s="248">
        <v>1058700000</v>
      </c>
      <c r="F1543" s="125">
        <v>61685777431.099998</v>
      </c>
      <c r="G1543" s="126">
        <f t="shared" si="30"/>
        <v>1.7162789286112448</v>
      </c>
      <c r="H1543" s="120"/>
      <c r="I1543" s="120"/>
      <c r="J1543" s="116"/>
      <c r="K1543" s="116"/>
      <c r="L1543" s="116"/>
      <c r="M1543" s="116"/>
      <c r="N1543" s="116"/>
      <c r="O1543" s="116"/>
      <c r="P1543" s="116"/>
    </row>
    <row r="1544" spans="2:16" s="108" customFormat="1" ht="21.75" hidden="1" customHeight="1">
      <c r="B1544" s="109"/>
      <c r="C1544" s="122"/>
      <c r="D1544" s="165" t="s">
        <v>695</v>
      </c>
      <c r="E1544" s="247">
        <f>E1545</f>
        <v>371000000</v>
      </c>
      <c r="F1544" s="125">
        <v>61685777431.099998</v>
      </c>
      <c r="G1544" s="126">
        <f t="shared" si="30"/>
        <v>0.60143523426350409</v>
      </c>
      <c r="H1544" s="120"/>
      <c r="I1544" s="120"/>
      <c r="J1544" s="116"/>
      <c r="K1544" s="116"/>
      <c r="L1544" s="116"/>
      <c r="M1544" s="116"/>
      <c r="N1544" s="116"/>
      <c r="O1544" s="116"/>
      <c r="P1544" s="116"/>
    </row>
    <row r="1545" spans="2:16" s="108" customFormat="1" ht="21.75" hidden="1" customHeight="1">
      <c r="B1545" s="109"/>
      <c r="C1545" s="122"/>
      <c r="D1545" s="164" t="s">
        <v>809</v>
      </c>
      <c r="E1545" s="248">
        <v>371000000</v>
      </c>
      <c r="F1545" s="125">
        <v>61685777431.099998</v>
      </c>
      <c r="G1545" s="126">
        <f t="shared" si="30"/>
        <v>0.60143523426350409</v>
      </c>
      <c r="H1545" s="120"/>
      <c r="I1545" s="120"/>
      <c r="J1545" s="116"/>
      <c r="K1545" s="116"/>
      <c r="L1545" s="116"/>
      <c r="M1545" s="116"/>
      <c r="N1545" s="116"/>
      <c r="O1545" s="116"/>
      <c r="P1545" s="116"/>
    </row>
    <row r="1546" spans="2:16" s="108" customFormat="1" ht="42.75" hidden="1" customHeight="1">
      <c r="B1546" s="109"/>
      <c r="C1546" s="122"/>
      <c r="D1546" s="165" t="s">
        <v>1277</v>
      </c>
      <c r="E1546" s="247">
        <f>E1547</f>
        <v>730000000</v>
      </c>
      <c r="F1546" s="125">
        <v>61685777431.099998</v>
      </c>
      <c r="G1546" s="126">
        <f t="shared" si="30"/>
        <v>1.1834170377691589</v>
      </c>
      <c r="H1546" s="120"/>
      <c r="I1546" s="120"/>
      <c r="J1546" s="116"/>
      <c r="K1546" s="116"/>
      <c r="L1546" s="116"/>
      <c r="M1546" s="116"/>
      <c r="N1546" s="116"/>
      <c r="O1546" s="116"/>
      <c r="P1546" s="116"/>
    </row>
    <row r="1547" spans="2:16" s="108" customFormat="1" ht="21.75" hidden="1" customHeight="1">
      <c r="B1547" s="109"/>
      <c r="C1547" s="122"/>
      <c r="D1547" s="164" t="s">
        <v>1278</v>
      </c>
      <c r="E1547" s="248">
        <v>730000000</v>
      </c>
      <c r="F1547" s="125">
        <v>61685777431.099998</v>
      </c>
      <c r="G1547" s="126">
        <f t="shared" si="30"/>
        <v>1.1834170377691589</v>
      </c>
      <c r="H1547" s="120"/>
      <c r="I1547" s="120"/>
      <c r="J1547" s="116"/>
      <c r="K1547" s="116"/>
      <c r="L1547" s="116"/>
      <c r="M1547" s="116"/>
      <c r="N1547" s="116"/>
      <c r="O1547" s="116"/>
      <c r="P1547" s="116"/>
    </row>
    <row r="1548" spans="2:16" s="108" customFormat="1" ht="21.75" hidden="1" customHeight="1">
      <c r="B1548" s="109"/>
      <c r="C1548" s="122"/>
      <c r="D1548" s="165" t="s">
        <v>1279</v>
      </c>
      <c r="E1548" s="247">
        <f>E1549</f>
        <v>3424080000</v>
      </c>
      <c r="F1548" s="125">
        <v>61685777431.099998</v>
      </c>
      <c r="G1548" s="126">
        <f t="shared" si="30"/>
        <v>5.5508419324446878</v>
      </c>
      <c r="H1548" s="120"/>
      <c r="I1548" s="120"/>
      <c r="J1548" s="116"/>
      <c r="K1548" s="116"/>
      <c r="L1548" s="116"/>
      <c r="M1548" s="116"/>
      <c r="N1548" s="116"/>
      <c r="O1548" s="116"/>
      <c r="P1548" s="116"/>
    </row>
    <row r="1549" spans="2:16" s="108" customFormat="1" ht="21.75" hidden="1" customHeight="1">
      <c r="B1549" s="109"/>
      <c r="C1549" s="122"/>
      <c r="D1549" s="164" t="s">
        <v>1280</v>
      </c>
      <c r="E1549" s="248">
        <v>3424080000</v>
      </c>
      <c r="F1549" s="125">
        <v>61685777431.099998</v>
      </c>
      <c r="G1549" s="126">
        <f t="shared" si="30"/>
        <v>5.5508419324446878</v>
      </c>
      <c r="H1549" s="120"/>
      <c r="I1549" s="120"/>
      <c r="J1549" s="116"/>
      <c r="K1549" s="116"/>
      <c r="L1549" s="116"/>
      <c r="M1549" s="116"/>
      <c r="N1549" s="116"/>
      <c r="O1549" s="116"/>
      <c r="P1549" s="116"/>
    </row>
    <row r="1550" spans="2:16" s="108" customFormat="1" ht="15" hidden="1" customHeight="1">
      <c r="B1550" s="109"/>
      <c r="C1550" s="122"/>
      <c r="D1550" s="164"/>
      <c r="E1550" s="248"/>
      <c r="F1550" s="125"/>
      <c r="G1550" s="126"/>
      <c r="H1550" s="120"/>
      <c r="I1550" s="120"/>
      <c r="J1550" s="116"/>
      <c r="K1550" s="116"/>
      <c r="L1550" s="116"/>
      <c r="M1550" s="116"/>
      <c r="N1550" s="116"/>
      <c r="O1550" s="116"/>
      <c r="P1550" s="116"/>
    </row>
    <row r="1551" spans="2:16" s="108" customFormat="1" ht="31.5" hidden="1" customHeight="1">
      <c r="B1551" s="109"/>
      <c r="C1551" s="122"/>
      <c r="D1551" s="165" t="s">
        <v>1281</v>
      </c>
      <c r="E1551" s="247">
        <f>E1552+E1554</f>
        <v>641015000</v>
      </c>
      <c r="F1551" s="125">
        <v>61685777431.099998</v>
      </c>
      <c r="G1551" s="126">
        <f t="shared" si="30"/>
        <v>1.039161743103558</v>
      </c>
      <c r="H1551" s="120"/>
      <c r="I1551" s="120"/>
      <c r="J1551" s="116"/>
      <c r="K1551" s="116"/>
      <c r="L1551" s="116"/>
      <c r="M1551" s="116"/>
      <c r="N1551" s="116"/>
      <c r="O1551" s="116"/>
      <c r="P1551" s="116"/>
    </row>
    <row r="1552" spans="2:16" s="108" customFormat="1" ht="21.75" hidden="1" customHeight="1">
      <c r="B1552" s="109"/>
      <c r="C1552" s="122"/>
      <c r="D1552" s="165" t="s">
        <v>735</v>
      </c>
      <c r="E1552" s="247">
        <v>309600000</v>
      </c>
      <c r="F1552" s="125">
        <v>61685777431.099998</v>
      </c>
      <c r="G1552" s="126">
        <f t="shared" si="30"/>
        <v>0.50189851355250903</v>
      </c>
      <c r="H1552" s="120"/>
      <c r="I1552" s="120"/>
      <c r="J1552" s="116"/>
      <c r="K1552" s="116"/>
      <c r="L1552" s="116"/>
      <c r="M1552" s="116"/>
      <c r="N1552" s="116"/>
      <c r="O1552" s="116"/>
      <c r="P1552" s="116"/>
    </row>
    <row r="1553" spans="2:16" s="108" customFormat="1" ht="21.75" hidden="1" customHeight="1">
      <c r="B1553" s="109"/>
      <c r="C1553" s="122"/>
      <c r="D1553" s="164" t="s">
        <v>1282</v>
      </c>
      <c r="E1553" s="248">
        <v>309600000</v>
      </c>
      <c r="F1553" s="125">
        <v>61685777431.099998</v>
      </c>
      <c r="G1553" s="126">
        <f t="shared" si="30"/>
        <v>0.50189851355250903</v>
      </c>
      <c r="H1553" s="120"/>
      <c r="I1553" s="120"/>
      <c r="J1553" s="116"/>
      <c r="K1553" s="116"/>
      <c r="L1553" s="116"/>
      <c r="M1553" s="116"/>
      <c r="N1553" s="116"/>
      <c r="O1553" s="116"/>
      <c r="P1553" s="116"/>
    </row>
    <row r="1554" spans="2:16" s="108" customFormat="1" ht="30" hidden="1" customHeight="1">
      <c r="B1554" s="109"/>
      <c r="C1554" s="122"/>
      <c r="D1554" s="165" t="s">
        <v>1283</v>
      </c>
      <c r="E1554" s="247">
        <v>331415000</v>
      </c>
      <c r="F1554" s="125">
        <v>61685777431.099998</v>
      </c>
      <c r="G1554" s="126">
        <f t="shared" si="30"/>
        <v>0.5372632295510491</v>
      </c>
      <c r="H1554" s="120"/>
      <c r="I1554" s="120"/>
      <c r="J1554" s="116"/>
      <c r="K1554" s="116"/>
      <c r="L1554" s="116"/>
      <c r="M1554" s="116"/>
      <c r="N1554" s="116"/>
      <c r="O1554" s="116"/>
      <c r="P1554" s="116"/>
    </row>
    <row r="1555" spans="2:16" s="108" customFormat="1" ht="32.25" hidden="1" customHeight="1">
      <c r="B1555" s="109"/>
      <c r="C1555" s="122"/>
      <c r="D1555" s="164" t="s">
        <v>1284</v>
      </c>
      <c r="E1555" s="248">
        <v>331415000</v>
      </c>
      <c r="F1555" s="125">
        <v>61685777431.099998</v>
      </c>
      <c r="G1555" s="126">
        <f t="shared" si="30"/>
        <v>0.5372632295510491</v>
      </c>
      <c r="H1555" s="120"/>
      <c r="I1555" s="120"/>
      <c r="J1555" s="116"/>
      <c r="K1555" s="116"/>
      <c r="L1555" s="116"/>
      <c r="M1555" s="116"/>
      <c r="N1555" s="116"/>
      <c r="O1555" s="116"/>
      <c r="P1555" s="116"/>
    </row>
    <row r="1556" spans="2:16" s="108" customFormat="1" ht="15" hidden="1" customHeight="1">
      <c r="B1556" s="109"/>
      <c r="C1556" s="122"/>
      <c r="D1556" s="164"/>
      <c r="E1556" s="248"/>
      <c r="F1556" s="125"/>
      <c r="G1556" s="126"/>
      <c r="H1556" s="120"/>
      <c r="I1556" s="120"/>
      <c r="J1556" s="116"/>
      <c r="K1556" s="116"/>
      <c r="L1556" s="116"/>
      <c r="M1556" s="116"/>
      <c r="N1556" s="116"/>
      <c r="O1556" s="116"/>
      <c r="P1556" s="116"/>
    </row>
    <row r="1557" spans="2:16" s="108" customFormat="1" ht="21.75" hidden="1" customHeight="1">
      <c r="B1557" s="109"/>
      <c r="C1557" s="122"/>
      <c r="D1557" s="165" t="s">
        <v>642</v>
      </c>
      <c r="E1557" s="247">
        <f>E1558</f>
        <v>2331514076.0999999</v>
      </c>
      <c r="F1557" s="125">
        <v>61685777431.099998</v>
      </c>
      <c r="G1557" s="126">
        <f t="shared" si="30"/>
        <v>3.7796623033635059</v>
      </c>
      <c r="H1557" s="120"/>
      <c r="I1557" s="120"/>
      <c r="J1557" s="116"/>
      <c r="K1557" s="116"/>
      <c r="L1557" s="116"/>
      <c r="M1557" s="116"/>
      <c r="N1557" s="116"/>
      <c r="O1557" s="116"/>
      <c r="P1557" s="116"/>
    </row>
    <row r="1558" spans="2:16" s="108" customFormat="1" ht="21.75" hidden="1" customHeight="1">
      <c r="B1558" s="109"/>
      <c r="C1558" s="122"/>
      <c r="D1558" s="165" t="s">
        <v>1285</v>
      </c>
      <c r="E1558" s="247">
        <f>+E1559+E1560</f>
        <v>2331514076.0999999</v>
      </c>
      <c r="F1558" s="125">
        <v>61685777431.099998</v>
      </c>
      <c r="G1558" s="126">
        <f t="shared" si="30"/>
        <v>3.7796623033635059</v>
      </c>
      <c r="H1558" s="120"/>
      <c r="I1558" s="120"/>
      <c r="J1558" s="116"/>
      <c r="K1558" s="116"/>
      <c r="L1558" s="116"/>
      <c r="M1558" s="116"/>
      <c r="N1558" s="116"/>
      <c r="O1558" s="116"/>
      <c r="P1558" s="116"/>
    </row>
    <row r="1559" spans="2:16" s="108" customFormat="1" ht="37.5" hidden="1" customHeight="1">
      <c r="B1559" s="109"/>
      <c r="C1559" s="122"/>
      <c r="D1559" s="164" t="s">
        <v>1286</v>
      </c>
      <c r="E1559" s="248">
        <v>1947686475</v>
      </c>
      <c r="F1559" s="125">
        <v>61685777431.099998</v>
      </c>
      <c r="G1559" s="126">
        <f t="shared" si="30"/>
        <v>3.1574319982843222</v>
      </c>
      <c r="H1559" s="120"/>
      <c r="I1559" s="120"/>
      <c r="J1559" s="116"/>
      <c r="K1559" s="116"/>
      <c r="L1559" s="116"/>
      <c r="M1559" s="116"/>
      <c r="N1559" s="116"/>
      <c r="O1559" s="116"/>
      <c r="P1559" s="116"/>
    </row>
    <row r="1560" spans="2:16" s="108" customFormat="1" ht="21.75" hidden="1" customHeight="1">
      <c r="B1560" s="109"/>
      <c r="C1560" s="122"/>
      <c r="D1560" s="164" t="s">
        <v>1287</v>
      </c>
      <c r="E1560" s="248">
        <v>383827601.10000002</v>
      </c>
      <c r="F1560" s="125">
        <v>61685777431.099998</v>
      </c>
      <c r="G1560" s="126">
        <f t="shared" si="30"/>
        <v>0.6222303050791842</v>
      </c>
      <c r="H1560" s="120"/>
      <c r="I1560" s="120"/>
      <c r="J1560" s="116"/>
      <c r="K1560" s="116"/>
      <c r="L1560" s="116"/>
      <c r="M1560" s="116"/>
      <c r="N1560" s="116"/>
      <c r="O1560" s="116"/>
      <c r="P1560" s="116"/>
    </row>
    <row r="1561" spans="2:16" s="108" customFormat="1" ht="15" hidden="1" customHeight="1">
      <c r="B1561" s="109"/>
      <c r="C1561" s="122"/>
      <c r="D1561" s="164"/>
      <c r="E1561" s="248"/>
      <c r="F1561" s="125"/>
      <c r="G1561" s="126"/>
      <c r="H1561" s="120"/>
      <c r="I1561" s="120"/>
      <c r="J1561" s="116"/>
      <c r="K1561" s="116"/>
      <c r="L1561" s="116"/>
      <c r="M1561" s="116"/>
      <c r="N1561" s="116"/>
      <c r="O1561" s="116"/>
      <c r="P1561" s="116"/>
    </row>
    <row r="1562" spans="2:16" s="108" customFormat="1" ht="21.75" hidden="1" customHeight="1">
      <c r="B1562" s="109"/>
      <c r="C1562" s="122"/>
      <c r="D1562" s="165" t="s">
        <v>835</v>
      </c>
      <c r="E1562" s="247">
        <f>E1563</f>
        <v>357579700</v>
      </c>
      <c r="F1562" s="125">
        <v>61685777431.099998</v>
      </c>
      <c r="G1562" s="126">
        <f t="shared" si="30"/>
        <v>0.57967932786354048</v>
      </c>
      <c r="H1562" s="120"/>
      <c r="I1562" s="120"/>
      <c r="J1562" s="116"/>
      <c r="K1562" s="116"/>
      <c r="L1562" s="116"/>
      <c r="M1562" s="116"/>
      <c r="N1562" s="116"/>
      <c r="O1562" s="116"/>
      <c r="P1562" s="116"/>
    </row>
    <row r="1563" spans="2:16" s="108" customFormat="1" ht="21.75" hidden="1" customHeight="1">
      <c r="B1563" s="109"/>
      <c r="C1563" s="122"/>
      <c r="D1563" s="165" t="s">
        <v>1288</v>
      </c>
      <c r="E1563" s="247">
        <f>E1564</f>
        <v>357579700</v>
      </c>
      <c r="F1563" s="125">
        <v>61685777431.099998</v>
      </c>
      <c r="G1563" s="126">
        <f t="shared" ref="G1563:G1609" si="31">+E1563/F1563*100</f>
        <v>0.57967932786354048</v>
      </c>
      <c r="H1563" s="120"/>
      <c r="I1563" s="120"/>
      <c r="J1563" s="116"/>
      <c r="K1563" s="116"/>
      <c r="L1563" s="116"/>
      <c r="M1563" s="116"/>
      <c r="N1563" s="116"/>
      <c r="O1563" s="116"/>
      <c r="P1563" s="116"/>
    </row>
    <row r="1564" spans="2:16" s="108" customFormat="1" ht="44.25" hidden="1" customHeight="1">
      <c r="B1564" s="109"/>
      <c r="C1564" s="122"/>
      <c r="D1564" s="164" t="s">
        <v>1289</v>
      </c>
      <c r="E1564" s="248">
        <v>357579700</v>
      </c>
      <c r="F1564" s="125">
        <v>61685777431.099998</v>
      </c>
      <c r="G1564" s="126">
        <f t="shared" si="31"/>
        <v>0.57967932786354048</v>
      </c>
      <c r="H1564" s="120"/>
      <c r="I1564" s="120"/>
      <c r="J1564" s="116"/>
      <c r="K1564" s="116"/>
      <c r="L1564" s="116"/>
      <c r="M1564" s="116"/>
      <c r="N1564" s="116"/>
      <c r="O1564" s="116"/>
      <c r="P1564" s="116"/>
    </row>
    <row r="1565" spans="2:16" s="108" customFormat="1" ht="15" hidden="1" customHeight="1">
      <c r="B1565" s="109"/>
      <c r="C1565" s="122"/>
      <c r="D1565" s="164"/>
      <c r="E1565" s="248"/>
      <c r="F1565" s="125"/>
      <c r="G1565" s="126"/>
      <c r="H1565" s="120"/>
      <c r="I1565" s="120"/>
      <c r="J1565" s="116"/>
      <c r="K1565" s="116"/>
      <c r="L1565" s="116"/>
      <c r="M1565" s="116"/>
      <c r="N1565" s="116"/>
      <c r="O1565" s="116"/>
      <c r="P1565" s="116"/>
    </row>
    <row r="1566" spans="2:16" s="108" customFormat="1" ht="21.75" hidden="1" customHeight="1">
      <c r="B1566" s="109"/>
      <c r="C1566" s="122"/>
      <c r="D1566" s="165" t="s">
        <v>1290</v>
      </c>
      <c r="E1566" s="247">
        <f>E1567</f>
        <v>665000000</v>
      </c>
      <c r="F1566" s="125">
        <v>61685777431.099998</v>
      </c>
      <c r="G1566" s="126">
        <f t="shared" si="31"/>
        <v>1.0780442878308092</v>
      </c>
      <c r="H1566" s="120"/>
      <c r="I1566" s="120"/>
      <c r="J1566" s="116"/>
      <c r="K1566" s="116"/>
      <c r="L1566" s="116"/>
      <c r="M1566" s="116"/>
      <c r="N1566" s="116"/>
      <c r="O1566" s="116"/>
      <c r="P1566" s="116"/>
    </row>
    <row r="1567" spans="2:16" s="117" customFormat="1" ht="21.75" hidden="1" customHeight="1">
      <c r="B1567" s="118"/>
      <c r="C1567" s="110"/>
      <c r="D1567" s="165" t="s">
        <v>1291</v>
      </c>
      <c r="E1567" s="247">
        <f>E1568</f>
        <v>665000000</v>
      </c>
      <c r="F1567" s="129">
        <v>61685777431.099998</v>
      </c>
      <c r="G1567" s="127">
        <f t="shared" si="31"/>
        <v>1.0780442878308092</v>
      </c>
      <c r="H1567" s="120"/>
      <c r="I1567" s="120"/>
      <c r="J1567" s="121"/>
      <c r="K1567" s="121"/>
      <c r="L1567" s="121"/>
      <c r="M1567" s="121"/>
      <c r="N1567" s="121"/>
      <c r="O1567" s="121"/>
      <c r="P1567" s="121"/>
    </row>
    <row r="1568" spans="2:16" s="108" customFormat="1" ht="21.75" hidden="1" customHeight="1">
      <c r="B1568" s="109"/>
      <c r="C1568" s="122"/>
      <c r="D1568" s="164" t="s">
        <v>1292</v>
      </c>
      <c r="E1568" s="248">
        <v>665000000</v>
      </c>
      <c r="F1568" s="125">
        <v>61685777431.099998</v>
      </c>
      <c r="G1568" s="126">
        <f t="shared" si="31"/>
        <v>1.0780442878308092</v>
      </c>
      <c r="H1568" s="120"/>
      <c r="I1568" s="120"/>
      <c r="J1568" s="116"/>
      <c r="K1568" s="116"/>
      <c r="L1568" s="116"/>
      <c r="M1568" s="116"/>
      <c r="N1568" s="116"/>
      <c r="O1568" s="116"/>
      <c r="P1568" s="116"/>
    </row>
    <row r="1569" spans="2:16" s="108" customFormat="1" ht="15" hidden="1" customHeight="1">
      <c r="B1569" s="109"/>
      <c r="C1569" s="122"/>
      <c r="D1569" s="57"/>
      <c r="E1569" s="248"/>
      <c r="F1569" s="125"/>
      <c r="G1569" s="126"/>
      <c r="H1569" s="120"/>
      <c r="I1569" s="120"/>
      <c r="J1569" s="116"/>
      <c r="K1569" s="116"/>
      <c r="L1569" s="116"/>
      <c r="M1569" s="116"/>
      <c r="N1569" s="116"/>
      <c r="O1569" s="116"/>
      <c r="P1569" s="116"/>
    </row>
    <row r="1570" spans="2:16" s="108" customFormat="1" ht="21.75" hidden="1" customHeight="1">
      <c r="B1570" s="109"/>
      <c r="C1570" s="122"/>
      <c r="D1570" s="150" t="s">
        <v>1293</v>
      </c>
      <c r="E1570" s="247">
        <f>E1571+E1573</f>
        <v>1304080000</v>
      </c>
      <c r="F1570" s="125">
        <v>61685777431.099998</v>
      </c>
      <c r="G1570" s="126">
        <f t="shared" si="31"/>
        <v>2.1140691652246644</v>
      </c>
      <c r="H1570" s="120"/>
      <c r="I1570" s="120"/>
      <c r="J1570" s="116"/>
      <c r="K1570" s="116"/>
      <c r="L1570" s="116"/>
      <c r="M1570" s="116"/>
      <c r="N1570" s="116"/>
      <c r="O1570" s="116"/>
      <c r="P1570" s="116"/>
    </row>
    <row r="1571" spans="2:16" s="108" customFormat="1" ht="21.75" hidden="1" customHeight="1">
      <c r="B1571" s="109"/>
      <c r="C1571" s="122"/>
      <c r="D1571" s="150" t="s">
        <v>1294</v>
      </c>
      <c r="E1571" s="247">
        <f>E1572</f>
        <v>894764000</v>
      </c>
      <c r="F1571" s="125">
        <v>61685777431.099998</v>
      </c>
      <c r="G1571" s="126">
        <f t="shared" si="31"/>
        <v>1.4505191265513477</v>
      </c>
      <c r="H1571" s="120"/>
      <c r="I1571" s="120"/>
      <c r="J1571" s="116"/>
      <c r="K1571" s="116"/>
      <c r="L1571" s="116"/>
      <c r="M1571" s="116"/>
      <c r="N1571" s="116"/>
      <c r="O1571" s="116"/>
      <c r="P1571" s="116"/>
    </row>
    <row r="1572" spans="2:16" s="108" customFormat="1" ht="31.5" hidden="1" customHeight="1">
      <c r="B1572" s="109"/>
      <c r="C1572" s="122"/>
      <c r="D1572" s="164" t="s">
        <v>1295</v>
      </c>
      <c r="E1572" s="248">
        <v>894764000</v>
      </c>
      <c r="F1572" s="125">
        <v>61685777431.099998</v>
      </c>
      <c r="G1572" s="126">
        <f t="shared" si="31"/>
        <v>1.4505191265513477</v>
      </c>
      <c r="H1572" s="120"/>
      <c r="I1572" s="120"/>
      <c r="J1572" s="116"/>
      <c r="K1572" s="116"/>
      <c r="L1572" s="116"/>
      <c r="M1572" s="116"/>
      <c r="N1572" s="116"/>
      <c r="O1572" s="116"/>
      <c r="P1572" s="116"/>
    </row>
    <row r="1573" spans="2:16" s="108" customFormat="1" ht="21.75" hidden="1" customHeight="1">
      <c r="B1573" s="109"/>
      <c r="C1573" s="122"/>
      <c r="D1573" s="150" t="s">
        <v>1296</v>
      </c>
      <c r="E1573" s="247">
        <f>E1574</f>
        <v>409316000</v>
      </c>
      <c r="F1573" s="125">
        <v>61685777431.099998</v>
      </c>
      <c r="G1573" s="126">
        <f t="shared" si="31"/>
        <v>0.66355003867331652</v>
      </c>
      <c r="H1573" s="120"/>
      <c r="I1573" s="120"/>
      <c r="J1573" s="116"/>
      <c r="K1573" s="116"/>
      <c r="L1573" s="116"/>
      <c r="M1573" s="116"/>
      <c r="N1573" s="116"/>
      <c r="O1573" s="116"/>
      <c r="P1573" s="116"/>
    </row>
    <row r="1574" spans="2:16" s="108" customFormat="1" ht="21.75" hidden="1" customHeight="1">
      <c r="B1574" s="109"/>
      <c r="C1574" s="122"/>
      <c r="D1574" s="164" t="s">
        <v>1297</v>
      </c>
      <c r="E1574" s="248">
        <v>409316000</v>
      </c>
      <c r="F1574" s="125">
        <v>61685777431.099998</v>
      </c>
      <c r="G1574" s="126">
        <f t="shared" si="31"/>
        <v>0.66355003867331652</v>
      </c>
      <c r="H1574" s="115"/>
      <c r="I1574" s="115"/>
      <c r="J1574" s="116"/>
      <c r="K1574" s="116"/>
      <c r="L1574" s="116"/>
      <c r="M1574" s="116"/>
      <c r="N1574" s="116"/>
      <c r="O1574" s="116"/>
      <c r="P1574" s="116"/>
    </row>
    <row r="1575" spans="2:16" s="108" customFormat="1" ht="15" hidden="1" customHeight="1">
      <c r="B1575" s="109"/>
      <c r="C1575" s="122"/>
      <c r="D1575" s="150"/>
      <c r="E1575" s="247"/>
      <c r="F1575" s="125"/>
      <c r="G1575" s="126"/>
      <c r="H1575" s="120"/>
      <c r="I1575" s="120"/>
      <c r="J1575" s="116"/>
      <c r="K1575" s="116"/>
      <c r="L1575" s="116"/>
      <c r="M1575" s="116"/>
      <c r="N1575" s="116"/>
      <c r="O1575" s="116"/>
      <c r="P1575" s="116"/>
    </row>
    <row r="1576" spans="2:16" s="108" customFormat="1" ht="21.75" hidden="1" customHeight="1">
      <c r="B1576" s="109"/>
      <c r="C1576" s="122"/>
      <c r="D1576" s="165" t="s">
        <v>1298</v>
      </c>
      <c r="E1576" s="247">
        <f>E1577</f>
        <v>191425000</v>
      </c>
      <c r="F1576" s="125">
        <v>61685777431.099998</v>
      </c>
      <c r="G1576" s="126">
        <f t="shared" si="31"/>
        <v>0.31032274856844005</v>
      </c>
      <c r="H1576" s="120"/>
      <c r="I1576" s="120"/>
      <c r="J1576" s="116"/>
      <c r="K1576" s="116"/>
      <c r="L1576" s="116"/>
      <c r="M1576" s="116"/>
      <c r="N1576" s="116"/>
      <c r="O1576" s="116"/>
      <c r="P1576" s="116"/>
    </row>
    <row r="1577" spans="2:16" s="108" customFormat="1" ht="21.75" hidden="1" customHeight="1">
      <c r="B1577" s="109"/>
      <c r="C1577" s="122"/>
      <c r="D1577" s="165" t="s">
        <v>1299</v>
      </c>
      <c r="E1577" s="247">
        <f>E1578</f>
        <v>191425000</v>
      </c>
      <c r="F1577" s="125">
        <v>61685777431.099998</v>
      </c>
      <c r="G1577" s="126">
        <f t="shared" si="31"/>
        <v>0.31032274856844005</v>
      </c>
      <c r="H1577" s="120"/>
      <c r="I1577" s="120"/>
      <c r="J1577" s="116"/>
      <c r="K1577" s="116"/>
      <c r="L1577" s="116"/>
      <c r="M1577" s="116"/>
      <c r="N1577" s="116"/>
      <c r="O1577" s="116"/>
      <c r="P1577" s="116"/>
    </row>
    <row r="1578" spans="2:16" s="108" customFormat="1" ht="21.75" hidden="1" customHeight="1">
      <c r="B1578" s="109"/>
      <c r="C1578" s="122"/>
      <c r="D1578" s="164" t="s">
        <v>1300</v>
      </c>
      <c r="E1578" s="248">
        <v>191425000</v>
      </c>
      <c r="F1578" s="125">
        <v>61685777431.099998</v>
      </c>
      <c r="G1578" s="126">
        <f t="shared" si="31"/>
        <v>0.31032274856844005</v>
      </c>
      <c r="H1578" s="120"/>
      <c r="I1578" s="120"/>
      <c r="J1578" s="116"/>
      <c r="K1578" s="116"/>
      <c r="L1578" s="116"/>
      <c r="M1578" s="116"/>
      <c r="N1578" s="116"/>
      <c r="O1578" s="116"/>
      <c r="P1578" s="116"/>
    </row>
    <row r="1579" spans="2:16" s="108" customFormat="1" ht="15" hidden="1" customHeight="1">
      <c r="B1579" s="109"/>
      <c r="C1579" s="122"/>
      <c r="D1579" s="150"/>
      <c r="E1579" s="247"/>
      <c r="F1579" s="125"/>
      <c r="G1579" s="126"/>
      <c r="H1579" s="120"/>
      <c r="I1579" s="120"/>
      <c r="J1579" s="116"/>
      <c r="K1579" s="116"/>
      <c r="L1579" s="116"/>
      <c r="M1579" s="116"/>
      <c r="N1579" s="116"/>
      <c r="O1579" s="116"/>
      <c r="P1579" s="116"/>
    </row>
    <row r="1580" spans="2:16" s="108" customFormat="1" ht="21.75" hidden="1" customHeight="1">
      <c r="B1580" s="109"/>
      <c r="C1580" s="122"/>
      <c r="D1580" s="150" t="s">
        <v>1186</v>
      </c>
      <c r="E1580" s="247">
        <f>+E1581+E1584+E1587</f>
        <v>1644300000</v>
      </c>
      <c r="F1580" s="125">
        <v>61685777431.099998</v>
      </c>
      <c r="G1580" s="126">
        <f t="shared" si="31"/>
        <v>2.665606349594285</v>
      </c>
      <c r="H1580" s="120"/>
      <c r="I1580" s="120"/>
      <c r="J1580" s="116"/>
      <c r="K1580" s="116"/>
      <c r="L1580" s="116"/>
      <c r="M1580" s="116"/>
      <c r="N1580" s="116"/>
      <c r="O1580" s="116"/>
      <c r="P1580" s="116"/>
    </row>
    <row r="1581" spans="2:16" s="108" customFormat="1" ht="21.75" hidden="1" customHeight="1">
      <c r="B1581" s="109"/>
      <c r="C1581" s="122"/>
      <c r="D1581" s="165" t="s">
        <v>622</v>
      </c>
      <c r="E1581" s="247">
        <f>+E1582+E1583</f>
        <v>883880000</v>
      </c>
      <c r="F1581" s="125">
        <v>61685777431.099998</v>
      </c>
      <c r="G1581" s="126">
        <f t="shared" si="31"/>
        <v>1.4328748648539784</v>
      </c>
      <c r="H1581" s="120"/>
      <c r="I1581" s="120"/>
      <c r="J1581" s="116"/>
      <c r="K1581" s="116"/>
      <c r="L1581" s="116"/>
      <c r="M1581" s="116"/>
      <c r="N1581" s="116"/>
      <c r="O1581" s="116"/>
      <c r="P1581" s="116"/>
    </row>
    <row r="1582" spans="2:16" s="108" customFormat="1" ht="21.75" hidden="1" customHeight="1">
      <c r="B1582" s="109"/>
      <c r="C1582" s="122"/>
      <c r="D1582" s="164" t="s">
        <v>1301</v>
      </c>
      <c r="E1582" s="248">
        <v>203880000</v>
      </c>
      <c r="F1582" s="125">
        <v>61685777431.099998</v>
      </c>
      <c r="G1582" s="126">
        <f t="shared" si="31"/>
        <v>0.33051378857585773</v>
      </c>
      <c r="H1582" s="120"/>
      <c r="I1582" s="120"/>
      <c r="J1582" s="116"/>
      <c r="K1582" s="116"/>
      <c r="L1582" s="116"/>
      <c r="M1582" s="116"/>
      <c r="N1582" s="116"/>
      <c r="O1582" s="116"/>
      <c r="P1582" s="116"/>
    </row>
    <row r="1583" spans="2:16" s="108" customFormat="1" ht="21.75" hidden="1" customHeight="1">
      <c r="B1583" s="109"/>
      <c r="C1583" s="122"/>
      <c r="D1583" s="164" t="s">
        <v>829</v>
      </c>
      <c r="E1583" s="248">
        <v>680000000</v>
      </c>
      <c r="F1583" s="125">
        <v>61685777431.099998</v>
      </c>
      <c r="G1583" s="126">
        <f t="shared" si="31"/>
        <v>1.1023610762781206</v>
      </c>
      <c r="H1583" s="120"/>
      <c r="I1583" s="120"/>
      <c r="J1583" s="116"/>
      <c r="K1583" s="116"/>
      <c r="L1583" s="116"/>
      <c r="M1583" s="116"/>
      <c r="N1583" s="116"/>
      <c r="O1583" s="116"/>
      <c r="P1583" s="116"/>
    </row>
    <row r="1584" spans="2:16" s="108" customFormat="1" ht="21.75" hidden="1" customHeight="1">
      <c r="B1584" s="109"/>
      <c r="C1584" s="122"/>
      <c r="D1584" s="165" t="s">
        <v>618</v>
      </c>
      <c r="E1584" s="247">
        <f>+E1585+E1586</f>
        <v>407710000</v>
      </c>
      <c r="F1584" s="125">
        <v>61685777431.099998</v>
      </c>
      <c r="G1584" s="126">
        <f t="shared" si="31"/>
        <v>0.66094652119022446</v>
      </c>
      <c r="H1584" s="120"/>
      <c r="I1584" s="120"/>
      <c r="J1584" s="116"/>
      <c r="K1584" s="116"/>
      <c r="L1584" s="116"/>
      <c r="M1584" s="116"/>
      <c r="N1584" s="116"/>
      <c r="O1584" s="116"/>
      <c r="P1584" s="116"/>
    </row>
    <row r="1585" spans="2:16" s="108" customFormat="1" ht="21.75" hidden="1" customHeight="1">
      <c r="B1585" s="109"/>
      <c r="C1585" s="122"/>
      <c r="D1585" s="164" t="s">
        <v>830</v>
      </c>
      <c r="E1585" s="248">
        <v>232610000</v>
      </c>
      <c r="F1585" s="125">
        <v>61685777431.099998</v>
      </c>
      <c r="G1585" s="126">
        <f t="shared" si="31"/>
        <v>0.37708854404860831</v>
      </c>
      <c r="H1585" s="120"/>
      <c r="I1585" s="120"/>
      <c r="J1585" s="116"/>
      <c r="K1585" s="116"/>
      <c r="L1585" s="116"/>
      <c r="M1585" s="116"/>
      <c r="N1585" s="116"/>
      <c r="O1585" s="116"/>
      <c r="P1585" s="116"/>
    </row>
    <row r="1586" spans="2:16" s="108" customFormat="1" ht="21.75" hidden="1" customHeight="1">
      <c r="B1586" s="109"/>
      <c r="C1586" s="122"/>
      <c r="D1586" s="164" t="s">
        <v>1302</v>
      </c>
      <c r="E1586" s="248">
        <v>175100000</v>
      </c>
      <c r="F1586" s="125">
        <v>61685777431.099998</v>
      </c>
      <c r="G1586" s="126">
        <f t="shared" si="31"/>
        <v>0.28385797714161609</v>
      </c>
      <c r="H1586" s="120"/>
      <c r="I1586" s="120"/>
      <c r="J1586" s="116"/>
      <c r="K1586" s="116"/>
      <c r="L1586" s="116"/>
      <c r="M1586" s="116"/>
      <c r="N1586" s="116"/>
      <c r="O1586" s="116"/>
      <c r="P1586" s="116"/>
    </row>
    <row r="1587" spans="2:16" s="108" customFormat="1" ht="21.75" hidden="1" customHeight="1">
      <c r="B1587" s="109"/>
      <c r="C1587" s="122"/>
      <c r="D1587" s="165" t="s">
        <v>709</v>
      </c>
      <c r="E1587" s="247">
        <f>E1588</f>
        <v>352710000</v>
      </c>
      <c r="F1587" s="125">
        <v>61685777431.099998</v>
      </c>
      <c r="G1587" s="126">
        <f t="shared" si="31"/>
        <v>0.57178496355008224</v>
      </c>
      <c r="H1587" s="120"/>
      <c r="I1587" s="120"/>
      <c r="J1587" s="116"/>
      <c r="K1587" s="116"/>
      <c r="L1587" s="116"/>
      <c r="M1587" s="116"/>
      <c r="N1587" s="116"/>
      <c r="O1587" s="116"/>
      <c r="P1587" s="116"/>
    </row>
    <row r="1588" spans="2:16" s="108" customFormat="1" ht="21.75" hidden="1" customHeight="1">
      <c r="B1588" s="109"/>
      <c r="C1588" s="122"/>
      <c r="D1588" s="164" t="s">
        <v>1303</v>
      </c>
      <c r="E1588" s="248">
        <v>352710000</v>
      </c>
      <c r="F1588" s="125">
        <v>61685777431.099998</v>
      </c>
      <c r="G1588" s="126">
        <f t="shared" si="31"/>
        <v>0.57178496355008224</v>
      </c>
      <c r="H1588" s="120"/>
      <c r="I1588" s="120"/>
      <c r="J1588" s="116"/>
      <c r="K1588" s="116"/>
      <c r="L1588" s="116"/>
      <c r="M1588" s="116"/>
      <c r="N1588" s="116"/>
      <c r="O1588" s="116"/>
      <c r="P1588" s="116"/>
    </row>
    <row r="1589" spans="2:16" s="108" customFormat="1" ht="15" hidden="1" customHeight="1">
      <c r="B1589" s="109"/>
      <c r="C1589" s="122"/>
      <c r="D1589" s="164"/>
      <c r="E1589" s="248"/>
      <c r="F1589" s="125"/>
      <c r="G1589" s="126"/>
      <c r="H1589" s="120"/>
      <c r="I1589" s="120"/>
      <c r="J1589" s="116"/>
      <c r="K1589" s="116"/>
      <c r="L1589" s="116"/>
      <c r="M1589" s="116"/>
      <c r="N1589" s="116"/>
      <c r="O1589" s="116"/>
      <c r="P1589" s="116"/>
    </row>
    <row r="1590" spans="2:16" s="108" customFormat="1" ht="21.75" hidden="1" customHeight="1">
      <c r="B1590" s="109"/>
      <c r="C1590" s="122"/>
      <c r="D1590" s="165" t="s">
        <v>1137</v>
      </c>
      <c r="E1590" s="247">
        <f>E1591</f>
        <v>1894311040</v>
      </c>
      <c r="F1590" s="125">
        <v>61685777431.099998</v>
      </c>
      <c r="G1590" s="126">
        <f t="shared" si="31"/>
        <v>3.0709040542057737</v>
      </c>
      <c r="H1590" s="120"/>
      <c r="I1590" s="120"/>
      <c r="J1590" s="116"/>
      <c r="K1590" s="116"/>
      <c r="L1590" s="116"/>
      <c r="M1590" s="116"/>
      <c r="N1590" s="116"/>
      <c r="O1590" s="116"/>
      <c r="P1590" s="116"/>
    </row>
    <row r="1591" spans="2:16" s="108" customFormat="1" ht="21.75" hidden="1" customHeight="1">
      <c r="B1591" s="109"/>
      <c r="C1591" s="122"/>
      <c r="D1591" s="165" t="s">
        <v>628</v>
      </c>
      <c r="E1591" s="247">
        <f>+E1592+E1593</f>
        <v>1894311040</v>
      </c>
      <c r="F1591" s="125">
        <v>61685777431.099998</v>
      </c>
      <c r="G1591" s="126">
        <f t="shared" si="31"/>
        <v>3.0709040542057737</v>
      </c>
      <c r="H1591" s="120"/>
      <c r="I1591" s="120"/>
      <c r="J1591" s="116"/>
      <c r="K1591" s="116"/>
      <c r="L1591" s="116"/>
      <c r="M1591" s="116"/>
      <c r="N1591" s="116"/>
      <c r="O1591" s="116"/>
      <c r="P1591" s="116"/>
    </row>
    <row r="1592" spans="2:16" s="108" customFormat="1" ht="21.75" hidden="1" customHeight="1">
      <c r="B1592" s="109"/>
      <c r="C1592" s="122"/>
      <c r="D1592" s="164" t="s">
        <v>1304</v>
      </c>
      <c r="E1592" s="248">
        <v>251042000</v>
      </c>
      <c r="F1592" s="125">
        <v>61685777431.099998</v>
      </c>
      <c r="G1592" s="126">
        <f t="shared" si="31"/>
        <v>0.40696901369266469</v>
      </c>
      <c r="H1592" s="120"/>
      <c r="I1592" s="120"/>
      <c r="J1592" s="116"/>
      <c r="K1592" s="116"/>
      <c r="L1592" s="116"/>
      <c r="M1592" s="116"/>
      <c r="N1592" s="116"/>
      <c r="O1592" s="116"/>
      <c r="P1592" s="116"/>
    </row>
    <row r="1593" spans="2:16" s="108" customFormat="1" ht="21.75" hidden="1" customHeight="1">
      <c r="B1593" s="109"/>
      <c r="C1593" s="122"/>
      <c r="D1593" s="164" t="s">
        <v>823</v>
      </c>
      <c r="E1593" s="248">
        <v>1643269040</v>
      </c>
      <c r="F1593" s="125">
        <v>61685777431.099998</v>
      </c>
      <c r="G1593" s="126">
        <f t="shared" si="31"/>
        <v>2.6639350405131093</v>
      </c>
      <c r="H1593" s="120"/>
      <c r="I1593" s="120"/>
      <c r="J1593" s="116"/>
      <c r="K1593" s="116"/>
      <c r="L1593" s="116"/>
      <c r="M1593" s="116"/>
      <c r="N1593" s="116"/>
      <c r="O1593" s="116"/>
      <c r="P1593" s="116"/>
    </row>
    <row r="1594" spans="2:16" s="108" customFormat="1" ht="15" hidden="1" customHeight="1">
      <c r="B1594" s="109"/>
      <c r="C1594" s="122"/>
      <c r="D1594" s="165"/>
      <c r="E1594" s="247"/>
      <c r="F1594" s="125"/>
      <c r="G1594" s="126"/>
      <c r="H1594" s="120"/>
      <c r="I1594" s="120"/>
      <c r="J1594" s="116"/>
      <c r="K1594" s="116"/>
      <c r="L1594" s="116"/>
      <c r="M1594" s="116"/>
      <c r="N1594" s="116"/>
      <c r="O1594" s="116"/>
      <c r="P1594" s="116"/>
    </row>
    <row r="1595" spans="2:16" s="108" customFormat="1" ht="21.75" hidden="1" customHeight="1">
      <c r="B1595" s="109"/>
      <c r="C1595" s="122"/>
      <c r="D1595" s="165" t="s">
        <v>1305</v>
      </c>
      <c r="E1595" s="247">
        <f>+E1596+E1598+E1600</f>
        <v>1515687000</v>
      </c>
      <c r="F1595" s="125">
        <v>61685777431.099998</v>
      </c>
      <c r="G1595" s="126">
        <f t="shared" si="31"/>
        <v>2.4571093420893466</v>
      </c>
      <c r="H1595" s="120"/>
      <c r="I1595" s="120"/>
      <c r="J1595" s="116"/>
      <c r="K1595" s="116"/>
      <c r="L1595" s="116"/>
      <c r="M1595" s="116"/>
      <c r="N1595" s="116"/>
      <c r="O1595" s="116"/>
      <c r="P1595" s="116"/>
    </row>
    <row r="1596" spans="2:16" s="108" customFormat="1" ht="33" hidden="1" customHeight="1">
      <c r="B1596" s="109"/>
      <c r="C1596" s="122"/>
      <c r="D1596" s="165" t="s">
        <v>1306</v>
      </c>
      <c r="E1596" s="247">
        <f>E1597</f>
        <v>459587000</v>
      </c>
      <c r="F1596" s="125">
        <v>61685777431.099998</v>
      </c>
      <c r="G1596" s="126">
        <f t="shared" si="31"/>
        <v>0.74504532347563623</v>
      </c>
      <c r="H1596" s="120"/>
      <c r="I1596" s="120"/>
      <c r="J1596" s="116"/>
      <c r="K1596" s="116"/>
      <c r="L1596" s="116"/>
      <c r="M1596" s="116"/>
      <c r="N1596" s="116"/>
      <c r="O1596" s="116"/>
      <c r="P1596" s="116"/>
    </row>
    <row r="1597" spans="2:16" s="108" customFormat="1" ht="21.75" hidden="1" customHeight="1">
      <c r="B1597" s="109"/>
      <c r="C1597" s="122"/>
      <c r="D1597" s="164" t="s">
        <v>1307</v>
      </c>
      <c r="E1597" s="248">
        <v>459587000</v>
      </c>
      <c r="F1597" s="125">
        <v>61685777431.099998</v>
      </c>
      <c r="G1597" s="126">
        <f t="shared" si="31"/>
        <v>0.74504532347563623</v>
      </c>
      <c r="H1597" s="120"/>
      <c r="I1597" s="120"/>
      <c r="J1597" s="116"/>
      <c r="K1597" s="116"/>
      <c r="L1597" s="116"/>
      <c r="M1597" s="116"/>
      <c r="N1597" s="116"/>
      <c r="O1597" s="116"/>
      <c r="P1597" s="116"/>
    </row>
    <row r="1598" spans="2:16" s="108" customFormat="1" ht="21.75" hidden="1" customHeight="1">
      <c r="B1598" s="109"/>
      <c r="C1598" s="122"/>
      <c r="D1598" s="165" t="s">
        <v>628</v>
      </c>
      <c r="E1598" s="247">
        <f>E1599</f>
        <v>520000000</v>
      </c>
      <c r="F1598" s="125">
        <v>61685777431.099998</v>
      </c>
      <c r="G1598" s="126">
        <f t="shared" si="31"/>
        <v>0.84298199950679809</v>
      </c>
      <c r="H1598" s="120"/>
      <c r="I1598" s="120"/>
      <c r="J1598" s="116"/>
      <c r="K1598" s="116"/>
      <c r="L1598" s="116"/>
      <c r="M1598" s="116"/>
      <c r="N1598" s="116"/>
      <c r="O1598" s="116"/>
      <c r="P1598" s="116"/>
    </row>
    <row r="1599" spans="2:16" s="108" customFormat="1" ht="21.75" hidden="1" customHeight="1">
      <c r="B1599" s="109"/>
      <c r="C1599" s="122"/>
      <c r="D1599" s="164" t="s">
        <v>1308</v>
      </c>
      <c r="E1599" s="248">
        <v>520000000</v>
      </c>
      <c r="F1599" s="125">
        <v>61685777431.099998</v>
      </c>
      <c r="G1599" s="126">
        <f t="shared" si="31"/>
        <v>0.84298199950679809</v>
      </c>
      <c r="H1599" s="120"/>
      <c r="I1599" s="120"/>
      <c r="J1599" s="116"/>
      <c r="K1599" s="116"/>
      <c r="L1599" s="116"/>
      <c r="M1599" s="116"/>
      <c r="N1599" s="116"/>
      <c r="O1599" s="116"/>
      <c r="P1599" s="116"/>
    </row>
    <row r="1600" spans="2:16" s="108" customFormat="1" ht="21.75" hidden="1" customHeight="1">
      <c r="B1600" s="109"/>
      <c r="C1600" s="122"/>
      <c r="D1600" s="165" t="s">
        <v>1309</v>
      </c>
      <c r="E1600" s="247">
        <f>E1601</f>
        <v>536100000</v>
      </c>
      <c r="F1600" s="125">
        <v>61685777431.099998</v>
      </c>
      <c r="G1600" s="126">
        <f t="shared" si="31"/>
        <v>0.86908201910691241</v>
      </c>
      <c r="H1600" s="120"/>
      <c r="I1600" s="120"/>
      <c r="J1600" s="116"/>
      <c r="K1600" s="116"/>
      <c r="L1600" s="116"/>
      <c r="M1600" s="116"/>
      <c r="N1600" s="116"/>
      <c r="O1600" s="116"/>
      <c r="P1600" s="116"/>
    </row>
    <row r="1601" spans="2:16" s="108" customFormat="1" ht="21.75" hidden="1" customHeight="1">
      <c r="B1601" s="109"/>
      <c r="C1601" s="122"/>
      <c r="D1601" s="164" t="s">
        <v>1310</v>
      </c>
      <c r="E1601" s="248">
        <v>536100000</v>
      </c>
      <c r="F1601" s="125">
        <v>61685777431.099998</v>
      </c>
      <c r="G1601" s="126">
        <f t="shared" si="31"/>
        <v>0.86908201910691241</v>
      </c>
      <c r="H1601" s="120"/>
      <c r="I1601" s="120"/>
      <c r="J1601" s="116"/>
      <c r="K1601" s="116"/>
      <c r="L1601" s="116"/>
      <c r="M1601" s="116"/>
      <c r="N1601" s="116"/>
      <c r="O1601" s="116"/>
      <c r="P1601" s="116"/>
    </row>
    <row r="1602" spans="2:16" s="108" customFormat="1" ht="15" hidden="1" customHeight="1">
      <c r="B1602" s="109"/>
      <c r="C1602" s="122"/>
      <c r="D1602" s="165"/>
      <c r="E1602" s="247"/>
      <c r="F1602" s="125"/>
      <c r="G1602" s="126"/>
      <c r="H1602" s="120"/>
      <c r="I1602" s="120"/>
      <c r="J1602" s="116"/>
      <c r="K1602" s="116"/>
      <c r="L1602" s="116"/>
      <c r="M1602" s="116"/>
      <c r="N1602" s="116"/>
      <c r="O1602" s="116"/>
      <c r="P1602" s="116"/>
    </row>
    <row r="1603" spans="2:16" s="117" customFormat="1" ht="21.75" hidden="1" customHeight="1">
      <c r="B1603" s="118"/>
      <c r="C1603" s="110"/>
      <c r="D1603" s="165" t="s">
        <v>1182</v>
      </c>
      <c r="E1603" s="247">
        <f>E1604</f>
        <v>250000000</v>
      </c>
      <c r="F1603" s="129">
        <v>61685777431.099998</v>
      </c>
      <c r="G1603" s="127">
        <f t="shared" si="31"/>
        <v>0.40527980745519138</v>
      </c>
      <c r="H1603" s="120"/>
      <c r="I1603" s="120"/>
      <c r="J1603" s="121"/>
      <c r="K1603" s="121"/>
      <c r="L1603" s="121"/>
      <c r="M1603" s="121"/>
      <c r="N1603" s="121"/>
      <c r="O1603" s="121"/>
      <c r="P1603" s="121"/>
    </row>
    <row r="1604" spans="2:16" s="117" customFormat="1" ht="21.75" hidden="1" customHeight="1">
      <c r="B1604" s="118"/>
      <c r="C1604" s="110"/>
      <c r="D1604" s="165" t="s">
        <v>1311</v>
      </c>
      <c r="E1604" s="247">
        <f>E1605</f>
        <v>250000000</v>
      </c>
      <c r="F1604" s="129">
        <v>61685777431.099998</v>
      </c>
      <c r="G1604" s="127">
        <f t="shared" si="31"/>
        <v>0.40527980745519138</v>
      </c>
      <c r="H1604" s="120"/>
      <c r="I1604" s="120"/>
      <c r="J1604" s="121"/>
      <c r="K1604" s="121"/>
      <c r="L1604" s="121"/>
      <c r="M1604" s="121"/>
      <c r="N1604" s="121"/>
      <c r="O1604" s="121"/>
      <c r="P1604" s="121"/>
    </row>
    <row r="1605" spans="2:16" s="108" customFormat="1" ht="47.25" hidden="1" customHeight="1">
      <c r="B1605" s="109"/>
      <c r="C1605" s="122"/>
      <c r="D1605" s="164" t="s">
        <v>1312</v>
      </c>
      <c r="E1605" s="248">
        <v>250000000</v>
      </c>
      <c r="F1605" s="125">
        <v>61685777431.099998</v>
      </c>
      <c r="G1605" s="126">
        <f t="shared" si="31"/>
        <v>0.40527980745519138</v>
      </c>
      <c r="H1605" s="120"/>
      <c r="I1605" s="120"/>
      <c r="J1605" s="116"/>
      <c r="K1605" s="116"/>
      <c r="L1605" s="116"/>
      <c r="M1605" s="116"/>
      <c r="N1605" s="116"/>
      <c r="O1605" s="116"/>
      <c r="P1605" s="116"/>
    </row>
    <row r="1606" spans="2:16" s="108" customFormat="1" ht="15" hidden="1" customHeight="1">
      <c r="B1606" s="109"/>
      <c r="C1606" s="122"/>
      <c r="D1606" s="165"/>
      <c r="E1606" s="247"/>
      <c r="F1606" s="125"/>
      <c r="G1606" s="126"/>
      <c r="H1606" s="120"/>
      <c r="I1606" s="120"/>
      <c r="J1606" s="116"/>
      <c r="K1606" s="116"/>
      <c r="L1606" s="116"/>
      <c r="M1606" s="116"/>
      <c r="N1606" s="116"/>
      <c r="O1606" s="116"/>
      <c r="P1606" s="116"/>
    </row>
    <row r="1607" spans="2:16" s="117" customFormat="1" ht="21.75" hidden="1" customHeight="1">
      <c r="B1607" s="118"/>
      <c r="C1607" s="110"/>
      <c r="D1607" s="165" t="s">
        <v>651</v>
      </c>
      <c r="E1607" s="247">
        <f>E1608</f>
        <v>599299000</v>
      </c>
      <c r="F1607" s="129">
        <v>61685777431.099998</v>
      </c>
      <c r="G1607" s="127">
        <f t="shared" si="31"/>
        <v>0.97153513331235497</v>
      </c>
      <c r="H1607" s="120"/>
      <c r="I1607" s="120"/>
      <c r="J1607" s="121"/>
      <c r="K1607" s="121"/>
      <c r="L1607" s="121"/>
      <c r="M1607" s="121"/>
      <c r="N1607" s="121"/>
      <c r="O1607" s="121"/>
      <c r="P1607" s="121"/>
    </row>
    <row r="1608" spans="2:16" s="117" customFormat="1" ht="21.75" hidden="1" customHeight="1">
      <c r="B1608" s="118"/>
      <c r="C1608" s="110"/>
      <c r="D1608" s="165" t="s">
        <v>746</v>
      </c>
      <c r="E1608" s="247">
        <f>E1609</f>
        <v>599299000</v>
      </c>
      <c r="F1608" s="129">
        <v>61685777431.099998</v>
      </c>
      <c r="G1608" s="127">
        <f t="shared" si="31"/>
        <v>0.97153513331235497</v>
      </c>
      <c r="H1608" s="120"/>
      <c r="I1608" s="120"/>
      <c r="J1608" s="121"/>
      <c r="K1608" s="121"/>
      <c r="L1608" s="121"/>
      <c r="M1608" s="121"/>
      <c r="N1608" s="121"/>
      <c r="O1608" s="121"/>
      <c r="P1608" s="121"/>
    </row>
    <row r="1609" spans="2:16" s="108" customFormat="1" ht="33.75" hidden="1" customHeight="1">
      <c r="B1609" s="109"/>
      <c r="C1609" s="122"/>
      <c r="D1609" s="164" t="s">
        <v>1313</v>
      </c>
      <c r="E1609" s="248">
        <v>599299000</v>
      </c>
      <c r="F1609" s="125">
        <v>61685777431.099998</v>
      </c>
      <c r="G1609" s="126">
        <f t="shared" si="31"/>
        <v>0.97153513331235497</v>
      </c>
      <c r="H1609" s="120"/>
      <c r="I1609" s="120"/>
      <c r="J1609" s="116"/>
      <c r="K1609" s="116"/>
      <c r="L1609" s="116"/>
      <c r="M1609" s="116"/>
      <c r="N1609" s="116"/>
      <c r="O1609" s="116"/>
      <c r="P1609" s="116"/>
    </row>
    <row r="1610" spans="2:16" s="108" customFormat="1" ht="15" hidden="1" customHeight="1">
      <c r="B1610" s="109"/>
      <c r="C1610" s="122"/>
      <c r="D1610" s="166"/>
      <c r="E1610" s="125"/>
      <c r="F1610" s="125"/>
      <c r="G1610" s="126"/>
      <c r="H1610" s="120"/>
      <c r="I1610" s="120"/>
      <c r="J1610" s="116"/>
      <c r="K1610" s="116"/>
      <c r="L1610" s="116"/>
      <c r="M1610" s="116"/>
      <c r="N1610" s="116"/>
      <c r="O1610" s="116"/>
      <c r="P1610" s="116"/>
    </row>
    <row r="1611" spans="2:16" s="117" customFormat="1" ht="21.75" hidden="1" customHeight="1">
      <c r="B1611" s="118"/>
      <c r="C1611" s="110" t="s">
        <v>1314</v>
      </c>
      <c r="D1611" s="111" t="s">
        <v>1315</v>
      </c>
      <c r="E1611" s="129">
        <f>+E1612+E1619+E1623+E1627+E1631+E1635+E1639+E1647+E1661+E1665+E1676+E1680+E1689+E1694+E1702</f>
        <v>61939361529.599991</v>
      </c>
      <c r="F1611" s="131">
        <v>1557405258400.0002</v>
      </c>
      <c r="G1611" s="127">
        <f>+E1611/F1611*100</f>
        <v>3.9770869653562988</v>
      </c>
      <c r="H1611" s="120"/>
      <c r="I1611" s="120"/>
      <c r="J1611" s="121"/>
      <c r="K1611" s="121"/>
      <c r="L1611" s="121"/>
      <c r="M1611" s="121"/>
      <c r="N1611" s="121"/>
      <c r="O1611" s="121"/>
      <c r="P1611" s="121"/>
    </row>
    <row r="1612" spans="2:16" s="108" customFormat="1" ht="21.75" hidden="1" customHeight="1">
      <c r="B1612" s="109"/>
      <c r="C1612" s="122"/>
      <c r="D1612" s="111" t="s">
        <v>64</v>
      </c>
      <c r="E1612" s="167">
        <f>+E1613+E1616</f>
        <v>12257120423.08</v>
      </c>
      <c r="F1612" s="125">
        <v>61939361529.599998</v>
      </c>
      <c r="G1612" s="126">
        <f>+E1612/F1612*100</f>
        <v>19.788903405506506</v>
      </c>
      <c r="H1612" s="120"/>
      <c r="I1612" s="120"/>
      <c r="J1612" s="116"/>
      <c r="K1612" s="116"/>
      <c r="L1612" s="116"/>
      <c r="M1612" s="116"/>
      <c r="N1612" s="116"/>
      <c r="O1612" s="116"/>
      <c r="P1612" s="116"/>
    </row>
    <row r="1613" spans="2:16" s="108" customFormat="1" ht="21.75" hidden="1" customHeight="1">
      <c r="B1613" s="109"/>
      <c r="C1613" s="122"/>
      <c r="D1613" s="111" t="s">
        <v>1085</v>
      </c>
      <c r="E1613" s="135">
        <f>SUM(E1614:E1615)</f>
        <v>9995270423.0799999</v>
      </c>
      <c r="F1613" s="125">
        <v>61939361529.599998</v>
      </c>
      <c r="G1613" s="126">
        <f t="shared" ref="G1613:G1676" si="32">+E1613/F1613*100</f>
        <v>16.137186719794315</v>
      </c>
      <c r="H1613" s="120"/>
      <c r="I1613" s="120"/>
      <c r="J1613" s="116"/>
      <c r="K1613" s="116"/>
      <c r="L1613" s="116"/>
      <c r="M1613" s="116"/>
      <c r="N1613" s="116"/>
      <c r="O1613" s="116"/>
      <c r="P1613" s="116"/>
    </row>
    <row r="1614" spans="2:16" s="108" customFormat="1" ht="21.75" hidden="1" customHeight="1">
      <c r="B1614" s="109"/>
      <c r="C1614" s="122"/>
      <c r="D1614" s="123" t="s">
        <v>1316</v>
      </c>
      <c r="E1614" s="168">
        <v>3798000000</v>
      </c>
      <c r="F1614" s="125">
        <v>61939361529.599998</v>
      </c>
      <c r="G1614" s="126">
        <f t="shared" si="32"/>
        <v>6.1318035998562666</v>
      </c>
      <c r="H1614" s="115"/>
      <c r="I1614" s="115"/>
      <c r="J1614" s="116"/>
      <c r="K1614" s="116"/>
      <c r="L1614" s="116"/>
      <c r="M1614" s="116"/>
      <c r="N1614" s="116"/>
      <c r="O1614" s="116"/>
      <c r="P1614" s="116"/>
    </row>
    <row r="1615" spans="2:16" s="108" customFormat="1" ht="35.25" hidden="1" customHeight="1">
      <c r="B1615" s="109"/>
      <c r="C1615" s="122"/>
      <c r="D1615" s="123" t="s">
        <v>1317</v>
      </c>
      <c r="E1615" s="168">
        <v>6197270423.0799999</v>
      </c>
      <c r="F1615" s="125">
        <v>61939361529.599998</v>
      </c>
      <c r="G1615" s="126">
        <f t="shared" si="32"/>
        <v>10.005383119938049</v>
      </c>
      <c r="H1615" s="115"/>
      <c r="I1615" s="115"/>
      <c r="J1615" s="116"/>
      <c r="K1615" s="116"/>
      <c r="L1615" s="116"/>
      <c r="M1615" s="116"/>
      <c r="N1615" s="116"/>
      <c r="O1615" s="116"/>
      <c r="P1615" s="116"/>
    </row>
    <row r="1616" spans="2:16" s="108" customFormat="1" ht="21.75" hidden="1" customHeight="1">
      <c r="B1616" s="109"/>
      <c r="C1616" s="122"/>
      <c r="D1616" s="111" t="s">
        <v>1096</v>
      </c>
      <c r="E1616" s="135">
        <f>SUM(E1617:E1617)</f>
        <v>2261850000</v>
      </c>
      <c r="F1616" s="125">
        <v>61939361529.599998</v>
      </c>
      <c r="G1616" s="126">
        <f t="shared" si="32"/>
        <v>3.6517166857121897</v>
      </c>
      <c r="H1616" s="120"/>
      <c r="I1616" s="120"/>
      <c r="J1616" s="116"/>
      <c r="K1616" s="116"/>
      <c r="L1616" s="116"/>
      <c r="M1616" s="116"/>
      <c r="N1616" s="116"/>
      <c r="O1616" s="116"/>
      <c r="P1616" s="116"/>
    </row>
    <row r="1617" spans="2:16" s="108" customFormat="1" ht="21.75" hidden="1" customHeight="1">
      <c r="B1617" s="109"/>
      <c r="C1617" s="122"/>
      <c r="D1617" s="123" t="s">
        <v>782</v>
      </c>
      <c r="E1617" s="168">
        <v>2261850000</v>
      </c>
      <c r="F1617" s="125">
        <v>61939361529.599998</v>
      </c>
      <c r="G1617" s="126">
        <f t="shared" si="32"/>
        <v>3.6517166857121897</v>
      </c>
      <c r="H1617" s="115"/>
      <c r="I1617" s="115"/>
      <c r="J1617" s="116"/>
      <c r="K1617" s="116"/>
      <c r="L1617" s="116"/>
      <c r="M1617" s="116"/>
      <c r="N1617" s="116"/>
      <c r="O1617" s="116"/>
      <c r="P1617" s="116"/>
    </row>
    <row r="1618" spans="2:16" s="108" customFormat="1" ht="15" hidden="1" customHeight="1">
      <c r="B1618" s="109"/>
      <c r="C1618" s="122"/>
      <c r="D1618" s="111"/>
      <c r="E1618" s="167"/>
      <c r="F1618" s="125"/>
      <c r="G1618" s="126"/>
      <c r="H1618" s="120"/>
      <c r="I1618" s="120"/>
      <c r="J1618" s="116"/>
      <c r="K1618" s="116"/>
      <c r="L1618" s="116"/>
      <c r="M1618" s="116"/>
      <c r="N1618" s="116"/>
      <c r="O1618" s="116"/>
      <c r="P1618" s="116"/>
    </row>
    <row r="1619" spans="2:16" s="108" customFormat="1" ht="21.75" hidden="1" customHeight="1">
      <c r="B1619" s="109"/>
      <c r="C1619" s="122"/>
      <c r="D1619" s="111" t="s">
        <v>65</v>
      </c>
      <c r="E1619" s="167">
        <f>+E1620</f>
        <v>6410724569.7299995</v>
      </c>
      <c r="F1619" s="125">
        <v>61939361529.599998</v>
      </c>
      <c r="G1619" s="126">
        <f t="shared" si="32"/>
        <v>10.350001051700216</v>
      </c>
      <c r="H1619" s="120"/>
      <c r="I1619" s="120"/>
      <c r="J1619" s="116"/>
      <c r="K1619" s="116"/>
      <c r="L1619" s="116"/>
      <c r="M1619" s="116"/>
      <c r="N1619" s="116"/>
      <c r="O1619" s="116"/>
      <c r="P1619" s="116"/>
    </row>
    <row r="1620" spans="2:16" s="108" customFormat="1" ht="21.75" hidden="1" customHeight="1">
      <c r="B1620" s="109"/>
      <c r="C1620" s="122"/>
      <c r="D1620" s="111" t="s">
        <v>597</v>
      </c>
      <c r="E1620" s="135">
        <f>E1621</f>
        <v>6410724569.7299995</v>
      </c>
      <c r="F1620" s="125">
        <v>61939361529.599998</v>
      </c>
      <c r="G1620" s="126">
        <f t="shared" si="32"/>
        <v>10.350001051700216</v>
      </c>
      <c r="H1620" s="120"/>
      <c r="I1620" s="120"/>
      <c r="J1620" s="116"/>
      <c r="K1620" s="116"/>
      <c r="L1620" s="116"/>
      <c r="M1620" s="116"/>
      <c r="N1620" s="116"/>
      <c r="O1620" s="116"/>
      <c r="P1620" s="116"/>
    </row>
    <row r="1621" spans="2:16" s="108" customFormat="1" ht="21.75" hidden="1" customHeight="1">
      <c r="B1621" s="109"/>
      <c r="C1621" s="122"/>
      <c r="D1621" s="123" t="s">
        <v>1318</v>
      </c>
      <c r="E1621" s="168">
        <v>6410724569.7299995</v>
      </c>
      <c r="F1621" s="125">
        <v>61939361529.599998</v>
      </c>
      <c r="G1621" s="126">
        <f t="shared" si="32"/>
        <v>10.350001051700216</v>
      </c>
      <c r="H1621" s="115"/>
      <c r="I1621" s="115"/>
      <c r="J1621" s="116"/>
      <c r="K1621" s="116"/>
      <c r="L1621" s="116"/>
      <c r="M1621" s="116"/>
      <c r="N1621" s="116"/>
      <c r="O1621" s="116"/>
      <c r="P1621" s="116"/>
    </row>
    <row r="1622" spans="2:16" s="108" customFormat="1" ht="15" hidden="1" customHeight="1">
      <c r="B1622" s="109"/>
      <c r="C1622" s="122"/>
      <c r="D1622" s="111"/>
      <c r="E1622" s="167"/>
      <c r="F1622" s="125"/>
      <c r="G1622" s="126"/>
      <c r="H1622" s="120"/>
      <c r="I1622" s="120"/>
      <c r="J1622" s="116"/>
      <c r="K1622" s="116"/>
      <c r="L1622" s="116"/>
      <c r="M1622" s="116"/>
      <c r="N1622" s="116"/>
      <c r="O1622" s="116"/>
      <c r="P1622" s="116"/>
    </row>
    <row r="1623" spans="2:16" s="108" customFormat="1" ht="21.75" hidden="1" customHeight="1">
      <c r="B1623" s="109"/>
      <c r="C1623" s="122"/>
      <c r="D1623" s="111" t="s">
        <v>1319</v>
      </c>
      <c r="E1623" s="167">
        <f>+E1624</f>
        <v>2880180308.4899998</v>
      </c>
      <c r="F1623" s="125">
        <v>61939361529.599998</v>
      </c>
      <c r="G1623" s="126">
        <f t="shared" si="32"/>
        <v>4.6499999957435794</v>
      </c>
      <c r="H1623" s="120"/>
      <c r="I1623" s="120"/>
      <c r="J1623" s="116"/>
      <c r="K1623" s="116"/>
      <c r="L1623" s="116"/>
      <c r="M1623" s="116"/>
      <c r="N1623" s="116"/>
      <c r="O1623" s="116"/>
      <c r="P1623" s="116"/>
    </row>
    <row r="1624" spans="2:16" s="108" customFormat="1" ht="21.75" hidden="1" customHeight="1">
      <c r="B1624" s="109"/>
      <c r="C1624" s="122"/>
      <c r="D1624" s="111" t="s">
        <v>606</v>
      </c>
      <c r="E1624" s="135">
        <f>E1625</f>
        <v>2880180308.4899998</v>
      </c>
      <c r="F1624" s="125">
        <v>61939361529.599998</v>
      </c>
      <c r="G1624" s="126">
        <f t="shared" si="32"/>
        <v>4.6499999957435794</v>
      </c>
      <c r="H1624" s="120"/>
      <c r="I1624" s="120"/>
      <c r="J1624" s="116"/>
      <c r="K1624" s="116"/>
      <c r="L1624" s="116"/>
      <c r="M1624" s="116"/>
      <c r="N1624" s="116"/>
      <c r="O1624" s="116"/>
      <c r="P1624" s="116"/>
    </row>
    <row r="1625" spans="2:16" s="108" customFormat="1" ht="21.75" hidden="1" customHeight="1">
      <c r="B1625" s="109"/>
      <c r="C1625" s="122"/>
      <c r="D1625" s="123" t="s">
        <v>1320</v>
      </c>
      <c r="E1625" s="168">
        <v>2880180308.4899998</v>
      </c>
      <c r="F1625" s="125">
        <v>61939361529.599998</v>
      </c>
      <c r="G1625" s="126">
        <f t="shared" si="32"/>
        <v>4.6499999957435794</v>
      </c>
      <c r="H1625" s="115"/>
      <c r="I1625" s="115"/>
      <c r="J1625" s="116"/>
      <c r="K1625" s="116"/>
      <c r="L1625" s="116"/>
      <c r="M1625" s="116"/>
      <c r="N1625" s="116"/>
      <c r="O1625" s="116"/>
      <c r="P1625" s="116"/>
    </row>
    <row r="1626" spans="2:16" s="108" customFormat="1" ht="15" hidden="1" customHeight="1">
      <c r="B1626" s="109"/>
      <c r="C1626" s="122"/>
      <c r="D1626" s="111"/>
      <c r="E1626" s="167"/>
      <c r="F1626" s="125"/>
      <c r="G1626" s="126"/>
      <c r="H1626" s="120"/>
      <c r="I1626" s="120"/>
      <c r="J1626" s="116"/>
      <c r="K1626" s="116"/>
      <c r="L1626" s="116"/>
      <c r="M1626" s="116"/>
      <c r="N1626" s="116"/>
      <c r="O1626" s="116"/>
      <c r="P1626" s="116"/>
    </row>
    <row r="1627" spans="2:16" s="108" customFormat="1" ht="21.75" hidden="1" customHeight="1">
      <c r="B1627" s="109"/>
      <c r="C1627" s="122"/>
      <c r="D1627" s="111" t="s">
        <v>610</v>
      </c>
      <c r="E1627" s="167">
        <f>+E1628</f>
        <v>3553384397.5100002</v>
      </c>
      <c r="F1627" s="125">
        <v>61939361529.599998</v>
      </c>
      <c r="G1627" s="126">
        <f t="shared" si="32"/>
        <v>5.7368760506384699</v>
      </c>
      <c r="H1627" s="120"/>
      <c r="I1627" s="120"/>
      <c r="J1627" s="116"/>
      <c r="K1627" s="116"/>
      <c r="L1627" s="116"/>
      <c r="M1627" s="116"/>
      <c r="N1627" s="116"/>
      <c r="O1627" s="116"/>
      <c r="P1627" s="116"/>
    </row>
    <row r="1628" spans="2:16" s="108" customFormat="1" ht="21.75" hidden="1" customHeight="1">
      <c r="B1628" s="109"/>
      <c r="C1628" s="122"/>
      <c r="D1628" s="111" t="s">
        <v>1321</v>
      </c>
      <c r="E1628" s="135">
        <f>E1629</f>
        <v>3553384397.5100002</v>
      </c>
      <c r="F1628" s="125">
        <v>61939361529.599998</v>
      </c>
      <c r="G1628" s="126">
        <f t="shared" si="32"/>
        <v>5.7368760506384699</v>
      </c>
      <c r="H1628" s="120"/>
      <c r="I1628" s="120"/>
      <c r="J1628" s="116"/>
      <c r="K1628" s="116"/>
      <c r="L1628" s="116"/>
      <c r="M1628" s="116"/>
      <c r="N1628" s="116"/>
      <c r="O1628" s="116"/>
      <c r="P1628" s="116"/>
    </row>
    <row r="1629" spans="2:16" s="108" customFormat="1" ht="32.25" hidden="1" customHeight="1">
      <c r="B1629" s="109"/>
      <c r="C1629" s="122"/>
      <c r="D1629" s="123" t="s">
        <v>1322</v>
      </c>
      <c r="E1629" s="168">
        <v>3553384397.5100002</v>
      </c>
      <c r="F1629" s="125">
        <v>61939361529.599998</v>
      </c>
      <c r="G1629" s="126">
        <f t="shared" si="32"/>
        <v>5.7368760506384699</v>
      </c>
      <c r="H1629" s="115"/>
      <c r="I1629" s="115"/>
      <c r="J1629" s="116"/>
      <c r="K1629" s="116"/>
      <c r="L1629" s="116"/>
      <c r="M1629" s="116"/>
      <c r="N1629" s="116"/>
      <c r="O1629" s="116"/>
      <c r="P1629" s="116"/>
    </row>
    <row r="1630" spans="2:16" s="108" customFormat="1" ht="15" hidden="1" customHeight="1">
      <c r="B1630" s="109"/>
      <c r="C1630" s="122"/>
      <c r="D1630" s="111"/>
      <c r="E1630" s="167"/>
      <c r="F1630" s="125"/>
      <c r="G1630" s="126"/>
      <c r="H1630" s="120"/>
      <c r="I1630" s="120"/>
      <c r="J1630" s="116"/>
      <c r="K1630" s="116"/>
      <c r="L1630" s="116"/>
      <c r="M1630" s="116"/>
      <c r="N1630" s="116"/>
      <c r="O1630" s="116"/>
      <c r="P1630" s="116"/>
    </row>
    <row r="1631" spans="2:16" s="108" customFormat="1" ht="21.75" hidden="1" customHeight="1">
      <c r="B1631" s="109"/>
      <c r="C1631" s="122"/>
      <c r="D1631" s="111" t="s">
        <v>1323</v>
      </c>
      <c r="E1631" s="167">
        <f>+E1632</f>
        <v>6649623635.0500002</v>
      </c>
      <c r="F1631" s="125">
        <v>61939361529.599998</v>
      </c>
      <c r="G1631" s="126">
        <f t="shared" si="32"/>
        <v>10.735699353103977</v>
      </c>
      <c r="H1631" s="120"/>
      <c r="I1631" s="120"/>
      <c r="J1631" s="116"/>
      <c r="K1631" s="116"/>
      <c r="L1631" s="116"/>
      <c r="M1631" s="116"/>
      <c r="N1631" s="116"/>
      <c r="O1631" s="116"/>
      <c r="P1631" s="116"/>
    </row>
    <row r="1632" spans="2:16" s="108" customFormat="1" ht="21.75" hidden="1" customHeight="1">
      <c r="B1632" s="109"/>
      <c r="C1632" s="122"/>
      <c r="D1632" s="150" t="s">
        <v>1324</v>
      </c>
      <c r="E1632" s="135">
        <f>SUM(E1633:E1633)</f>
        <v>6649623635.0500002</v>
      </c>
      <c r="F1632" s="125">
        <v>61939361529.599998</v>
      </c>
      <c r="G1632" s="126">
        <f t="shared" si="32"/>
        <v>10.735699353103977</v>
      </c>
      <c r="H1632" s="120"/>
      <c r="I1632" s="120"/>
      <c r="J1632" s="116"/>
      <c r="K1632" s="116"/>
      <c r="L1632" s="116"/>
      <c r="M1632" s="116"/>
      <c r="N1632" s="116"/>
      <c r="O1632" s="116"/>
      <c r="P1632" s="116"/>
    </row>
    <row r="1633" spans="2:16" s="108" customFormat="1" ht="21.75" hidden="1" customHeight="1">
      <c r="B1633" s="109"/>
      <c r="C1633" s="122"/>
      <c r="D1633" s="123" t="s">
        <v>1325</v>
      </c>
      <c r="E1633" s="168">
        <v>6649623635.0500002</v>
      </c>
      <c r="F1633" s="125">
        <v>61939361529.599998</v>
      </c>
      <c r="G1633" s="126">
        <f t="shared" si="32"/>
        <v>10.735699353103977</v>
      </c>
      <c r="H1633" s="115"/>
      <c r="I1633" s="115"/>
      <c r="J1633" s="116"/>
      <c r="K1633" s="116"/>
      <c r="L1633" s="116"/>
      <c r="M1633" s="116"/>
      <c r="N1633" s="116"/>
      <c r="O1633" s="116"/>
      <c r="P1633" s="116"/>
    </row>
    <row r="1634" spans="2:16" s="108" customFormat="1" ht="15" hidden="1" customHeight="1">
      <c r="B1634" s="109"/>
      <c r="C1634" s="122"/>
      <c r="D1634" s="111"/>
      <c r="E1634" s="167"/>
      <c r="F1634" s="125"/>
      <c r="G1634" s="126"/>
      <c r="H1634" s="120"/>
      <c r="I1634" s="120"/>
      <c r="J1634" s="116"/>
      <c r="K1634" s="116"/>
      <c r="L1634" s="116"/>
      <c r="M1634" s="116"/>
      <c r="N1634" s="116"/>
      <c r="O1634" s="116"/>
      <c r="P1634" s="116"/>
    </row>
    <row r="1635" spans="2:16" s="108" customFormat="1" ht="21.75" hidden="1" customHeight="1">
      <c r="B1635" s="109"/>
      <c r="C1635" s="122"/>
      <c r="D1635" s="111" t="s">
        <v>642</v>
      </c>
      <c r="E1635" s="167">
        <f>+E1636</f>
        <v>2344275509.6199999</v>
      </c>
      <c r="F1635" s="125">
        <v>61939361529.599998</v>
      </c>
      <c r="G1635" s="126">
        <f t="shared" si="32"/>
        <v>3.7847912082524484</v>
      </c>
      <c r="H1635" s="120"/>
      <c r="I1635" s="120"/>
      <c r="J1635" s="116"/>
      <c r="K1635" s="116"/>
      <c r="L1635" s="116"/>
      <c r="M1635" s="116"/>
      <c r="N1635" s="116"/>
      <c r="O1635" s="116"/>
      <c r="P1635" s="116"/>
    </row>
    <row r="1636" spans="2:16" s="108" customFormat="1" ht="21.75" hidden="1" customHeight="1">
      <c r="B1636" s="109"/>
      <c r="C1636" s="122"/>
      <c r="D1636" s="111" t="s">
        <v>1326</v>
      </c>
      <c r="E1636" s="135">
        <f>E1637</f>
        <v>2344275509.6199999</v>
      </c>
      <c r="F1636" s="125">
        <v>61939361529.599998</v>
      </c>
      <c r="G1636" s="126">
        <f t="shared" si="32"/>
        <v>3.7847912082524484</v>
      </c>
      <c r="H1636" s="120"/>
      <c r="I1636" s="120"/>
      <c r="J1636" s="116"/>
      <c r="K1636" s="116"/>
      <c r="L1636" s="116"/>
      <c r="M1636" s="116"/>
      <c r="N1636" s="116"/>
      <c r="O1636" s="116"/>
      <c r="P1636" s="116"/>
    </row>
    <row r="1637" spans="2:16" s="108" customFormat="1" ht="21.75" hidden="1" customHeight="1">
      <c r="B1637" s="109"/>
      <c r="C1637" s="122"/>
      <c r="D1637" s="123" t="s">
        <v>1327</v>
      </c>
      <c r="E1637" s="168">
        <v>2344275509.6199999</v>
      </c>
      <c r="F1637" s="125">
        <v>61939361529.599998</v>
      </c>
      <c r="G1637" s="126">
        <f t="shared" si="32"/>
        <v>3.7847912082524484</v>
      </c>
      <c r="H1637" s="115"/>
      <c r="I1637" s="115"/>
      <c r="J1637" s="116"/>
      <c r="K1637" s="116"/>
      <c r="L1637" s="116"/>
      <c r="M1637" s="116"/>
      <c r="N1637" s="116"/>
      <c r="O1637" s="116"/>
      <c r="P1637" s="116"/>
    </row>
    <row r="1638" spans="2:16" s="108" customFormat="1" ht="15" hidden="1" customHeight="1">
      <c r="B1638" s="109"/>
      <c r="C1638" s="122"/>
      <c r="D1638" s="111"/>
      <c r="E1638" s="167"/>
      <c r="F1638" s="125"/>
      <c r="G1638" s="126"/>
      <c r="H1638" s="120"/>
      <c r="I1638" s="120"/>
      <c r="J1638" s="116"/>
      <c r="K1638" s="116"/>
      <c r="L1638" s="116"/>
      <c r="M1638" s="116"/>
      <c r="N1638" s="116"/>
      <c r="O1638" s="116"/>
      <c r="P1638" s="116"/>
    </row>
    <row r="1639" spans="2:16" s="108" customFormat="1" ht="21.75" hidden="1" customHeight="1">
      <c r="B1639" s="109"/>
      <c r="C1639" s="122"/>
      <c r="D1639" s="111" t="s">
        <v>1131</v>
      </c>
      <c r="E1639" s="167">
        <f>+E1640+E1643</f>
        <v>1372086051.46</v>
      </c>
      <c r="F1639" s="125">
        <v>61939361529.599998</v>
      </c>
      <c r="G1639" s="126">
        <f t="shared" si="32"/>
        <v>2.2152085807411792</v>
      </c>
      <c r="H1639" s="120"/>
      <c r="I1639" s="120"/>
      <c r="J1639" s="116"/>
      <c r="K1639" s="116"/>
      <c r="L1639" s="116"/>
      <c r="M1639" s="116"/>
      <c r="N1639" s="116"/>
      <c r="O1639" s="116"/>
      <c r="P1639" s="116"/>
    </row>
    <row r="1640" spans="2:16" s="108" customFormat="1" ht="21.75" hidden="1" customHeight="1">
      <c r="B1640" s="109"/>
      <c r="C1640" s="122"/>
      <c r="D1640" s="150" t="s">
        <v>1328</v>
      </c>
      <c r="E1640" s="135">
        <f>SUM(E1641:E1642)</f>
        <v>314466346</v>
      </c>
      <c r="F1640" s="125">
        <v>61939361529.599998</v>
      </c>
      <c r="G1640" s="126">
        <f t="shared" si="32"/>
        <v>0.50770033502802692</v>
      </c>
      <c r="H1640" s="120"/>
      <c r="I1640" s="120"/>
      <c r="J1640" s="116"/>
      <c r="K1640" s="116"/>
      <c r="L1640" s="116"/>
      <c r="M1640" s="116"/>
      <c r="N1640" s="116"/>
      <c r="O1640" s="116"/>
      <c r="P1640" s="116"/>
    </row>
    <row r="1641" spans="2:16" s="108" customFormat="1" ht="39.75" hidden="1" customHeight="1">
      <c r="B1641" s="109"/>
      <c r="C1641" s="122"/>
      <c r="D1641" s="123" t="s">
        <v>1329</v>
      </c>
      <c r="E1641" s="168">
        <v>168610456</v>
      </c>
      <c r="F1641" s="125">
        <v>61939361529.599998</v>
      </c>
      <c r="G1641" s="126">
        <f t="shared" si="32"/>
        <v>0.27221858901374579</v>
      </c>
      <c r="H1641" s="115"/>
      <c r="I1641" s="115"/>
      <c r="J1641" s="116"/>
      <c r="K1641" s="116"/>
      <c r="L1641" s="116"/>
      <c r="M1641" s="116"/>
      <c r="N1641" s="116"/>
      <c r="O1641" s="116"/>
      <c r="P1641" s="116"/>
    </row>
    <row r="1642" spans="2:16" s="108" customFormat="1" ht="21.75" hidden="1" customHeight="1">
      <c r="B1642" s="109"/>
      <c r="C1642" s="122"/>
      <c r="D1642" s="123" t="s">
        <v>1330</v>
      </c>
      <c r="E1642" s="168">
        <v>145855890</v>
      </c>
      <c r="F1642" s="125">
        <v>61939361529.599998</v>
      </c>
      <c r="G1642" s="126">
        <f t="shared" si="32"/>
        <v>0.2354817460142811</v>
      </c>
      <c r="H1642" s="115"/>
      <c r="I1642" s="115"/>
      <c r="J1642" s="116"/>
      <c r="K1642" s="116"/>
      <c r="L1642" s="116"/>
      <c r="M1642" s="116"/>
      <c r="N1642" s="116"/>
      <c r="O1642" s="116"/>
      <c r="P1642" s="116"/>
    </row>
    <row r="1643" spans="2:16" s="108" customFormat="1" ht="35.25" hidden="1" customHeight="1">
      <c r="B1643" s="109"/>
      <c r="C1643" s="122"/>
      <c r="D1643" s="111" t="s">
        <v>1331</v>
      </c>
      <c r="E1643" s="135">
        <f>SUM(E1644:E1645)</f>
        <v>1057619705.46</v>
      </c>
      <c r="F1643" s="125">
        <v>61939361529.599998</v>
      </c>
      <c r="G1643" s="126">
        <f t="shared" si="32"/>
        <v>1.7075082457131523</v>
      </c>
      <c r="H1643" s="120"/>
      <c r="I1643" s="120"/>
      <c r="J1643" s="116"/>
      <c r="K1643" s="116"/>
      <c r="L1643" s="116"/>
      <c r="M1643" s="116"/>
      <c r="N1643" s="116"/>
      <c r="O1643" s="116"/>
      <c r="P1643" s="116"/>
    </row>
    <row r="1644" spans="2:16" s="108" customFormat="1" ht="21.75" hidden="1" customHeight="1">
      <c r="B1644" s="109"/>
      <c r="C1644" s="122"/>
      <c r="D1644" s="123" t="s">
        <v>1332</v>
      </c>
      <c r="E1644" s="696">
        <v>184914585.46000001</v>
      </c>
      <c r="F1644" s="125">
        <v>61939361529.599998</v>
      </c>
      <c r="G1644" s="126">
        <f t="shared" si="32"/>
        <v>0.29854131669024675</v>
      </c>
      <c r="H1644" s="115"/>
      <c r="I1644" s="115"/>
      <c r="J1644" s="116"/>
      <c r="K1644" s="116"/>
      <c r="L1644" s="116"/>
      <c r="M1644" s="116"/>
      <c r="N1644" s="116"/>
      <c r="O1644" s="116"/>
      <c r="P1644" s="116"/>
    </row>
    <row r="1645" spans="2:16" s="108" customFormat="1" ht="36" hidden="1" customHeight="1">
      <c r="B1645" s="109"/>
      <c r="C1645" s="122"/>
      <c r="D1645" s="123" t="s">
        <v>1333</v>
      </c>
      <c r="E1645" s="696">
        <v>872705120</v>
      </c>
      <c r="F1645" s="125">
        <v>61939361529.599998</v>
      </c>
      <c r="G1645" s="126">
        <f t="shared" si="32"/>
        <v>1.4089669290229054</v>
      </c>
      <c r="H1645" s="115"/>
      <c r="I1645" s="115"/>
      <c r="J1645" s="116"/>
      <c r="K1645" s="116"/>
      <c r="L1645" s="116"/>
      <c r="M1645" s="116"/>
      <c r="N1645" s="116"/>
      <c r="O1645" s="116"/>
      <c r="P1645" s="116"/>
    </row>
    <row r="1646" spans="2:16" s="108" customFormat="1" ht="15" hidden="1" customHeight="1">
      <c r="B1646" s="109"/>
      <c r="C1646" s="122"/>
      <c r="D1646" s="111"/>
      <c r="E1646" s="167"/>
      <c r="F1646" s="125"/>
      <c r="G1646" s="126"/>
      <c r="H1646" s="120"/>
      <c r="I1646" s="120"/>
      <c r="J1646" s="116"/>
      <c r="K1646" s="116"/>
      <c r="L1646" s="116"/>
      <c r="M1646" s="116"/>
      <c r="N1646" s="116"/>
      <c r="O1646" s="116"/>
      <c r="P1646" s="116"/>
    </row>
    <row r="1647" spans="2:16" s="108" customFormat="1" ht="21.75" hidden="1" customHeight="1">
      <c r="B1647" s="109"/>
      <c r="C1647" s="122"/>
      <c r="D1647" s="111" t="s">
        <v>1334</v>
      </c>
      <c r="E1647" s="167">
        <f>+E1648+E1650+E1653+E1657</f>
        <v>6928185625.7200003</v>
      </c>
      <c r="F1647" s="125">
        <v>61939361529.599998</v>
      </c>
      <c r="G1647" s="126">
        <f t="shared" si="32"/>
        <v>11.185432743618309</v>
      </c>
      <c r="H1647" s="120"/>
      <c r="I1647" s="120"/>
      <c r="J1647" s="116"/>
      <c r="K1647" s="116"/>
      <c r="L1647" s="116"/>
      <c r="M1647" s="116"/>
      <c r="N1647" s="116"/>
      <c r="O1647" s="116"/>
      <c r="P1647" s="116"/>
    </row>
    <row r="1648" spans="2:16" s="108" customFormat="1" ht="21.75" hidden="1" customHeight="1">
      <c r="B1648" s="109"/>
      <c r="C1648" s="122"/>
      <c r="D1648" s="111" t="s">
        <v>1335</v>
      </c>
      <c r="E1648" s="135">
        <f>SUM(E1649:E1649)</f>
        <v>533326000</v>
      </c>
      <c r="F1648" s="125">
        <v>61939361529.599998</v>
      </c>
      <c r="G1648" s="126">
        <f t="shared" si="32"/>
        <v>0.86104536247944785</v>
      </c>
      <c r="H1648" s="120"/>
      <c r="I1648" s="120"/>
      <c r="J1648" s="116"/>
      <c r="K1648" s="116"/>
      <c r="L1648" s="116"/>
      <c r="M1648" s="116"/>
      <c r="N1648" s="116"/>
      <c r="O1648" s="116"/>
      <c r="P1648" s="116"/>
    </row>
    <row r="1649" spans="2:16" s="108" customFormat="1" ht="21.75" hidden="1" customHeight="1">
      <c r="B1649" s="109"/>
      <c r="C1649" s="122"/>
      <c r="D1649" s="123" t="s">
        <v>1336</v>
      </c>
      <c r="E1649" s="696">
        <v>533326000</v>
      </c>
      <c r="F1649" s="125">
        <v>61939361529.599998</v>
      </c>
      <c r="G1649" s="126">
        <f t="shared" si="32"/>
        <v>0.86104536247944785</v>
      </c>
      <c r="H1649" s="120"/>
      <c r="I1649" s="120"/>
      <c r="J1649" s="116"/>
      <c r="K1649" s="116"/>
      <c r="L1649" s="116"/>
      <c r="M1649" s="116"/>
      <c r="N1649" s="116"/>
      <c r="O1649" s="116"/>
      <c r="P1649" s="116"/>
    </row>
    <row r="1650" spans="2:16" s="108" customFormat="1" ht="21.75" hidden="1" customHeight="1">
      <c r="B1650" s="109"/>
      <c r="C1650" s="122"/>
      <c r="D1650" s="111" t="s">
        <v>1337</v>
      </c>
      <c r="E1650" s="135">
        <f>SUM(E1651:E1652)</f>
        <v>1088308625.72</v>
      </c>
      <c r="F1650" s="125">
        <v>61939361529.599998</v>
      </c>
      <c r="G1650" s="126">
        <f t="shared" si="32"/>
        <v>1.7570549628605905</v>
      </c>
      <c r="H1650" s="120"/>
      <c r="I1650" s="120"/>
      <c r="J1650" s="116"/>
      <c r="K1650" s="116"/>
      <c r="L1650" s="116"/>
      <c r="M1650" s="116"/>
      <c r="N1650" s="116"/>
      <c r="O1650" s="116"/>
      <c r="P1650" s="116"/>
    </row>
    <row r="1651" spans="2:16" s="108" customFormat="1" ht="21.75" hidden="1" customHeight="1">
      <c r="B1651" s="109"/>
      <c r="C1651" s="122"/>
      <c r="D1651" s="123" t="s">
        <v>1338</v>
      </c>
      <c r="E1651" s="696">
        <v>184890625.72</v>
      </c>
      <c r="F1651" s="125">
        <v>61939361529.599998</v>
      </c>
      <c r="G1651" s="126">
        <f t="shared" si="32"/>
        <v>0.29850263411521155</v>
      </c>
      <c r="H1651" s="120"/>
      <c r="I1651" s="120"/>
      <c r="J1651" s="116"/>
      <c r="K1651" s="116"/>
      <c r="L1651" s="116"/>
      <c r="M1651" s="116"/>
      <c r="N1651" s="116"/>
      <c r="O1651" s="116"/>
      <c r="P1651" s="116"/>
    </row>
    <row r="1652" spans="2:16" s="108" customFormat="1" ht="21.75" hidden="1" customHeight="1">
      <c r="B1652" s="109"/>
      <c r="C1652" s="122"/>
      <c r="D1652" s="123" t="s">
        <v>1339</v>
      </c>
      <c r="E1652" s="696">
        <v>903418000</v>
      </c>
      <c r="F1652" s="125">
        <v>61939361529.599998</v>
      </c>
      <c r="G1652" s="126">
        <f t="shared" si="32"/>
        <v>1.4585523287453788</v>
      </c>
      <c r="H1652" s="120"/>
      <c r="I1652" s="120"/>
      <c r="J1652" s="116"/>
      <c r="K1652" s="116"/>
      <c r="L1652" s="116"/>
      <c r="M1652" s="116"/>
      <c r="N1652" s="116"/>
      <c r="O1652" s="116"/>
      <c r="P1652" s="116"/>
    </row>
    <row r="1653" spans="2:16" s="108" customFormat="1" ht="21.75" hidden="1" customHeight="1">
      <c r="B1653" s="109"/>
      <c r="C1653" s="122"/>
      <c r="D1653" s="111" t="s">
        <v>1340</v>
      </c>
      <c r="E1653" s="135">
        <f>SUM(E1654:E1656)</f>
        <v>3727810000</v>
      </c>
      <c r="F1653" s="125">
        <v>61939361529.599998</v>
      </c>
      <c r="G1653" s="126">
        <f t="shared" si="32"/>
        <v>6.0184830904634516</v>
      </c>
      <c r="H1653" s="120"/>
      <c r="I1653" s="120"/>
      <c r="J1653" s="116"/>
      <c r="K1653" s="116"/>
      <c r="L1653" s="116"/>
      <c r="M1653" s="116"/>
      <c r="N1653" s="116"/>
      <c r="O1653" s="116"/>
      <c r="P1653" s="116"/>
    </row>
    <row r="1654" spans="2:16" s="108" customFormat="1" ht="21.75" hidden="1" customHeight="1">
      <c r="B1654" s="109"/>
      <c r="C1654" s="122"/>
      <c r="D1654" s="123" t="s">
        <v>1341</v>
      </c>
      <c r="E1654" s="696">
        <v>475606000</v>
      </c>
      <c r="F1654" s="125">
        <v>61939361529.599998</v>
      </c>
      <c r="G1654" s="126">
        <f t="shared" si="32"/>
        <v>0.76785744679126888</v>
      </c>
      <c r="H1654" s="120"/>
      <c r="I1654" s="120"/>
      <c r="J1654" s="116"/>
      <c r="K1654" s="116"/>
      <c r="L1654" s="116"/>
      <c r="M1654" s="116"/>
      <c r="N1654" s="116"/>
      <c r="O1654" s="116"/>
      <c r="P1654" s="116"/>
    </row>
    <row r="1655" spans="2:16" s="108" customFormat="1" ht="21.75" hidden="1" customHeight="1">
      <c r="B1655" s="109"/>
      <c r="C1655" s="122"/>
      <c r="D1655" s="123" t="s">
        <v>1342</v>
      </c>
      <c r="E1655" s="696">
        <v>168000000</v>
      </c>
      <c r="F1655" s="125">
        <v>61939361529.599998</v>
      </c>
      <c r="G1655" s="126">
        <f t="shared" si="32"/>
        <v>0.2712330186350323</v>
      </c>
      <c r="H1655" s="120"/>
      <c r="I1655" s="120"/>
      <c r="J1655" s="116"/>
      <c r="K1655" s="116"/>
      <c r="L1655" s="116"/>
      <c r="M1655" s="116"/>
      <c r="N1655" s="116"/>
      <c r="O1655" s="116"/>
      <c r="P1655" s="116"/>
    </row>
    <row r="1656" spans="2:16" s="108" customFormat="1" ht="21.75" hidden="1" customHeight="1">
      <c r="B1656" s="109"/>
      <c r="C1656" s="122"/>
      <c r="D1656" s="123" t="s">
        <v>1343</v>
      </c>
      <c r="E1656" s="696">
        <v>3084204000</v>
      </c>
      <c r="F1656" s="125">
        <v>61939361529.599998</v>
      </c>
      <c r="G1656" s="126">
        <f t="shared" si="32"/>
        <v>4.9793926250371507</v>
      </c>
      <c r="H1656" s="120"/>
      <c r="I1656" s="120"/>
      <c r="J1656" s="116"/>
      <c r="K1656" s="116"/>
      <c r="L1656" s="116"/>
      <c r="M1656" s="116"/>
      <c r="N1656" s="116"/>
      <c r="O1656" s="116"/>
      <c r="P1656" s="116"/>
    </row>
    <row r="1657" spans="2:16" s="108" customFormat="1" ht="21.75" hidden="1" customHeight="1">
      <c r="B1657" s="109"/>
      <c r="C1657" s="122"/>
      <c r="D1657" s="111" t="s">
        <v>1344</v>
      </c>
      <c r="E1657" s="135">
        <f>SUM(E1658:E1659)</f>
        <v>1578741000</v>
      </c>
      <c r="F1657" s="125">
        <v>61939361529.599998</v>
      </c>
      <c r="G1657" s="126">
        <f t="shared" si="32"/>
        <v>2.5488493278148185</v>
      </c>
      <c r="H1657" s="120"/>
      <c r="I1657" s="120"/>
      <c r="J1657" s="116"/>
      <c r="K1657" s="116"/>
      <c r="L1657" s="116"/>
      <c r="M1657" s="116"/>
      <c r="N1657" s="116"/>
      <c r="O1657" s="116"/>
      <c r="P1657" s="116"/>
    </row>
    <row r="1658" spans="2:16" s="108" customFormat="1" ht="21.75" hidden="1" customHeight="1">
      <c r="B1658" s="109"/>
      <c r="C1658" s="122"/>
      <c r="D1658" s="123" t="s">
        <v>1345</v>
      </c>
      <c r="E1658" s="696">
        <v>843009000</v>
      </c>
      <c r="F1658" s="125">
        <v>61939361529.599998</v>
      </c>
      <c r="G1658" s="126">
        <f t="shared" si="32"/>
        <v>1.3610230702767856</v>
      </c>
      <c r="H1658" s="120"/>
      <c r="I1658" s="120"/>
      <c r="J1658" s="116"/>
      <c r="K1658" s="116"/>
      <c r="L1658" s="116"/>
      <c r="M1658" s="116"/>
      <c r="N1658" s="116"/>
      <c r="O1658" s="116"/>
      <c r="P1658" s="116"/>
    </row>
    <row r="1659" spans="2:16" s="108" customFormat="1" ht="21.75" hidden="1" customHeight="1">
      <c r="B1659" s="109"/>
      <c r="C1659" s="122"/>
      <c r="D1659" s="123" t="s">
        <v>1346</v>
      </c>
      <c r="E1659" s="696">
        <v>735732000</v>
      </c>
      <c r="F1659" s="125">
        <v>61939361529.599998</v>
      </c>
      <c r="G1659" s="126">
        <f t="shared" si="32"/>
        <v>1.1878262575380332</v>
      </c>
      <c r="H1659" s="120"/>
      <c r="I1659" s="120"/>
      <c r="J1659" s="116"/>
      <c r="K1659" s="116"/>
      <c r="L1659" s="116"/>
      <c r="M1659" s="116"/>
      <c r="N1659" s="116"/>
      <c r="O1659" s="116"/>
      <c r="P1659" s="116"/>
    </row>
    <row r="1660" spans="2:16" s="108" customFormat="1" ht="15" hidden="1" customHeight="1">
      <c r="B1660" s="109"/>
      <c r="C1660" s="122"/>
      <c r="D1660" s="111"/>
      <c r="E1660" s="167"/>
      <c r="F1660" s="125"/>
      <c r="G1660" s="126"/>
      <c r="H1660" s="120"/>
      <c r="I1660" s="120"/>
      <c r="J1660" s="116"/>
      <c r="K1660" s="116"/>
      <c r="L1660" s="116"/>
      <c r="M1660" s="116"/>
      <c r="N1660" s="116"/>
      <c r="O1660" s="116"/>
      <c r="P1660" s="116"/>
    </row>
    <row r="1661" spans="2:16" s="108" customFormat="1" ht="21.75" hidden="1" customHeight="1">
      <c r="B1661" s="109"/>
      <c r="C1661" s="122"/>
      <c r="D1661" s="111" t="s">
        <v>1347</v>
      </c>
      <c r="E1661" s="167">
        <f>+E1662</f>
        <v>2184853053.5900002</v>
      </c>
      <c r="F1661" s="125">
        <v>61939361529.599998</v>
      </c>
      <c r="G1661" s="126">
        <f t="shared" si="32"/>
        <v>3.5274064821379985</v>
      </c>
      <c r="H1661" s="120"/>
      <c r="I1661" s="120"/>
      <c r="J1661" s="116"/>
      <c r="K1661" s="116"/>
      <c r="L1661" s="116"/>
      <c r="M1661" s="116"/>
      <c r="N1661" s="116"/>
      <c r="O1661" s="116"/>
      <c r="P1661" s="116"/>
    </row>
    <row r="1662" spans="2:16" s="108" customFormat="1" ht="21.75" hidden="1" customHeight="1">
      <c r="B1662" s="109"/>
      <c r="C1662" s="122"/>
      <c r="D1662" s="111" t="s">
        <v>1348</v>
      </c>
      <c r="E1662" s="135">
        <f>E1663</f>
        <v>2184853053.5900002</v>
      </c>
      <c r="F1662" s="125">
        <v>61939361529.599998</v>
      </c>
      <c r="G1662" s="126">
        <f t="shared" si="32"/>
        <v>3.5274064821379985</v>
      </c>
      <c r="H1662" s="120"/>
      <c r="I1662" s="120"/>
      <c r="J1662" s="116"/>
      <c r="K1662" s="116"/>
      <c r="L1662" s="116"/>
      <c r="M1662" s="116"/>
      <c r="N1662" s="116"/>
      <c r="O1662" s="116"/>
      <c r="P1662" s="116"/>
    </row>
    <row r="1663" spans="2:16" s="108" customFormat="1" ht="21.75" hidden="1" customHeight="1">
      <c r="B1663" s="109"/>
      <c r="C1663" s="122"/>
      <c r="D1663" s="123" t="s">
        <v>1349</v>
      </c>
      <c r="E1663" s="696">
        <v>2184853053.5900002</v>
      </c>
      <c r="F1663" s="125">
        <v>61939361529.599998</v>
      </c>
      <c r="G1663" s="126">
        <f t="shared" si="32"/>
        <v>3.5274064821379985</v>
      </c>
      <c r="H1663" s="120"/>
      <c r="I1663" s="120"/>
      <c r="J1663" s="116"/>
      <c r="K1663" s="116"/>
      <c r="L1663" s="116"/>
      <c r="M1663" s="116"/>
      <c r="N1663" s="116"/>
      <c r="O1663" s="116"/>
      <c r="P1663" s="116"/>
    </row>
    <row r="1664" spans="2:16" s="108" customFormat="1" ht="15" hidden="1" customHeight="1">
      <c r="B1664" s="109"/>
      <c r="C1664" s="122"/>
      <c r="D1664" s="111"/>
      <c r="E1664" s="167"/>
      <c r="F1664" s="125"/>
      <c r="G1664" s="126"/>
      <c r="H1664" s="120"/>
      <c r="I1664" s="120"/>
      <c r="J1664" s="116"/>
      <c r="K1664" s="116"/>
      <c r="L1664" s="116"/>
      <c r="M1664" s="116"/>
      <c r="N1664" s="116"/>
      <c r="O1664" s="116"/>
      <c r="P1664" s="116"/>
    </row>
    <row r="1665" spans="2:16" s="108" customFormat="1" ht="21.75" hidden="1" customHeight="1">
      <c r="B1665" s="109"/>
      <c r="C1665" s="122"/>
      <c r="D1665" s="111" t="s">
        <v>617</v>
      </c>
      <c r="E1665" s="167">
        <f>+E1666+E1668+E1670+E1673</f>
        <v>5274669042.21</v>
      </c>
      <c r="F1665" s="125">
        <v>61939361529.599998</v>
      </c>
      <c r="G1665" s="126">
        <f t="shared" si="32"/>
        <v>8.5158595632105545</v>
      </c>
      <c r="H1665" s="120"/>
      <c r="I1665" s="120"/>
      <c r="J1665" s="116"/>
      <c r="K1665" s="116"/>
      <c r="L1665" s="116"/>
      <c r="M1665" s="116"/>
      <c r="N1665" s="116"/>
      <c r="O1665" s="116"/>
      <c r="P1665" s="116"/>
    </row>
    <row r="1666" spans="2:16" s="108" customFormat="1" ht="21.75" hidden="1" customHeight="1">
      <c r="B1666" s="109"/>
      <c r="C1666" s="122"/>
      <c r="D1666" s="111" t="s">
        <v>1350</v>
      </c>
      <c r="E1666" s="135">
        <f>E1667</f>
        <v>558503000</v>
      </c>
      <c r="F1666" s="125">
        <v>61939361529.599998</v>
      </c>
      <c r="G1666" s="126">
        <f t="shared" si="32"/>
        <v>0.90169318218286576</v>
      </c>
      <c r="H1666" s="120"/>
      <c r="I1666" s="120"/>
      <c r="J1666" s="116"/>
      <c r="K1666" s="116"/>
      <c r="L1666" s="116"/>
      <c r="M1666" s="116"/>
      <c r="N1666" s="116"/>
      <c r="O1666" s="116"/>
      <c r="P1666" s="116"/>
    </row>
    <row r="1667" spans="2:16" s="108" customFormat="1" ht="21.75" hidden="1" customHeight="1">
      <c r="B1667" s="109"/>
      <c r="C1667" s="122"/>
      <c r="D1667" s="123" t="s">
        <v>1351</v>
      </c>
      <c r="E1667" s="696">
        <v>558503000</v>
      </c>
      <c r="F1667" s="125">
        <v>61939361529.599998</v>
      </c>
      <c r="G1667" s="126">
        <f t="shared" si="32"/>
        <v>0.90169318218286576</v>
      </c>
      <c r="H1667" s="120"/>
      <c r="I1667" s="120"/>
      <c r="J1667" s="116"/>
      <c r="K1667" s="116"/>
      <c r="L1667" s="116"/>
      <c r="M1667" s="116"/>
      <c r="N1667" s="116"/>
      <c r="O1667" s="116"/>
      <c r="P1667" s="116"/>
    </row>
    <row r="1668" spans="2:16" s="108" customFormat="1" ht="21.75" hidden="1" customHeight="1">
      <c r="B1668" s="109"/>
      <c r="C1668" s="122"/>
      <c r="D1668" s="111" t="s">
        <v>1352</v>
      </c>
      <c r="E1668" s="169">
        <f>E1669</f>
        <v>627218000</v>
      </c>
      <c r="F1668" s="125">
        <v>61939361529.599998</v>
      </c>
      <c r="G1668" s="126">
        <f t="shared" si="32"/>
        <v>1.0126323302513554</v>
      </c>
      <c r="H1668" s="120"/>
      <c r="I1668" s="120"/>
      <c r="J1668" s="116"/>
      <c r="K1668" s="116"/>
      <c r="L1668" s="116"/>
      <c r="M1668" s="116"/>
      <c r="N1668" s="116"/>
      <c r="O1668" s="116"/>
      <c r="P1668" s="116"/>
    </row>
    <row r="1669" spans="2:16" s="108" customFormat="1" ht="21.75" hidden="1" customHeight="1">
      <c r="B1669" s="109"/>
      <c r="C1669" s="122"/>
      <c r="D1669" s="123" t="s">
        <v>1353</v>
      </c>
      <c r="E1669" s="696">
        <v>627218000</v>
      </c>
      <c r="F1669" s="125">
        <v>61939361529.599998</v>
      </c>
      <c r="G1669" s="126">
        <f t="shared" si="32"/>
        <v>1.0126323302513554</v>
      </c>
      <c r="H1669" s="120"/>
      <c r="I1669" s="120"/>
      <c r="J1669" s="116"/>
      <c r="K1669" s="116"/>
      <c r="L1669" s="116"/>
      <c r="M1669" s="116"/>
      <c r="N1669" s="116"/>
      <c r="O1669" s="116"/>
      <c r="P1669" s="116"/>
    </row>
    <row r="1670" spans="2:16" s="108" customFormat="1" ht="21.75" hidden="1" customHeight="1">
      <c r="B1670" s="109"/>
      <c r="C1670" s="122"/>
      <c r="D1670" s="111" t="s">
        <v>1354</v>
      </c>
      <c r="E1670" s="169">
        <f>SUM(E1671:E1672)</f>
        <v>2500565530.21</v>
      </c>
      <c r="F1670" s="125">
        <v>61939361529.599998</v>
      </c>
      <c r="G1670" s="126">
        <f t="shared" si="32"/>
        <v>4.0371186729379076</v>
      </c>
      <c r="H1670" s="120"/>
      <c r="I1670" s="120"/>
      <c r="J1670" s="116"/>
      <c r="K1670" s="116"/>
      <c r="L1670" s="116"/>
      <c r="M1670" s="116"/>
      <c r="N1670" s="116"/>
      <c r="O1670" s="116"/>
      <c r="P1670" s="116"/>
    </row>
    <row r="1671" spans="2:16" s="108" customFormat="1" ht="21.75" hidden="1" customHeight="1">
      <c r="B1671" s="109"/>
      <c r="C1671" s="122"/>
      <c r="D1671" s="123" t="s">
        <v>1355</v>
      </c>
      <c r="E1671" s="696">
        <v>2324870730.21</v>
      </c>
      <c r="F1671" s="125">
        <v>61939361529.599998</v>
      </c>
      <c r="G1671" s="126">
        <f t="shared" si="32"/>
        <v>3.7534625362564888</v>
      </c>
      <c r="H1671" s="120"/>
      <c r="I1671" s="120"/>
      <c r="J1671" s="116"/>
      <c r="K1671" s="116"/>
      <c r="L1671" s="116"/>
      <c r="M1671" s="116"/>
      <c r="N1671" s="116"/>
      <c r="O1671" s="116"/>
      <c r="P1671" s="116"/>
    </row>
    <row r="1672" spans="2:16" s="108" customFormat="1" ht="21.75" hidden="1" customHeight="1">
      <c r="B1672" s="109"/>
      <c r="C1672" s="122"/>
      <c r="D1672" s="123" t="s">
        <v>1356</v>
      </c>
      <c r="E1672" s="696">
        <v>175694800</v>
      </c>
      <c r="F1672" s="125">
        <v>61939361529.599998</v>
      </c>
      <c r="G1672" s="126">
        <f t="shared" si="32"/>
        <v>0.28365613668141831</v>
      </c>
      <c r="H1672" s="120"/>
      <c r="I1672" s="120"/>
      <c r="J1672" s="116"/>
      <c r="K1672" s="116"/>
      <c r="L1672" s="116"/>
      <c r="M1672" s="116"/>
      <c r="N1672" s="116"/>
      <c r="O1672" s="116"/>
      <c r="P1672" s="116"/>
    </row>
    <row r="1673" spans="2:16" s="108" customFormat="1" ht="21.75" hidden="1" customHeight="1">
      <c r="B1673" s="109"/>
      <c r="C1673" s="122"/>
      <c r="D1673" s="111" t="s">
        <v>1357</v>
      </c>
      <c r="E1673" s="169">
        <f>E1674</f>
        <v>1588382512</v>
      </c>
      <c r="F1673" s="125">
        <v>61939361529.599998</v>
      </c>
      <c r="G1673" s="126">
        <f t="shared" si="32"/>
        <v>2.5644153778384253</v>
      </c>
      <c r="H1673" s="120"/>
      <c r="I1673" s="120"/>
      <c r="J1673" s="116"/>
      <c r="K1673" s="116"/>
      <c r="L1673" s="116"/>
      <c r="M1673" s="116"/>
      <c r="N1673" s="116"/>
      <c r="O1673" s="116"/>
      <c r="P1673" s="116"/>
    </row>
    <row r="1674" spans="2:16" s="108" customFormat="1" ht="21.75" hidden="1" customHeight="1">
      <c r="B1674" s="109"/>
      <c r="C1674" s="122"/>
      <c r="D1674" s="123" t="s">
        <v>1358</v>
      </c>
      <c r="E1674" s="696">
        <v>1588382512</v>
      </c>
      <c r="F1674" s="125">
        <v>61939361529.599998</v>
      </c>
      <c r="G1674" s="126">
        <f t="shared" si="32"/>
        <v>2.5644153778384253</v>
      </c>
      <c r="H1674" s="120"/>
      <c r="I1674" s="120"/>
      <c r="J1674" s="116"/>
      <c r="K1674" s="116"/>
      <c r="L1674" s="116"/>
      <c r="M1674" s="116"/>
      <c r="N1674" s="116"/>
      <c r="O1674" s="116"/>
      <c r="P1674" s="116"/>
    </row>
    <row r="1675" spans="2:16" s="108" customFormat="1" ht="15" hidden="1" customHeight="1">
      <c r="B1675" s="109"/>
      <c r="C1675" s="122"/>
      <c r="D1675" s="111"/>
      <c r="E1675" s="167"/>
      <c r="F1675" s="125"/>
      <c r="G1675" s="126"/>
      <c r="H1675" s="120"/>
      <c r="I1675" s="120"/>
      <c r="J1675" s="116"/>
      <c r="K1675" s="116"/>
      <c r="L1675" s="116"/>
      <c r="M1675" s="116"/>
      <c r="N1675" s="116"/>
      <c r="O1675" s="116"/>
      <c r="P1675" s="116"/>
    </row>
    <row r="1676" spans="2:16" s="108" customFormat="1" ht="21.75" hidden="1" customHeight="1">
      <c r="B1676" s="109"/>
      <c r="C1676" s="122"/>
      <c r="D1676" s="111" t="s">
        <v>1359</v>
      </c>
      <c r="E1676" s="167">
        <f>+E1677</f>
        <v>1238787230.5899999</v>
      </c>
      <c r="F1676" s="125">
        <v>61939361529.599998</v>
      </c>
      <c r="G1676" s="126">
        <f t="shared" si="32"/>
        <v>1.999999999996771</v>
      </c>
      <c r="H1676" s="120"/>
      <c r="I1676" s="120"/>
      <c r="J1676" s="116"/>
      <c r="K1676" s="116"/>
      <c r="L1676" s="116"/>
      <c r="M1676" s="116"/>
      <c r="N1676" s="116"/>
      <c r="O1676" s="116"/>
      <c r="P1676" s="116"/>
    </row>
    <row r="1677" spans="2:16" s="108" customFormat="1" ht="21.75" hidden="1" customHeight="1">
      <c r="B1677" s="109"/>
      <c r="C1677" s="122"/>
      <c r="D1677" s="111" t="s">
        <v>1360</v>
      </c>
      <c r="E1677" s="170">
        <f>E1678</f>
        <v>1238787230.5899999</v>
      </c>
      <c r="F1677" s="125">
        <v>61939361529.599998</v>
      </c>
      <c r="G1677" s="126">
        <f t="shared" ref="G1677:G1704" si="33">+E1677/F1677*100</f>
        <v>1.999999999996771</v>
      </c>
      <c r="H1677" s="120"/>
      <c r="I1677" s="120"/>
      <c r="J1677" s="116"/>
      <c r="K1677" s="116"/>
      <c r="L1677" s="116"/>
      <c r="M1677" s="116"/>
      <c r="N1677" s="116"/>
      <c r="O1677" s="116"/>
      <c r="P1677" s="116"/>
    </row>
    <row r="1678" spans="2:16" s="108" customFormat="1" ht="21.75" hidden="1" customHeight="1">
      <c r="B1678" s="109"/>
      <c r="C1678" s="122"/>
      <c r="D1678" s="123" t="s">
        <v>1361</v>
      </c>
      <c r="E1678" s="696">
        <v>1238787230.5899999</v>
      </c>
      <c r="F1678" s="125">
        <v>61939361529.599998</v>
      </c>
      <c r="G1678" s="126">
        <f t="shared" si="33"/>
        <v>1.999999999996771</v>
      </c>
      <c r="H1678" s="120"/>
      <c r="I1678" s="120"/>
      <c r="J1678" s="116"/>
      <c r="K1678" s="116"/>
      <c r="L1678" s="116"/>
      <c r="M1678" s="116"/>
      <c r="N1678" s="116"/>
      <c r="O1678" s="116"/>
      <c r="P1678" s="116"/>
    </row>
    <row r="1679" spans="2:16" s="108" customFormat="1" ht="15" hidden="1" customHeight="1">
      <c r="B1679" s="109"/>
      <c r="C1679" s="122"/>
      <c r="D1679" s="111"/>
      <c r="E1679" s="167"/>
      <c r="F1679" s="125"/>
      <c r="G1679" s="126"/>
      <c r="H1679" s="120"/>
      <c r="I1679" s="120"/>
      <c r="J1679" s="116"/>
      <c r="K1679" s="116"/>
      <c r="L1679" s="116"/>
      <c r="M1679" s="116"/>
      <c r="N1679" s="116"/>
      <c r="O1679" s="116"/>
      <c r="P1679" s="116"/>
    </row>
    <row r="1680" spans="2:16" s="108" customFormat="1" ht="36" hidden="1" customHeight="1">
      <c r="B1680" s="109"/>
      <c r="C1680" s="122"/>
      <c r="D1680" s="111" t="s">
        <v>1362</v>
      </c>
      <c r="E1680" s="167">
        <f>+E1681+E1684+E1686</f>
        <v>3281985477</v>
      </c>
      <c r="F1680" s="125">
        <v>61939361529.599998</v>
      </c>
      <c r="G1680" s="126">
        <f t="shared" si="33"/>
        <v>5.2987073097800383</v>
      </c>
      <c r="H1680" s="120"/>
      <c r="I1680" s="120"/>
      <c r="J1680" s="116"/>
      <c r="K1680" s="116"/>
      <c r="L1680" s="116"/>
      <c r="M1680" s="116"/>
      <c r="N1680" s="116"/>
      <c r="O1680" s="116"/>
      <c r="P1680" s="116"/>
    </row>
    <row r="1681" spans="2:16" s="108" customFormat="1" ht="21.75" hidden="1" customHeight="1">
      <c r="B1681" s="109"/>
      <c r="C1681" s="122"/>
      <c r="D1681" s="111" t="s">
        <v>1363</v>
      </c>
      <c r="E1681" s="169">
        <f>SUM(E1682:E1683)</f>
        <v>1715455000</v>
      </c>
      <c r="F1681" s="125">
        <v>61939361529.599998</v>
      </c>
      <c r="G1681" s="126">
        <f t="shared" si="33"/>
        <v>2.7695716546580913</v>
      </c>
      <c r="H1681" s="120"/>
      <c r="I1681" s="120"/>
      <c r="J1681" s="116"/>
      <c r="K1681" s="116"/>
      <c r="L1681" s="116"/>
      <c r="M1681" s="116"/>
      <c r="N1681" s="116"/>
      <c r="O1681" s="116"/>
      <c r="P1681" s="116"/>
    </row>
    <row r="1682" spans="2:16" s="108" customFormat="1" ht="37.5" hidden="1" customHeight="1">
      <c r="B1682" s="109"/>
      <c r="C1682" s="122"/>
      <c r="D1682" s="123" t="s">
        <v>1364</v>
      </c>
      <c r="E1682" s="696">
        <v>1258574000</v>
      </c>
      <c r="F1682" s="125">
        <v>61939361529.599998</v>
      </c>
      <c r="G1682" s="126">
        <f t="shared" si="33"/>
        <v>2.0319453880688521</v>
      </c>
      <c r="H1682" s="115"/>
      <c r="I1682" s="115"/>
      <c r="J1682" s="116"/>
      <c r="K1682" s="116"/>
      <c r="L1682" s="116"/>
      <c r="M1682" s="116"/>
      <c r="N1682" s="116"/>
      <c r="O1682" s="116"/>
      <c r="P1682" s="116"/>
    </row>
    <row r="1683" spans="2:16" s="108" customFormat="1" ht="34.5" hidden="1" customHeight="1">
      <c r="B1683" s="109"/>
      <c r="C1683" s="122"/>
      <c r="D1683" s="123" t="s">
        <v>1365</v>
      </c>
      <c r="E1683" s="696">
        <v>456881000</v>
      </c>
      <c r="F1683" s="125">
        <v>61939361529.599998</v>
      </c>
      <c r="G1683" s="126">
        <f t="shared" si="33"/>
        <v>0.73762626658923935</v>
      </c>
      <c r="H1683" s="115"/>
      <c r="I1683" s="115"/>
      <c r="J1683" s="116"/>
      <c r="K1683" s="116"/>
      <c r="L1683" s="116"/>
      <c r="M1683" s="116"/>
      <c r="N1683" s="116"/>
      <c r="O1683" s="116"/>
      <c r="P1683" s="116"/>
    </row>
    <row r="1684" spans="2:16" s="117" customFormat="1" ht="21.75" hidden="1" customHeight="1">
      <c r="B1684" s="118"/>
      <c r="C1684" s="110"/>
      <c r="D1684" s="111" t="s">
        <v>1366</v>
      </c>
      <c r="E1684" s="250">
        <f>E1685</f>
        <v>844519477</v>
      </c>
      <c r="F1684" s="129">
        <v>61939361529.599998</v>
      </c>
      <c r="G1684" s="127">
        <f t="shared" si="33"/>
        <v>1.3634617085880283</v>
      </c>
      <c r="H1684" s="120"/>
      <c r="I1684" s="120"/>
      <c r="J1684" s="121"/>
      <c r="K1684" s="121"/>
      <c r="L1684" s="121"/>
      <c r="M1684" s="121"/>
      <c r="N1684" s="121"/>
      <c r="O1684" s="121"/>
      <c r="P1684" s="121"/>
    </row>
    <row r="1685" spans="2:16" s="108" customFormat="1" ht="33" hidden="1" customHeight="1">
      <c r="B1685" s="109"/>
      <c r="C1685" s="122"/>
      <c r="D1685" s="123" t="s">
        <v>1367</v>
      </c>
      <c r="E1685" s="696">
        <v>844519477</v>
      </c>
      <c r="F1685" s="125">
        <v>61939361529.599998</v>
      </c>
      <c r="G1685" s="126">
        <f t="shared" si="33"/>
        <v>1.3634617085880283</v>
      </c>
      <c r="H1685" s="115"/>
      <c r="I1685" s="115"/>
      <c r="J1685" s="116"/>
      <c r="K1685" s="116"/>
      <c r="L1685" s="116"/>
      <c r="M1685" s="116"/>
      <c r="N1685" s="116"/>
      <c r="O1685" s="116"/>
      <c r="P1685" s="116"/>
    </row>
    <row r="1686" spans="2:16" s="108" customFormat="1" ht="30.75" hidden="1" customHeight="1">
      <c r="B1686" s="109"/>
      <c r="C1686" s="122"/>
      <c r="D1686" s="111" t="s">
        <v>1368</v>
      </c>
      <c r="E1686" s="170">
        <f>E1687</f>
        <v>722011000</v>
      </c>
      <c r="F1686" s="125">
        <v>61939361529.599998</v>
      </c>
      <c r="G1686" s="126">
        <f t="shared" si="33"/>
        <v>1.1656739465339185</v>
      </c>
      <c r="H1686" s="120"/>
      <c r="I1686" s="120"/>
      <c r="J1686" s="116"/>
      <c r="K1686" s="116"/>
      <c r="L1686" s="116"/>
      <c r="M1686" s="116"/>
      <c r="N1686" s="116"/>
      <c r="O1686" s="116"/>
      <c r="P1686" s="116"/>
    </row>
    <row r="1687" spans="2:16" s="108" customFormat="1" ht="21.75" hidden="1" customHeight="1">
      <c r="B1687" s="109"/>
      <c r="C1687" s="122"/>
      <c r="D1687" s="123" t="s">
        <v>1369</v>
      </c>
      <c r="E1687" s="696">
        <v>722011000</v>
      </c>
      <c r="F1687" s="125">
        <v>61939361529.599998</v>
      </c>
      <c r="G1687" s="126">
        <f t="shared" si="33"/>
        <v>1.1656739465339185</v>
      </c>
      <c r="H1687" s="115"/>
      <c r="I1687" s="115"/>
      <c r="J1687" s="116"/>
      <c r="K1687" s="116"/>
      <c r="L1687" s="116"/>
      <c r="M1687" s="116"/>
      <c r="N1687" s="116"/>
      <c r="O1687" s="116"/>
      <c r="P1687" s="116"/>
    </row>
    <row r="1688" spans="2:16" s="108" customFormat="1" ht="15" hidden="1" customHeight="1">
      <c r="B1688" s="109"/>
      <c r="C1688" s="122"/>
      <c r="D1688" s="111"/>
      <c r="E1688" s="167"/>
      <c r="F1688" s="125"/>
      <c r="G1688" s="126"/>
      <c r="H1688" s="120"/>
      <c r="I1688" s="120"/>
      <c r="J1688" s="116"/>
      <c r="K1688" s="116"/>
      <c r="L1688" s="116"/>
      <c r="M1688" s="116"/>
      <c r="N1688" s="116"/>
      <c r="O1688" s="116"/>
      <c r="P1688" s="116"/>
    </row>
    <row r="1689" spans="2:16" s="108" customFormat="1" ht="37.5" hidden="1" customHeight="1">
      <c r="B1689" s="109"/>
      <c r="C1689" s="122"/>
      <c r="D1689" s="111" t="s">
        <v>1370</v>
      </c>
      <c r="E1689" s="167">
        <f>+E1690</f>
        <v>879102173.26999998</v>
      </c>
      <c r="F1689" s="125">
        <v>61939361529.599998</v>
      </c>
      <c r="G1689" s="126">
        <f t="shared" si="33"/>
        <v>1.4192948580038054</v>
      </c>
      <c r="H1689" s="120"/>
      <c r="I1689" s="120"/>
      <c r="J1689" s="116"/>
      <c r="K1689" s="116"/>
      <c r="L1689" s="116"/>
      <c r="M1689" s="116"/>
      <c r="N1689" s="116"/>
      <c r="O1689" s="116"/>
      <c r="P1689" s="116"/>
    </row>
    <row r="1690" spans="2:16" s="108" customFormat="1" ht="21.75" hidden="1" customHeight="1">
      <c r="B1690" s="109"/>
      <c r="C1690" s="122"/>
      <c r="D1690" s="150" t="s">
        <v>652</v>
      </c>
      <c r="E1690" s="135">
        <f>SUM(E1691:E1692)</f>
        <v>879102173.26999998</v>
      </c>
      <c r="F1690" s="125">
        <v>61939361529.599998</v>
      </c>
      <c r="G1690" s="126">
        <f t="shared" si="33"/>
        <v>1.4192948580038054</v>
      </c>
      <c r="H1690" s="120"/>
      <c r="I1690" s="120"/>
      <c r="J1690" s="116"/>
      <c r="K1690" s="116"/>
      <c r="L1690" s="116"/>
      <c r="M1690" s="116"/>
      <c r="N1690" s="116"/>
      <c r="O1690" s="116"/>
      <c r="P1690" s="116"/>
    </row>
    <row r="1691" spans="2:16" s="108" customFormat="1" ht="21.75" hidden="1" customHeight="1">
      <c r="B1691" s="109"/>
      <c r="C1691" s="122"/>
      <c r="D1691" s="123" t="s">
        <v>1371</v>
      </c>
      <c r="E1691" s="696">
        <v>574338625</v>
      </c>
      <c r="F1691" s="125">
        <v>61939361529.599998</v>
      </c>
      <c r="G1691" s="126">
        <f t="shared" si="33"/>
        <v>0.92725951772287996</v>
      </c>
      <c r="H1691" s="115"/>
      <c r="I1691" s="115"/>
      <c r="J1691" s="116"/>
      <c r="K1691" s="116"/>
      <c r="L1691" s="116"/>
      <c r="M1691" s="116"/>
      <c r="N1691" s="116"/>
      <c r="O1691" s="116"/>
      <c r="P1691" s="116"/>
    </row>
    <row r="1692" spans="2:16" s="108" customFormat="1" ht="21.75" hidden="1" customHeight="1">
      <c r="B1692" s="109"/>
      <c r="C1692" s="122"/>
      <c r="D1692" s="123" t="s">
        <v>1372</v>
      </c>
      <c r="E1692" s="696">
        <v>304763548.26999998</v>
      </c>
      <c r="F1692" s="125">
        <v>61939361529.599998</v>
      </c>
      <c r="G1692" s="126">
        <f t="shared" si="33"/>
        <v>0.49203534028092544</v>
      </c>
      <c r="H1692" s="115"/>
      <c r="I1692" s="115"/>
      <c r="J1692" s="116"/>
      <c r="K1692" s="116"/>
      <c r="L1692" s="116"/>
      <c r="M1692" s="116"/>
      <c r="N1692" s="116"/>
      <c r="O1692" s="116"/>
      <c r="P1692" s="116"/>
    </row>
    <row r="1693" spans="2:16" s="108" customFormat="1" ht="15" hidden="1" customHeight="1">
      <c r="B1693" s="109"/>
      <c r="C1693" s="122"/>
      <c r="D1693" s="123"/>
      <c r="E1693" s="166"/>
      <c r="F1693" s="125"/>
      <c r="G1693" s="126"/>
      <c r="H1693" s="115"/>
      <c r="I1693" s="115"/>
      <c r="J1693" s="116"/>
      <c r="K1693" s="116"/>
      <c r="L1693" s="116"/>
      <c r="M1693" s="116"/>
      <c r="N1693" s="116"/>
      <c r="O1693" s="116"/>
      <c r="P1693" s="116"/>
    </row>
    <row r="1694" spans="2:16" s="108" customFormat="1" ht="21.75" hidden="1" customHeight="1">
      <c r="B1694" s="109"/>
      <c r="C1694" s="122"/>
      <c r="D1694" s="111" t="s">
        <v>1373</v>
      </c>
      <c r="E1694" s="167">
        <v>6324700000</v>
      </c>
      <c r="F1694" s="125">
        <v>61939361529.599998</v>
      </c>
      <c r="G1694" s="126">
        <f t="shared" si="33"/>
        <v>10.211115910482077</v>
      </c>
      <c r="H1694" s="120"/>
      <c r="I1694" s="120"/>
      <c r="J1694" s="116"/>
      <c r="K1694" s="116"/>
      <c r="L1694" s="116"/>
      <c r="M1694" s="116"/>
      <c r="N1694" s="116"/>
      <c r="O1694" s="116"/>
      <c r="P1694" s="116"/>
    </row>
    <row r="1695" spans="2:16" s="108" customFormat="1" ht="21.75" hidden="1" customHeight="1">
      <c r="B1695" s="109"/>
      <c r="C1695" s="122"/>
      <c r="D1695" s="111" t="s">
        <v>1374</v>
      </c>
      <c r="E1695" s="167">
        <v>6324700000</v>
      </c>
      <c r="F1695" s="125">
        <v>61939361529.599998</v>
      </c>
      <c r="G1695" s="126">
        <f t="shared" si="33"/>
        <v>10.211115910482077</v>
      </c>
      <c r="H1695" s="120"/>
      <c r="I1695" s="120"/>
      <c r="J1695" s="116"/>
      <c r="K1695" s="116"/>
      <c r="L1695" s="116"/>
      <c r="M1695" s="116"/>
      <c r="N1695" s="116"/>
      <c r="O1695" s="116"/>
      <c r="P1695" s="116"/>
    </row>
    <row r="1696" spans="2:16" s="108" customFormat="1" ht="21.75" hidden="1" customHeight="1">
      <c r="B1696" s="109"/>
      <c r="C1696" s="122"/>
      <c r="D1696" s="111" t="s">
        <v>1375</v>
      </c>
      <c r="E1696" s="167">
        <v>6324700000</v>
      </c>
      <c r="F1696" s="125">
        <v>61939361529.599998</v>
      </c>
      <c r="G1696" s="126">
        <f t="shared" si="33"/>
        <v>10.211115910482077</v>
      </c>
      <c r="H1696" s="120"/>
      <c r="I1696" s="120"/>
      <c r="J1696" s="116"/>
      <c r="K1696" s="116"/>
      <c r="L1696" s="116"/>
      <c r="M1696" s="116"/>
      <c r="N1696" s="116"/>
      <c r="O1696" s="116"/>
      <c r="P1696" s="116"/>
    </row>
    <row r="1697" spans="2:16" s="108" customFormat="1" ht="21.75" hidden="1" customHeight="1">
      <c r="B1697" s="109"/>
      <c r="C1697" s="122"/>
      <c r="D1697" s="111" t="s">
        <v>1376</v>
      </c>
      <c r="E1697" s="167">
        <v>6324700000</v>
      </c>
      <c r="F1697" s="125">
        <v>61939361529.599998</v>
      </c>
      <c r="G1697" s="126">
        <f t="shared" si="33"/>
        <v>10.211115910482077</v>
      </c>
      <c r="H1697" s="120"/>
      <c r="I1697" s="120"/>
      <c r="J1697" s="116"/>
      <c r="K1697" s="116"/>
      <c r="L1697" s="116"/>
      <c r="M1697" s="116"/>
      <c r="N1697" s="116"/>
      <c r="O1697" s="116"/>
      <c r="P1697" s="116"/>
    </row>
    <row r="1698" spans="2:16" s="117" customFormat="1" ht="21.75" hidden="1" customHeight="1">
      <c r="B1698" s="118"/>
      <c r="C1698" s="110"/>
      <c r="D1698" s="111" t="s">
        <v>1377</v>
      </c>
      <c r="E1698" s="167">
        <v>6324700000</v>
      </c>
      <c r="F1698" s="129">
        <v>61939361529.599998</v>
      </c>
      <c r="G1698" s="127">
        <f t="shared" si="33"/>
        <v>10.211115910482077</v>
      </c>
      <c r="H1698" s="120"/>
      <c r="I1698" s="120"/>
      <c r="J1698" s="121"/>
      <c r="K1698" s="121"/>
      <c r="L1698" s="121"/>
      <c r="M1698" s="121"/>
      <c r="N1698" s="121"/>
      <c r="O1698" s="121"/>
      <c r="P1698" s="121"/>
    </row>
    <row r="1699" spans="2:16" s="108" customFormat="1" ht="31.5" hidden="1" customHeight="1">
      <c r="B1699" s="109"/>
      <c r="C1699" s="122"/>
      <c r="D1699" s="123" t="s">
        <v>1378</v>
      </c>
      <c r="E1699" s="166">
        <v>6324700000</v>
      </c>
      <c r="F1699" s="125">
        <v>61939361529.599998</v>
      </c>
      <c r="G1699" s="126">
        <f t="shared" si="33"/>
        <v>10.211115910482077</v>
      </c>
      <c r="H1699" s="115"/>
      <c r="I1699" s="115"/>
      <c r="J1699" s="116"/>
      <c r="K1699" s="116"/>
      <c r="L1699" s="116"/>
      <c r="M1699" s="116"/>
      <c r="N1699" s="116"/>
      <c r="O1699" s="116"/>
      <c r="P1699" s="116"/>
    </row>
    <row r="1700" spans="2:16" s="108" customFormat="1" ht="21.75" hidden="1" customHeight="1">
      <c r="B1700" s="109"/>
      <c r="C1700" s="122"/>
      <c r="D1700" s="123" t="s">
        <v>1379</v>
      </c>
      <c r="E1700" s="166">
        <v>6324700000</v>
      </c>
      <c r="F1700" s="125">
        <v>61939361529.599998</v>
      </c>
      <c r="G1700" s="126">
        <f t="shared" si="33"/>
        <v>10.211115910482077</v>
      </c>
      <c r="H1700" s="120"/>
      <c r="I1700" s="120"/>
      <c r="J1700" s="116"/>
      <c r="K1700" s="116"/>
      <c r="L1700" s="116"/>
      <c r="M1700" s="116"/>
      <c r="N1700" s="116"/>
      <c r="O1700" s="116"/>
      <c r="P1700" s="116"/>
    </row>
    <row r="1701" spans="2:16" s="108" customFormat="1" ht="15" hidden="1" customHeight="1">
      <c r="B1701" s="109"/>
      <c r="C1701" s="122"/>
      <c r="D1701" s="111"/>
      <c r="E1701" s="167"/>
      <c r="F1701" s="125"/>
      <c r="G1701" s="126"/>
      <c r="H1701" s="120"/>
      <c r="I1701" s="120"/>
      <c r="J1701" s="116"/>
      <c r="K1701" s="116"/>
      <c r="L1701" s="116"/>
      <c r="M1701" s="116"/>
      <c r="N1701" s="116"/>
      <c r="O1701" s="116"/>
      <c r="P1701" s="116"/>
    </row>
    <row r="1702" spans="2:16" s="108" customFormat="1" ht="21.75" hidden="1" customHeight="1">
      <c r="B1702" s="109"/>
      <c r="C1702" s="122"/>
      <c r="D1702" s="111" t="s">
        <v>648</v>
      </c>
      <c r="E1702" s="167">
        <v>359684032.27999997</v>
      </c>
      <c r="F1702" s="125">
        <v>61939361529.599998</v>
      </c>
      <c r="G1702" s="126">
        <f t="shared" si="33"/>
        <v>0.58070348708407615</v>
      </c>
      <c r="H1702" s="120"/>
      <c r="I1702" s="120"/>
      <c r="J1702" s="116"/>
      <c r="K1702" s="116"/>
      <c r="L1702" s="116"/>
      <c r="M1702" s="116"/>
      <c r="N1702" s="116"/>
      <c r="O1702" s="116"/>
      <c r="P1702" s="116"/>
    </row>
    <row r="1703" spans="2:16" s="108" customFormat="1" ht="21.75" hidden="1" customHeight="1">
      <c r="B1703" s="109"/>
      <c r="C1703" s="122"/>
      <c r="D1703" s="111" t="s">
        <v>1311</v>
      </c>
      <c r="E1703" s="167">
        <v>359684032.27999997</v>
      </c>
      <c r="F1703" s="125">
        <v>61939361529.599998</v>
      </c>
      <c r="G1703" s="126">
        <f t="shared" si="33"/>
        <v>0.58070348708407615</v>
      </c>
      <c r="H1703" s="120"/>
      <c r="I1703" s="120"/>
      <c r="J1703" s="116"/>
      <c r="K1703" s="116"/>
      <c r="L1703" s="116"/>
      <c r="M1703" s="116"/>
      <c r="N1703" s="116"/>
      <c r="O1703" s="116"/>
      <c r="P1703" s="116"/>
    </row>
    <row r="1704" spans="2:16" s="108" customFormat="1" ht="29.25" hidden="1" customHeight="1">
      <c r="B1704" s="109"/>
      <c r="C1704" s="122"/>
      <c r="D1704" s="123" t="s">
        <v>1380</v>
      </c>
      <c r="E1704" s="166">
        <v>359684032.27999997</v>
      </c>
      <c r="F1704" s="125">
        <v>61939361529.599998</v>
      </c>
      <c r="G1704" s="126">
        <f t="shared" si="33"/>
        <v>0.58070348708407615</v>
      </c>
      <c r="H1704" s="115"/>
      <c r="I1704" s="115"/>
      <c r="J1704" s="116"/>
      <c r="K1704" s="116"/>
      <c r="L1704" s="116"/>
      <c r="M1704" s="116"/>
      <c r="N1704" s="116"/>
      <c r="O1704" s="116"/>
      <c r="P1704" s="116"/>
    </row>
    <row r="1705" spans="2:16" s="108" customFormat="1" ht="15" hidden="1" customHeight="1">
      <c r="B1705" s="109"/>
      <c r="C1705" s="122"/>
      <c r="D1705" s="123"/>
      <c r="E1705" s="125"/>
      <c r="F1705" s="113"/>
      <c r="G1705" s="126"/>
      <c r="H1705" s="120"/>
      <c r="I1705" s="120"/>
      <c r="J1705" s="116"/>
      <c r="K1705" s="116"/>
      <c r="L1705" s="116"/>
      <c r="M1705" s="116"/>
      <c r="N1705" s="116"/>
      <c r="O1705" s="116"/>
      <c r="P1705" s="116"/>
    </row>
    <row r="1706" spans="2:16" s="117" customFormat="1" ht="21.75" hidden="1" customHeight="1">
      <c r="B1706" s="118"/>
      <c r="C1706" s="110" t="s">
        <v>1381</v>
      </c>
      <c r="D1706" s="111" t="s">
        <v>1382</v>
      </c>
      <c r="E1706" s="129">
        <v>65595198072.370003</v>
      </c>
      <c r="F1706" s="119">
        <v>1557405258400.0002</v>
      </c>
      <c r="G1706" s="127">
        <f>+E1706/F1706*100</f>
        <v>4.2118259019979938</v>
      </c>
      <c r="H1706" s="120"/>
      <c r="I1706" s="120"/>
      <c r="J1706" s="121"/>
      <c r="K1706" s="121"/>
      <c r="L1706" s="121"/>
      <c r="M1706" s="121"/>
      <c r="N1706" s="121"/>
      <c r="O1706" s="121"/>
      <c r="P1706" s="121"/>
    </row>
    <row r="1707" spans="2:16" s="108" customFormat="1" ht="21.75" hidden="1" customHeight="1">
      <c r="B1707" s="109"/>
      <c r="C1707" s="122"/>
      <c r="D1707" s="111" t="s">
        <v>64</v>
      </c>
      <c r="E1707" s="729">
        <f>E1708+E1711+E1714+E1717+E1720+E1725+E1730</f>
        <v>20712123000</v>
      </c>
      <c r="F1707" s="134">
        <v>65595198072.370003</v>
      </c>
      <c r="G1707" s="126">
        <f>+E1707/F1707*100</f>
        <v>31.575669574392755</v>
      </c>
      <c r="H1707" s="120"/>
      <c r="I1707" s="120"/>
      <c r="J1707" s="116"/>
      <c r="K1707" s="116"/>
      <c r="L1707" s="116"/>
      <c r="M1707" s="116"/>
      <c r="N1707" s="116"/>
      <c r="O1707" s="116"/>
      <c r="P1707" s="116"/>
    </row>
    <row r="1708" spans="2:16" s="108" customFormat="1" ht="21.75" hidden="1" customHeight="1">
      <c r="B1708" s="109"/>
      <c r="C1708" s="122"/>
      <c r="D1708" s="172" t="s">
        <v>1383</v>
      </c>
      <c r="E1708" s="730">
        <f>SUM(E1709:E1710)</f>
        <v>1132000000</v>
      </c>
      <c r="F1708" s="134">
        <v>65595198072.370003</v>
      </c>
      <c r="G1708" s="126">
        <f t="shared" ref="G1708:G1771" si="34">+E1708/F1708*100</f>
        <v>1.725736080179352</v>
      </c>
      <c r="H1708" s="120"/>
      <c r="I1708" s="120"/>
      <c r="J1708" s="116"/>
      <c r="K1708" s="116"/>
      <c r="L1708" s="116"/>
      <c r="M1708" s="116"/>
      <c r="N1708" s="116"/>
      <c r="O1708" s="116"/>
      <c r="P1708" s="116"/>
    </row>
    <row r="1709" spans="2:16" s="108" customFormat="1" ht="21.75" hidden="1" customHeight="1">
      <c r="B1709" s="109"/>
      <c r="C1709" s="122"/>
      <c r="D1709" s="174" t="s">
        <v>1384</v>
      </c>
      <c r="E1709" s="731">
        <v>666000000</v>
      </c>
      <c r="F1709" s="134">
        <v>65595198072.370003</v>
      </c>
      <c r="G1709" s="126">
        <f t="shared" si="34"/>
        <v>1.0153182238511029</v>
      </c>
      <c r="H1709" s="120"/>
      <c r="I1709" s="120"/>
      <c r="J1709" s="116"/>
      <c r="K1709" s="116"/>
      <c r="L1709" s="116"/>
      <c r="M1709" s="116"/>
      <c r="N1709" s="116"/>
      <c r="O1709" s="116"/>
      <c r="P1709" s="116"/>
    </row>
    <row r="1710" spans="2:16" s="108" customFormat="1" ht="21.75" hidden="1" customHeight="1">
      <c r="B1710" s="109"/>
      <c r="C1710" s="122"/>
      <c r="D1710" s="174" t="s">
        <v>1385</v>
      </c>
      <c r="E1710" s="731">
        <v>466000000</v>
      </c>
      <c r="F1710" s="134">
        <v>65595198072.370003</v>
      </c>
      <c r="G1710" s="126">
        <f t="shared" si="34"/>
        <v>0.71041785632824916</v>
      </c>
      <c r="H1710" s="120"/>
      <c r="I1710" s="120"/>
      <c r="J1710" s="116"/>
      <c r="K1710" s="116"/>
      <c r="L1710" s="116"/>
      <c r="M1710" s="116"/>
      <c r="N1710" s="116"/>
      <c r="O1710" s="116"/>
      <c r="P1710" s="116"/>
    </row>
    <row r="1711" spans="2:16" s="108" customFormat="1" ht="21.75" hidden="1" customHeight="1">
      <c r="B1711" s="109"/>
      <c r="C1711" s="122"/>
      <c r="D1711" s="172" t="s">
        <v>1386</v>
      </c>
      <c r="E1711" s="730">
        <f>SUM(E1712:E1713)</f>
        <v>781225000</v>
      </c>
      <c r="F1711" s="134">
        <v>65595198072.370003</v>
      </c>
      <c r="G1711" s="126">
        <f t="shared" si="34"/>
        <v>1.1909789480902071</v>
      </c>
      <c r="H1711" s="120"/>
      <c r="I1711" s="120"/>
      <c r="J1711" s="116"/>
      <c r="K1711" s="116"/>
      <c r="L1711" s="116"/>
      <c r="M1711" s="116"/>
      <c r="N1711" s="116"/>
      <c r="O1711" s="116"/>
      <c r="P1711" s="116"/>
    </row>
    <row r="1712" spans="2:16" s="108" customFormat="1" ht="21.75" hidden="1" customHeight="1">
      <c r="B1712" s="109"/>
      <c r="C1712" s="122"/>
      <c r="D1712" s="174" t="s">
        <v>1387</v>
      </c>
      <c r="E1712" s="731">
        <v>645225000</v>
      </c>
      <c r="F1712" s="134">
        <v>65595198072.370003</v>
      </c>
      <c r="G1712" s="126">
        <f t="shared" si="34"/>
        <v>0.98364669817466655</v>
      </c>
      <c r="H1712" s="120"/>
      <c r="I1712" s="120"/>
      <c r="J1712" s="116"/>
      <c r="K1712" s="116"/>
      <c r="L1712" s="116"/>
      <c r="M1712" s="116"/>
      <c r="N1712" s="116"/>
      <c r="O1712" s="116"/>
      <c r="P1712" s="116"/>
    </row>
    <row r="1713" spans="2:16" s="108" customFormat="1" ht="21.75" hidden="1" customHeight="1">
      <c r="B1713" s="109"/>
      <c r="C1713" s="122"/>
      <c r="D1713" s="174" t="s">
        <v>1388</v>
      </c>
      <c r="E1713" s="731">
        <v>136000000</v>
      </c>
      <c r="F1713" s="134">
        <v>65595198072.370003</v>
      </c>
      <c r="G1713" s="126">
        <f t="shared" si="34"/>
        <v>0.20733224991554053</v>
      </c>
      <c r="H1713" s="120"/>
      <c r="I1713" s="120"/>
      <c r="J1713" s="116"/>
      <c r="K1713" s="116"/>
      <c r="L1713" s="116"/>
      <c r="M1713" s="116"/>
      <c r="N1713" s="116"/>
      <c r="O1713" s="116"/>
      <c r="P1713" s="116"/>
    </row>
    <row r="1714" spans="2:16" s="108" customFormat="1" ht="21.75" hidden="1" customHeight="1">
      <c r="B1714" s="109"/>
      <c r="C1714" s="122"/>
      <c r="D1714" s="172" t="s">
        <v>1389</v>
      </c>
      <c r="E1714" s="730">
        <f>SUM(E1715:E1716)</f>
        <v>404000000</v>
      </c>
      <c r="F1714" s="134">
        <v>65595198072.370003</v>
      </c>
      <c r="G1714" s="126">
        <f t="shared" si="34"/>
        <v>0.6158987423961646</v>
      </c>
      <c r="H1714" s="120"/>
      <c r="I1714" s="120"/>
      <c r="J1714" s="116"/>
      <c r="K1714" s="116"/>
      <c r="L1714" s="116"/>
      <c r="M1714" s="116"/>
      <c r="N1714" s="116"/>
      <c r="O1714" s="116"/>
      <c r="P1714" s="116"/>
    </row>
    <row r="1715" spans="2:16" s="108" customFormat="1" ht="21.75" hidden="1" customHeight="1">
      <c r="B1715" s="109"/>
      <c r="C1715" s="122"/>
      <c r="D1715" s="174" t="s">
        <v>1390</v>
      </c>
      <c r="E1715" s="731">
        <v>80000000</v>
      </c>
      <c r="F1715" s="134">
        <v>65595198072.370003</v>
      </c>
      <c r="G1715" s="126">
        <f t="shared" si="34"/>
        <v>0.12196014700914148</v>
      </c>
      <c r="H1715" s="120"/>
      <c r="I1715" s="120"/>
      <c r="J1715" s="116"/>
      <c r="K1715" s="116"/>
      <c r="L1715" s="116"/>
      <c r="M1715" s="116"/>
      <c r="N1715" s="116"/>
      <c r="O1715" s="116"/>
      <c r="P1715" s="116"/>
    </row>
    <row r="1716" spans="2:16" s="108" customFormat="1" ht="21.75" hidden="1" customHeight="1">
      <c r="B1716" s="109"/>
      <c r="C1716" s="122"/>
      <c r="D1716" s="174" t="s">
        <v>1391</v>
      </c>
      <c r="E1716" s="731">
        <v>324000000</v>
      </c>
      <c r="F1716" s="134">
        <v>65595198072.370003</v>
      </c>
      <c r="G1716" s="126">
        <f t="shared" si="34"/>
        <v>0.49393859538702301</v>
      </c>
      <c r="H1716" s="120"/>
      <c r="I1716" s="120"/>
      <c r="J1716" s="116"/>
      <c r="K1716" s="116"/>
      <c r="L1716" s="116"/>
      <c r="M1716" s="116"/>
      <c r="N1716" s="116"/>
      <c r="O1716" s="116"/>
      <c r="P1716" s="116"/>
    </row>
    <row r="1717" spans="2:16" s="108" customFormat="1" ht="21.75" hidden="1" customHeight="1">
      <c r="B1717" s="109"/>
      <c r="C1717" s="122"/>
      <c r="D1717" s="172" t="s">
        <v>1392</v>
      </c>
      <c r="E1717" s="730">
        <f>SUM(E1718:E1719)</f>
        <v>3814500000</v>
      </c>
      <c r="F1717" s="134">
        <v>65595198072.370003</v>
      </c>
      <c r="G1717" s="126">
        <f t="shared" si="34"/>
        <v>5.8152122595796278</v>
      </c>
      <c r="H1717" s="120"/>
      <c r="I1717" s="120"/>
      <c r="J1717" s="116"/>
      <c r="K1717" s="116"/>
      <c r="L1717" s="116"/>
      <c r="M1717" s="116"/>
      <c r="N1717" s="116"/>
      <c r="O1717" s="116"/>
      <c r="P1717" s="116"/>
    </row>
    <row r="1718" spans="2:16" s="108" customFormat="1" ht="45.75" hidden="1" customHeight="1">
      <c r="B1718" s="109"/>
      <c r="C1718" s="122"/>
      <c r="D1718" s="174" t="s">
        <v>1393</v>
      </c>
      <c r="E1718" s="731">
        <v>1650000000</v>
      </c>
      <c r="F1718" s="134">
        <v>65595198072.370003</v>
      </c>
      <c r="G1718" s="126">
        <f t="shared" si="34"/>
        <v>2.5154280320635434</v>
      </c>
      <c r="H1718" s="120"/>
      <c r="I1718" s="120"/>
      <c r="J1718" s="116"/>
      <c r="K1718" s="116"/>
      <c r="L1718" s="116"/>
      <c r="M1718" s="116"/>
      <c r="N1718" s="116"/>
      <c r="O1718" s="116"/>
      <c r="P1718" s="116"/>
    </row>
    <row r="1719" spans="2:16" s="108" customFormat="1" ht="39.75" hidden="1" customHeight="1">
      <c r="B1719" s="109"/>
      <c r="C1719" s="122"/>
      <c r="D1719" s="174" t="s">
        <v>1394</v>
      </c>
      <c r="E1719" s="731">
        <v>2164500000</v>
      </c>
      <c r="F1719" s="134">
        <v>65595198072.370003</v>
      </c>
      <c r="G1719" s="126">
        <f t="shared" si="34"/>
        <v>3.2997842275160845</v>
      </c>
      <c r="H1719" s="120"/>
      <c r="I1719" s="120"/>
      <c r="J1719" s="116"/>
      <c r="K1719" s="116"/>
      <c r="L1719" s="116"/>
      <c r="M1719" s="116"/>
      <c r="N1719" s="116"/>
      <c r="O1719" s="116"/>
      <c r="P1719" s="116"/>
    </row>
    <row r="1720" spans="2:16" s="108" customFormat="1" ht="21.75" hidden="1" customHeight="1">
      <c r="B1720" s="109"/>
      <c r="C1720" s="122"/>
      <c r="D1720" s="172" t="s">
        <v>1212</v>
      </c>
      <c r="E1720" s="730">
        <f>SUM(E1721:E1724)</f>
        <v>10110273000</v>
      </c>
      <c r="F1720" s="134">
        <v>65595198072.370003</v>
      </c>
      <c r="G1720" s="126">
        <f t="shared" si="34"/>
        <v>15.413129767281925</v>
      </c>
      <c r="H1720" s="120"/>
      <c r="I1720" s="120"/>
      <c r="J1720" s="116"/>
      <c r="K1720" s="116"/>
      <c r="L1720" s="116"/>
      <c r="M1720" s="116"/>
      <c r="N1720" s="116"/>
      <c r="O1720" s="116"/>
      <c r="P1720" s="116"/>
    </row>
    <row r="1721" spans="2:16" s="108" customFormat="1" ht="39.75" hidden="1" customHeight="1">
      <c r="B1721" s="109"/>
      <c r="C1721" s="122"/>
      <c r="D1721" s="174" t="s">
        <v>1395</v>
      </c>
      <c r="E1721" s="731">
        <v>376000000</v>
      </c>
      <c r="F1721" s="134">
        <v>65595198072.370003</v>
      </c>
      <c r="G1721" s="126">
        <f t="shared" si="34"/>
        <v>0.57321269094296501</v>
      </c>
      <c r="H1721" s="120"/>
      <c r="I1721" s="120"/>
      <c r="J1721" s="116"/>
      <c r="K1721" s="116"/>
      <c r="L1721" s="116"/>
      <c r="M1721" s="116"/>
      <c r="N1721" s="116"/>
      <c r="O1721" s="116"/>
      <c r="P1721" s="116"/>
    </row>
    <row r="1722" spans="2:16" s="108" customFormat="1" ht="21.75" hidden="1" customHeight="1">
      <c r="B1722" s="109"/>
      <c r="C1722" s="122"/>
      <c r="D1722" s="174" t="s">
        <v>1396</v>
      </c>
      <c r="E1722" s="731">
        <v>4788000000</v>
      </c>
      <c r="F1722" s="134">
        <v>65595198072.370003</v>
      </c>
      <c r="G1722" s="126">
        <f t="shared" si="34"/>
        <v>7.2993147984971181</v>
      </c>
      <c r="H1722" s="120"/>
      <c r="I1722" s="120"/>
      <c r="J1722" s="116"/>
      <c r="K1722" s="116"/>
      <c r="L1722" s="116"/>
      <c r="M1722" s="116"/>
      <c r="N1722" s="116"/>
      <c r="O1722" s="116"/>
      <c r="P1722" s="116"/>
    </row>
    <row r="1723" spans="2:16" s="108" customFormat="1" ht="21.75" hidden="1" customHeight="1">
      <c r="B1723" s="109"/>
      <c r="C1723" s="122"/>
      <c r="D1723" s="174" t="s">
        <v>1397</v>
      </c>
      <c r="E1723" s="731">
        <v>2707728000</v>
      </c>
      <c r="F1723" s="134">
        <v>65595198072.370003</v>
      </c>
      <c r="G1723" s="126">
        <f t="shared" si="34"/>
        <v>4.1279363117596084</v>
      </c>
      <c r="H1723" s="120"/>
      <c r="I1723" s="120"/>
      <c r="J1723" s="116"/>
      <c r="K1723" s="116"/>
      <c r="L1723" s="116"/>
      <c r="M1723" s="116"/>
      <c r="N1723" s="116"/>
      <c r="O1723" s="116"/>
      <c r="P1723" s="116"/>
    </row>
    <row r="1724" spans="2:16" s="108" customFormat="1" ht="21.75" hidden="1" customHeight="1">
      <c r="B1724" s="109"/>
      <c r="C1724" s="122"/>
      <c r="D1724" s="174" t="s">
        <v>1398</v>
      </c>
      <c r="E1724" s="731">
        <v>2238545000</v>
      </c>
      <c r="F1724" s="134">
        <v>65595198072.370003</v>
      </c>
      <c r="G1724" s="126">
        <f t="shared" si="34"/>
        <v>3.4126659660822329</v>
      </c>
      <c r="H1724" s="120"/>
      <c r="I1724" s="120"/>
      <c r="J1724" s="116"/>
      <c r="K1724" s="116"/>
      <c r="L1724" s="116"/>
      <c r="M1724" s="116"/>
      <c r="N1724" s="116"/>
      <c r="O1724" s="116"/>
      <c r="P1724" s="116"/>
    </row>
    <row r="1725" spans="2:16" s="108" customFormat="1" ht="21.75" hidden="1" customHeight="1">
      <c r="B1725" s="109"/>
      <c r="C1725" s="122"/>
      <c r="D1725" s="172" t="s">
        <v>1216</v>
      </c>
      <c r="E1725" s="730">
        <f>SUM(E1726:E1729)</f>
        <v>3505058000</v>
      </c>
      <c r="F1725" s="134">
        <v>65595198072.370003</v>
      </c>
      <c r="G1725" s="126">
        <f t="shared" si="34"/>
        <v>5.3434673619445938</v>
      </c>
      <c r="H1725" s="120"/>
      <c r="I1725" s="120"/>
      <c r="J1725" s="116"/>
      <c r="K1725" s="116"/>
      <c r="L1725" s="116"/>
      <c r="M1725" s="116"/>
      <c r="N1725" s="116"/>
      <c r="O1725" s="116"/>
      <c r="P1725" s="116"/>
    </row>
    <row r="1726" spans="2:16" s="108" customFormat="1" ht="21.75" hidden="1" customHeight="1">
      <c r="B1726" s="109"/>
      <c r="C1726" s="122"/>
      <c r="D1726" s="174" t="s">
        <v>667</v>
      </c>
      <c r="E1726" s="731">
        <v>1368000000</v>
      </c>
      <c r="F1726" s="134">
        <v>65595198072.370003</v>
      </c>
      <c r="G1726" s="126">
        <f t="shared" si="34"/>
        <v>2.0855185138563193</v>
      </c>
      <c r="H1726" s="120"/>
      <c r="I1726" s="120"/>
      <c r="J1726" s="116"/>
      <c r="K1726" s="116"/>
      <c r="L1726" s="116"/>
      <c r="M1726" s="116"/>
      <c r="N1726" s="116"/>
      <c r="O1726" s="116"/>
      <c r="P1726" s="116"/>
    </row>
    <row r="1727" spans="2:16" s="108" customFormat="1" ht="39.75" hidden="1" customHeight="1">
      <c r="B1727" s="109"/>
      <c r="C1727" s="122"/>
      <c r="D1727" s="174" t="s">
        <v>1399</v>
      </c>
      <c r="E1727" s="731">
        <v>162000000</v>
      </c>
      <c r="F1727" s="134">
        <v>65595198072.370003</v>
      </c>
      <c r="G1727" s="126">
        <f t="shared" si="34"/>
        <v>0.2469692976935115</v>
      </c>
      <c r="H1727" s="120"/>
      <c r="I1727" s="120"/>
      <c r="J1727" s="116"/>
      <c r="K1727" s="116"/>
      <c r="L1727" s="116"/>
      <c r="M1727" s="116"/>
      <c r="N1727" s="116"/>
      <c r="O1727" s="116"/>
      <c r="P1727" s="116"/>
    </row>
    <row r="1728" spans="2:16" s="108" customFormat="1" ht="21.75" hidden="1" customHeight="1">
      <c r="B1728" s="109"/>
      <c r="C1728" s="122"/>
      <c r="D1728" s="174" t="s">
        <v>1400</v>
      </c>
      <c r="E1728" s="731">
        <v>1398158000</v>
      </c>
      <c r="F1728" s="134">
        <v>65595198072.370003</v>
      </c>
      <c r="G1728" s="126">
        <f t="shared" si="34"/>
        <v>2.1314944402750906</v>
      </c>
      <c r="H1728" s="120"/>
      <c r="I1728" s="120"/>
      <c r="J1728" s="116"/>
      <c r="K1728" s="116"/>
      <c r="L1728" s="116"/>
      <c r="M1728" s="116"/>
      <c r="N1728" s="116"/>
      <c r="O1728" s="116"/>
      <c r="P1728" s="116"/>
    </row>
    <row r="1729" spans="2:16" s="108" customFormat="1" ht="21.75" hidden="1" customHeight="1">
      <c r="B1729" s="109"/>
      <c r="C1729" s="122"/>
      <c r="D1729" s="174" t="s">
        <v>1401</v>
      </c>
      <c r="E1729" s="731">
        <v>576900000</v>
      </c>
      <c r="F1729" s="134">
        <v>65595198072.370003</v>
      </c>
      <c r="G1729" s="126">
        <f t="shared" si="34"/>
        <v>0.87948511011967156</v>
      </c>
      <c r="H1729" s="120"/>
      <c r="I1729" s="120"/>
      <c r="J1729" s="116"/>
      <c r="K1729" s="116"/>
      <c r="L1729" s="116"/>
      <c r="M1729" s="116"/>
      <c r="N1729" s="116"/>
      <c r="O1729" s="116"/>
      <c r="P1729" s="116"/>
    </row>
    <row r="1730" spans="2:16" s="108" customFormat="1" ht="21.75" hidden="1" customHeight="1">
      <c r="B1730" s="109"/>
      <c r="C1730" s="122"/>
      <c r="D1730" s="172" t="s">
        <v>1402</v>
      </c>
      <c r="E1730" s="730">
        <f>SUM(E1731:E1734)</f>
        <v>965067000</v>
      </c>
      <c r="F1730" s="134">
        <v>65595198072.370003</v>
      </c>
      <c r="G1730" s="126">
        <f t="shared" si="34"/>
        <v>1.4712464149208893</v>
      </c>
      <c r="H1730" s="120"/>
      <c r="I1730" s="120"/>
      <c r="J1730" s="116"/>
      <c r="K1730" s="116"/>
      <c r="L1730" s="116"/>
      <c r="M1730" s="116"/>
      <c r="N1730" s="116"/>
      <c r="O1730" s="116"/>
      <c r="P1730" s="116"/>
    </row>
    <row r="1731" spans="2:16" s="108" customFormat="1" ht="21.75" hidden="1" customHeight="1">
      <c r="B1731" s="109"/>
      <c r="C1731" s="122"/>
      <c r="D1731" s="174" t="s">
        <v>1403</v>
      </c>
      <c r="E1731" s="731">
        <v>279067000</v>
      </c>
      <c r="F1731" s="134">
        <v>65595198072.370003</v>
      </c>
      <c r="G1731" s="126">
        <f t="shared" si="34"/>
        <v>0.42543815431750109</v>
      </c>
      <c r="H1731" s="120"/>
      <c r="I1731" s="120"/>
      <c r="J1731" s="116"/>
      <c r="K1731" s="116"/>
      <c r="L1731" s="116"/>
      <c r="M1731" s="116"/>
      <c r="N1731" s="116"/>
      <c r="O1731" s="116"/>
      <c r="P1731" s="116"/>
    </row>
    <row r="1732" spans="2:16" s="108" customFormat="1" ht="21.75" hidden="1" customHeight="1">
      <c r="B1732" s="109"/>
      <c r="C1732" s="122"/>
      <c r="D1732" s="174" t="s">
        <v>1404</v>
      </c>
      <c r="E1732" s="731">
        <v>50000000</v>
      </c>
      <c r="F1732" s="134">
        <v>65595198072.370003</v>
      </c>
      <c r="G1732" s="126">
        <f t="shared" si="34"/>
        <v>7.6225091880713428E-2</v>
      </c>
      <c r="H1732" s="120"/>
      <c r="I1732" s="120"/>
      <c r="J1732" s="116"/>
      <c r="K1732" s="116"/>
      <c r="L1732" s="116"/>
      <c r="M1732" s="116"/>
      <c r="N1732" s="116"/>
      <c r="O1732" s="116"/>
      <c r="P1732" s="116"/>
    </row>
    <row r="1733" spans="2:16" s="108" customFormat="1" ht="21.75" hidden="1" customHeight="1">
      <c r="B1733" s="109"/>
      <c r="C1733" s="122"/>
      <c r="D1733" s="174" t="s">
        <v>1405</v>
      </c>
      <c r="E1733" s="731">
        <v>540000000</v>
      </c>
      <c r="F1733" s="134">
        <v>65595198072.370003</v>
      </c>
      <c r="G1733" s="126">
        <f t="shared" si="34"/>
        <v>0.82323099231170505</v>
      </c>
      <c r="H1733" s="120"/>
      <c r="I1733" s="120"/>
      <c r="J1733" s="116"/>
      <c r="K1733" s="116"/>
      <c r="L1733" s="116"/>
      <c r="M1733" s="116"/>
      <c r="N1733" s="116"/>
      <c r="O1733" s="116"/>
      <c r="P1733" s="116"/>
    </row>
    <row r="1734" spans="2:16" s="108" customFormat="1" ht="21.75" hidden="1" customHeight="1">
      <c r="B1734" s="109"/>
      <c r="C1734" s="122"/>
      <c r="D1734" s="174" t="s">
        <v>1406</v>
      </c>
      <c r="E1734" s="731">
        <v>96000000</v>
      </c>
      <c r="F1734" s="134">
        <v>65595198072.370003</v>
      </c>
      <c r="G1734" s="126">
        <f t="shared" si="34"/>
        <v>0.14635217641096979</v>
      </c>
      <c r="H1734" s="120"/>
      <c r="I1734" s="120"/>
      <c r="J1734" s="116"/>
      <c r="K1734" s="116"/>
      <c r="L1734" s="116"/>
      <c r="M1734" s="116"/>
      <c r="N1734" s="116"/>
      <c r="O1734" s="116"/>
      <c r="P1734" s="116"/>
    </row>
    <row r="1735" spans="2:16" s="108" customFormat="1" ht="15" hidden="1" customHeight="1">
      <c r="B1735" s="109"/>
      <c r="C1735" s="122"/>
      <c r="D1735" s="111"/>
      <c r="E1735" s="729"/>
      <c r="F1735" s="134"/>
      <c r="G1735" s="126"/>
      <c r="H1735" s="120"/>
      <c r="I1735" s="120"/>
      <c r="J1735" s="116"/>
      <c r="K1735" s="116"/>
      <c r="L1735" s="116"/>
      <c r="M1735" s="116"/>
      <c r="N1735" s="116"/>
      <c r="O1735" s="116"/>
      <c r="P1735" s="116"/>
    </row>
    <row r="1736" spans="2:16" s="108" customFormat="1" ht="21.75" hidden="1" customHeight="1">
      <c r="B1736" s="109"/>
      <c r="C1736" s="122"/>
      <c r="D1736" s="111" t="s">
        <v>65</v>
      </c>
      <c r="E1736" s="729">
        <f>E1737+E1739+E1741+E1743</f>
        <v>7655385000</v>
      </c>
      <c r="F1736" s="134">
        <v>65595198072.370003</v>
      </c>
      <c r="G1736" s="126">
        <f t="shared" si="34"/>
        <v>11.670648500144708</v>
      </c>
      <c r="H1736" s="120"/>
      <c r="I1736" s="120"/>
      <c r="J1736" s="116"/>
      <c r="K1736" s="116"/>
      <c r="L1736" s="116"/>
      <c r="M1736" s="116"/>
      <c r="N1736" s="116"/>
      <c r="O1736" s="116"/>
      <c r="P1736" s="116"/>
    </row>
    <row r="1737" spans="2:16" s="108" customFormat="1" ht="21.75" hidden="1" customHeight="1">
      <c r="B1737" s="109"/>
      <c r="C1737" s="122"/>
      <c r="D1737" s="176" t="s">
        <v>190</v>
      </c>
      <c r="E1737" s="732">
        <f>SUM(E1738)</f>
        <v>100000000</v>
      </c>
      <c r="F1737" s="134">
        <v>65595198072.370003</v>
      </c>
      <c r="G1737" s="126">
        <f t="shared" si="34"/>
        <v>0.15245018376142686</v>
      </c>
      <c r="H1737" s="120"/>
      <c r="I1737" s="120"/>
      <c r="J1737" s="116"/>
      <c r="K1737" s="116"/>
      <c r="L1737" s="116"/>
      <c r="M1737" s="116"/>
      <c r="N1737" s="116"/>
      <c r="O1737" s="116"/>
      <c r="P1737" s="116"/>
    </row>
    <row r="1738" spans="2:16" s="108" customFormat="1" ht="21.75" hidden="1" customHeight="1">
      <c r="B1738" s="109"/>
      <c r="C1738" s="122"/>
      <c r="D1738" s="177" t="s">
        <v>1407</v>
      </c>
      <c r="E1738" s="733">
        <v>100000000</v>
      </c>
      <c r="F1738" s="134">
        <v>65595198072.370003</v>
      </c>
      <c r="G1738" s="126">
        <f t="shared" si="34"/>
        <v>0.15245018376142686</v>
      </c>
      <c r="H1738" s="120"/>
      <c r="I1738" s="120"/>
      <c r="J1738" s="116"/>
      <c r="K1738" s="116"/>
      <c r="L1738" s="116"/>
      <c r="M1738" s="116"/>
      <c r="N1738" s="116"/>
      <c r="O1738" s="116"/>
      <c r="P1738" s="116"/>
    </row>
    <row r="1739" spans="2:16" s="108" customFormat="1" ht="21.75" hidden="1" customHeight="1">
      <c r="B1739" s="109"/>
      <c r="C1739" s="122"/>
      <c r="D1739" s="176" t="s">
        <v>196</v>
      </c>
      <c r="E1739" s="732">
        <f>SUM(E1740)</f>
        <v>100000000</v>
      </c>
      <c r="F1739" s="134">
        <v>65595198072.370003</v>
      </c>
      <c r="G1739" s="126">
        <f t="shared" si="34"/>
        <v>0.15245018376142686</v>
      </c>
      <c r="H1739" s="120"/>
      <c r="I1739" s="120"/>
      <c r="J1739" s="116"/>
      <c r="K1739" s="116"/>
      <c r="L1739" s="116"/>
      <c r="M1739" s="116"/>
      <c r="N1739" s="116"/>
      <c r="O1739" s="116"/>
      <c r="P1739" s="116"/>
    </row>
    <row r="1740" spans="2:16" s="108" customFormat="1" ht="21.75" hidden="1" customHeight="1">
      <c r="B1740" s="109"/>
      <c r="C1740" s="122"/>
      <c r="D1740" s="177" t="s">
        <v>1408</v>
      </c>
      <c r="E1740" s="733">
        <v>100000000</v>
      </c>
      <c r="F1740" s="134">
        <v>65595198072.370003</v>
      </c>
      <c r="G1740" s="126">
        <f t="shared" si="34"/>
        <v>0.15245018376142686</v>
      </c>
      <c r="H1740" s="120"/>
      <c r="I1740" s="120"/>
      <c r="J1740" s="116"/>
      <c r="K1740" s="116"/>
      <c r="L1740" s="116"/>
      <c r="M1740" s="116"/>
      <c r="N1740" s="116"/>
      <c r="O1740" s="116"/>
      <c r="P1740" s="116"/>
    </row>
    <row r="1741" spans="2:16" s="108" customFormat="1" ht="21.75" hidden="1" customHeight="1">
      <c r="B1741" s="109"/>
      <c r="C1741" s="122"/>
      <c r="D1741" s="176" t="s">
        <v>877</v>
      </c>
      <c r="E1741" s="732">
        <f>SUM(E1742)</f>
        <v>7248000000</v>
      </c>
      <c r="F1741" s="134">
        <v>65595198072.370003</v>
      </c>
      <c r="G1741" s="126">
        <f t="shared" si="34"/>
        <v>11.049589319028218</v>
      </c>
      <c r="H1741" s="120"/>
      <c r="I1741" s="120"/>
      <c r="J1741" s="116"/>
      <c r="K1741" s="116"/>
      <c r="L1741" s="116"/>
      <c r="M1741" s="116"/>
      <c r="N1741" s="116"/>
      <c r="O1741" s="116"/>
      <c r="P1741" s="116"/>
    </row>
    <row r="1742" spans="2:16" s="108" customFormat="1" ht="21.75" hidden="1" customHeight="1">
      <c r="B1742" s="109"/>
      <c r="C1742" s="122"/>
      <c r="D1742" s="177" t="s">
        <v>1409</v>
      </c>
      <c r="E1742" s="733">
        <v>7248000000</v>
      </c>
      <c r="F1742" s="134">
        <v>65595198072.370003</v>
      </c>
      <c r="G1742" s="126">
        <f t="shared" si="34"/>
        <v>11.049589319028218</v>
      </c>
      <c r="H1742" s="120"/>
      <c r="I1742" s="120"/>
      <c r="J1742" s="116"/>
      <c r="K1742" s="116"/>
      <c r="L1742" s="116"/>
      <c r="M1742" s="116"/>
      <c r="N1742" s="116"/>
      <c r="O1742" s="116"/>
      <c r="P1742" s="116"/>
    </row>
    <row r="1743" spans="2:16" s="108" customFormat="1" ht="21.75" hidden="1" customHeight="1">
      <c r="B1743" s="109"/>
      <c r="C1743" s="122"/>
      <c r="D1743" s="176" t="s">
        <v>221</v>
      </c>
      <c r="E1743" s="732">
        <f>SUM(E1744)</f>
        <v>207385000</v>
      </c>
      <c r="F1743" s="134">
        <v>65595198072.370003</v>
      </c>
      <c r="G1743" s="126">
        <f t="shared" si="34"/>
        <v>0.31615881359363512</v>
      </c>
      <c r="H1743" s="120"/>
      <c r="I1743" s="120"/>
      <c r="J1743" s="116"/>
      <c r="K1743" s="116"/>
      <c r="L1743" s="116"/>
      <c r="M1743" s="116"/>
      <c r="N1743" s="116"/>
      <c r="O1743" s="116"/>
      <c r="P1743" s="116"/>
    </row>
    <row r="1744" spans="2:16" s="108" customFormat="1" ht="39.75" hidden="1" customHeight="1">
      <c r="B1744" s="109"/>
      <c r="C1744" s="122"/>
      <c r="D1744" s="177" t="s">
        <v>1410</v>
      </c>
      <c r="E1744" s="733">
        <v>207385000</v>
      </c>
      <c r="F1744" s="134">
        <v>65595198072.370003</v>
      </c>
      <c r="G1744" s="126">
        <f t="shared" si="34"/>
        <v>0.31615881359363512</v>
      </c>
      <c r="H1744" s="120"/>
      <c r="I1744" s="120"/>
      <c r="J1744" s="116"/>
      <c r="K1744" s="116"/>
      <c r="L1744" s="116"/>
      <c r="M1744" s="116"/>
      <c r="N1744" s="116"/>
      <c r="O1744" s="116"/>
      <c r="P1744" s="116"/>
    </row>
    <row r="1745" spans="2:16" s="108" customFormat="1" ht="15" hidden="1" customHeight="1">
      <c r="B1745" s="109"/>
      <c r="C1745" s="122"/>
      <c r="D1745" s="123"/>
      <c r="E1745" s="734"/>
      <c r="F1745" s="134"/>
      <c r="G1745" s="126"/>
      <c r="H1745" s="120"/>
      <c r="I1745" s="120"/>
      <c r="J1745" s="116"/>
      <c r="K1745" s="116"/>
      <c r="L1745" s="116"/>
      <c r="M1745" s="116"/>
      <c r="N1745" s="116"/>
      <c r="O1745" s="116"/>
      <c r="P1745" s="116"/>
    </row>
    <row r="1746" spans="2:16" s="108" customFormat="1" ht="21.75" hidden="1" customHeight="1">
      <c r="B1746" s="109"/>
      <c r="C1746" s="122"/>
      <c r="D1746" s="111" t="s">
        <v>1411</v>
      </c>
      <c r="E1746" s="729">
        <f>E1747+E1749+E1751+E1753</f>
        <v>5032116476.3699999</v>
      </c>
      <c r="F1746" s="134">
        <v>65595198072.370003</v>
      </c>
      <c r="G1746" s="126">
        <f t="shared" si="34"/>
        <v>7.6714708153151028</v>
      </c>
      <c r="H1746" s="120"/>
      <c r="I1746" s="120"/>
      <c r="J1746" s="116"/>
      <c r="K1746" s="116"/>
      <c r="L1746" s="116"/>
      <c r="M1746" s="116"/>
      <c r="N1746" s="116"/>
      <c r="O1746" s="116"/>
      <c r="P1746" s="116"/>
    </row>
    <row r="1747" spans="2:16" s="108" customFormat="1" ht="21.75" hidden="1" customHeight="1">
      <c r="B1747" s="109"/>
      <c r="C1747" s="122"/>
      <c r="D1747" s="179" t="s">
        <v>162</v>
      </c>
      <c r="E1747" s="735">
        <f>SUM(E1748)</f>
        <v>1503428432</v>
      </c>
      <c r="F1747" s="134">
        <v>65595198072.370003</v>
      </c>
      <c r="G1747" s="126">
        <f t="shared" si="34"/>
        <v>2.2919794073055386</v>
      </c>
      <c r="H1747" s="120"/>
      <c r="I1747" s="120"/>
      <c r="J1747" s="116"/>
      <c r="K1747" s="116"/>
      <c r="L1747" s="116"/>
      <c r="M1747" s="116"/>
      <c r="N1747" s="116"/>
      <c r="O1747" s="116"/>
      <c r="P1747" s="116"/>
    </row>
    <row r="1748" spans="2:16" s="108" customFormat="1" ht="21.75" hidden="1" customHeight="1">
      <c r="B1748" s="109"/>
      <c r="C1748" s="122"/>
      <c r="D1748" s="180" t="s">
        <v>1412</v>
      </c>
      <c r="E1748" s="736">
        <v>1503428432</v>
      </c>
      <c r="F1748" s="134">
        <v>65595198072.370003</v>
      </c>
      <c r="G1748" s="126">
        <f t="shared" si="34"/>
        <v>2.2919794073055386</v>
      </c>
      <c r="H1748" s="120"/>
      <c r="I1748" s="120"/>
      <c r="J1748" s="116"/>
      <c r="K1748" s="116"/>
      <c r="L1748" s="116"/>
      <c r="M1748" s="116"/>
      <c r="N1748" s="116"/>
      <c r="O1748" s="116"/>
      <c r="P1748" s="116"/>
    </row>
    <row r="1749" spans="2:16" s="108" customFormat="1" ht="21.75" hidden="1" customHeight="1">
      <c r="B1749" s="109"/>
      <c r="C1749" s="122"/>
      <c r="D1749" s="179" t="s">
        <v>173</v>
      </c>
      <c r="E1749" s="735">
        <f>SUM(E1750)</f>
        <v>1504932859.3699999</v>
      </c>
      <c r="F1749" s="134">
        <v>65595198072.370003</v>
      </c>
      <c r="G1749" s="126">
        <f t="shared" si="34"/>
        <v>2.2942729095956604</v>
      </c>
      <c r="H1749" s="120"/>
      <c r="I1749" s="120"/>
      <c r="J1749" s="116"/>
      <c r="K1749" s="116"/>
      <c r="L1749" s="116"/>
      <c r="M1749" s="116"/>
      <c r="N1749" s="116"/>
      <c r="O1749" s="116"/>
      <c r="P1749" s="116"/>
    </row>
    <row r="1750" spans="2:16" s="108" customFormat="1" ht="21.75" hidden="1" customHeight="1">
      <c r="B1750" s="109"/>
      <c r="C1750" s="122"/>
      <c r="D1750" s="180" t="s">
        <v>1413</v>
      </c>
      <c r="E1750" s="736">
        <v>1504932859.3699999</v>
      </c>
      <c r="F1750" s="134">
        <v>65595198072.370003</v>
      </c>
      <c r="G1750" s="126">
        <f t="shared" si="34"/>
        <v>2.2942729095956604</v>
      </c>
      <c r="H1750" s="120"/>
      <c r="I1750" s="120"/>
      <c r="J1750" s="116"/>
      <c r="K1750" s="116"/>
      <c r="L1750" s="116"/>
      <c r="M1750" s="116"/>
      <c r="N1750" s="116"/>
      <c r="O1750" s="116"/>
      <c r="P1750" s="116"/>
    </row>
    <row r="1751" spans="2:16" s="108" customFormat="1" ht="39.75" hidden="1" customHeight="1">
      <c r="B1751" s="109"/>
      <c r="C1751" s="122"/>
      <c r="D1751" s="179" t="s">
        <v>1414</v>
      </c>
      <c r="E1751" s="735">
        <f>SUM(E1752)</f>
        <v>1701000000</v>
      </c>
      <c r="F1751" s="134">
        <v>65595198072.370003</v>
      </c>
      <c r="G1751" s="126">
        <f t="shared" si="34"/>
        <v>2.5931776257818711</v>
      </c>
      <c r="H1751" s="120"/>
      <c r="I1751" s="120"/>
      <c r="J1751" s="116"/>
      <c r="K1751" s="116"/>
      <c r="L1751" s="116"/>
      <c r="M1751" s="116"/>
      <c r="N1751" s="116"/>
      <c r="O1751" s="116"/>
      <c r="P1751" s="116"/>
    </row>
    <row r="1752" spans="2:16" s="108" customFormat="1" ht="21.75" hidden="1" customHeight="1">
      <c r="B1752" s="109"/>
      <c r="C1752" s="122"/>
      <c r="D1752" s="180" t="s">
        <v>1415</v>
      </c>
      <c r="E1752" s="736">
        <v>1701000000</v>
      </c>
      <c r="F1752" s="134">
        <v>65595198072.370003</v>
      </c>
      <c r="G1752" s="126">
        <f t="shared" si="34"/>
        <v>2.5931776257818711</v>
      </c>
      <c r="H1752" s="120"/>
      <c r="I1752" s="120"/>
      <c r="J1752" s="116"/>
      <c r="K1752" s="116"/>
      <c r="L1752" s="116"/>
      <c r="M1752" s="116"/>
      <c r="N1752" s="116"/>
      <c r="O1752" s="116"/>
      <c r="P1752" s="116"/>
    </row>
    <row r="1753" spans="2:16" s="108" customFormat="1" ht="21.75" hidden="1" customHeight="1">
      <c r="B1753" s="109"/>
      <c r="C1753" s="122"/>
      <c r="D1753" s="179" t="s">
        <v>1416</v>
      </c>
      <c r="E1753" s="735">
        <f>SUM(E1754)</f>
        <v>322755185</v>
      </c>
      <c r="F1753" s="134">
        <v>65595198072.370003</v>
      </c>
      <c r="G1753" s="126">
        <f t="shared" si="34"/>
        <v>0.49204087263203322</v>
      </c>
      <c r="H1753" s="120"/>
      <c r="I1753" s="120"/>
      <c r="J1753" s="116"/>
      <c r="K1753" s="116"/>
      <c r="L1753" s="116"/>
      <c r="M1753" s="116"/>
      <c r="N1753" s="116"/>
      <c r="O1753" s="116"/>
      <c r="P1753" s="116"/>
    </row>
    <row r="1754" spans="2:16" s="108" customFormat="1" ht="21.75" hidden="1" customHeight="1">
      <c r="B1754" s="109"/>
      <c r="C1754" s="122"/>
      <c r="D1754" s="180" t="s">
        <v>1417</v>
      </c>
      <c r="E1754" s="736">
        <v>322755185</v>
      </c>
      <c r="F1754" s="134">
        <v>65595198072.370003</v>
      </c>
      <c r="G1754" s="126">
        <f t="shared" si="34"/>
        <v>0.49204087263203322</v>
      </c>
      <c r="H1754" s="120"/>
      <c r="I1754" s="120"/>
      <c r="J1754" s="116"/>
      <c r="K1754" s="116"/>
      <c r="L1754" s="116"/>
      <c r="M1754" s="116"/>
      <c r="N1754" s="116"/>
      <c r="O1754" s="116"/>
      <c r="P1754" s="116"/>
    </row>
    <row r="1755" spans="2:16" s="108" customFormat="1" ht="15" hidden="1" customHeight="1">
      <c r="B1755" s="109"/>
      <c r="C1755" s="122"/>
      <c r="D1755" s="123"/>
      <c r="E1755" s="734"/>
      <c r="F1755" s="134"/>
      <c r="G1755" s="126"/>
      <c r="H1755" s="120"/>
      <c r="I1755" s="120"/>
      <c r="J1755" s="116"/>
      <c r="K1755" s="116"/>
      <c r="L1755" s="116"/>
      <c r="M1755" s="116"/>
      <c r="N1755" s="116"/>
      <c r="O1755" s="116"/>
      <c r="P1755" s="116"/>
    </row>
    <row r="1756" spans="2:16" s="108" customFormat="1" ht="21.75" hidden="1" customHeight="1">
      <c r="B1756" s="109"/>
      <c r="C1756" s="122"/>
      <c r="D1756" s="111" t="s">
        <v>1137</v>
      </c>
      <c r="E1756" s="729">
        <f>E1757+E1760</f>
        <v>550000000</v>
      </c>
      <c r="F1756" s="134">
        <v>65595198072.370003</v>
      </c>
      <c r="G1756" s="126">
        <f t="shared" si="34"/>
        <v>0.83847601068784783</v>
      </c>
      <c r="H1756" s="120"/>
      <c r="I1756" s="120"/>
      <c r="J1756" s="116"/>
      <c r="K1756" s="116"/>
      <c r="L1756" s="116"/>
      <c r="M1756" s="116"/>
      <c r="N1756" s="116"/>
      <c r="O1756" s="116"/>
      <c r="P1756" s="116"/>
    </row>
    <row r="1757" spans="2:16" s="108" customFormat="1" ht="21.75" hidden="1" customHeight="1">
      <c r="B1757" s="109"/>
      <c r="C1757" s="122"/>
      <c r="D1757" s="181" t="s">
        <v>304</v>
      </c>
      <c r="E1757" s="737">
        <f>SUM(E1758:E1759)</f>
        <v>400000000</v>
      </c>
      <c r="F1757" s="134">
        <v>65595198072.370003</v>
      </c>
      <c r="G1757" s="126">
        <f t="shared" si="34"/>
        <v>0.60980073504570742</v>
      </c>
      <c r="H1757" s="120"/>
      <c r="I1757" s="120"/>
      <c r="J1757" s="116"/>
      <c r="K1757" s="116"/>
      <c r="L1757" s="116"/>
      <c r="M1757" s="116"/>
      <c r="N1757" s="116"/>
      <c r="O1757" s="116"/>
      <c r="P1757" s="116"/>
    </row>
    <row r="1758" spans="2:16" s="108" customFormat="1" ht="21.75" hidden="1" customHeight="1">
      <c r="B1758" s="109"/>
      <c r="C1758" s="122"/>
      <c r="D1758" s="182" t="s">
        <v>1418</v>
      </c>
      <c r="E1758" s="738">
        <v>201000000</v>
      </c>
      <c r="F1758" s="134">
        <v>65595198072.370003</v>
      </c>
      <c r="G1758" s="126">
        <f t="shared" si="34"/>
        <v>0.30642486936046803</v>
      </c>
      <c r="H1758" s="120"/>
      <c r="I1758" s="120"/>
      <c r="J1758" s="116"/>
      <c r="K1758" s="116"/>
      <c r="L1758" s="116"/>
      <c r="M1758" s="116"/>
      <c r="N1758" s="116"/>
      <c r="O1758" s="116"/>
      <c r="P1758" s="116"/>
    </row>
    <row r="1759" spans="2:16" s="108" customFormat="1" ht="21.75" hidden="1" customHeight="1">
      <c r="B1759" s="109"/>
      <c r="C1759" s="122"/>
      <c r="D1759" s="182" t="s">
        <v>1419</v>
      </c>
      <c r="E1759" s="738">
        <v>199000000</v>
      </c>
      <c r="F1759" s="134">
        <v>65595198072.370003</v>
      </c>
      <c r="G1759" s="126">
        <f t="shared" si="34"/>
        <v>0.30337586568523944</v>
      </c>
      <c r="H1759" s="120"/>
      <c r="I1759" s="120"/>
      <c r="J1759" s="116"/>
      <c r="K1759" s="116"/>
      <c r="L1759" s="116"/>
      <c r="M1759" s="116"/>
      <c r="N1759" s="116"/>
      <c r="O1759" s="116"/>
      <c r="P1759" s="116"/>
    </row>
    <row r="1760" spans="2:16" s="108" customFormat="1" ht="21.75" hidden="1" customHeight="1">
      <c r="B1760" s="109"/>
      <c r="C1760" s="122"/>
      <c r="D1760" s="183" t="s">
        <v>1420</v>
      </c>
      <c r="E1760" s="739">
        <f>SUM(E1761)</f>
        <v>150000000</v>
      </c>
      <c r="F1760" s="134">
        <v>65595198072.370003</v>
      </c>
      <c r="G1760" s="126">
        <f t="shared" si="34"/>
        <v>0.2286752756421403</v>
      </c>
      <c r="H1760" s="120"/>
      <c r="I1760" s="120"/>
      <c r="J1760" s="116"/>
      <c r="K1760" s="116"/>
      <c r="L1760" s="116"/>
      <c r="M1760" s="116"/>
      <c r="N1760" s="116"/>
      <c r="O1760" s="116"/>
      <c r="P1760" s="116"/>
    </row>
    <row r="1761" spans="2:16" s="108" customFormat="1" ht="21.75" hidden="1" customHeight="1">
      <c r="B1761" s="109"/>
      <c r="C1761" s="122"/>
      <c r="D1761" s="184" t="s">
        <v>1421</v>
      </c>
      <c r="E1761" s="740">
        <v>150000000</v>
      </c>
      <c r="F1761" s="134">
        <v>65595198072.370003</v>
      </c>
      <c r="G1761" s="126">
        <f t="shared" si="34"/>
        <v>0.2286752756421403</v>
      </c>
      <c r="H1761" s="120"/>
      <c r="I1761" s="120"/>
      <c r="J1761" s="116"/>
      <c r="K1761" s="116"/>
      <c r="L1761" s="116"/>
      <c r="M1761" s="116"/>
      <c r="N1761" s="116"/>
      <c r="O1761" s="116"/>
      <c r="P1761" s="116"/>
    </row>
    <row r="1762" spans="2:16" s="108" customFormat="1" ht="15" hidden="1" customHeight="1">
      <c r="B1762" s="109"/>
      <c r="C1762" s="122"/>
      <c r="D1762" s="123"/>
      <c r="E1762" s="734"/>
      <c r="F1762" s="134"/>
      <c r="G1762" s="126"/>
      <c r="H1762" s="120"/>
      <c r="I1762" s="120"/>
      <c r="J1762" s="116"/>
      <c r="K1762" s="116"/>
      <c r="L1762" s="116"/>
      <c r="M1762" s="116"/>
      <c r="N1762" s="116"/>
      <c r="O1762" s="116"/>
      <c r="P1762" s="116"/>
    </row>
    <row r="1763" spans="2:16" s="108" customFormat="1" ht="39.75" hidden="1" customHeight="1">
      <c r="B1763" s="109"/>
      <c r="C1763" s="122"/>
      <c r="D1763" s="111" t="s">
        <v>1422</v>
      </c>
      <c r="E1763" s="729">
        <f>E1764+E1766+E1768</f>
        <v>4000000000</v>
      </c>
      <c r="F1763" s="134">
        <v>65595198072.370003</v>
      </c>
      <c r="G1763" s="126">
        <f t="shared" si="34"/>
        <v>6.098007350457074</v>
      </c>
      <c r="H1763" s="120"/>
      <c r="I1763" s="120"/>
      <c r="J1763" s="116"/>
      <c r="K1763" s="116"/>
      <c r="L1763" s="116"/>
      <c r="M1763" s="116"/>
      <c r="N1763" s="116"/>
      <c r="O1763" s="116"/>
      <c r="P1763" s="116"/>
    </row>
    <row r="1764" spans="2:16" s="108" customFormat="1" ht="39.75" hidden="1" customHeight="1">
      <c r="B1764" s="109"/>
      <c r="C1764" s="122"/>
      <c r="D1764" s="185" t="s">
        <v>546</v>
      </c>
      <c r="E1764" s="741">
        <f>SUM(E1765)</f>
        <v>1500000000</v>
      </c>
      <c r="F1764" s="134">
        <v>65595198072.370003</v>
      </c>
      <c r="G1764" s="126">
        <f t="shared" si="34"/>
        <v>2.2867527564214027</v>
      </c>
      <c r="H1764" s="120"/>
      <c r="I1764" s="120"/>
      <c r="J1764" s="116"/>
      <c r="K1764" s="116"/>
      <c r="L1764" s="116"/>
      <c r="M1764" s="116"/>
      <c r="N1764" s="116"/>
      <c r="O1764" s="116"/>
      <c r="P1764" s="116"/>
    </row>
    <row r="1765" spans="2:16" s="108" customFormat="1" ht="21.75" hidden="1" customHeight="1">
      <c r="B1765" s="109"/>
      <c r="C1765" s="122"/>
      <c r="D1765" s="186" t="s">
        <v>614</v>
      </c>
      <c r="E1765" s="742">
        <v>1500000000</v>
      </c>
      <c r="F1765" s="134">
        <v>65595198072.370003</v>
      </c>
      <c r="G1765" s="126">
        <f t="shared" si="34"/>
        <v>2.2867527564214027</v>
      </c>
      <c r="H1765" s="120"/>
      <c r="I1765" s="120"/>
      <c r="J1765" s="116"/>
      <c r="K1765" s="116"/>
      <c r="L1765" s="116"/>
      <c r="M1765" s="116"/>
      <c r="N1765" s="116"/>
      <c r="O1765" s="116"/>
      <c r="P1765" s="116"/>
    </row>
    <row r="1766" spans="2:16" s="108" customFormat="1" ht="21.75" hidden="1" customHeight="1">
      <c r="B1766" s="109"/>
      <c r="C1766" s="122"/>
      <c r="D1766" s="185" t="s">
        <v>1423</v>
      </c>
      <c r="E1766" s="741">
        <f>SUM(E1767)</f>
        <v>1500000000</v>
      </c>
      <c r="F1766" s="134">
        <v>65595198072.370003</v>
      </c>
      <c r="G1766" s="126">
        <f t="shared" si="34"/>
        <v>2.2867527564214027</v>
      </c>
      <c r="H1766" s="120"/>
      <c r="I1766" s="120"/>
      <c r="J1766" s="116"/>
      <c r="K1766" s="116"/>
      <c r="L1766" s="116"/>
      <c r="M1766" s="116"/>
      <c r="N1766" s="116"/>
      <c r="O1766" s="116"/>
      <c r="P1766" s="116"/>
    </row>
    <row r="1767" spans="2:16" s="108" customFormat="1" ht="39.75" hidden="1" customHeight="1">
      <c r="B1767" s="109"/>
      <c r="C1767" s="122"/>
      <c r="D1767" s="186" t="s">
        <v>1424</v>
      </c>
      <c r="E1767" s="742">
        <v>1500000000</v>
      </c>
      <c r="F1767" s="134">
        <v>65595198072.370003</v>
      </c>
      <c r="G1767" s="126">
        <f t="shared" si="34"/>
        <v>2.2867527564214027</v>
      </c>
      <c r="H1767" s="120"/>
      <c r="I1767" s="120"/>
      <c r="J1767" s="116"/>
      <c r="K1767" s="116"/>
      <c r="L1767" s="116"/>
      <c r="M1767" s="116"/>
      <c r="N1767" s="116"/>
      <c r="O1767" s="116"/>
      <c r="P1767" s="116"/>
    </row>
    <row r="1768" spans="2:16" s="108" customFormat="1" ht="21.75" hidden="1" customHeight="1">
      <c r="B1768" s="109"/>
      <c r="C1768" s="122"/>
      <c r="D1768" s="185" t="s">
        <v>1425</v>
      </c>
      <c r="E1768" s="741">
        <f>SUM(E1769)</f>
        <v>1000000000</v>
      </c>
      <c r="F1768" s="134">
        <v>65595198072.370003</v>
      </c>
      <c r="G1768" s="126">
        <f t="shared" si="34"/>
        <v>1.5245018376142685</v>
      </c>
      <c r="H1768" s="120"/>
      <c r="I1768" s="120"/>
      <c r="J1768" s="116"/>
      <c r="K1768" s="116"/>
      <c r="L1768" s="116"/>
      <c r="M1768" s="116"/>
      <c r="N1768" s="116"/>
      <c r="O1768" s="116"/>
      <c r="P1768" s="116"/>
    </row>
    <row r="1769" spans="2:16" s="108" customFormat="1" ht="21.75" hidden="1" customHeight="1">
      <c r="B1769" s="109"/>
      <c r="C1769" s="122"/>
      <c r="D1769" s="186" t="s">
        <v>1426</v>
      </c>
      <c r="E1769" s="742">
        <v>1000000000</v>
      </c>
      <c r="F1769" s="134">
        <v>65595198072.370003</v>
      </c>
      <c r="G1769" s="126">
        <f t="shared" si="34"/>
        <v>1.5245018376142685</v>
      </c>
      <c r="H1769" s="120"/>
      <c r="I1769" s="120"/>
      <c r="J1769" s="116"/>
      <c r="K1769" s="116"/>
      <c r="L1769" s="116"/>
      <c r="M1769" s="116"/>
      <c r="N1769" s="116"/>
      <c r="O1769" s="116"/>
      <c r="P1769" s="116"/>
    </row>
    <row r="1770" spans="2:16" s="108" customFormat="1" ht="15" hidden="1" customHeight="1">
      <c r="B1770" s="109"/>
      <c r="C1770" s="122"/>
      <c r="D1770" s="123"/>
      <c r="E1770" s="734"/>
      <c r="F1770" s="134"/>
      <c r="G1770" s="126"/>
      <c r="H1770" s="120"/>
      <c r="I1770" s="120"/>
      <c r="J1770" s="116"/>
      <c r="K1770" s="116"/>
      <c r="L1770" s="116"/>
      <c r="M1770" s="116"/>
      <c r="N1770" s="116"/>
      <c r="O1770" s="116"/>
      <c r="P1770" s="116"/>
    </row>
    <row r="1771" spans="2:16" s="108" customFormat="1" ht="21.75" hidden="1" customHeight="1">
      <c r="B1771" s="109"/>
      <c r="C1771" s="122"/>
      <c r="D1771" s="111" t="s">
        <v>1146</v>
      </c>
      <c r="E1771" s="729">
        <f>E1772+E1775+E1778+E1780+E1782</f>
        <v>4000000000</v>
      </c>
      <c r="F1771" s="134">
        <v>65595198072.370003</v>
      </c>
      <c r="G1771" s="126">
        <f t="shared" si="34"/>
        <v>6.098007350457074</v>
      </c>
      <c r="H1771" s="120"/>
      <c r="I1771" s="120"/>
      <c r="J1771" s="116"/>
      <c r="K1771" s="116"/>
      <c r="L1771" s="116"/>
      <c r="M1771" s="116"/>
      <c r="N1771" s="116"/>
      <c r="O1771" s="116"/>
      <c r="P1771" s="116"/>
    </row>
    <row r="1772" spans="2:16" s="108" customFormat="1" ht="21.75" hidden="1" customHeight="1">
      <c r="B1772" s="109"/>
      <c r="C1772" s="122"/>
      <c r="D1772" s="187" t="s">
        <v>304</v>
      </c>
      <c r="E1772" s="743">
        <f>SUM(E1773:E1774)</f>
        <v>563500000</v>
      </c>
      <c r="F1772" s="134">
        <v>65595198072.370003</v>
      </c>
      <c r="G1772" s="126">
        <f t="shared" ref="G1772:G1835" si="35">+E1772/F1772*100</f>
        <v>0.85905678549564024</v>
      </c>
      <c r="H1772" s="120"/>
      <c r="I1772" s="120"/>
      <c r="J1772" s="116"/>
      <c r="K1772" s="116"/>
      <c r="L1772" s="116"/>
      <c r="M1772" s="116"/>
      <c r="N1772" s="116"/>
      <c r="O1772" s="116"/>
      <c r="P1772" s="116"/>
    </row>
    <row r="1773" spans="2:16" s="108" customFormat="1" ht="21.75" hidden="1" customHeight="1">
      <c r="B1773" s="109"/>
      <c r="C1773" s="122"/>
      <c r="D1773" s="188" t="s">
        <v>1427</v>
      </c>
      <c r="E1773" s="744">
        <v>143230000</v>
      </c>
      <c r="F1773" s="134">
        <v>65595198072.370003</v>
      </c>
      <c r="G1773" s="126">
        <f t="shared" si="35"/>
        <v>0.21835439820149169</v>
      </c>
      <c r="H1773" s="120"/>
      <c r="I1773" s="120"/>
      <c r="J1773" s="116"/>
      <c r="K1773" s="116"/>
      <c r="L1773" s="116"/>
      <c r="M1773" s="116"/>
      <c r="N1773" s="116"/>
      <c r="O1773" s="116"/>
      <c r="P1773" s="116"/>
    </row>
    <row r="1774" spans="2:16" s="108" customFormat="1" ht="21.75" hidden="1" customHeight="1">
      <c r="B1774" s="109"/>
      <c r="C1774" s="122"/>
      <c r="D1774" s="188" t="s">
        <v>1189</v>
      </c>
      <c r="E1774" s="744">
        <v>420270000</v>
      </c>
      <c r="F1774" s="134">
        <v>65595198072.370003</v>
      </c>
      <c r="G1774" s="126">
        <f t="shared" si="35"/>
        <v>0.64070238729414863</v>
      </c>
      <c r="H1774" s="120"/>
      <c r="I1774" s="120"/>
      <c r="J1774" s="116"/>
      <c r="K1774" s="116"/>
      <c r="L1774" s="116"/>
      <c r="M1774" s="116"/>
      <c r="N1774" s="116"/>
      <c r="O1774" s="116"/>
      <c r="P1774" s="116"/>
    </row>
    <row r="1775" spans="2:16" s="108" customFormat="1" ht="21.75" hidden="1" customHeight="1">
      <c r="B1775" s="109"/>
      <c r="C1775" s="122"/>
      <c r="D1775" s="187" t="s">
        <v>321</v>
      </c>
      <c r="E1775" s="743">
        <f>SUM(E1776:E1777)</f>
        <v>896200000</v>
      </c>
      <c r="F1775" s="134">
        <v>65595198072.370003</v>
      </c>
      <c r="G1775" s="126">
        <f t="shared" si="35"/>
        <v>1.3662585468699076</v>
      </c>
      <c r="H1775" s="120"/>
      <c r="I1775" s="120"/>
      <c r="J1775" s="116"/>
      <c r="K1775" s="116"/>
      <c r="L1775" s="116"/>
      <c r="M1775" s="116"/>
      <c r="N1775" s="116"/>
      <c r="O1775" s="116"/>
      <c r="P1775" s="116"/>
    </row>
    <row r="1776" spans="2:16" s="108" customFormat="1" ht="21.75" hidden="1" customHeight="1">
      <c r="B1776" s="109"/>
      <c r="C1776" s="122"/>
      <c r="D1776" s="188" t="s">
        <v>472</v>
      </c>
      <c r="E1776" s="744">
        <v>726200000</v>
      </c>
      <c r="F1776" s="134">
        <v>65595198072.370003</v>
      </c>
      <c r="G1776" s="126">
        <f t="shared" si="35"/>
        <v>1.1070932344754818</v>
      </c>
      <c r="H1776" s="120"/>
      <c r="I1776" s="120"/>
      <c r="J1776" s="116"/>
      <c r="K1776" s="116"/>
      <c r="L1776" s="116"/>
      <c r="M1776" s="116"/>
      <c r="N1776" s="116"/>
      <c r="O1776" s="116"/>
      <c r="P1776" s="116"/>
    </row>
    <row r="1777" spans="2:16" s="108" customFormat="1" ht="21.75" hidden="1" customHeight="1">
      <c r="B1777" s="109"/>
      <c r="C1777" s="122"/>
      <c r="D1777" s="188" t="s">
        <v>473</v>
      </c>
      <c r="E1777" s="744">
        <v>170000000</v>
      </c>
      <c r="F1777" s="134">
        <v>65595198072.370003</v>
      </c>
      <c r="G1777" s="126">
        <f t="shared" si="35"/>
        <v>0.25916531239442564</v>
      </c>
      <c r="H1777" s="120"/>
      <c r="I1777" s="120"/>
      <c r="J1777" s="116"/>
      <c r="K1777" s="116"/>
      <c r="L1777" s="116"/>
      <c r="M1777" s="116"/>
      <c r="N1777" s="116"/>
      <c r="O1777" s="116"/>
      <c r="P1777" s="116"/>
    </row>
    <row r="1778" spans="2:16" s="108" customFormat="1" ht="21.75" hidden="1" customHeight="1">
      <c r="B1778" s="109"/>
      <c r="C1778" s="122"/>
      <c r="D1778" s="187" t="s">
        <v>1428</v>
      </c>
      <c r="E1778" s="743">
        <f>SUM(E1779)</f>
        <v>490000000</v>
      </c>
      <c r="F1778" s="134">
        <v>65595198072.370003</v>
      </c>
      <c r="G1778" s="126">
        <f t="shared" si="35"/>
        <v>0.74700590043099169</v>
      </c>
      <c r="H1778" s="120"/>
      <c r="I1778" s="120"/>
      <c r="J1778" s="116"/>
      <c r="K1778" s="116"/>
      <c r="L1778" s="116"/>
      <c r="M1778" s="116"/>
      <c r="N1778" s="116"/>
      <c r="O1778" s="116"/>
      <c r="P1778" s="116"/>
    </row>
    <row r="1779" spans="2:16" s="108" customFormat="1" ht="21.75" hidden="1" customHeight="1">
      <c r="B1779" s="109"/>
      <c r="C1779" s="122"/>
      <c r="D1779" s="188" t="s">
        <v>1429</v>
      </c>
      <c r="E1779" s="744">
        <v>490000000</v>
      </c>
      <c r="F1779" s="134">
        <v>65595198072.370003</v>
      </c>
      <c r="G1779" s="126">
        <f t="shared" si="35"/>
        <v>0.74700590043099169</v>
      </c>
      <c r="H1779" s="120"/>
      <c r="I1779" s="120"/>
      <c r="J1779" s="116"/>
      <c r="K1779" s="116"/>
      <c r="L1779" s="116"/>
      <c r="M1779" s="116"/>
      <c r="N1779" s="116"/>
      <c r="O1779" s="116"/>
      <c r="P1779" s="116"/>
    </row>
    <row r="1780" spans="2:16" s="108" customFormat="1" ht="21.75" hidden="1" customHeight="1">
      <c r="B1780" s="109"/>
      <c r="C1780" s="122"/>
      <c r="D1780" s="187" t="s">
        <v>1430</v>
      </c>
      <c r="E1780" s="743">
        <f>SUM(E1781)</f>
        <v>710000000</v>
      </c>
      <c r="F1780" s="134">
        <v>65595198072.370003</v>
      </c>
      <c r="G1780" s="126">
        <f t="shared" si="35"/>
        <v>1.0823963047061307</v>
      </c>
      <c r="H1780" s="120"/>
      <c r="I1780" s="120"/>
      <c r="J1780" s="116"/>
      <c r="K1780" s="116"/>
      <c r="L1780" s="116"/>
      <c r="M1780" s="116"/>
      <c r="N1780" s="116"/>
      <c r="O1780" s="116"/>
      <c r="P1780" s="116"/>
    </row>
    <row r="1781" spans="2:16" s="108" customFormat="1" ht="21.75" hidden="1" customHeight="1">
      <c r="B1781" s="109"/>
      <c r="C1781" s="122"/>
      <c r="D1781" s="188" t="s">
        <v>1431</v>
      </c>
      <c r="E1781" s="744">
        <v>710000000</v>
      </c>
      <c r="F1781" s="134">
        <v>65595198072.370003</v>
      </c>
      <c r="G1781" s="126">
        <f t="shared" si="35"/>
        <v>1.0823963047061307</v>
      </c>
      <c r="H1781" s="120"/>
      <c r="I1781" s="120"/>
      <c r="J1781" s="116"/>
      <c r="K1781" s="116"/>
      <c r="L1781" s="116"/>
      <c r="M1781" s="116"/>
      <c r="N1781" s="116"/>
      <c r="O1781" s="116"/>
      <c r="P1781" s="116"/>
    </row>
    <row r="1782" spans="2:16" s="108" customFormat="1" ht="21.75" hidden="1" customHeight="1">
      <c r="B1782" s="109"/>
      <c r="C1782" s="122"/>
      <c r="D1782" s="187" t="s">
        <v>1192</v>
      </c>
      <c r="E1782" s="743">
        <f>SUM(E1783:E1784)</f>
        <v>1340300000</v>
      </c>
      <c r="F1782" s="134">
        <v>65595198072.370003</v>
      </c>
      <c r="G1782" s="126">
        <f t="shared" si="35"/>
        <v>2.0432898129544044</v>
      </c>
      <c r="H1782" s="120"/>
      <c r="I1782" s="120"/>
      <c r="J1782" s="116"/>
      <c r="K1782" s="116"/>
      <c r="L1782" s="116"/>
      <c r="M1782" s="116"/>
      <c r="N1782" s="116"/>
      <c r="O1782" s="116"/>
      <c r="P1782" s="116"/>
    </row>
    <row r="1783" spans="2:16" s="108" customFormat="1" ht="21.75" hidden="1" customHeight="1">
      <c r="B1783" s="109"/>
      <c r="C1783" s="122"/>
      <c r="D1783" s="188" t="s">
        <v>313</v>
      </c>
      <c r="E1783" s="744">
        <v>1250000000</v>
      </c>
      <c r="F1783" s="134">
        <v>65595198072.370003</v>
      </c>
      <c r="G1783" s="126">
        <f t="shared" si="35"/>
        <v>1.9056272970178356</v>
      </c>
      <c r="H1783" s="120"/>
      <c r="I1783" s="120"/>
      <c r="J1783" s="116"/>
      <c r="K1783" s="116"/>
      <c r="L1783" s="116"/>
      <c r="M1783" s="116"/>
      <c r="N1783" s="116"/>
      <c r="O1783" s="116"/>
      <c r="P1783" s="116"/>
    </row>
    <row r="1784" spans="2:16" s="108" customFormat="1" ht="21.75" hidden="1" customHeight="1">
      <c r="B1784" s="109"/>
      <c r="C1784" s="122"/>
      <c r="D1784" s="188" t="s">
        <v>1432</v>
      </c>
      <c r="E1784" s="744">
        <v>90300000</v>
      </c>
      <c r="F1784" s="134">
        <v>65595198072.370003</v>
      </c>
      <c r="G1784" s="126">
        <f t="shared" si="35"/>
        <v>0.13766251593656845</v>
      </c>
      <c r="H1784" s="120"/>
      <c r="I1784" s="120"/>
      <c r="J1784" s="116"/>
      <c r="K1784" s="116"/>
      <c r="L1784" s="116"/>
      <c r="M1784" s="116"/>
      <c r="N1784" s="116"/>
      <c r="O1784" s="116"/>
      <c r="P1784" s="116"/>
    </row>
    <row r="1785" spans="2:16" s="108" customFormat="1" ht="15" hidden="1" customHeight="1">
      <c r="B1785" s="109"/>
      <c r="C1785" s="122"/>
      <c r="D1785" s="123"/>
      <c r="E1785" s="734"/>
      <c r="F1785" s="134"/>
      <c r="G1785" s="126"/>
      <c r="H1785" s="120"/>
      <c r="I1785" s="120"/>
      <c r="J1785" s="116"/>
      <c r="K1785" s="116"/>
      <c r="L1785" s="116"/>
      <c r="M1785" s="116"/>
      <c r="N1785" s="116"/>
      <c r="O1785" s="116"/>
      <c r="P1785" s="116"/>
    </row>
    <row r="1786" spans="2:16" s="108" customFormat="1" ht="21.75" hidden="1" customHeight="1">
      <c r="B1786" s="109"/>
      <c r="C1786" s="122"/>
      <c r="D1786" s="111" t="s">
        <v>835</v>
      </c>
      <c r="E1786" s="729">
        <f>E1787</f>
        <v>800000000</v>
      </c>
      <c r="F1786" s="134">
        <v>65595198072.370003</v>
      </c>
      <c r="G1786" s="126">
        <f t="shared" si="35"/>
        <v>1.2196014700914148</v>
      </c>
      <c r="H1786" s="120"/>
      <c r="I1786" s="120"/>
      <c r="J1786" s="116"/>
      <c r="K1786" s="116"/>
      <c r="L1786" s="116"/>
      <c r="M1786" s="116"/>
      <c r="N1786" s="116"/>
      <c r="O1786" s="116"/>
      <c r="P1786" s="116"/>
    </row>
    <row r="1787" spans="2:16" s="108" customFormat="1" ht="21.75" hidden="1" customHeight="1">
      <c r="B1787" s="109"/>
      <c r="C1787" s="122"/>
      <c r="D1787" s="189" t="s">
        <v>1433</v>
      </c>
      <c r="E1787" s="745">
        <f>SUM(E1788:E1789)</f>
        <v>800000000</v>
      </c>
      <c r="F1787" s="134">
        <v>65595198072.370003</v>
      </c>
      <c r="G1787" s="126">
        <f t="shared" si="35"/>
        <v>1.2196014700914148</v>
      </c>
      <c r="H1787" s="120"/>
      <c r="I1787" s="120"/>
      <c r="J1787" s="116"/>
      <c r="K1787" s="116"/>
      <c r="L1787" s="116"/>
      <c r="M1787" s="116"/>
      <c r="N1787" s="116"/>
      <c r="O1787" s="116"/>
      <c r="P1787" s="116"/>
    </row>
    <row r="1788" spans="2:16" s="108" customFormat="1" ht="39.75" hidden="1" customHeight="1">
      <c r="B1788" s="109"/>
      <c r="C1788" s="122"/>
      <c r="D1788" s="190" t="s">
        <v>1434</v>
      </c>
      <c r="E1788" s="746">
        <v>300800000</v>
      </c>
      <c r="F1788" s="134">
        <v>65595198072.370003</v>
      </c>
      <c r="G1788" s="126">
        <f t="shared" si="35"/>
        <v>0.45857015275437196</v>
      </c>
      <c r="H1788" s="120"/>
      <c r="I1788" s="120"/>
      <c r="J1788" s="116"/>
      <c r="K1788" s="116"/>
      <c r="L1788" s="116"/>
      <c r="M1788" s="116"/>
      <c r="N1788" s="116"/>
      <c r="O1788" s="116"/>
      <c r="P1788" s="116"/>
    </row>
    <row r="1789" spans="2:16" s="108" customFormat="1" ht="39.75" hidden="1" customHeight="1">
      <c r="B1789" s="109"/>
      <c r="C1789" s="122"/>
      <c r="D1789" s="190" t="s">
        <v>1435</v>
      </c>
      <c r="E1789" s="746">
        <v>499200000</v>
      </c>
      <c r="F1789" s="134">
        <v>65595198072.370003</v>
      </c>
      <c r="G1789" s="126">
        <f t="shared" si="35"/>
        <v>0.76103131733704288</v>
      </c>
      <c r="H1789" s="120"/>
      <c r="I1789" s="120"/>
      <c r="J1789" s="116"/>
      <c r="K1789" s="116"/>
      <c r="L1789" s="116"/>
      <c r="M1789" s="116"/>
      <c r="N1789" s="116"/>
      <c r="O1789" s="116"/>
      <c r="P1789" s="116"/>
    </row>
    <row r="1790" spans="2:16" s="108" customFormat="1" ht="15" hidden="1" customHeight="1">
      <c r="B1790" s="109"/>
      <c r="C1790" s="122"/>
      <c r="D1790" s="123"/>
      <c r="E1790" s="734"/>
      <c r="F1790" s="134"/>
      <c r="G1790" s="126"/>
      <c r="H1790" s="120"/>
      <c r="I1790" s="120"/>
      <c r="J1790" s="116"/>
      <c r="K1790" s="116"/>
      <c r="L1790" s="116"/>
      <c r="M1790" s="116"/>
      <c r="N1790" s="116"/>
      <c r="O1790" s="116"/>
      <c r="P1790" s="116"/>
    </row>
    <row r="1791" spans="2:16" s="108" customFormat="1" ht="21.75" hidden="1" customHeight="1">
      <c r="B1791" s="109"/>
      <c r="C1791" s="122"/>
      <c r="D1791" s="111" t="s">
        <v>610</v>
      </c>
      <c r="E1791" s="729">
        <f>E1792</f>
        <v>5170000000</v>
      </c>
      <c r="F1791" s="134">
        <v>65595198072.370003</v>
      </c>
      <c r="G1791" s="126">
        <f t="shared" si="35"/>
        <v>7.8816745004657687</v>
      </c>
      <c r="H1791" s="120"/>
      <c r="I1791" s="120"/>
      <c r="J1791" s="116"/>
      <c r="K1791" s="116"/>
      <c r="L1791" s="116"/>
      <c r="M1791" s="116"/>
      <c r="N1791" s="116"/>
      <c r="O1791" s="116"/>
      <c r="P1791" s="116"/>
    </row>
    <row r="1792" spans="2:16" s="108" customFormat="1" ht="21.75" hidden="1" customHeight="1">
      <c r="B1792" s="109"/>
      <c r="C1792" s="122"/>
      <c r="D1792" s="191" t="s">
        <v>1436</v>
      </c>
      <c r="E1792" s="747">
        <f>SUM(E1793)</f>
        <v>5170000000</v>
      </c>
      <c r="F1792" s="134">
        <v>65595198072.370003</v>
      </c>
      <c r="G1792" s="126">
        <f t="shared" si="35"/>
        <v>7.8816745004657687</v>
      </c>
      <c r="H1792" s="120"/>
      <c r="I1792" s="120"/>
      <c r="J1792" s="116"/>
      <c r="K1792" s="116"/>
      <c r="L1792" s="116"/>
      <c r="M1792" s="116"/>
      <c r="N1792" s="116"/>
      <c r="O1792" s="116"/>
      <c r="P1792" s="116"/>
    </row>
    <row r="1793" spans="2:16" s="108" customFormat="1" ht="21.75" hidden="1" customHeight="1">
      <c r="B1793" s="109"/>
      <c r="C1793" s="122"/>
      <c r="D1793" s="192" t="s">
        <v>723</v>
      </c>
      <c r="E1793" s="748">
        <v>5170000000</v>
      </c>
      <c r="F1793" s="134">
        <v>65595198072.370003</v>
      </c>
      <c r="G1793" s="126">
        <f t="shared" si="35"/>
        <v>7.8816745004657687</v>
      </c>
      <c r="H1793" s="120"/>
      <c r="I1793" s="120"/>
      <c r="J1793" s="116"/>
      <c r="K1793" s="116"/>
      <c r="L1793" s="116"/>
      <c r="M1793" s="116"/>
      <c r="N1793" s="116"/>
      <c r="O1793" s="116"/>
      <c r="P1793" s="116"/>
    </row>
    <row r="1794" spans="2:16" s="108" customFormat="1" ht="15" hidden="1" customHeight="1">
      <c r="B1794" s="109"/>
      <c r="C1794" s="122"/>
      <c r="D1794" s="123"/>
      <c r="E1794" s="734"/>
      <c r="F1794" s="134"/>
      <c r="G1794" s="126"/>
      <c r="H1794" s="120"/>
      <c r="I1794" s="120"/>
      <c r="J1794" s="116"/>
      <c r="K1794" s="116"/>
      <c r="L1794" s="116"/>
      <c r="M1794" s="116"/>
      <c r="N1794" s="116"/>
      <c r="O1794" s="116"/>
      <c r="P1794" s="116"/>
    </row>
    <row r="1795" spans="2:16" s="108" customFormat="1" ht="21.75" hidden="1" customHeight="1">
      <c r="B1795" s="109"/>
      <c r="C1795" s="122"/>
      <c r="D1795" s="111" t="s">
        <v>1437</v>
      </c>
      <c r="E1795" s="729">
        <f>E1796</f>
        <v>3000000000</v>
      </c>
      <c r="F1795" s="134">
        <v>65595198072.370003</v>
      </c>
      <c r="G1795" s="126">
        <f t="shared" si="35"/>
        <v>4.5735055128428055</v>
      </c>
      <c r="H1795" s="120"/>
      <c r="I1795" s="120"/>
      <c r="J1795" s="116"/>
      <c r="K1795" s="116"/>
      <c r="L1795" s="116"/>
      <c r="M1795" s="116"/>
      <c r="N1795" s="116"/>
      <c r="O1795" s="116"/>
      <c r="P1795" s="116"/>
    </row>
    <row r="1796" spans="2:16" s="108" customFormat="1" ht="21.75" hidden="1" customHeight="1">
      <c r="B1796" s="109"/>
      <c r="C1796" s="122"/>
      <c r="D1796" s="193" t="s">
        <v>498</v>
      </c>
      <c r="E1796" s="749">
        <f>SUM(E1797)</f>
        <v>3000000000</v>
      </c>
      <c r="F1796" s="134">
        <v>65595198072.370003</v>
      </c>
      <c r="G1796" s="126">
        <f t="shared" si="35"/>
        <v>4.5735055128428055</v>
      </c>
      <c r="H1796" s="120"/>
      <c r="I1796" s="120"/>
      <c r="J1796" s="116"/>
      <c r="K1796" s="116"/>
      <c r="L1796" s="116"/>
      <c r="M1796" s="116"/>
      <c r="N1796" s="116"/>
      <c r="O1796" s="116"/>
      <c r="P1796" s="116"/>
    </row>
    <row r="1797" spans="2:16" s="108" customFormat="1" ht="21.75" hidden="1" customHeight="1">
      <c r="B1797" s="109"/>
      <c r="C1797" s="122"/>
      <c r="D1797" s="194" t="s">
        <v>966</v>
      </c>
      <c r="E1797" s="750">
        <v>3000000000</v>
      </c>
      <c r="F1797" s="134">
        <v>65595198072.370003</v>
      </c>
      <c r="G1797" s="126">
        <f t="shared" si="35"/>
        <v>4.5735055128428055</v>
      </c>
      <c r="H1797" s="120"/>
      <c r="I1797" s="120"/>
      <c r="J1797" s="116"/>
      <c r="K1797" s="116"/>
      <c r="L1797" s="116"/>
      <c r="M1797" s="116"/>
      <c r="N1797" s="116"/>
      <c r="O1797" s="116"/>
      <c r="P1797" s="116"/>
    </row>
    <row r="1798" spans="2:16" s="108" customFormat="1" ht="15" hidden="1" customHeight="1">
      <c r="B1798" s="109"/>
      <c r="C1798" s="122"/>
      <c r="D1798" s="123"/>
      <c r="E1798" s="734"/>
      <c r="F1798" s="134"/>
      <c r="G1798" s="126"/>
      <c r="H1798" s="120"/>
      <c r="I1798" s="120"/>
      <c r="J1798" s="116"/>
      <c r="K1798" s="116"/>
      <c r="L1798" s="116"/>
      <c r="M1798" s="116"/>
      <c r="N1798" s="116"/>
      <c r="O1798" s="116"/>
      <c r="P1798" s="116"/>
    </row>
    <row r="1799" spans="2:16" s="108" customFormat="1" ht="21.75" hidden="1" customHeight="1">
      <c r="B1799" s="109"/>
      <c r="C1799" s="122"/>
      <c r="D1799" s="111" t="s">
        <v>1347</v>
      </c>
      <c r="E1799" s="729">
        <f>E1800</f>
        <v>1840000000</v>
      </c>
      <c r="F1799" s="134">
        <v>65595198072.370003</v>
      </c>
      <c r="G1799" s="126">
        <f t="shared" si="35"/>
        <v>2.8050833812102542</v>
      </c>
      <c r="H1799" s="120"/>
      <c r="I1799" s="120"/>
      <c r="J1799" s="116"/>
      <c r="K1799" s="116"/>
      <c r="L1799" s="116"/>
      <c r="M1799" s="116"/>
      <c r="N1799" s="116"/>
      <c r="O1799" s="116"/>
      <c r="P1799" s="116"/>
    </row>
    <row r="1800" spans="2:16" s="108" customFormat="1" ht="21.75" hidden="1" customHeight="1">
      <c r="B1800" s="109"/>
      <c r="C1800" s="122"/>
      <c r="D1800" s="195" t="s">
        <v>1438</v>
      </c>
      <c r="E1800" s="751">
        <f>SUM(E1801:E1803)</f>
        <v>1840000000</v>
      </c>
      <c r="F1800" s="134">
        <v>65595198072.370003</v>
      </c>
      <c r="G1800" s="126">
        <f t="shared" si="35"/>
        <v>2.8050833812102542</v>
      </c>
      <c r="H1800" s="120"/>
      <c r="I1800" s="120"/>
      <c r="J1800" s="116"/>
      <c r="K1800" s="116"/>
      <c r="L1800" s="116"/>
      <c r="M1800" s="116"/>
      <c r="N1800" s="116"/>
      <c r="O1800" s="116"/>
      <c r="P1800" s="116"/>
    </row>
    <row r="1801" spans="2:16" s="108" customFormat="1" ht="21.75" hidden="1" customHeight="1">
      <c r="B1801" s="109"/>
      <c r="C1801" s="122"/>
      <c r="D1801" s="196" t="s">
        <v>1439</v>
      </c>
      <c r="E1801" s="752">
        <v>1200000000</v>
      </c>
      <c r="F1801" s="134">
        <v>65595198072.370003</v>
      </c>
      <c r="G1801" s="126">
        <f t="shared" si="35"/>
        <v>1.8294022051371224</v>
      </c>
      <c r="H1801" s="120"/>
      <c r="I1801" s="120"/>
      <c r="J1801" s="116"/>
      <c r="K1801" s="116"/>
      <c r="L1801" s="116"/>
      <c r="M1801" s="116"/>
      <c r="N1801" s="116"/>
      <c r="O1801" s="116"/>
      <c r="P1801" s="116"/>
    </row>
    <row r="1802" spans="2:16" s="108" customFormat="1" ht="21.75" hidden="1" customHeight="1">
      <c r="B1802" s="109"/>
      <c r="C1802" s="122"/>
      <c r="D1802" s="196" t="s">
        <v>1440</v>
      </c>
      <c r="E1802" s="752">
        <v>525000000</v>
      </c>
      <c r="F1802" s="134">
        <v>65595198072.370003</v>
      </c>
      <c r="G1802" s="126">
        <f t="shared" si="35"/>
        <v>0.80036346474749098</v>
      </c>
      <c r="H1802" s="120"/>
      <c r="I1802" s="120"/>
      <c r="J1802" s="116"/>
      <c r="K1802" s="116"/>
      <c r="L1802" s="116"/>
      <c r="M1802" s="116"/>
      <c r="N1802" s="116"/>
      <c r="O1802" s="116"/>
      <c r="P1802" s="116"/>
    </row>
    <row r="1803" spans="2:16" s="108" customFormat="1" ht="21.75" hidden="1" customHeight="1">
      <c r="B1803" s="109"/>
      <c r="C1803" s="122"/>
      <c r="D1803" s="196" t="s">
        <v>1441</v>
      </c>
      <c r="E1803" s="752">
        <v>115000000</v>
      </c>
      <c r="F1803" s="134">
        <v>65595198072.370003</v>
      </c>
      <c r="G1803" s="126">
        <f t="shared" si="35"/>
        <v>0.17531771132564089</v>
      </c>
      <c r="H1803" s="120"/>
      <c r="I1803" s="120"/>
      <c r="J1803" s="116"/>
      <c r="K1803" s="116"/>
      <c r="L1803" s="116"/>
      <c r="M1803" s="116"/>
      <c r="N1803" s="116"/>
      <c r="O1803" s="116"/>
      <c r="P1803" s="116"/>
    </row>
    <row r="1804" spans="2:16" s="108" customFormat="1" ht="15" hidden="1" customHeight="1">
      <c r="B1804" s="109"/>
      <c r="C1804" s="122"/>
      <c r="D1804" s="123"/>
      <c r="E1804" s="734"/>
      <c r="F1804" s="134"/>
      <c r="G1804" s="126"/>
      <c r="H1804" s="120"/>
      <c r="I1804" s="120"/>
      <c r="J1804" s="116"/>
      <c r="K1804" s="116"/>
      <c r="L1804" s="116"/>
      <c r="M1804" s="116"/>
      <c r="N1804" s="116"/>
      <c r="O1804" s="116"/>
      <c r="P1804" s="116"/>
    </row>
    <row r="1805" spans="2:16" s="108" customFormat="1" ht="21.75" hidden="1" customHeight="1">
      <c r="B1805" s="109"/>
      <c r="C1805" s="122"/>
      <c r="D1805" s="111" t="s">
        <v>1442</v>
      </c>
      <c r="E1805" s="729">
        <f>E1806</f>
        <v>1500000000</v>
      </c>
      <c r="F1805" s="134">
        <v>65595198072.370003</v>
      </c>
      <c r="G1805" s="126">
        <f t="shared" si="35"/>
        <v>2.2867527564214027</v>
      </c>
      <c r="H1805" s="120"/>
      <c r="I1805" s="120"/>
      <c r="J1805" s="116"/>
      <c r="K1805" s="116"/>
      <c r="L1805" s="116"/>
      <c r="M1805" s="116"/>
      <c r="N1805" s="116"/>
      <c r="O1805" s="116"/>
      <c r="P1805" s="116"/>
    </row>
    <row r="1806" spans="2:16" s="108" customFormat="1" ht="21.75" hidden="1" customHeight="1">
      <c r="B1806" s="109"/>
      <c r="C1806" s="122"/>
      <c r="D1806" s="197" t="s">
        <v>1443</v>
      </c>
      <c r="E1806" s="753">
        <f>SUM(E1807)</f>
        <v>1500000000</v>
      </c>
      <c r="F1806" s="134">
        <v>65595198072.370003</v>
      </c>
      <c r="G1806" s="126">
        <f t="shared" si="35"/>
        <v>2.2867527564214027</v>
      </c>
      <c r="H1806" s="120"/>
      <c r="I1806" s="120"/>
      <c r="J1806" s="116"/>
      <c r="K1806" s="116"/>
      <c r="L1806" s="116"/>
      <c r="M1806" s="116"/>
      <c r="N1806" s="116"/>
      <c r="O1806" s="116"/>
      <c r="P1806" s="116"/>
    </row>
    <row r="1807" spans="2:16" s="108" customFormat="1" ht="21.75" hidden="1" customHeight="1">
      <c r="B1807" s="109"/>
      <c r="C1807" s="122"/>
      <c r="D1807" s="198" t="s">
        <v>1444</v>
      </c>
      <c r="E1807" s="754">
        <v>1500000000</v>
      </c>
      <c r="F1807" s="134">
        <v>65595198072.370003</v>
      </c>
      <c r="G1807" s="126">
        <f t="shared" si="35"/>
        <v>2.2867527564214027</v>
      </c>
      <c r="H1807" s="120"/>
      <c r="I1807" s="120"/>
      <c r="J1807" s="116"/>
      <c r="K1807" s="116"/>
      <c r="L1807" s="116"/>
      <c r="M1807" s="116"/>
      <c r="N1807" s="116"/>
      <c r="O1807" s="116"/>
      <c r="P1807" s="116"/>
    </row>
    <row r="1808" spans="2:16" s="108" customFormat="1" ht="15" hidden="1" customHeight="1">
      <c r="B1808" s="109"/>
      <c r="C1808" s="122"/>
      <c r="D1808" s="123"/>
      <c r="E1808" s="734"/>
      <c r="F1808" s="134"/>
      <c r="G1808" s="126"/>
      <c r="H1808" s="120"/>
      <c r="I1808" s="120"/>
      <c r="J1808" s="116"/>
      <c r="K1808" s="116"/>
      <c r="L1808" s="116"/>
      <c r="M1808" s="116"/>
      <c r="N1808" s="116"/>
      <c r="O1808" s="116"/>
      <c r="P1808" s="116"/>
    </row>
    <row r="1809" spans="2:16" s="108" customFormat="1" ht="21.75" hidden="1" customHeight="1">
      <c r="B1809" s="109"/>
      <c r="C1809" s="122"/>
      <c r="D1809" s="111" t="s">
        <v>1445</v>
      </c>
      <c r="E1809" s="729">
        <f>SUM(E1810)</f>
        <v>5691669640</v>
      </c>
      <c r="F1809" s="134">
        <v>65595198072.370003</v>
      </c>
      <c r="G1809" s="126">
        <f t="shared" si="35"/>
        <v>8.6769608252733423</v>
      </c>
      <c r="H1809" s="120"/>
      <c r="I1809" s="120"/>
      <c r="J1809" s="116"/>
      <c r="K1809" s="116"/>
      <c r="L1809" s="116"/>
      <c r="M1809" s="116"/>
      <c r="N1809" s="116"/>
      <c r="O1809" s="116"/>
      <c r="P1809" s="116"/>
    </row>
    <row r="1810" spans="2:16" s="108" customFormat="1" ht="21.75" hidden="1" customHeight="1">
      <c r="B1810" s="109"/>
      <c r="C1810" s="122"/>
      <c r="D1810" s="111" t="s">
        <v>1446</v>
      </c>
      <c r="E1810" s="729">
        <f>SUM(E1811:E1820)</f>
        <v>5691669640</v>
      </c>
      <c r="F1810" s="134">
        <v>65595198072.370003</v>
      </c>
      <c r="G1810" s="126">
        <f t="shared" si="35"/>
        <v>8.6769608252733423</v>
      </c>
      <c r="H1810" s="120"/>
      <c r="I1810" s="120"/>
      <c r="J1810" s="116"/>
      <c r="K1810" s="116"/>
      <c r="L1810" s="116"/>
      <c r="M1810" s="116"/>
      <c r="N1810" s="116"/>
      <c r="O1810" s="116"/>
      <c r="P1810" s="116"/>
    </row>
    <row r="1811" spans="2:16" s="108" customFormat="1" ht="21.75" hidden="1" customHeight="1">
      <c r="B1811" s="109"/>
      <c r="C1811" s="122"/>
      <c r="D1811" s="123" t="s">
        <v>1447</v>
      </c>
      <c r="E1811" s="734">
        <v>1991669640</v>
      </c>
      <c r="F1811" s="134">
        <v>65595198072.370003</v>
      </c>
      <c r="G1811" s="126">
        <f t="shared" si="35"/>
        <v>3.0363040261005487</v>
      </c>
      <c r="H1811" s="120"/>
      <c r="I1811" s="120"/>
      <c r="J1811" s="116"/>
      <c r="K1811" s="116"/>
      <c r="L1811" s="116"/>
      <c r="M1811" s="116"/>
      <c r="N1811" s="116"/>
      <c r="O1811" s="116"/>
      <c r="P1811" s="116"/>
    </row>
    <row r="1812" spans="2:16" s="108" customFormat="1" ht="21.75" hidden="1" customHeight="1">
      <c r="B1812" s="109"/>
      <c r="C1812" s="122"/>
      <c r="D1812" s="123" t="s">
        <v>1448</v>
      </c>
      <c r="E1812" s="734">
        <v>1100000000</v>
      </c>
      <c r="F1812" s="134">
        <v>65595198072.370003</v>
      </c>
      <c r="G1812" s="126">
        <f t="shared" si="35"/>
        <v>1.6769520213756957</v>
      </c>
      <c r="H1812" s="120"/>
      <c r="I1812" s="120"/>
      <c r="J1812" s="116"/>
      <c r="K1812" s="116"/>
      <c r="L1812" s="116"/>
      <c r="M1812" s="116"/>
      <c r="N1812" s="116"/>
      <c r="O1812" s="116"/>
      <c r="P1812" s="116"/>
    </row>
    <row r="1813" spans="2:16" s="108" customFormat="1" ht="21.75" hidden="1" customHeight="1">
      <c r="B1813" s="109"/>
      <c r="C1813" s="122"/>
      <c r="D1813" s="123" t="s">
        <v>1449</v>
      </c>
      <c r="E1813" s="734">
        <v>350000000</v>
      </c>
      <c r="F1813" s="134">
        <v>65595198072.370003</v>
      </c>
      <c r="G1813" s="126">
        <f t="shared" si="35"/>
        <v>0.53357564316499406</v>
      </c>
      <c r="H1813" s="120"/>
      <c r="I1813" s="120"/>
      <c r="J1813" s="116"/>
      <c r="K1813" s="116"/>
      <c r="L1813" s="116"/>
      <c r="M1813" s="116"/>
      <c r="N1813" s="116"/>
      <c r="O1813" s="116"/>
      <c r="P1813" s="116"/>
    </row>
    <row r="1814" spans="2:16" s="108" customFormat="1" ht="21.75" hidden="1" customHeight="1">
      <c r="B1814" s="109"/>
      <c r="C1814" s="122"/>
      <c r="D1814" s="123" t="s">
        <v>1450</v>
      </c>
      <c r="E1814" s="734">
        <v>140000000</v>
      </c>
      <c r="F1814" s="134">
        <v>65595198072.370003</v>
      </c>
      <c r="G1814" s="126">
        <f t="shared" si="35"/>
        <v>0.21343025726599762</v>
      </c>
      <c r="H1814" s="120"/>
      <c r="I1814" s="120"/>
      <c r="J1814" s="116"/>
      <c r="K1814" s="116"/>
      <c r="L1814" s="116"/>
      <c r="M1814" s="116"/>
      <c r="N1814" s="116"/>
      <c r="O1814" s="116"/>
      <c r="P1814" s="116"/>
    </row>
    <row r="1815" spans="2:16" s="108" customFormat="1" ht="21.75" hidden="1" customHeight="1">
      <c r="B1815" s="109"/>
      <c r="C1815" s="122"/>
      <c r="D1815" s="123" t="s">
        <v>1451</v>
      </c>
      <c r="E1815" s="734">
        <v>800000000</v>
      </c>
      <c r="F1815" s="134">
        <v>65595198072.370003</v>
      </c>
      <c r="G1815" s="126">
        <f t="shared" si="35"/>
        <v>1.2196014700914148</v>
      </c>
      <c r="H1815" s="120"/>
      <c r="I1815" s="120"/>
      <c r="J1815" s="116"/>
      <c r="K1815" s="116"/>
      <c r="L1815" s="116"/>
      <c r="M1815" s="116"/>
      <c r="N1815" s="116"/>
      <c r="O1815" s="116"/>
      <c r="P1815" s="116"/>
    </row>
    <row r="1816" spans="2:16" s="117" customFormat="1" ht="21.75" hidden="1" customHeight="1">
      <c r="B1816" s="118"/>
      <c r="C1816" s="110"/>
      <c r="D1816" s="123" t="s">
        <v>1452</v>
      </c>
      <c r="E1816" s="734">
        <v>150000000</v>
      </c>
      <c r="F1816" s="134">
        <v>65595198072.370003</v>
      </c>
      <c r="G1816" s="126">
        <f t="shared" si="35"/>
        <v>0.2286752756421403</v>
      </c>
      <c r="H1816" s="120"/>
      <c r="I1816" s="120"/>
      <c r="J1816" s="121"/>
      <c r="K1816" s="121"/>
      <c r="L1816" s="121"/>
      <c r="M1816" s="121"/>
      <c r="N1816" s="121"/>
      <c r="O1816" s="121"/>
      <c r="P1816" s="121"/>
    </row>
    <row r="1817" spans="2:16" s="108" customFormat="1" ht="21.75" hidden="1" customHeight="1">
      <c r="B1817" s="109"/>
      <c r="C1817" s="122"/>
      <c r="D1817" s="123" t="s">
        <v>1453</v>
      </c>
      <c r="E1817" s="734">
        <v>170000000</v>
      </c>
      <c r="F1817" s="134">
        <v>65595198072.370003</v>
      </c>
      <c r="G1817" s="126">
        <f t="shared" si="35"/>
        <v>0.25916531239442564</v>
      </c>
      <c r="H1817" s="120"/>
      <c r="I1817" s="120"/>
      <c r="J1817" s="116"/>
      <c r="K1817" s="116"/>
      <c r="L1817" s="116"/>
      <c r="M1817" s="116"/>
      <c r="N1817" s="116"/>
      <c r="O1817" s="116"/>
      <c r="P1817" s="116"/>
    </row>
    <row r="1818" spans="2:16" s="108" customFormat="1" ht="21.75" hidden="1" customHeight="1">
      <c r="B1818" s="109"/>
      <c r="C1818" s="122"/>
      <c r="D1818" s="123" t="s">
        <v>1454</v>
      </c>
      <c r="E1818" s="734">
        <v>140000000</v>
      </c>
      <c r="F1818" s="134">
        <v>65595198072.370003</v>
      </c>
      <c r="G1818" s="126">
        <f t="shared" si="35"/>
        <v>0.21343025726599762</v>
      </c>
      <c r="H1818" s="120"/>
      <c r="I1818" s="120"/>
      <c r="J1818" s="116"/>
      <c r="K1818" s="116"/>
      <c r="L1818" s="116"/>
      <c r="M1818" s="116"/>
      <c r="N1818" s="116"/>
      <c r="O1818" s="116"/>
      <c r="P1818" s="116"/>
    </row>
    <row r="1819" spans="2:16" s="117" customFormat="1" ht="21.75" hidden="1" customHeight="1">
      <c r="B1819" s="118"/>
      <c r="C1819" s="110"/>
      <c r="D1819" s="123" t="s">
        <v>1455</v>
      </c>
      <c r="E1819" s="734">
        <v>700000000</v>
      </c>
      <c r="F1819" s="134">
        <v>65595198072.370003</v>
      </c>
      <c r="G1819" s="126">
        <f t="shared" si="35"/>
        <v>1.0671512863299881</v>
      </c>
      <c r="H1819" s="120"/>
      <c r="I1819" s="120"/>
      <c r="J1819" s="121"/>
      <c r="K1819" s="121"/>
      <c r="L1819" s="121"/>
      <c r="M1819" s="121"/>
      <c r="N1819" s="121"/>
      <c r="O1819" s="121"/>
      <c r="P1819" s="121"/>
    </row>
    <row r="1820" spans="2:16" s="108" customFormat="1" ht="21.75" hidden="1" customHeight="1">
      <c r="B1820" s="109"/>
      <c r="C1820" s="122"/>
      <c r="D1820" s="123" t="s">
        <v>1456</v>
      </c>
      <c r="E1820" s="734">
        <v>150000000</v>
      </c>
      <c r="F1820" s="134">
        <v>65595198072.370003</v>
      </c>
      <c r="G1820" s="126">
        <f t="shared" si="35"/>
        <v>0.2286752756421403</v>
      </c>
      <c r="H1820" s="120"/>
      <c r="I1820" s="120"/>
      <c r="J1820" s="116"/>
      <c r="K1820" s="116"/>
      <c r="L1820" s="116"/>
      <c r="M1820" s="116"/>
      <c r="N1820" s="116"/>
      <c r="O1820" s="116"/>
      <c r="P1820" s="116"/>
    </row>
    <row r="1821" spans="2:16" s="117" customFormat="1" ht="21.75" hidden="1" customHeight="1">
      <c r="B1821" s="118"/>
      <c r="C1821" s="110"/>
      <c r="D1821" s="123"/>
      <c r="E1821" s="734"/>
      <c r="F1821" s="134"/>
      <c r="G1821" s="126"/>
      <c r="H1821" s="120"/>
      <c r="I1821" s="120"/>
      <c r="J1821" s="121"/>
      <c r="K1821" s="121"/>
      <c r="L1821" s="121"/>
      <c r="M1821" s="121"/>
      <c r="N1821" s="121"/>
      <c r="O1821" s="121"/>
      <c r="P1821" s="121"/>
    </row>
    <row r="1822" spans="2:16" s="108" customFormat="1" ht="21.75" hidden="1" customHeight="1">
      <c r="B1822" s="109"/>
      <c r="C1822" s="122"/>
      <c r="D1822" s="111" t="s">
        <v>654</v>
      </c>
      <c r="E1822" s="729">
        <f>E1823+E1826</f>
        <v>700000000</v>
      </c>
      <c r="F1822" s="134">
        <v>65595198072.370003</v>
      </c>
      <c r="G1822" s="126">
        <f t="shared" si="35"/>
        <v>1.0671512863299881</v>
      </c>
      <c r="H1822" s="120"/>
      <c r="I1822" s="120"/>
      <c r="J1822" s="116"/>
      <c r="K1822" s="116"/>
      <c r="L1822" s="116"/>
      <c r="M1822" s="116"/>
      <c r="N1822" s="116"/>
      <c r="O1822" s="116"/>
      <c r="P1822" s="116"/>
    </row>
    <row r="1823" spans="2:16" s="108" customFormat="1" ht="21.75" hidden="1" customHeight="1">
      <c r="B1823" s="109"/>
      <c r="C1823" s="122"/>
      <c r="D1823" s="199" t="s">
        <v>429</v>
      </c>
      <c r="E1823" s="755">
        <f>SUM(E1824)</f>
        <v>200000000</v>
      </c>
      <c r="F1823" s="134">
        <v>65595198072.370003</v>
      </c>
      <c r="G1823" s="126">
        <f t="shared" si="35"/>
        <v>0.30490036752285371</v>
      </c>
      <c r="H1823" s="120"/>
      <c r="I1823" s="120"/>
      <c r="J1823" s="116"/>
      <c r="K1823" s="116"/>
      <c r="L1823" s="116"/>
      <c r="M1823" s="116"/>
      <c r="N1823" s="116"/>
      <c r="O1823" s="116"/>
      <c r="P1823" s="116"/>
    </row>
    <row r="1824" spans="2:16" s="108" customFormat="1" ht="39.75" hidden="1" customHeight="1">
      <c r="B1824" s="109"/>
      <c r="C1824" s="122"/>
      <c r="D1824" s="200" t="s">
        <v>1457</v>
      </c>
      <c r="E1824" s="756">
        <v>200000000</v>
      </c>
      <c r="F1824" s="134">
        <v>65595198072.370003</v>
      </c>
      <c r="G1824" s="126">
        <f t="shared" si="35"/>
        <v>0.30490036752285371</v>
      </c>
      <c r="H1824" s="120"/>
      <c r="I1824" s="120"/>
      <c r="J1824" s="116"/>
      <c r="K1824" s="116"/>
      <c r="L1824" s="116"/>
      <c r="M1824" s="116"/>
      <c r="N1824" s="116"/>
      <c r="O1824" s="116"/>
      <c r="P1824" s="116"/>
    </row>
    <row r="1825" spans="2:16" s="117" customFormat="1" ht="21.75" hidden="1" customHeight="1">
      <c r="B1825" s="118"/>
      <c r="C1825" s="110"/>
      <c r="D1825" s="199" t="s">
        <v>1458</v>
      </c>
      <c r="E1825" s="755">
        <f>SUM(E1826)</f>
        <v>500000000</v>
      </c>
      <c r="F1825" s="134">
        <v>65595198072.370003</v>
      </c>
      <c r="G1825" s="126">
        <f t="shared" si="35"/>
        <v>0.76225091880713425</v>
      </c>
      <c r="H1825" s="120"/>
      <c r="I1825" s="120"/>
      <c r="J1825" s="121"/>
      <c r="K1825" s="121"/>
      <c r="L1825" s="121"/>
      <c r="M1825" s="121"/>
      <c r="N1825" s="121"/>
      <c r="O1825" s="121"/>
      <c r="P1825" s="121"/>
    </row>
    <row r="1826" spans="2:16" s="108" customFormat="1" ht="21.75" hidden="1" customHeight="1">
      <c r="B1826" s="109"/>
      <c r="C1826" s="122"/>
      <c r="D1826" s="200" t="s">
        <v>1459</v>
      </c>
      <c r="E1826" s="756">
        <v>500000000</v>
      </c>
      <c r="F1826" s="134">
        <v>65595198072.370003</v>
      </c>
      <c r="G1826" s="126">
        <f t="shared" si="35"/>
        <v>0.76225091880713425</v>
      </c>
      <c r="H1826" s="120"/>
      <c r="I1826" s="120"/>
      <c r="J1826" s="116"/>
      <c r="K1826" s="116"/>
      <c r="L1826" s="116"/>
      <c r="M1826" s="116"/>
      <c r="N1826" s="116"/>
      <c r="O1826" s="116"/>
      <c r="P1826" s="116"/>
    </row>
    <row r="1827" spans="2:16" s="108" customFormat="1" ht="15" hidden="1" customHeight="1">
      <c r="B1827" s="109"/>
      <c r="C1827" s="122"/>
      <c r="D1827" s="123"/>
      <c r="E1827" s="734"/>
      <c r="F1827" s="134"/>
      <c r="G1827" s="126"/>
      <c r="H1827" s="120"/>
      <c r="I1827" s="120"/>
      <c r="J1827" s="116"/>
      <c r="K1827" s="116"/>
      <c r="L1827" s="116"/>
      <c r="M1827" s="116"/>
      <c r="N1827" s="116"/>
      <c r="O1827" s="116"/>
      <c r="P1827" s="116"/>
    </row>
    <row r="1828" spans="2:16" s="108" customFormat="1" ht="21.75" hidden="1" customHeight="1">
      <c r="B1828" s="109"/>
      <c r="C1828" s="122"/>
      <c r="D1828" s="111" t="s">
        <v>651</v>
      </c>
      <c r="E1828" s="729">
        <f>E1829+E1831</f>
        <v>1008153956</v>
      </c>
      <c r="F1828" s="134">
        <v>65595198072.370003</v>
      </c>
      <c r="G1828" s="126">
        <f t="shared" si="35"/>
        <v>1.5369325585200944</v>
      </c>
      <c r="H1828" s="120"/>
      <c r="I1828" s="120"/>
      <c r="J1828" s="116"/>
      <c r="K1828" s="116"/>
      <c r="L1828" s="116"/>
      <c r="M1828" s="116"/>
      <c r="N1828" s="116"/>
      <c r="O1828" s="116"/>
      <c r="P1828" s="116"/>
    </row>
    <row r="1829" spans="2:16" s="117" customFormat="1" ht="21.75" hidden="1" customHeight="1">
      <c r="B1829" s="118"/>
      <c r="C1829" s="110"/>
      <c r="D1829" s="201" t="s">
        <v>1460</v>
      </c>
      <c r="E1829" s="757">
        <f>SUM(E1830)</f>
        <v>450350000</v>
      </c>
      <c r="F1829" s="134">
        <v>65595198072.370003</v>
      </c>
      <c r="G1829" s="126">
        <f t="shared" si="35"/>
        <v>0.68655940256958592</v>
      </c>
      <c r="H1829" s="120"/>
      <c r="I1829" s="120"/>
      <c r="J1829" s="121"/>
      <c r="K1829" s="121"/>
      <c r="L1829" s="121"/>
      <c r="M1829" s="121"/>
      <c r="N1829" s="121"/>
      <c r="O1829" s="121"/>
      <c r="P1829" s="121"/>
    </row>
    <row r="1830" spans="2:16" s="108" customFormat="1" ht="39.75" hidden="1" customHeight="1">
      <c r="B1830" s="109"/>
      <c r="C1830" s="122"/>
      <c r="D1830" s="202" t="s">
        <v>1461</v>
      </c>
      <c r="E1830" s="758">
        <v>450350000</v>
      </c>
      <c r="F1830" s="134">
        <v>65595198072.370003</v>
      </c>
      <c r="G1830" s="126">
        <f t="shared" si="35"/>
        <v>0.68655940256958592</v>
      </c>
      <c r="H1830" s="120"/>
      <c r="I1830" s="120"/>
      <c r="J1830" s="116"/>
      <c r="K1830" s="116"/>
      <c r="L1830" s="116"/>
      <c r="M1830" s="116"/>
      <c r="N1830" s="116"/>
      <c r="O1830" s="116"/>
      <c r="P1830" s="116"/>
    </row>
    <row r="1831" spans="2:16" s="108" customFormat="1" ht="21.75" hidden="1" customHeight="1">
      <c r="B1831" s="109"/>
      <c r="C1831" s="122"/>
      <c r="D1831" s="201" t="s">
        <v>1462</v>
      </c>
      <c r="E1831" s="757">
        <f>SUM(E1832)</f>
        <v>557803956</v>
      </c>
      <c r="F1831" s="134">
        <v>65595198072.370003</v>
      </c>
      <c r="G1831" s="126">
        <f t="shared" si="35"/>
        <v>0.85037315595050866</v>
      </c>
      <c r="H1831" s="120"/>
      <c r="I1831" s="120"/>
      <c r="J1831" s="116"/>
      <c r="K1831" s="116"/>
      <c r="L1831" s="116"/>
      <c r="M1831" s="116"/>
      <c r="N1831" s="116"/>
      <c r="O1831" s="116"/>
      <c r="P1831" s="116"/>
    </row>
    <row r="1832" spans="2:16" s="117" customFormat="1" ht="39.75" hidden="1" customHeight="1">
      <c r="B1832" s="118"/>
      <c r="C1832" s="110"/>
      <c r="D1832" s="202" t="s">
        <v>1463</v>
      </c>
      <c r="E1832" s="758">
        <v>557803956</v>
      </c>
      <c r="F1832" s="134">
        <v>65595198072.370003</v>
      </c>
      <c r="G1832" s="126">
        <f t="shared" si="35"/>
        <v>0.85037315595050866</v>
      </c>
      <c r="H1832" s="120"/>
      <c r="I1832" s="120"/>
      <c r="J1832" s="121"/>
      <c r="K1832" s="121"/>
      <c r="L1832" s="121"/>
      <c r="M1832" s="121"/>
      <c r="N1832" s="121"/>
      <c r="O1832" s="121"/>
      <c r="P1832" s="121"/>
    </row>
    <row r="1833" spans="2:16" s="108" customFormat="1" ht="15" hidden="1" customHeight="1">
      <c r="B1833" s="109"/>
      <c r="C1833" s="122"/>
      <c r="D1833" s="123"/>
      <c r="E1833" s="734"/>
      <c r="F1833" s="134"/>
      <c r="G1833" s="126"/>
      <c r="H1833" s="120"/>
      <c r="I1833" s="120"/>
      <c r="J1833" s="116"/>
      <c r="K1833" s="116"/>
      <c r="L1833" s="116"/>
      <c r="M1833" s="116"/>
      <c r="N1833" s="116"/>
      <c r="O1833" s="116"/>
      <c r="P1833" s="116"/>
    </row>
    <row r="1834" spans="2:16" s="108" customFormat="1" ht="21.75" hidden="1" customHeight="1">
      <c r="B1834" s="109"/>
      <c r="C1834" s="122"/>
      <c r="D1834" s="111" t="s">
        <v>1182</v>
      </c>
      <c r="E1834" s="729">
        <f>E1835</f>
        <v>200000000</v>
      </c>
      <c r="F1834" s="134">
        <v>65595198072.370003</v>
      </c>
      <c r="G1834" s="126">
        <f t="shared" si="35"/>
        <v>0.30490036752285371</v>
      </c>
      <c r="H1834" s="120"/>
      <c r="I1834" s="120"/>
      <c r="J1834" s="116"/>
      <c r="K1834" s="116"/>
      <c r="L1834" s="116"/>
      <c r="M1834" s="116"/>
      <c r="N1834" s="116"/>
      <c r="O1834" s="116"/>
      <c r="P1834" s="116"/>
    </row>
    <row r="1835" spans="2:16" s="108" customFormat="1" ht="21.75" hidden="1" customHeight="1">
      <c r="B1835" s="109"/>
      <c r="C1835" s="122"/>
      <c r="D1835" s="111" t="s">
        <v>899</v>
      </c>
      <c r="E1835" s="729">
        <f>SUM(E1836)</f>
        <v>200000000</v>
      </c>
      <c r="F1835" s="134">
        <v>65595198072.370003</v>
      </c>
      <c r="G1835" s="126">
        <f t="shared" si="35"/>
        <v>0.30490036752285371</v>
      </c>
      <c r="H1835" s="120"/>
      <c r="I1835" s="120"/>
      <c r="J1835" s="116"/>
      <c r="K1835" s="116"/>
      <c r="L1835" s="116"/>
      <c r="M1835" s="116"/>
      <c r="N1835" s="116"/>
      <c r="O1835" s="116"/>
      <c r="P1835" s="116"/>
    </row>
    <row r="1836" spans="2:16" s="108" customFormat="1" ht="39.75" hidden="1" customHeight="1">
      <c r="B1836" s="109"/>
      <c r="C1836" s="122"/>
      <c r="D1836" s="203" t="s">
        <v>1464</v>
      </c>
      <c r="E1836" s="759">
        <v>200000000</v>
      </c>
      <c r="F1836" s="134">
        <v>65595198072.370003</v>
      </c>
      <c r="G1836" s="126">
        <f t="shared" ref="G1836:G1861" si="36">+E1836/F1836*100</f>
        <v>0.30490036752285371</v>
      </c>
      <c r="H1836" s="120"/>
      <c r="I1836" s="120"/>
      <c r="J1836" s="116"/>
      <c r="K1836" s="116"/>
      <c r="L1836" s="116"/>
      <c r="M1836" s="116"/>
      <c r="N1836" s="116"/>
      <c r="O1836" s="116"/>
      <c r="P1836" s="116"/>
    </row>
    <row r="1837" spans="2:16" s="108" customFormat="1" ht="15" hidden="1" customHeight="1">
      <c r="B1837" s="109"/>
      <c r="C1837" s="122"/>
      <c r="D1837" s="123"/>
      <c r="E1837" s="734"/>
      <c r="F1837" s="134"/>
      <c r="G1837" s="126"/>
      <c r="H1837" s="120"/>
      <c r="I1837" s="120"/>
      <c r="J1837" s="116"/>
      <c r="K1837" s="116"/>
      <c r="L1837" s="116"/>
      <c r="M1837" s="116"/>
      <c r="N1837" s="116"/>
      <c r="O1837" s="116"/>
      <c r="P1837" s="116"/>
    </row>
    <row r="1838" spans="2:16" s="108" customFormat="1" ht="21.75" hidden="1" customHeight="1">
      <c r="B1838" s="109"/>
      <c r="C1838" s="122"/>
      <c r="D1838" s="111" t="s">
        <v>1465</v>
      </c>
      <c r="E1838" s="729">
        <f>E1839</f>
        <v>100000000</v>
      </c>
      <c r="F1838" s="134">
        <v>65595198072.370003</v>
      </c>
      <c r="G1838" s="126">
        <f t="shared" si="36"/>
        <v>0.15245018376142686</v>
      </c>
      <c r="H1838" s="120"/>
      <c r="I1838" s="120"/>
      <c r="J1838" s="116"/>
      <c r="K1838" s="116"/>
      <c r="L1838" s="116"/>
      <c r="M1838" s="116"/>
      <c r="N1838" s="116"/>
      <c r="O1838" s="116"/>
      <c r="P1838" s="116"/>
    </row>
    <row r="1839" spans="2:16" s="108" customFormat="1" ht="21.75" hidden="1" customHeight="1">
      <c r="B1839" s="109"/>
      <c r="C1839" s="122"/>
      <c r="D1839" s="204" t="s">
        <v>1466</v>
      </c>
      <c r="E1839" s="760">
        <f>SUM(E1840)</f>
        <v>100000000</v>
      </c>
      <c r="F1839" s="134">
        <v>65595198072.370003</v>
      </c>
      <c r="G1839" s="126">
        <f t="shared" si="36"/>
        <v>0.15245018376142686</v>
      </c>
      <c r="H1839" s="120"/>
      <c r="I1839" s="120"/>
      <c r="J1839" s="116"/>
      <c r="K1839" s="116"/>
      <c r="L1839" s="116"/>
      <c r="M1839" s="116"/>
      <c r="N1839" s="116"/>
      <c r="O1839" s="116"/>
      <c r="P1839" s="116"/>
    </row>
    <row r="1840" spans="2:16" s="108" customFormat="1" ht="39.75" hidden="1" customHeight="1">
      <c r="B1840" s="109"/>
      <c r="C1840" s="122"/>
      <c r="D1840" s="205" t="s">
        <v>1467</v>
      </c>
      <c r="E1840" s="761">
        <v>100000000</v>
      </c>
      <c r="F1840" s="134">
        <v>65595198072.370003</v>
      </c>
      <c r="G1840" s="126">
        <f t="shared" si="36"/>
        <v>0.15245018376142686</v>
      </c>
      <c r="H1840" s="120"/>
      <c r="I1840" s="120"/>
      <c r="J1840" s="116"/>
      <c r="K1840" s="116"/>
      <c r="L1840" s="116"/>
      <c r="M1840" s="116"/>
      <c r="N1840" s="116"/>
      <c r="O1840" s="116"/>
      <c r="P1840" s="116"/>
    </row>
    <row r="1841" spans="2:16" s="108" customFormat="1" ht="15" hidden="1" customHeight="1">
      <c r="B1841" s="109"/>
      <c r="C1841" s="122"/>
      <c r="D1841" s="111"/>
      <c r="E1841" s="729"/>
      <c r="F1841" s="134"/>
      <c r="G1841" s="126"/>
      <c r="H1841" s="120"/>
      <c r="I1841" s="120"/>
      <c r="J1841" s="116"/>
      <c r="K1841" s="116"/>
      <c r="L1841" s="116"/>
      <c r="M1841" s="116"/>
      <c r="N1841" s="116"/>
      <c r="O1841" s="116"/>
      <c r="P1841" s="116"/>
    </row>
    <row r="1842" spans="2:16" s="108" customFormat="1" ht="21.75" hidden="1" customHeight="1">
      <c r="B1842" s="109"/>
      <c r="C1842" s="122"/>
      <c r="D1842" s="111" t="s">
        <v>1128</v>
      </c>
      <c r="E1842" s="729">
        <f>E1843</f>
        <v>500000000</v>
      </c>
      <c r="F1842" s="134">
        <v>65595198072.370003</v>
      </c>
      <c r="G1842" s="126">
        <f t="shared" si="36"/>
        <v>0.76225091880713425</v>
      </c>
      <c r="H1842" s="120"/>
      <c r="I1842" s="120"/>
      <c r="J1842" s="116"/>
      <c r="K1842" s="116"/>
      <c r="L1842" s="116"/>
      <c r="M1842" s="116"/>
      <c r="N1842" s="116"/>
      <c r="O1842" s="116"/>
      <c r="P1842" s="116"/>
    </row>
    <row r="1843" spans="2:16" s="108" customFormat="1" ht="21.75" hidden="1" customHeight="1">
      <c r="B1843" s="109"/>
      <c r="C1843" s="122"/>
      <c r="D1843" s="206" t="s">
        <v>1205</v>
      </c>
      <c r="E1843" s="762">
        <f>SUM(E1844)</f>
        <v>500000000</v>
      </c>
      <c r="F1843" s="134">
        <v>65595198072.370003</v>
      </c>
      <c r="G1843" s="126">
        <f t="shared" si="36"/>
        <v>0.76225091880713425</v>
      </c>
      <c r="H1843" s="120"/>
      <c r="I1843" s="120"/>
      <c r="J1843" s="116"/>
      <c r="K1843" s="116"/>
      <c r="L1843" s="116"/>
      <c r="M1843" s="116"/>
      <c r="N1843" s="116"/>
      <c r="O1843" s="116"/>
      <c r="P1843" s="116"/>
    </row>
    <row r="1844" spans="2:16" s="108" customFormat="1" ht="39.75" hidden="1" customHeight="1">
      <c r="B1844" s="109"/>
      <c r="C1844" s="122"/>
      <c r="D1844" s="207" t="s">
        <v>1468</v>
      </c>
      <c r="E1844" s="763">
        <v>500000000</v>
      </c>
      <c r="F1844" s="134">
        <v>65595198072.370003</v>
      </c>
      <c r="G1844" s="126">
        <f t="shared" si="36"/>
        <v>0.76225091880713425</v>
      </c>
      <c r="H1844" s="120"/>
      <c r="I1844" s="120"/>
      <c r="J1844" s="116"/>
      <c r="K1844" s="116"/>
      <c r="L1844" s="116"/>
      <c r="M1844" s="116"/>
      <c r="N1844" s="116"/>
      <c r="O1844" s="116"/>
      <c r="P1844" s="116"/>
    </row>
    <row r="1845" spans="2:16" s="108" customFormat="1" ht="15" hidden="1" customHeight="1">
      <c r="B1845" s="109"/>
      <c r="C1845" s="122"/>
      <c r="D1845" s="123"/>
      <c r="E1845" s="734"/>
      <c r="F1845" s="134">
        <v>65595198072.370003</v>
      </c>
      <c r="G1845" s="126">
        <f t="shared" si="36"/>
        <v>0</v>
      </c>
      <c r="H1845" s="120"/>
      <c r="I1845" s="120"/>
      <c r="J1845" s="116"/>
      <c r="K1845" s="116"/>
      <c r="L1845" s="116"/>
      <c r="M1845" s="116"/>
      <c r="N1845" s="116"/>
      <c r="O1845" s="116"/>
      <c r="P1845" s="116"/>
    </row>
    <row r="1846" spans="2:16" s="108" customFormat="1" ht="21.75" hidden="1" customHeight="1">
      <c r="B1846" s="109"/>
      <c r="C1846" s="122"/>
      <c r="D1846" s="111" t="s">
        <v>624</v>
      </c>
      <c r="E1846" s="729">
        <f>E1847</f>
        <v>800000000</v>
      </c>
      <c r="F1846" s="134">
        <v>65595198072.370003</v>
      </c>
      <c r="G1846" s="126">
        <f t="shared" si="36"/>
        <v>1.2196014700914148</v>
      </c>
      <c r="H1846" s="120"/>
      <c r="I1846" s="120"/>
      <c r="J1846" s="116"/>
      <c r="K1846" s="116"/>
      <c r="L1846" s="116"/>
      <c r="M1846" s="116"/>
      <c r="N1846" s="116"/>
      <c r="O1846" s="116"/>
      <c r="P1846" s="116"/>
    </row>
    <row r="1847" spans="2:16" s="108" customFormat="1" ht="21.75" hidden="1" customHeight="1">
      <c r="B1847" s="109"/>
      <c r="C1847" s="122"/>
      <c r="D1847" s="208" t="s">
        <v>1469</v>
      </c>
      <c r="E1847" s="764">
        <f>SUM(E1848)</f>
        <v>800000000</v>
      </c>
      <c r="F1847" s="134">
        <v>65595198072.370003</v>
      </c>
      <c r="G1847" s="126">
        <f t="shared" si="36"/>
        <v>1.2196014700914148</v>
      </c>
      <c r="H1847" s="120"/>
      <c r="I1847" s="120"/>
      <c r="J1847" s="116"/>
      <c r="K1847" s="116"/>
      <c r="L1847" s="116"/>
      <c r="M1847" s="116"/>
      <c r="N1847" s="116"/>
      <c r="O1847" s="116"/>
      <c r="P1847" s="116"/>
    </row>
    <row r="1848" spans="2:16" s="108" customFormat="1" ht="21.75" hidden="1" customHeight="1">
      <c r="B1848" s="109"/>
      <c r="C1848" s="122"/>
      <c r="D1848" s="209" t="s">
        <v>1470</v>
      </c>
      <c r="E1848" s="765">
        <v>800000000</v>
      </c>
      <c r="F1848" s="134">
        <v>65595198072.370003</v>
      </c>
      <c r="G1848" s="126">
        <f t="shared" si="36"/>
        <v>1.2196014700914148</v>
      </c>
      <c r="H1848" s="120"/>
      <c r="I1848" s="120"/>
      <c r="J1848" s="116"/>
      <c r="K1848" s="116"/>
      <c r="L1848" s="116"/>
      <c r="M1848" s="116"/>
      <c r="N1848" s="116"/>
      <c r="O1848" s="116"/>
      <c r="P1848" s="116"/>
    </row>
    <row r="1849" spans="2:16" s="108" customFormat="1" ht="15" hidden="1" customHeight="1">
      <c r="B1849" s="109"/>
      <c r="C1849" s="122"/>
      <c r="D1849" s="123"/>
      <c r="E1849" s="734"/>
      <c r="F1849" s="134"/>
      <c r="G1849" s="126"/>
      <c r="H1849" s="120"/>
      <c r="I1849" s="120"/>
      <c r="J1849" s="116"/>
      <c r="K1849" s="116"/>
      <c r="L1849" s="116"/>
      <c r="M1849" s="116"/>
      <c r="N1849" s="116"/>
      <c r="O1849" s="116"/>
      <c r="P1849" s="116"/>
    </row>
    <row r="1850" spans="2:16" s="108" customFormat="1" ht="21.75" hidden="1" customHeight="1">
      <c r="B1850" s="109"/>
      <c r="C1850" s="122"/>
      <c r="D1850" s="111" t="s">
        <v>642</v>
      </c>
      <c r="E1850" s="729">
        <f>E1851+E1855</f>
        <v>1385750000</v>
      </c>
      <c r="F1850" s="134">
        <v>65595198072.370003</v>
      </c>
      <c r="G1850" s="126">
        <f t="shared" si="36"/>
        <v>2.1125784214739727</v>
      </c>
      <c r="H1850" s="120"/>
      <c r="I1850" s="120"/>
      <c r="J1850" s="116"/>
      <c r="K1850" s="116"/>
      <c r="L1850" s="116"/>
      <c r="M1850" s="116"/>
      <c r="N1850" s="116"/>
      <c r="O1850" s="116"/>
      <c r="P1850" s="116"/>
    </row>
    <row r="1851" spans="2:16" s="108" customFormat="1" ht="39.75" hidden="1" customHeight="1">
      <c r="B1851" s="109"/>
      <c r="C1851" s="122"/>
      <c r="D1851" s="210" t="s">
        <v>890</v>
      </c>
      <c r="E1851" s="766">
        <f>SUM(E1852:E1854)</f>
        <v>1192750000</v>
      </c>
      <c r="F1851" s="134">
        <v>65595198072.370003</v>
      </c>
      <c r="G1851" s="126">
        <f t="shared" si="36"/>
        <v>1.8183495668144189</v>
      </c>
      <c r="H1851" s="120"/>
      <c r="I1851" s="120"/>
      <c r="J1851" s="116"/>
      <c r="K1851" s="116"/>
      <c r="L1851" s="116"/>
      <c r="M1851" s="116"/>
      <c r="N1851" s="116"/>
      <c r="O1851" s="116"/>
      <c r="P1851" s="116"/>
    </row>
    <row r="1852" spans="2:16" s="108" customFormat="1" ht="21.75" hidden="1" customHeight="1">
      <c r="B1852" s="109"/>
      <c r="C1852" s="122"/>
      <c r="D1852" s="211" t="s">
        <v>1471</v>
      </c>
      <c r="E1852" s="767">
        <v>100500000</v>
      </c>
      <c r="F1852" s="134">
        <v>65595198072.370003</v>
      </c>
      <c r="G1852" s="126">
        <f t="shared" si="36"/>
        <v>0.15321243468023402</v>
      </c>
      <c r="H1852" s="120"/>
      <c r="I1852" s="120"/>
      <c r="J1852" s="116"/>
      <c r="K1852" s="116"/>
      <c r="L1852" s="116"/>
      <c r="M1852" s="116"/>
      <c r="N1852" s="116"/>
      <c r="O1852" s="116"/>
      <c r="P1852" s="116"/>
    </row>
    <row r="1853" spans="2:16" s="108" customFormat="1" ht="21.75" hidden="1" customHeight="1">
      <c r="B1853" s="109"/>
      <c r="C1853" s="122"/>
      <c r="D1853" s="211" t="s">
        <v>1472</v>
      </c>
      <c r="E1853" s="767">
        <v>259250000</v>
      </c>
      <c r="F1853" s="134">
        <v>65595198072.370003</v>
      </c>
      <c r="G1853" s="126">
        <f t="shared" si="36"/>
        <v>0.39522710140149919</v>
      </c>
      <c r="H1853" s="120"/>
      <c r="I1853" s="120"/>
      <c r="J1853" s="116"/>
      <c r="K1853" s="116"/>
      <c r="L1853" s="116"/>
      <c r="M1853" s="116"/>
      <c r="N1853" s="116"/>
      <c r="O1853" s="116"/>
      <c r="P1853" s="116"/>
    </row>
    <row r="1854" spans="2:16" s="108" customFormat="1" ht="39.75" hidden="1" customHeight="1">
      <c r="B1854" s="109"/>
      <c r="C1854" s="122"/>
      <c r="D1854" s="211" t="s">
        <v>1473</v>
      </c>
      <c r="E1854" s="767">
        <v>833000000</v>
      </c>
      <c r="F1854" s="134">
        <v>65595198072.370003</v>
      </c>
      <c r="G1854" s="126">
        <f t="shared" si="36"/>
        <v>1.2699100307326858</v>
      </c>
      <c r="H1854" s="120"/>
      <c r="I1854" s="120"/>
      <c r="J1854" s="116"/>
      <c r="K1854" s="116"/>
      <c r="L1854" s="116"/>
      <c r="M1854" s="116"/>
      <c r="N1854" s="116"/>
      <c r="O1854" s="116"/>
      <c r="P1854" s="116"/>
    </row>
    <row r="1855" spans="2:16" s="108" customFormat="1" ht="21.75" hidden="1" customHeight="1">
      <c r="B1855" s="109"/>
      <c r="C1855" s="122"/>
      <c r="D1855" s="212" t="s">
        <v>1474</v>
      </c>
      <c r="E1855" s="768">
        <f>SUM(E1856)</f>
        <v>193000000</v>
      </c>
      <c r="F1855" s="134">
        <v>65595198072.370003</v>
      </c>
      <c r="G1855" s="126">
        <f t="shared" si="36"/>
        <v>0.29422885465955384</v>
      </c>
      <c r="H1855" s="120"/>
      <c r="I1855" s="120"/>
      <c r="J1855" s="116"/>
      <c r="K1855" s="116"/>
      <c r="L1855" s="116"/>
      <c r="M1855" s="116"/>
      <c r="N1855" s="116"/>
      <c r="O1855" s="116"/>
      <c r="P1855" s="116"/>
    </row>
    <row r="1856" spans="2:16" s="108" customFormat="1" ht="21.75" hidden="1" customHeight="1">
      <c r="B1856" s="109"/>
      <c r="C1856" s="122"/>
      <c r="D1856" s="213" t="s">
        <v>1475</v>
      </c>
      <c r="E1856" s="769">
        <v>193000000</v>
      </c>
      <c r="F1856" s="134">
        <v>65595198072.370003</v>
      </c>
      <c r="G1856" s="126">
        <f t="shared" si="36"/>
        <v>0.29422885465955384</v>
      </c>
      <c r="H1856" s="120"/>
      <c r="I1856" s="120"/>
      <c r="J1856" s="116"/>
      <c r="K1856" s="116"/>
      <c r="L1856" s="116"/>
      <c r="M1856" s="116"/>
      <c r="N1856" s="116"/>
      <c r="O1856" s="116"/>
      <c r="P1856" s="116"/>
    </row>
    <row r="1857" spans="2:16" s="108" customFormat="1" ht="15" hidden="1" customHeight="1">
      <c r="B1857" s="109"/>
      <c r="C1857" s="122"/>
      <c r="D1857" s="123"/>
      <c r="E1857" s="734"/>
      <c r="F1857" s="134"/>
      <c r="G1857" s="126"/>
      <c r="H1857" s="120"/>
      <c r="I1857" s="120"/>
      <c r="J1857" s="116"/>
      <c r="K1857" s="116"/>
      <c r="L1857" s="116"/>
      <c r="M1857" s="116"/>
      <c r="N1857" s="116"/>
      <c r="O1857" s="116"/>
      <c r="P1857" s="116"/>
    </row>
    <row r="1858" spans="2:16" s="108" customFormat="1" ht="21.75" hidden="1" customHeight="1">
      <c r="B1858" s="109"/>
      <c r="C1858" s="122"/>
      <c r="D1858" s="111" t="s">
        <v>1139</v>
      </c>
      <c r="E1858" s="729">
        <f>E1859</f>
        <v>950000000</v>
      </c>
      <c r="F1858" s="134">
        <v>65595198072.370003</v>
      </c>
      <c r="G1858" s="126">
        <f t="shared" si="36"/>
        <v>1.4482767457335552</v>
      </c>
      <c r="H1858" s="120"/>
      <c r="I1858" s="120"/>
      <c r="J1858" s="116"/>
      <c r="K1858" s="116"/>
      <c r="L1858" s="116"/>
      <c r="M1858" s="116"/>
      <c r="N1858" s="116"/>
      <c r="O1858" s="116"/>
      <c r="P1858" s="116"/>
    </row>
    <row r="1859" spans="2:16" s="108" customFormat="1" ht="21.75" hidden="1" customHeight="1">
      <c r="B1859" s="109"/>
      <c r="C1859" s="122"/>
      <c r="D1859" s="214" t="s">
        <v>536</v>
      </c>
      <c r="E1859" s="770">
        <f>SUM(E1860:E1861)</f>
        <v>950000000</v>
      </c>
      <c r="F1859" s="134">
        <v>65595198072.370003</v>
      </c>
      <c r="G1859" s="126">
        <f t="shared" si="36"/>
        <v>1.4482767457335552</v>
      </c>
      <c r="H1859" s="120"/>
      <c r="I1859" s="120"/>
      <c r="J1859" s="116"/>
      <c r="K1859" s="116"/>
      <c r="L1859" s="116"/>
      <c r="M1859" s="116"/>
      <c r="N1859" s="116"/>
      <c r="O1859" s="116"/>
      <c r="P1859" s="116"/>
    </row>
    <row r="1860" spans="2:16" s="108" customFormat="1" ht="21.75" hidden="1" customHeight="1">
      <c r="B1860" s="109"/>
      <c r="C1860" s="122"/>
      <c r="D1860" s="215" t="s">
        <v>1476</v>
      </c>
      <c r="E1860" s="771">
        <v>355100000</v>
      </c>
      <c r="F1860" s="134">
        <v>65595198072.370003</v>
      </c>
      <c r="G1860" s="126">
        <f t="shared" si="36"/>
        <v>0.54135060253682676</v>
      </c>
      <c r="H1860" s="120"/>
      <c r="I1860" s="120"/>
      <c r="J1860" s="116"/>
      <c r="K1860" s="116"/>
      <c r="L1860" s="116"/>
      <c r="M1860" s="116"/>
      <c r="N1860" s="116"/>
      <c r="O1860" s="116"/>
      <c r="P1860" s="116"/>
    </row>
    <row r="1861" spans="2:16" s="108" customFormat="1" ht="21.75" hidden="1" customHeight="1">
      <c r="B1861" s="109"/>
      <c r="C1861" s="122"/>
      <c r="D1861" s="215" t="s">
        <v>1477</v>
      </c>
      <c r="E1861" s="771">
        <v>594900000</v>
      </c>
      <c r="F1861" s="134">
        <v>65595198072.370003</v>
      </c>
      <c r="G1861" s="126">
        <f t="shared" si="36"/>
        <v>0.90692614319672837</v>
      </c>
      <c r="H1861" s="120"/>
      <c r="I1861" s="120"/>
      <c r="J1861" s="116"/>
      <c r="K1861" s="116"/>
      <c r="L1861" s="116"/>
      <c r="M1861" s="116"/>
      <c r="N1861" s="116"/>
      <c r="O1861" s="116"/>
      <c r="P1861" s="116"/>
    </row>
    <row r="1862" spans="2:16" s="108" customFormat="1" ht="15" hidden="1" customHeight="1">
      <c r="B1862" s="109"/>
      <c r="C1862" s="122"/>
      <c r="D1862" s="215"/>
      <c r="E1862" s="125"/>
      <c r="F1862" s="134"/>
      <c r="G1862" s="126"/>
      <c r="H1862" s="120"/>
      <c r="I1862" s="120"/>
      <c r="J1862" s="116"/>
      <c r="K1862" s="116"/>
      <c r="L1862" s="116"/>
      <c r="M1862" s="116"/>
      <c r="N1862" s="116"/>
      <c r="O1862" s="116"/>
      <c r="P1862" s="116"/>
    </row>
    <row r="1863" spans="2:16" s="117" customFormat="1" ht="21.75" hidden="1" customHeight="1">
      <c r="B1863" s="118"/>
      <c r="C1863" s="110" t="s">
        <v>1478</v>
      </c>
      <c r="D1863" s="111" t="s">
        <v>1479</v>
      </c>
      <c r="E1863" s="129">
        <f>+E1864+E1888+E1905+E1916+E1931+E1937+E1947+E1956+E1962+E1968+E1972</f>
        <v>62592857239.279999</v>
      </c>
      <c r="F1863" s="131">
        <v>1557405258400.0002</v>
      </c>
      <c r="G1863" s="127">
        <f>+E1863/F1863*100</f>
        <v>4.0190475087765369</v>
      </c>
      <c r="H1863" s="120"/>
      <c r="I1863" s="120"/>
      <c r="J1863" s="121"/>
      <c r="K1863" s="121"/>
      <c r="L1863" s="121"/>
      <c r="M1863" s="121"/>
      <c r="N1863" s="121"/>
      <c r="O1863" s="121"/>
      <c r="P1863" s="121"/>
    </row>
    <row r="1864" spans="2:16" s="117" customFormat="1" ht="21.75" hidden="1" customHeight="1">
      <c r="B1864" s="118"/>
      <c r="C1864" s="110"/>
      <c r="D1864" s="111" t="s">
        <v>64</v>
      </c>
      <c r="E1864" s="772">
        <f>+E1865+E1868+E1873+E1875+E1878+E1880+E1884</f>
        <v>21432337259</v>
      </c>
      <c r="F1864" s="114">
        <v>62592857239.279999</v>
      </c>
      <c r="G1864" s="127">
        <f>+E1864/F1864*100</f>
        <v>34.240867415699611</v>
      </c>
      <c r="H1864" s="120"/>
      <c r="I1864" s="120"/>
      <c r="J1864" s="121"/>
      <c r="K1864" s="121"/>
      <c r="L1864" s="121"/>
      <c r="M1864" s="121"/>
      <c r="N1864" s="121"/>
      <c r="O1864" s="121"/>
      <c r="P1864" s="121"/>
    </row>
    <row r="1865" spans="2:16" s="117" customFormat="1" ht="21.75" hidden="1" customHeight="1">
      <c r="B1865" s="118"/>
      <c r="C1865" s="110"/>
      <c r="D1865" s="111" t="s">
        <v>388</v>
      </c>
      <c r="E1865" s="772">
        <f>+E1866+E1867</f>
        <v>2300000000</v>
      </c>
      <c r="F1865" s="114">
        <v>62592857239</v>
      </c>
      <c r="G1865" s="127">
        <f t="shared" ref="G1865:G1928" si="37">+E1865/F1865*100</f>
        <v>3.6745406767705902</v>
      </c>
      <c r="H1865" s="120"/>
      <c r="I1865" s="120"/>
      <c r="J1865" s="121"/>
      <c r="K1865" s="121"/>
      <c r="L1865" s="121"/>
      <c r="M1865" s="121"/>
      <c r="N1865" s="121"/>
      <c r="O1865" s="121"/>
      <c r="P1865" s="121"/>
    </row>
    <row r="1866" spans="2:16" s="108" customFormat="1" ht="21.75" hidden="1" customHeight="1">
      <c r="B1866" s="109"/>
      <c r="C1866" s="122"/>
      <c r="D1866" s="123" t="s">
        <v>1480</v>
      </c>
      <c r="E1866" s="773">
        <v>700000000</v>
      </c>
      <c r="F1866" s="114">
        <v>62592857239</v>
      </c>
      <c r="G1866" s="127">
        <f t="shared" si="37"/>
        <v>1.118338466843223</v>
      </c>
      <c r="H1866" s="120"/>
      <c r="I1866" s="120"/>
      <c r="J1866" s="116"/>
      <c r="K1866" s="116"/>
      <c r="L1866" s="116"/>
      <c r="M1866" s="116"/>
      <c r="N1866" s="116"/>
      <c r="O1866" s="116"/>
      <c r="P1866" s="116"/>
    </row>
    <row r="1867" spans="2:16" s="108" customFormat="1" ht="21.75" hidden="1" customHeight="1">
      <c r="B1867" s="109"/>
      <c r="C1867" s="122"/>
      <c r="D1867" s="123" t="s">
        <v>1481</v>
      </c>
      <c r="E1867" s="773">
        <v>1600000000</v>
      </c>
      <c r="F1867" s="114">
        <v>62592857239</v>
      </c>
      <c r="G1867" s="127">
        <f t="shared" si="37"/>
        <v>2.5562022099273674</v>
      </c>
      <c r="H1867" s="120"/>
      <c r="I1867" s="120"/>
      <c r="J1867" s="116"/>
      <c r="K1867" s="116"/>
      <c r="L1867" s="116"/>
      <c r="M1867" s="116"/>
      <c r="N1867" s="116"/>
      <c r="O1867" s="116"/>
      <c r="P1867" s="116"/>
    </row>
    <row r="1868" spans="2:16" s="117" customFormat="1" ht="21.75" hidden="1" customHeight="1">
      <c r="B1868" s="118"/>
      <c r="C1868" s="110"/>
      <c r="D1868" s="111" t="s">
        <v>394</v>
      </c>
      <c r="E1868" s="772">
        <f>+E1869+E1870+E1871+E1872</f>
        <v>8602000000</v>
      </c>
      <c r="F1868" s="114">
        <v>62592857239</v>
      </c>
      <c r="G1868" s="127">
        <f t="shared" si="37"/>
        <v>13.742782131122008</v>
      </c>
      <c r="H1868" s="120"/>
      <c r="I1868" s="120"/>
      <c r="J1868" s="121"/>
      <c r="K1868" s="121"/>
      <c r="L1868" s="121"/>
      <c r="M1868" s="121"/>
      <c r="N1868" s="121"/>
      <c r="O1868" s="121"/>
      <c r="P1868" s="121"/>
    </row>
    <row r="1869" spans="2:16" s="108" customFormat="1" ht="21.75" hidden="1" customHeight="1">
      <c r="B1869" s="109"/>
      <c r="C1869" s="122"/>
      <c r="D1869" s="123" t="s">
        <v>1482</v>
      </c>
      <c r="E1869" s="773">
        <v>412000000</v>
      </c>
      <c r="F1869" s="114">
        <v>62592857239</v>
      </c>
      <c r="G1869" s="127">
        <f t="shared" si="37"/>
        <v>0.65822206905629699</v>
      </c>
      <c r="H1869" s="120"/>
      <c r="I1869" s="120"/>
      <c r="J1869" s="116"/>
      <c r="K1869" s="116"/>
      <c r="L1869" s="116"/>
      <c r="M1869" s="116"/>
      <c r="N1869" s="116"/>
      <c r="O1869" s="116"/>
      <c r="P1869" s="116"/>
    </row>
    <row r="1870" spans="2:16" s="108" customFormat="1" ht="21.75" hidden="1" customHeight="1">
      <c r="B1870" s="109"/>
      <c r="C1870" s="122"/>
      <c r="D1870" s="123" t="s">
        <v>1483</v>
      </c>
      <c r="E1870" s="773">
        <v>5800000000</v>
      </c>
      <c r="F1870" s="114">
        <v>62592857239</v>
      </c>
      <c r="G1870" s="127">
        <f t="shared" si="37"/>
        <v>9.2662330109867064</v>
      </c>
      <c r="H1870" s="120"/>
      <c r="I1870" s="120"/>
      <c r="J1870" s="116"/>
      <c r="K1870" s="116"/>
      <c r="L1870" s="116"/>
      <c r="M1870" s="116"/>
      <c r="N1870" s="116"/>
      <c r="O1870" s="116"/>
      <c r="P1870" s="116"/>
    </row>
    <row r="1871" spans="2:16" s="108" customFormat="1" ht="21.75" hidden="1" customHeight="1">
      <c r="B1871" s="109"/>
      <c r="C1871" s="122"/>
      <c r="D1871" s="123" t="s">
        <v>1484</v>
      </c>
      <c r="E1871" s="773">
        <v>1590000000</v>
      </c>
      <c r="F1871" s="114">
        <v>62592857239</v>
      </c>
      <c r="G1871" s="127">
        <f t="shared" si="37"/>
        <v>2.5402259461153207</v>
      </c>
      <c r="H1871" s="120"/>
      <c r="I1871" s="120"/>
      <c r="J1871" s="116"/>
      <c r="K1871" s="116"/>
      <c r="L1871" s="116"/>
      <c r="M1871" s="116"/>
      <c r="N1871" s="116"/>
      <c r="O1871" s="116"/>
      <c r="P1871" s="116"/>
    </row>
    <row r="1872" spans="2:16" s="108" customFormat="1" ht="21.75" hidden="1" customHeight="1">
      <c r="B1872" s="109"/>
      <c r="C1872" s="122"/>
      <c r="D1872" s="123" t="s">
        <v>1485</v>
      </c>
      <c r="E1872" s="773">
        <v>800000000</v>
      </c>
      <c r="F1872" s="114">
        <v>62592857239</v>
      </c>
      <c r="G1872" s="127">
        <f t="shared" si="37"/>
        <v>1.2781011049636837</v>
      </c>
      <c r="H1872" s="120"/>
      <c r="I1872" s="120"/>
      <c r="J1872" s="116"/>
      <c r="K1872" s="116"/>
      <c r="L1872" s="116"/>
      <c r="M1872" s="116"/>
      <c r="N1872" s="116"/>
      <c r="O1872" s="116"/>
      <c r="P1872" s="116"/>
    </row>
    <row r="1873" spans="2:16" s="117" customFormat="1" ht="21.75" hidden="1" customHeight="1">
      <c r="B1873" s="118"/>
      <c r="C1873" s="110"/>
      <c r="D1873" s="111" t="s">
        <v>404</v>
      </c>
      <c r="E1873" s="772">
        <f>+E1874</f>
        <v>2760337259</v>
      </c>
      <c r="F1873" s="114">
        <v>62592857239</v>
      </c>
      <c r="G1873" s="127">
        <f t="shared" si="37"/>
        <v>4.4099876260004072</v>
      </c>
      <c r="H1873" s="120"/>
      <c r="I1873" s="120"/>
      <c r="J1873" s="121"/>
      <c r="K1873" s="121"/>
      <c r="L1873" s="121"/>
      <c r="M1873" s="121"/>
      <c r="N1873" s="121"/>
      <c r="O1873" s="121"/>
      <c r="P1873" s="121"/>
    </row>
    <row r="1874" spans="2:16" s="108" customFormat="1" ht="21.75" hidden="1" customHeight="1">
      <c r="B1874" s="109"/>
      <c r="C1874" s="122"/>
      <c r="D1874" s="123" t="s">
        <v>1486</v>
      </c>
      <c r="E1874" s="773">
        <v>2760337259</v>
      </c>
      <c r="F1874" s="114">
        <v>62592857239</v>
      </c>
      <c r="G1874" s="127">
        <f t="shared" si="37"/>
        <v>4.4099876260004072</v>
      </c>
      <c r="H1874" s="120"/>
      <c r="I1874" s="120"/>
      <c r="J1874" s="116"/>
      <c r="K1874" s="116"/>
      <c r="L1874" s="116"/>
      <c r="M1874" s="116"/>
      <c r="N1874" s="116"/>
      <c r="O1874" s="116"/>
      <c r="P1874" s="116"/>
    </row>
    <row r="1875" spans="2:16" s="117" customFormat="1" ht="21.75" hidden="1" customHeight="1">
      <c r="B1875" s="118"/>
      <c r="C1875" s="110"/>
      <c r="D1875" s="111" t="s">
        <v>1487</v>
      </c>
      <c r="E1875" s="772">
        <f>+E1876+E1877</f>
        <v>970000000</v>
      </c>
      <c r="F1875" s="114">
        <v>62592857239</v>
      </c>
      <c r="G1875" s="127">
        <f t="shared" si="37"/>
        <v>1.5496975897684664</v>
      </c>
      <c r="H1875" s="120"/>
      <c r="I1875" s="120"/>
      <c r="J1875" s="121"/>
      <c r="K1875" s="121"/>
      <c r="L1875" s="121"/>
      <c r="M1875" s="121"/>
      <c r="N1875" s="121"/>
      <c r="O1875" s="121"/>
      <c r="P1875" s="121"/>
    </row>
    <row r="1876" spans="2:16" s="108" customFormat="1" ht="21.75" hidden="1" customHeight="1">
      <c r="B1876" s="109"/>
      <c r="C1876" s="122"/>
      <c r="D1876" s="123" t="s">
        <v>1388</v>
      </c>
      <c r="E1876" s="773">
        <v>420000000</v>
      </c>
      <c r="F1876" s="114">
        <v>62592857239</v>
      </c>
      <c r="G1876" s="127">
        <f t="shared" si="37"/>
        <v>0.6710030801059339</v>
      </c>
      <c r="H1876" s="120"/>
      <c r="I1876" s="120"/>
      <c r="J1876" s="116"/>
      <c r="K1876" s="116"/>
      <c r="L1876" s="116"/>
      <c r="M1876" s="116"/>
      <c r="N1876" s="116"/>
      <c r="O1876" s="116"/>
      <c r="P1876" s="116"/>
    </row>
    <row r="1877" spans="2:16" s="108" customFormat="1" ht="21.75" hidden="1" customHeight="1">
      <c r="B1877" s="109"/>
      <c r="C1877" s="122"/>
      <c r="D1877" s="123" t="s">
        <v>1488</v>
      </c>
      <c r="E1877" s="773">
        <v>550000000</v>
      </c>
      <c r="F1877" s="114">
        <v>62592857239</v>
      </c>
      <c r="G1877" s="127">
        <f t="shared" si="37"/>
        <v>0.87869450966253249</v>
      </c>
      <c r="H1877" s="120"/>
      <c r="I1877" s="120"/>
      <c r="J1877" s="116"/>
      <c r="K1877" s="116"/>
      <c r="L1877" s="116"/>
      <c r="M1877" s="116"/>
      <c r="N1877" s="116"/>
      <c r="O1877" s="116"/>
      <c r="P1877" s="116"/>
    </row>
    <row r="1878" spans="2:16" s="117" customFormat="1" ht="21.75" hidden="1" customHeight="1">
      <c r="B1878" s="118"/>
      <c r="C1878" s="110"/>
      <c r="D1878" s="111" t="s">
        <v>108</v>
      </c>
      <c r="E1878" s="772">
        <f>+E1879</f>
        <v>1300000000</v>
      </c>
      <c r="F1878" s="114">
        <v>62592857239</v>
      </c>
      <c r="G1878" s="127">
        <f t="shared" si="37"/>
        <v>2.0769142955659858</v>
      </c>
      <c r="H1878" s="120"/>
      <c r="I1878" s="120"/>
      <c r="J1878" s="121"/>
      <c r="K1878" s="121"/>
      <c r="L1878" s="121"/>
      <c r="M1878" s="121"/>
      <c r="N1878" s="121"/>
      <c r="O1878" s="121"/>
      <c r="P1878" s="121"/>
    </row>
    <row r="1879" spans="2:16" s="108" customFormat="1" ht="21.75" hidden="1" customHeight="1">
      <c r="B1879" s="109"/>
      <c r="C1879" s="122"/>
      <c r="D1879" s="123" t="s">
        <v>1489</v>
      </c>
      <c r="E1879" s="773">
        <v>1300000000</v>
      </c>
      <c r="F1879" s="114">
        <v>62592857239</v>
      </c>
      <c r="G1879" s="127">
        <f t="shared" si="37"/>
        <v>2.0769142955659858</v>
      </c>
      <c r="H1879" s="120"/>
      <c r="I1879" s="120"/>
      <c r="J1879" s="116"/>
      <c r="K1879" s="116"/>
      <c r="L1879" s="116"/>
      <c r="M1879" s="116"/>
      <c r="N1879" s="116"/>
      <c r="O1879" s="116"/>
      <c r="P1879" s="116"/>
    </row>
    <row r="1880" spans="2:16" s="117" customFormat="1" ht="21.75" hidden="1" customHeight="1">
      <c r="B1880" s="118"/>
      <c r="C1880" s="110"/>
      <c r="D1880" s="111" t="s">
        <v>116</v>
      </c>
      <c r="E1880" s="772">
        <f>+E1881+E1882+E1883</f>
        <v>3500000000</v>
      </c>
      <c r="F1880" s="114">
        <v>62592857239</v>
      </c>
      <c r="G1880" s="127">
        <f t="shared" si="37"/>
        <v>5.5916923342161153</v>
      </c>
      <c r="H1880" s="120"/>
      <c r="I1880" s="120"/>
      <c r="J1880" s="121"/>
      <c r="K1880" s="121"/>
      <c r="L1880" s="121"/>
      <c r="M1880" s="121"/>
      <c r="N1880" s="121"/>
      <c r="O1880" s="121"/>
      <c r="P1880" s="121"/>
    </row>
    <row r="1881" spans="2:16" s="108" customFormat="1" ht="21.75" hidden="1" customHeight="1">
      <c r="B1881" s="109"/>
      <c r="C1881" s="122"/>
      <c r="D1881" s="123" t="s">
        <v>1490</v>
      </c>
      <c r="E1881" s="773">
        <v>2000000000</v>
      </c>
      <c r="F1881" s="114">
        <v>62592857239</v>
      </c>
      <c r="G1881" s="127">
        <f t="shared" si="37"/>
        <v>3.1952527624092091</v>
      </c>
      <c r="H1881" s="120"/>
      <c r="I1881" s="120"/>
      <c r="J1881" s="116"/>
      <c r="K1881" s="116"/>
      <c r="L1881" s="116"/>
      <c r="M1881" s="116"/>
      <c r="N1881" s="116"/>
      <c r="O1881" s="116"/>
      <c r="P1881" s="116"/>
    </row>
    <row r="1882" spans="2:16" s="108" customFormat="1" ht="21.75" hidden="1" customHeight="1">
      <c r="B1882" s="109"/>
      <c r="C1882" s="122"/>
      <c r="D1882" s="123" t="s">
        <v>1491</v>
      </c>
      <c r="E1882" s="773">
        <v>1300000000</v>
      </c>
      <c r="F1882" s="114">
        <v>62592857239</v>
      </c>
      <c r="G1882" s="127">
        <f t="shared" si="37"/>
        <v>2.0769142955659858</v>
      </c>
      <c r="H1882" s="120"/>
      <c r="I1882" s="120"/>
      <c r="J1882" s="116"/>
      <c r="K1882" s="116"/>
      <c r="L1882" s="116"/>
      <c r="M1882" s="116"/>
      <c r="N1882" s="116"/>
      <c r="O1882" s="116"/>
      <c r="P1882" s="116"/>
    </row>
    <row r="1883" spans="2:16" s="108" customFormat="1" ht="21.75" hidden="1" customHeight="1">
      <c r="B1883" s="109"/>
      <c r="C1883" s="122"/>
      <c r="D1883" s="123" t="s">
        <v>1492</v>
      </c>
      <c r="E1883" s="773">
        <v>200000000</v>
      </c>
      <c r="F1883" s="114">
        <v>62592857239</v>
      </c>
      <c r="G1883" s="127">
        <f t="shared" si="37"/>
        <v>0.31952527624092092</v>
      </c>
      <c r="H1883" s="120"/>
      <c r="I1883" s="120"/>
      <c r="J1883" s="116"/>
      <c r="K1883" s="116"/>
      <c r="L1883" s="116"/>
      <c r="M1883" s="116"/>
      <c r="N1883" s="116"/>
      <c r="O1883" s="116"/>
      <c r="P1883" s="116"/>
    </row>
    <row r="1884" spans="2:16" s="117" customFormat="1" ht="21.75" hidden="1" customHeight="1">
      <c r="B1884" s="118"/>
      <c r="C1884" s="110"/>
      <c r="D1884" s="111" t="s">
        <v>276</v>
      </c>
      <c r="E1884" s="772">
        <f>+E1885+E1886</f>
        <v>2000000000</v>
      </c>
      <c r="F1884" s="114">
        <v>62592857239</v>
      </c>
      <c r="G1884" s="127">
        <f t="shared" si="37"/>
        <v>3.1952527624092091</v>
      </c>
      <c r="H1884" s="120"/>
      <c r="I1884" s="120"/>
      <c r="J1884" s="121"/>
      <c r="K1884" s="121"/>
      <c r="L1884" s="121"/>
      <c r="M1884" s="121"/>
      <c r="N1884" s="121"/>
      <c r="O1884" s="121"/>
      <c r="P1884" s="121"/>
    </row>
    <row r="1885" spans="2:16" s="108" customFormat="1" ht="21.75" hidden="1" customHeight="1">
      <c r="B1885" s="109"/>
      <c r="C1885" s="122"/>
      <c r="D1885" s="123" t="s">
        <v>1493</v>
      </c>
      <c r="E1885" s="773">
        <v>1000000000</v>
      </c>
      <c r="F1885" s="114">
        <v>62592857239</v>
      </c>
      <c r="G1885" s="127">
        <f t="shared" si="37"/>
        <v>1.5976263812046045</v>
      </c>
      <c r="H1885" s="120"/>
      <c r="I1885" s="120"/>
      <c r="J1885" s="116"/>
      <c r="K1885" s="116"/>
      <c r="L1885" s="116"/>
      <c r="M1885" s="116"/>
      <c r="N1885" s="116"/>
      <c r="O1885" s="116"/>
      <c r="P1885" s="116"/>
    </row>
    <row r="1886" spans="2:16" s="108" customFormat="1" ht="21.75" hidden="1" customHeight="1">
      <c r="B1886" s="109"/>
      <c r="C1886" s="122"/>
      <c r="D1886" s="123" t="s">
        <v>1494</v>
      </c>
      <c r="E1886" s="773">
        <v>1000000000</v>
      </c>
      <c r="F1886" s="114">
        <v>62592857239</v>
      </c>
      <c r="G1886" s="127">
        <f t="shared" si="37"/>
        <v>1.5976263812046045</v>
      </c>
      <c r="H1886" s="120"/>
      <c r="I1886" s="120"/>
      <c r="J1886" s="116"/>
      <c r="K1886" s="116"/>
      <c r="L1886" s="116"/>
      <c r="M1886" s="116"/>
      <c r="N1886" s="116"/>
      <c r="O1886" s="116"/>
      <c r="P1886" s="116"/>
    </row>
    <row r="1887" spans="2:16" s="108" customFormat="1" ht="15" hidden="1" customHeight="1">
      <c r="B1887" s="109"/>
      <c r="C1887" s="122"/>
      <c r="D1887" s="123"/>
      <c r="E1887" s="773"/>
      <c r="F1887" s="114"/>
      <c r="G1887" s="127"/>
      <c r="H1887" s="120"/>
      <c r="I1887" s="120"/>
      <c r="J1887" s="116"/>
      <c r="K1887" s="116"/>
      <c r="L1887" s="116"/>
      <c r="M1887" s="116"/>
      <c r="N1887" s="116"/>
      <c r="O1887" s="116"/>
      <c r="P1887" s="116"/>
    </row>
    <row r="1888" spans="2:16" s="117" customFormat="1" ht="21.75" hidden="1" customHeight="1">
      <c r="B1888" s="118"/>
      <c r="C1888" s="110"/>
      <c r="D1888" s="111" t="s">
        <v>65</v>
      </c>
      <c r="E1888" s="772">
        <f>+E1889+E1891+E1894+E1896+E1898+E1900+E1902</f>
        <v>7200000000</v>
      </c>
      <c r="F1888" s="114">
        <v>62592857239.279999</v>
      </c>
      <c r="G1888" s="127">
        <f t="shared" si="37"/>
        <v>11.502909944621695</v>
      </c>
      <c r="H1888" s="120"/>
      <c r="I1888" s="120"/>
      <c r="J1888" s="121"/>
      <c r="K1888" s="121"/>
      <c r="L1888" s="121"/>
      <c r="M1888" s="121"/>
      <c r="N1888" s="121"/>
      <c r="O1888" s="121"/>
      <c r="P1888" s="121"/>
    </row>
    <row r="1889" spans="2:16" s="117" customFormat="1" ht="21.75" hidden="1" customHeight="1">
      <c r="B1889" s="118"/>
      <c r="C1889" s="110"/>
      <c r="D1889" s="111" t="s">
        <v>162</v>
      </c>
      <c r="E1889" s="772">
        <f>+E1890</f>
        <v>550900000</v>
      </c>
      <c r="F1889" s="114">
        <v>62592857239.279999</v>
      </c>
      <c r="G1889" s="127">
        <f t="shared" si="37"/>
        <v>0.88013237340167949</v>
      </c>
      <c r="H1889" s="120"/>
      <c r="I1889" s="120"/>
      <c r="J1889" s="121"/>
      <c r="K1889" s="121"/>
      <c r="L1889" s="121"/>
      <c r="M1889" s="121"/>
      <c r="N1889" s="121"/>
      <c r="O1889" s="121"/>
      <c r="P1889" s="121"/>
    </row>
    <row r="1890" spans="2:16" s="108" customFormat="1" ht="21.75" hidden="1" customHeight="1">
      <c r="B1890" s="109"/>
      <c r="C1890" s="122"/>
      <c r="D1890" s="123" t="s">
        <v>1495</v>
      </c>
      <c r="E1890" s="773">
        <v>550900000</v>
      </c>
      <c r="F1890" s="114">
        <v>62592857239.279999</v>
      </c>
      <c r="G1890" s="127">
        <f t="shared" si="37"/>
        <v>0.88013237340167949</v>
      </c>
      <c r="H1890" s="120"/>
      <c r="I1890" s="120"/>
      <c r="J1890" s="116"/>
      <c r="K1890" s="116"/>
      <c r="L1890" s="116"/>
      <c r="M1890" s="116"/>
      <c r="N1890" s="116"/>
      <c r="O1890" s="116"/>
      <c r="P1890" s="116"/>
    </row>
    <row r="1891" spans="2:16" s="117" customFormat="1" ht="21.75" hidden="1" customHeight="1">
      <c r="B1891" s="118"/>
      <c r="C1891" s="110"/>
      <c r="D1891" s="111" t="s">
        <v>173</v>
      </c>
      <c r="E1891" s="772">
        <f>+E1892+E1893</f>
        <v>1908100000</v>
      </c>
      <c r="F1891" s="114">
        <v>62592857239.279999</v>
      </c>
      <c r="G1891" s="127">
        <f t="shared" si="37"/>
        <v>3.0484308979628691</v>
      </c>
      <c r="H1891" s="120"/>
      <c r="I1891" s="120"/>
      <c r="J1891" s="121"/>
      <c r="K1891" s="121"/>
      <c r="L1891" s="121"/>
      <c r="M1891" s="121"/>
      <c r="N1891" s="121"/>
      <c r="O1891" s="121"/>
      <c r="P1891" s="121"/>
    </row>
    <row r="1892" spans="2:16" s="108" customFormat="1" ht="21.75" hidden="1" customHeight="1">
      <c r="B1892" s="109"/>
      <c r="C1892" s="122"/>
      <c r="D1892" s="123" t="s">
        <v>1496</v>
      </c>
      <c r="E1892" s="773">
        <v>1500000000</v>
      </c>
      <c r="F1892" s="114">
        <v>62592857239.279999</v>
      </c>
      <c r="G1892" s="127">
        <f t="shared" si="37"/>
        <v>2.3964395717961868</v>
      </c>
      <c r="H1892" s="120"/>
      <c r="I1892" s="120"/>
      <c r="J1892" s="116"/>
      <c r="K1892" s="116"/>
      <c r="L1892" s="116"/>
      <c r="M1892" s="116"/>
      <c r="N1892" s="116"/>
      <c r="O1892" s="116"/>
      <c r="P1892" s="116"/>
    </row>
    <row r="1893" spans="2:16" s="108" customFormat="1" ht="21.75" hidden="1" customHeight="1">
      <c r="B1893" s="109"/>
      <c r="C1893" s="122"/>
      <c r="D1893" s="123" t="s">
        <v>1497</v>
      </c>
      <c r="E1893" s="773">
        <v>408100000</v>
      </c>
      <c r="F1893" s="114">
        <v>62592857239.279999</v>
      </c>
      <c r="G1893" s="127">
        <f t="shared" si="37"/>
        <v>0.65199132616668254</v>
      </c>
      <c r="H1893" s="120"/>
      <c r="I1893" s="120"/>
      <c r="J1893" s="116"/>
      <c r="K1893" s="116"/>
      <c r="L1893" s="116"/>
      <c r="M1893" s="116"/>
      <c r="N1893" s="116"/>
      <c r="O1893" s="116"/>
      <c r="P1893" s="116"/>
    </row>
    <row r="1894" spans="2:16" s="117" customFormat="1" ht="21.75" hidden="1" customHeight="1">
      <c r="B1894" s="118"/>
      <c r="C1894" s="110"/>
      <c r="D1894" s="111" t="s">
        <v>190</v>
      </c>
      <c r="E1894" s="772">
        <f>+E1895</f>
        <v>1000000000</v>
      </c>
      <c r="F1894" s="114">
        <v>62592857239.279999</v>
      </c>
      <c r="G1894" s="127">
        <f t="shared" si="37"/>
        <v>1.5976263811974578</v>
      </c>
      <c r="H1894" s="120"/>
      <c r="I1894" s="120"/>
      <c r="J1894" s="121"/>
      <c r="K1894" s="121"/>
      <c r="L1894" s="121"/>
      <c r="M1894" s="121"/>
      <c r="N1894" s="121"/>
      <c r="O1894" s="121"/>
      <c r="P1894" s="121"/>
    </row>
    <row r="1895" spans="2:16" s="108" customFormat="1" ht="21.75" hidden="1" customHeight="1">
      <c r="B1895" s="109"/>
      <c r="C1895" s="122"/>
      <c r="D1895" s="123" t="s">
        <v>1498</v>
      </c>
      <c r="E1895" s="773">
        <v>1000000000</v>
      </c>
      <c r="F1895" s="114">
        <v>62592857239.279999</v>
      </c>
      <c r="G1895" s="127">
        <f t="shared" si="37"/>
        <v>1.5976263811974578</v>
      </c>
      <c r="H1895" s="120"/>
      <c r="I1895" s="120"/>
      <c r="J1895" s="116"/>
      <c r="K1895" s="116"/>
      <c r="L1895" s="116"/>
      <c r="M1895" s="116"/>
      <c r="N1895" s="116"/>
      <c r="O1895" s="116"/>
      <c r="P1895" s="116"/>
    </row>
    <row r="1896" spans="2:16" s="117" customFormat="1" ht="21.75" hidden="1" customHeight="1">
      <c r="B1896" s="118"/>
      <c r="C1896" s="110"/>
      <c r="D1896" s="111" t="s">
        <v>196</v>
      </c>
      <c r="E1896" s="772">
        <f>+E1897</f>
        <v>1500000000</v>
      </c>
      <c r="F1896" s="114">
        <v>62592857239.279999</v>
      </c>
      <c r="G1896" s="127">
        <f t="shared" si="37"/>
        <v>2.3964395717961868</v>
      </c>
      <c r="H1896" s="120"/>
      <c r="I1896" s="120"/>
      <c r="J1896" s="121"/>
      <c r="K1896" s="121"/>
      <c r="L1896" s="121"/>
      <c r="M1896" s="121"/>
      <c r="N1896" s="121"/>
      <c r="O1896" s="121"/>
      <c r="P1896" s="121"/>
    </row>
    <row r="1897" spans="2:16" s="108" customFormat="1" ht="21.75" hidden="1" customHeight="1">
      <c r="B1897" s="109"/>
      <c r="C1897" s="122"/>
      <c r="D1897" s="123" t="s">
        <v>1499</v>
      </c>
      <c r="E1897" s="773">
        <v>1500000000</v>
      </c>
      <c r="F1897" s="114">
        <v>62592857239.279999</v>
      </c>
      <c r="G1897" s="127">
        <f t="shared" si="37"/>
        <v>2.3964395717961868</v>
      </c>
      <c r="H1897" s="120"/>
      <c r="I1897" s="120"/>
      <c r="J1897" s="116"/>
      <c r="K1897" s="116"/>
      <c r="L1897" s="116"/>
      <c r="M1897" s="116"/>
      <c r="N1897" s="116"/>
      <c r="O1897" s="116"/>
      <c r="P1897" s="116"/>
    </row>
    <row r="1898" spans="2:16" s="117" customFormat="1" ht="21.75" hidden="1" customHeight="1">
      <c r="B1898" s="118"/>
      <c r="C1898" s="110"/>
      <c r="D1898" s="111" t="s">
        <v>212</v>
      </c>
      <c r="E1898" s="772">
        <f>+E1899</f>
        <v>700000000</v>
      </c>
      <c r="F1898" s="114">
        <v>62592857239.279999</v>
      </c>
      <c r="G1898" s="127">
        <f t="shared" si="37"/>
        <v>1.1183384668382206</v>
      </c>
      <c r="H1898" s="120"/>
      <c r="I1898" s="120"/>
      <c r="J1898" s="121"/>
      <c r="K1898" s="121"/>
      <c r="L1898" s="121"/>
      <c r="M1898" s="121"/>
      <c r="N1898" s="121"/>
      <c r="O1898" s="121"/>
      <c r="P1898" s="121"/>
    </row>
    <row r="1899" spans="2:16" s="108" customFormat="1" ht="39.75" hidden="1" customHeight="1">
      <c r="B1899" s="109"/>
      <c r="C1899" s="122"/>
      <c r="D1899" s="123" t="s">
        <v>1500</v>
      </c>
      <c r="E1899" s="773">
        <v>700000000</v>
      </c>
      <c r="F1899" s="114">
        <v>62592857239.279999</v>
      </c>
      <c r="G1899" s="127">
        <f t="shared" si="37"/>
        <v>1.1183384668382206</v>
      </c>
      <c r="H1899" s="120"/>
      <c r="I1899" s="120"/>
      <c r="J1899" s="116"/>
      <c r="K1899" s="116"/>
      <c r="L1899" s="116"/>
      <c r="M1899" s="116"/>
      <c r="N1899" s="116"/>
      <c r="O1899" s="116"/>
      <c r="P1899" s="116"/>
    </row>
    <row r="1900" spans="2:16" s="117" customFormat="1" ht="21.75" hidden="1" customHeight="1">
      <c r="B1900" s="118"/>
      <c r="C1900" s="110"/>
      <c r="D1900" s="111" t="s">
        <v>955</v>
      </c>
      <c r="E1900" s="772">
        <f>+E1901</f>
        <v>600000000</v>
      </c>
      <c r="F1900" s="114">
        <v>62592857239.279999</v>
      </c>
      <c r="G1900" s="127">
        <f t="shared" si="37"/>
        <v>0.95857582871847458</v>
      </c>
      <c r="H1900" s="120"/>
      <c r="I1900" s="120"/>
      <c r="J1900" s="121"/>
      <c r="K1900" s="121"/>
      <c r="L1900" s="121"/>
      <c r="M1900" s="121"/>
      <c r="N1900" s="121"/>
      <c r="O1900" s="121"/>
      <c r="P1900" s="121"/>
    </row>
    <row r="1901" spans="2:16" s="108" customFormat="1" ht="39.75" hidden="1" customHeight="1">
      <c r="B1901" s="109"/>
      <c r="C1901" s="122"/>
      <c r="D1901" s="123" t="s">
        <v>1410</v>
      </c>
      <c r="E1901" s="773">
        <v>600000000</v>
      </c>
      <c r="F1901" s="114">
        <v>62592857239.279999</v>
      </c>
      <c r="G1901" s="127">
        <f t="shared" si="37"/>
        <v>0.95857582871847458</v>
      </c>
      <c r="H1901" s="120"/>
      <c r="I1901" s="120"/>
      <c r="J1901" s="116"/>
      <c r="K1901" s="116"/>
      <c r="L1901" s="116"/>
      <c r="M1901" s="116"/>
      <c r="N1901" s="116"/>
      <c r="O1901" s="116"/>
      <c r="P1901" s="116"/>
    </row>
    <row r="1902" spans="2:16" s="117" customFormat="1" ht="21.75" hidden="1" customHeight="1">
      <c r="B1902" s="118"/>
      <c r="C1902" s="110"/>
      <c r="D1902" s="111" t="s">
        <v>1501</v>
      </c>
      <c r="E1902" s="772">
        <f>+E1903</f>
        <v>941000000</v>
      </c>
      <c r="F1902" s="114">
        <v>62592857239.279999</v>
      </c>
      <c r="G1902" s="127">
        <f t="shared" si="37"/>
        <v>1.5033664247068079</v>
      </c>
      <c r="H1902" s="120"/>
      <c r="I1902" s="120"/>
      <c r="J1902" s="121"/>
      <c r="K1902" s="121"/>
      <c r="L1902" s="121"/>
      <c r="M1902" s="121"/>
      <c r="N1902" s="121"/>
      <c r="O1902" s="121"/>
      <c r="P1902" s="121"/>
    </row>
    <row r="1903" spans="2:16" s="108" customFormat="1" ht="61.5" hidden="1" customHeight="1">
      <c r="B1903" s="109"/>
      <c r="C1903" s="122"/>
      <c r="D1903" s="123" t="s">
        <v>1502</v>
      </c>
      <c r="E1903" s="773">
        <v>941000000</v>
      </c>
      <c r="F1903" s="114">
        <v>62592857239.279999</v>
      </c>
      <c r="G1903" s="127">
        <f t="shared" si="37"/>
        <v>1.5033664247068079</v>
      </c>
      <c r="H1903" s="120"/>
      <c r="I1903" s="120"/>
      <c r="J1903" s="116"/>
      <c r="K1903" s="116"/>
      <c r="L1903" s="116"/>
      <c r="M1903" s="116"/>
      <c r="N1903" s="116"/>
      <c r="O1903" s="116"/>
      <c r="P1903" s="116"/>
    </row>
    <row r="1904" spans="2:16" s="108" customFormat="1" ht="15" hidden="1" customHeight="1">
      <c r="B1904" s="109"/>
      <c r="C1904" s="122"/>
      <c r="D1904" s="111"/>
      <c r="E1904" s="773"/>
      <c r="F1904" s="114"/>
      <c r="G1904" s="127"/>
      <c r="H1904" s="120"/>
      <c r="I1904" s="120"/>
      <c r="J1904" s="116"/>
      <c r="K1904" s="116"/>
      <c r="L1904" s="116"/>
      <c r="M1904" s="116"/>
      <c r="N1904" s="116"/>
      <c r="O1904" s="116"/>
      <c r="P1904" s="116"/>
    </row>
    <row r="1905" spans="2:16" s="117" customFormat="1" ht="21.75" hidden="1" customHeight="1">
      <c r="B1905" s="118"/>
      <c r="C1905" s="110"/>
      <c r="D1905" s="111" t="s">
        <v>1231</v>
      </c>
      <c r="E1905" s="772">
        <f>+E1906+E1908+E1910+E1913</f>
        <v>5550000000</v>
      </c>
      <c r="F1905" s="114">
        <v>62592857239.279999</v>
      </c>
      <c r="G1905" s="127">
        <f t="shared" si="37"/>
        <v>8.8668264156458889</v>
      </c>
      <c r="H1905" s="120"/>
      <c r="I1905" s="120"/>
      <c r="J1905" s="121"/>
      <c r="K1905" s="121"/>
      <c r="L1905" s="121"/>
      <c r="M1905" s="121"/>
      <c r="N1905" s="121"/>
      <c r="O1905" s="121"/>
      <c r="P1905" s="121"/>
    </row>
    <row r="1906" spans="2:16" s="117" customFormat="1" ht="21.75" hidden="1" customHeight="1">
      <c r="B1906" s="118"/>
      <c r="C1906" s="110"/>
      <c r="D1906" s="111" t="s">
        <v>1503</v>
      </c>
      <c r="E1906" s="772">
        <f>+E1907</f>
        <v>1750000000</v>
      </c>
      <c r="F1906" s="114">
        <v>62592857239.279999</v>
      </c>
      <c r="G1906" s="127">
        <f t="shared" si="37"/>
        <v>2.7958461670955512</v>
      </c>
      <c r="H1906" s="120"/>
      <c r="I1906" s="120"/>
      <c r="J1906" s="121"/>
      <c r="K1906" s="121"/>
      <c r="L1906" s="121"/>
      <c r="M1906" s="121"/>
      <c r="N1906" s="121"/>
      <c r="O1906" s="121"/>
      <c r="P1906" s="121"/>
    </row>
    <row r="1907" spans="2:16" s="108" customFormat="1" ht="21.75" hidden="1" customHeight="1">
      <c r="B1907" s="109"/>
      <c r="C1907" s="122"/>
      <c r="D1907" s="123" t="s">
        <v>1504</v>
      </c>
      <c r="E1907" s="773">
        <v>1750000000</v>
      </c>
      <c r="F1907" s="114">
        <v>62592857239.279999</v>
      </c>
      <c r="G1907" s="127">
        <f t="shared" si="37"/>
        <v>2.7958461670955512</v>
      </c>
      <c r="H1907" s="120"/>
      <c r="I1907" s="120"/>
      <c r="J1907" s="116"/>
      <c r="K1907" s="116"/>
      <c r="L1907" s="116"/>
      <c r="M1907" s="116"/>
      <c r="N1907" s="116"/>
      <c r="O1907" s="116"/>
      <c r="P1907" s="116"/>
    </row>
    <row r="1908" spans="2:16" s="117" customFormat="1" ht="21.75" hidden="1" customHeight="1">
      <c r="B1908" s="118"/>
      <c r="C1908" s="110"/>
      <c r="D1908" s="111" t="s">
        <v>173</v>
      </c>
      <c r="E1908" s="772">
        <f>+E1909</f>
        <v>2000000000</v>
      </c>
      <c r="F1908" s="114">
        <v>62592857239.279999</v>
      </c>
      <c r="G1908" s="127">
        <f t="shared" si="37"/>
        <v>3.1952527623949156</v>
      </c>
      <c r="H1908" s="120"/>
      <c r="I1908" s="120"/>
      <c r="J1908" s="121"/>
      <c r="K1908" s="121"/>
      <c r="L1908" s="121"/>
      <c r="M1908" s="121"/>
      <c r="N1908" s="121"/>
      <c r="O1908" s="121"/>
      <c r="P1908" s="121"/>
    </row>
    <row r="1909" spans="2:16" s="108" customFormat="1" ht="21.75" hidden="1" customHeight="1">
      <c r="B1909" s="109"/>
      <c r="C1909" s="122"/>
      <c r="D1909" s="123" t="s">
        <v>1415</v>
      </c>
      <c r="E1909" s="773">
        <v>2000000000</v>
      </c>
      <c r="F1909" s="114">
        <v>62592857239.279999</v>
      </c>
      <c r="G1909" s="127">
        <f t="shared" si="37"/>
        <v>3.1952527623949156</v>
      </c>
      <c r="H1909" s="120"/>
      <c r="I1909" s="120"/>
      <c r="J1909" s="116"/>
      <c r="K1909" s="116"/>
      <c r="L1909" s="116"/>
      <c r="M1909" s="116"/>
      <c r="N1909" s="116"/>
      <c r="O1909" s="116"/>
      <c r="P1909" s="116"/>
    </row>
    <row r="1910" spans="2:16" s="117" customFormat="1" ht="21.75" hidden="1" customHeight="1">
      <c r="B1910" s="118"/>
      <c r="C1910" s="110"/>
      <c r="D1910" s="111" t="s">
        <v>196</v>
      </c>
      <c r="E1910" s="772">
        <f>+E1911+E1912</f>
        <v>800000000</v>
      </c>
      <c r="F1910" s="114">
        <v>62592857239.279999</v>
      </c>
      <c r="G1910" s="127">
        <f t="shared" si="37"/>
        <v>1.2781011049579662</v>
      </c>
      <c r="H1910" s="120"/>
      <c r="I1910" s="120"/>
      <c r="J1910" s="121"/>
      <c r="K1910" s="121"/>
      <c r="L1910" s="121"/>
      <c r="M1910" s="121"/>
      <c r="N1910" s="121"/>
      <c r="O1910" s="121"/>
      <c r="P1910" s="121"/>
    </row>
    <row r="1911" spans="2:16" s="108" customFormat="1" ht="21.75" hidden="1" customHeight="1">
      <c r="B1911" s="109"/>
      <c r="C1911" s="122"/>
      <c r="D1911" s="123" t="s">
        <v>1505</v>
      </c>
      <c r="E1911" s="773">
        <v>400000000</v>
      </c>
      <c r="F1911" s="114">
        <v>62592857239.279999</v>
      </c>
      <c r="G1911" s="127">
        <f t="shared" si="37"/>
        <v>0.63905055247898312</v>
      </c>
      <c r="H1911" s="120"/>
      <c r="I1911" s="120"/>
      <c r="J1911" s="116"/>
      <c r="K1911" s="116"/>
      <c r="L1911" s="116"/>
      <c r="M1911" s="116"/>
      <c r="N1911" s="116"/>
      <c r="O1911" s="116"/>
      <c r="P1911" s="116"/>
    </row>
    <row r="1912" spans="2:16" s="108" customFormat="1" ht="21.75" hidden="1" customHeight="1">
      <c r="B1912" s="109"/>
      <c r="C1912" s="122"/>
      <c r="D1912" s="123" t="s">
        <v>1506</v>
      </c>
      <c r="E1912" s="773">
        <v>400000000</v>
      </c>
      <c r="F1912" s="114">
        <v>62592857239.279999</v>
      </c>
      <c r="G1912" s="127">
        <f t="shared" si="37"/>
        <v>0.63905055247898312</v>
      </c>
      <c r="H1912" s="120"/>
      <c r="I1912" s="120"/>
      <c r="J1912" s="116"/>
      <c r="K1912" s="116"/>
      <c r="L1912" s="116"/>
      <c r="M1912" s="116"/>
      <c r="N1912" s="116"/>
      <c r="O1912" s="116"/>
      <c r="P1912" s="116"/>
    </row>
    <row r="1913" spans="2:16" s="117" customFormat="1" ht="21.75" hidden="1" customHeight="1">
      <c r="B1913" s="118"/>
      <c r="C1913" s="110"/>
      <c r="D1913" s="111" t="s">
        <v>1507</v>
      </c>
      <c r="E1913" s="772">
        <f>+E1914</f>
        <v>1000000000</v>
      </c>
      <c r="F1913" s="114">
        <v>62592857239.279999</v>
      </c>
      <c r="G1913" s="127">
        <f t="shared" si="37"/>
        <v>1.5976263811974578</v>
      </c>
      <c r="H1913" s="120"/>
      <c r="I1913" s="120"/>
      <c r="J1913" s="121"/>
      <c r="K1913" s="121"/>
      <c r="L1913" s="121"/>
      <c r="M1913" s="121"/>
      <c r="N1913" s="121"/>
      <c r="O1913" s="121"/>
      <c r="P1913" s="121"/>
    </row>
    <row r="1914" spans="2:16" s="108" customFormat="1" ht="21.75" hidden="1" customHeight="1">
      <c r="B1914" s="109"/>
      <c r="C1914" s="122"/>
      <c r="D1914" s="123" t="s">
        <v>1508</v>
      </c>
      <c r="E1914" s="773">
        <v>1000000000</v>
      </c>
      <c r="F1914" s="114">
        <v>62592857239.279999</v>
      </c>
      <c r="G1914" s="127">
        <f t="shared" si="37"/>
        <v>1.5976263811974578</v>
      </c>
      <c r="H1914" s="120"/>
      <c r="I1914" s="120"/>
      <c r="J1914" s="116"/>
      <c r="K1914" s="116"/>
      <c r="L1914" s="116"/>
      <c r="M1914" s="116"/>
      <c r="N1914" s="116"/>
      <c r="O1914" s="116"/>
      <c r="P1914" s="116"/>
    </row>
    <row r="1915" spans="2:16" s="108" customFormat="1" ht="15" hidden="1" customHeight="1">
      <c r="B1915" s="109"/>
      <c r="C1915" s="122"/>
      <c r="D1915" s="123"/>
      <c r="E1915" s="773"/>
      <c r="F1915" s="114"/>
      <c r="G1915" s="127"/>
      <c r="H1915" s="120"/>
      <c r="I1915" s="120"/>
      <c r="J1915" s="116"/>
      <c r="K1915" s="116"/>
      <c r="L1915" s="116"/>
      <c r="M1915" s="116"/>
      <c r="N1915" s="116"/>
      <c r="O1915" s="116"/>
      <c r="P1915" s="116"/>
    </row>
    <row r="1916" spans="2:16" s="117" customFormat="1" ht="21.75" hidden="1" customHeight="1">
      <c r="B1916" s="118"/>
      <c r="C1916" s="110"/>
      <c r="D1916" s="111" t="s">
        <v>1146</v>
      </c>
      <c r="E1916" s="772">
        <f>+E1917+E1920+E1923+E1925+E1927</f>
        <v>7425000000</v>
      </c>
      <c r="F1916" s="114">
        <v>62592857239.279999</v>
      </c>
      <c r="G1916" s="127">
        <f t="shared" si="37"/>
        <v>11.862375880391124</v>
      </c>
      <c r="H1916" s="120"/>
      <c r="I1916" s="120"/>
      <c r="J1916" s="121"/>
      <c r="K1916" s="121"/>
      <c r="L1916" s="121"/>
      <c r="M1916" s="121"/>
      <c r="N1916" s="121"/>
      <c r="O1916" s="121"/>
      <c r="P1916" s="121"/>
    </row>
    <row r="1917" spans="2:16" s="117" customFormat="1" ht="21.75" hidden="1" customHeight="1">
      <c r="B1917" s="118"/>
      <c r="C1917" s="110"/>
      <c r="D1917" s="111" t="s">
        <v>912</v>
      </c>
      <c r="E1917" s="772">
        <f>+E1918+E1919</f>
        <v>1750000000</v>
      </c>
      <c r="F1917" s="114">
        <v>62592857239.279999</v>
      </c>
      <c r="G1917" s="127">
        <f t="shared" si="37"/>
        <v>2.7958461670955512</v>
      </c>
      <c r="H1917" s="120"/>
      <c r="I1917" s="120"/>
      <c r="J1917" s="121"/>
      <c r="K1917" s="121"/>
      <c r="L1917" s="121"/>
      <c r="M1917" s="121"/>
      <c r="N1917" s="121"/>
      <c r="O1917" s="121"/>
      <c r="P1917" s="121"/>
    </row>
    <row r="1918" spans="2:16" s="108" customFormat="1" ht="21.75" hidden="1" customHeight="1">
      <c r="B1918" s="109"/>
      <c r="C1918" s="122"/>
      <c r="D1918" s="123" t="s">
        <v>1421</v>
      </c>
      <c r="E1918" s="773">
        <v>1500000000</v>
      </c>
      <c r="F1918" s="114">
        <v>62592857239.279999</v>
      </c>
      <c r="G1918" s="127">
        <f t="shared" si="37"/>
        <v>2.3964395717961868</v>
      </c>
      <c r="H1918" s="120"/>
      <c r="I1918" s="120"/>
      <c r="J1918" s="116"/>
      <c r="K1918" s="116"/>
      <c r="L1918" s="116"/>
      <c r="M1918" s="116"/>
      <c r="N1918" s="116"/>
      <c r="O1918" s="116"/>
      <c r="P1918" s="116"/>
    </row>
    <row r="1919" spans="2:16" s="108" customFormat="1" ht="21.75" hidden="1" customHeight="1">
      <c r="B1919" s="109"/>
      <c r="C1919" s="122"/>
      <c r="D1919" s="123" t="s">
        <v>1509</v>
      </c>
      <c r="E1919" s="773">
        <v>250000000</v>
      </c>
      <c r="F1919" s="114">
        <v>62592857239.279999</v>
      </c>
      <c r="G1919" s="127">
        <f t="shared" si="37"/>
        <v>0.39940659529936445</v>
      </c>
      <c r="H1919" s="120"/>
      <c r="I1919" s="120"/>
      <c r="J1919" s="116"/>
      <c r="K1919" s="116"/>
      <c r="L1919" s="116"/>
      <c r="M1919" s="116"/>
      <c r="N1919" s="116"/>
      <c r="O1919" s="116"/>
      <c r="P1919" s="116"/>
    </row>
    <row r="1920" spans="2:16" s="117" customFormat="1" ht="21.75" hidden="1" customHeight="1">
      <c r="B1920" s="118"/>
      <c r="C1920" s="110"/>
      <c r="D1920" s="111" t="s">
        <v>304</v>
      </c>
      <c r="E1920" s="772">
        <f>+E1921+E1922</f>
        <v>1825000000</v>
      </c>
      <c r="F1920" s="114">
        <v>62592857239.279999</v>
      </c>
      <c r="G1920" s="127">
        <f t="shared" si="37"/>
        <v>2.9156681456853604</v>
      </c>
      <c r="H1920" s="120"/>
      <c r="I1920" s="120"/>
      <c r="J1920" s="121"/>
      <c r="K1920" s="121"/>
      <c r="L1920" s="121"/>
      <c r="M1920" s="121"/>
      <c r="N1920" s="121"/>
      <c r="O1920" s="121"/>
      <c r="P1920" s="121"/>
    </row>
    <row r="1921" spans="2:16" s="108" customFormat="1" ht="21.75" hidden="1" customHeight="1">
      <c r="B1921" s="109"/>
      <c r="C1921" s="122"/>
      <c r="D1921" s="123" t="s">
        <v>1510</v>
      </c>
      <c r="E1921" s="773">
        <v>1025000000</v>
      </c>
      <c r="F1921" s="114">
        <v>62592857239.279999</v>
      </c>
      <c r="G1921" s="127">
        <f t="shared" si="37"/>
        <v>1.6375670407273941</v>
      </c>
      <c r="H1921" s="120"/>
      <c r="I1921" s="120"/>
      <c r="J1921" s="116"/>
      <c r="K1921" s="116"/>
      <c r="L1921" s="116"/>
      <c r="M1921" s="116"/>
      <c r="N1921" s="116"/>
      <c r="O1921" s="116"/>
      <c r="P1921" s="116"/>
    </row>
    <row r="1922" spans="2:16" s="108" customFormat="1" ht="39.75" hidden="1" customHeight="1">
      <c r="B1922" s="109"/>
      <c r="C1922" s="122"/>
      <c r="D1922" s="123" t="s">
        <v>1511</v>
      </c>
      <c r="E1922" s="773">
        <v>800000000</v>
      </c>
      <c r="F1922" s="114">
        <v>62592857239.279999</v>
      </c>
      <c r="G1922" s="127">
        <f t="shared" si="37"/>
        <v>1.2781011049579662</v>
      </c>
      <c r="H1922" s="120"/>
      <c r="I1922" s="120"/>
      <c r="J1922" s="116"/>
      <c r="K1922" s="116"/>
      <c r="L1922" s="116"/>
      <c r="M1922" s="116"/>
      <c r="N1922" s="116"/>
      <c r="O1922" s="116"/>
      <c r="P1922" s="116"/>
    </row>
    <row r="1923" spans="2:16" s="117" customFormat="1" ht="21.75" hidden="1" customHeight="1">
      <c r="B1923" s="118"/>
      <c r="C1923" s="110"/>
      <c r="D1923" s="111" t="s">
        <v>1512</v>
      </c>
      <c r="E1923" s="772">
        <f>+E1924</f>
        <v>2000000000</v>
      </c>
      <c r="F1923" s="114">
        <v>62592857239.279999</v>
      </c>
      <c r="G1923" s="127">
        <f t="shared" si="37"/>
        <v>3.1952527623949156</v>
      </c>
      <c r="H1923" s="120"/>
      <c r="I1923" s="120"/>
      <c r="J1923" s="121"/>
      <c r="K1923" s="121"/>
      <c r="L1923" s="121"/>
      <c r="M1923" s="121"/>
      <c r="N1923" s="121"/>
      <c r="O1923" s="121"/>
      <c r="P1923" s="121"/>
    </row>
    <row r="1924" spans="2:16" s="108" customFormat="1" ht="21.75" hidden="1" customHeight="1">
      <c r="B1924" s="109"/>
      <c r="C1924" s="122"/>
      <c r="D1924" s="123" t="s">
        <v>1513</v>
      </c>
      <c r="E1924" s="773">
        <v>2000000000</v>
      </c>
      <c r="F1924" s="114">
        <v>62592857239.279999</v>
      </c>
      <c r="G1924" s="127">
        <f t="shared" si="37"/>
        <v>3.1952527623949156</v>
      </c>
      <c r="H1924" s="120"/>
      <c r="I1924" s="120"/>
      <c r="J1924" s="116"/>
      <c r="K1924" s="116"/>
      <c r="L1924" s="116"/>
      <c r="M1924" s="116"/>
      <c r="N1924" s="116"/>
      <c r="O1924" s="116"/>
      <c r="P1924" s="116"/>
    </row>
    <row r="1925" spans="2:16" s="117" customFormat="1" ht="21.75" hidden="1" customHeight="1">
      <c r="B1925" s="118"/>
      <c r="C1925" s="110"/>
      <c r="D1925" s="111" t="s">
        <v>286</v>
      </c>
      <c r="E1925" s="772">
        <f>+E1926</f>
        <v>700000000</v>
      </c>
      <c r="F1925" s="114">
        <v>62592857239.279999</v>
      </c>
      <c r="G1925" s="127">
        <f t="shared" si="37"/>
        <v>1.1183384668382206</v>
      </c>
      <c r="H1925" s="120"/>
      <c r="I1925" s="120"/>
      <c r="J1925" s="121"/>
      <c r="K1925" s="121"/>
      <c r="L1925" s="121"/>
      <c r="M1925" s="121"/>
      <c r="N1925" s="121"/>
      <c r="O1925" s="121"/>
      <c r="P1925" s="121"/>
    </row>
    <row r="1926" spans="2:16" s="108" customFormat="1" ht="21.75" hidden="1" customHeight="1">
      <c r="B1926" s="109"/>
      <c r="C1926" s="122"/>
      <c r="D1926" s="123" t="s">
        <v>1514</v>
      </c>
      <c r="E1926" s="773">
        <v>700000000</v>
      </c>
      <c r="F1926" s="114">
        <v>62592857239.279999</v>
      </c>
      <c r="G1926" s="127">
        <f t="shared" si="37"/>
        <v>1.1183384668382206</v>
      </c>
      <c r="H1926" s="120"/>
      <c r="I1926" s="120"/>
      <c r="J1926" s="116"/>
      <c r="K1926" s="116"/>
      <c r="L1926" s="116"/>
      <c r="M1926" s="116"/>
      <c r="N1926" s="116"/>
      <c r="O1926" s="116"/>
      <c r="P1926" s="116"/>
    </row>
    <row r="1927" spans="2:16" s="117" customFormat="1" ht="21.75" hidden="1" customHeight="1">
      <c r="B1927" s="118"/>
      <c r="C1927" s="110"/>
      <c r="D1927" s="111" t="s">
        <v>321</v>
      </c>
      <c r="E1927" s="772">
        <f>+E1928+E1929</f>
        <v>1150000000</v>
      </c>
      <c r="F1927" s="114">
        <v>62592857239.279999</v>
      </c>
      <c r="G1927" s="127">
        <f t="shared" si="37"/>
        <v>1.8372703383770765</v>
      </c>
      <c r="H1927" s="120"/>
      <c r="I1927" s="120"/>
      <c r="J1927" s="121"/>
      <c r="K1927" s="121"/>
      <c r="L1927" s="121"/>
      <c r="M1927" s="121"/>
      <c r="N1927" s="121"/>
      <c r="O1927" s="121"/>
      <c r="P1927" s="121"/>
    </row>
    <row r="1928" spans="2:16" s="108" customFormat="1" ht="21.75" hidden="1" customHeight="1">
      <c r="B1928" s="109"/>
      <c r="C1928" s="122"/>
      <c r="D1928" s="123" t="s">
        <v>1515</v>
      </c>
      <c r="E1928" s="773">
        <v>650000000</v>
      </c>
      <c r="F1928" s="114">
        <v>62592857239.279999</v>
      </c>
      <c r="G1928" s="127">
        <f t="shared" si="37"/>
        <v>1.0384571477783475</v>
      </c>
      <c r="H1928" s="120"/>
      <c r="I1928" s="120"/>
      <c r="J1928" s="116"/>
      <c r="K1928" s="116"/>
      <c r="L1928" s="116"/>
      <c r="M1928" s="116"/>
      <c r="N1928" s="116"/>
      <c r="O1928" s="116"/>
      <c r="P1928" s="116"/>
    </row>
    <row r="1929" spans="2:16" s="108" customFormat="1" ht="21.75" hidden="1" customHeight="1">
      <c r="B1929" s="109"/>
      <c r="C1929" s="122"/>
      <c r="D1929" s="123" t="s">
        <v>1516</v>
      </c>
      <c r="E1929" s="773">
        <v>500000000</v>
      </c>
      <c r="F1929" s="114">
        <v>62592857239.279999</v>
      </c>
      <c r="G1929" s="127">
        <f t="shared" ref="G1929:G1974" si="38">+E1929/F1929*100</f>
        <v>0.79881319059872891</v>
      </c>
      <c r="H1929" s="120"/>
      <c r="I1929" s="120"/>
      <c r="J1929" s="116"/>
      <c r="K1929" s="116"/>
      <c r="L1929" s="116"/>
      <c r="M1929" s="116"/>
      <c r="N1929" s="116"/>
      <c r="O1929" s="116"/>
      <c r="P1929" s="116"/>
    </row>
    <row r="1930" spans="2:16" s="108" customFormat="1" ht="15" hidden="1" customHeight="1">
      <c r="B1930" s="109"/>
      <c r="C1930" s="122"/>
      <c r="D1930" s="123"/>
      <c r="E1930" s="773"/>
      <c r="F1930" s="114"/>
      <c r="G1930" s="127"/>
      <c r="H1930" s="120"/>
      <c r="I1930" s="120"/>
      <c r="J1930" s="116"/>
      <c r="K1930" s="116"/>
      <c r="L1930" s="116"/>
      <c r="M1930" s="116"/>
      <c r="N1930" s="116"/>
      <c r="O1930" s="116"/>
      <c r="P1930" s="116"/>
    </row>
    <row r="1931" spans="2:16" s="117" customFormat="1" ht="21.75" hidden="1" customHeight="1">
      <c r="B1931" s="118"/>
      <c r="C1931" s="110"/>
      <c r="D1931" s="111" t="s">
        <v>1517</v>
      </c>
      <c r="E1931" s="772">
        <f>+E1932+E1934</f>
        <v>400000000</v>
      </c>
      <c r="F1931" s="114">
        <v>62592857239.279999</v>
      </c>
      <c r="G1931" s="127">
        <f t="shared" si="38"/>
        <v>0.63905055247898312</v>
      </c>
      <c r="H1931" s="120"/>
      <c r="I1931" s="120"/>
      <c r="J1931" s="121"/>
      <c r="K1931" s="121"/>
      <c r="L1931" s="121"/>
      <c r="M1931" s="121"/>
      <c r="N1931" s="121"/>
      <c r="O1931" s="121"/>
      <c r="P1931" s="121"/>
    </row>
    <row r="1932" spans="2:16" s="117" customFormat="1" ht="39.75" hidden="1" customHeight="1">
      <c r="B1932" s="118"/>
      <c r="C1932" s="110"/>
      <c r="D1932" s="111" t="s">
        <v>890</v>
      </c>
      <c r="E1932" s="772">
        <f>+E1933</f>
        <v>200000000</v>
      </c>
      <c r="F1932" s="114">
        <v>62592857239.279999</v>
      </c>
      <c r="G1932" s="127">
        <f t="shared" si="38"/>
        <v>0.31952527623949156</v>
      </c>
      <c r="H1932" s="120"/>
      <c r="I1932" s="120"/>
      <c r="J1932" s="121"/>
      <c r="K1932" s="121"/>
      <c r="L1932" s="121"/>
      <c r="M1932" s="121"/>
      <c r="N1932" s="121"/>
      <c r="O1932" s="121"/>
      <c r="P1932" s="121"/>
    </row>
    <row r="1933" spans="2:16" s="108" customFormat="1" ht="21.75" hidden="1" customHeight="1">
      <c r="B1933" s="109"/>
      <c r="C1933" s="122"/>
      <c r="D1933" s="123" t="s">
        <v>1518</v>
      </c>
      <c r="E1933" s="773">
        <v>200000000</v>
      </c>
      <c r="F1933" s="114">
        <v>62592857239.279999</v>
      </c>
      <c r="G1933" s="127">
        <f t="shared" si="38"/>
        <v>0.31952527623949156</v>
      </c>
      <c r="H1933" s="120"/>
      <c r="I1933" s="120"/>
      <c r="J1933" s="116"/>
      <c r="K1933" s="116"/>
      <c r="L1933" s="116"/>
      <c r="M1933" s="116"/>
      <c r="N1933" s="116"/>
      <c r="O1933" s="116"/>
      <c r="P1933" s="116"/>
    </row>
    <row r="1934" spans="2:16" s="117" customFormat="1" ht="21.75" hidden="1" customHeight="1">
      <c r="B1934" s="118"/>
      <c r="C1934" s="110"/>
      <c r="D1934" s="111" t="s">
        <v>1519</v>
      </c>
      <c r="E1934" s="774">
        <f>+E1935</f>
        <v>200000000</v>
      </c>
      <c r="F1934" s="114">
        <v>62592857239.279999</v>
      </c>
      <c r="G1934" s="127">
        <f t="shared" si="38"/>
        <v>0.31952527623949156</v>
      </c>
      <c r="H1934" s="120"/>
      <c r="I1934" s="120"/>
      <c r="J1934" s="121"/>
      <c r="K1934" s="121"/>
      <c r="L1934" s="121"/>
      <c r="M1934" s="121"/>
      <c r="N1934" s="121"/>
      <c r="O1934" s="121"/>
      <c r="P1934" s="121"/>
    </row>
    <row r="1935" spans="2:16" s="108" customFormat="1" ht="39.75" hidden="1" customHeight="1">
      <c r="B1935" s="109"/>
      <c r="C1935" s="122"/>
      <c r="D1935" s="123" t="s">
        <v>1520</v>
      </c>
      <c r="E1935" s="773">
        <v>200000000</v>
      </c>
      <c r="F1935" s="114">
        <v>62592857239.279999</v>
      </c>
      <c r="G1935" s="127">
        <f t="shared" si="38"/>
        <v>0.31952527623949156</v>
      </c>
      <c r="H1935" s="120"/>
      <c r="I1935" s="120"/>
      <c r="J1935" s="116"/>
      <c r="K1935" s="116"/>
      <c r="L1935" s="116"/>
      <c r="M1935" s="116"/>
      <c r="N1935" s="116"/>
      <c r="O1935" s="116"/>
      <c r="P1935" s="116"/>
    </row>
    <row r="1936" spans="2:16" s="108" customFormat="1" ht="15" hidden="1" customHeight="1">
      <c r="B1936" s="109"/>
      <c r="C1936" s="122"/>
      <c r="D1936" s="123"/>
      <c r="E1936" s="773"/>
      <c r="F1936" s="114"/>
      <c r="G1936" s="127"/>
      <c r="H1936" s="120"/>
      <c r="I1936" s="120"/>
      <c r="J1936" s="116"/>
      <c r="K1936" s="116"/>
      <c r="L1936" s="116"/>
      <c r="M1936" s="116"/>
      <c r="N1936" s="116"/>
      <c r="O1936" s="116"/>
      <c r="P1936" s="116"/>
    </row>
    <row r="1937" spans="2:16" s="117" customFormat="1" ht="21.75" hidden="1" customHeight="1">
      <c r="B1937" s="118"/>
      <c r="C1937" s="110"/>
      <c r="D1937" s="111" t="s">
        <v>1159</v>
      </c>
      <c r="E1937" s="772">
        <f>+E1938+E1940+E1942+E1944</f>
        <v>1800000000</v>
      </c>
      <c r="F1937" s="114">
        <v>62592857239.279999</v>
      </c>
      <c r="G1937" s="127">
        <f t="shared" si="38"/>
        <v>2.8757274861554238</v>
      </c>
      <c r="H1937" s="120"/>
      <c r="I1937" s="120"/>
      <c r="J1937" s="121"/>
      <c r="K1937" s="121"/>
      <c r="L1937" s="121"/>
      <c r="M1937" s="121"/>
      <c r="N1937" s="121"/>
      <c r="O1937" s="121"/>
      <c r="P1937" s="121"/>
    </row>
    <row r="1938" spans="2:16" s="117" customFormat="1" ht="21.75" hidden="1" customHeight="1">
      <c r="B1938" s="118"/>
      <c r="C1938" s="110"/>
      <c r="D1938" s="111" t="s">
        <v>1423</v>
      </c>
      <c r="E1938" s="772">
        <f>+E1939</f>
        <v>300000000</v>
      </c>
      <c r="F1938" s="114">
        <v>62592857239.279999</v>
      </c>
      <c r="G1938" s="127">
        <f t="shared" si="38"/>
        <v>0.47928791435923729</v>
      </c>
      <c r="H1938" s="120"/>
      <c r="I1938" s="120"/>
      <c r="J1938" s="121"/>
      <c r="K1938" s="121"/>
      <c r="L1938" s="121"/>
      <c r="M1938" s="121"/>
      <c r="N1938" s="121"/>
      <c r="O1938" s="121"/>
      <c r="P1938" s="121"/>
    </row>
    <row r="1939" spans="2:16" s="108" customFormat="1" ht="39.75" hidden="1" customHeight="1">
      <c r="B1939" s="109"/>
      <c r="C1939" s="122"/>
      <c r="D1939" s="123" t="s">
        <v>704</v>
      </c>
      <c r="E1939" s="773">
        <v>300000000</v>
      </c>
      <c r="F1939" s="114">
        <v>62592857239.279999</v>
      </c>
      <c r="G1939" s="127">
        <f t="shared" si="38"/>
        <v>0.47928791435923729</v>
      </c>
      <c r="H1939" s="120"/>
      <c r="I1939" s="120"/>
      <c r="J1939" s="116"/>
      <c r="K1939" s="116"/>
      <c r="L1939" s="116"/>
      <c r="M1939" s="116"/>
      <c r="N1939" s="116"/>
      <c r="O1939" s="116"/>
      <c r="P1939" s="116"/>
    </row>
    <row r="1940" spans="2:16" s="117" customFormat="1" ht="39.75" hidden="1" customHeight="1">
      <c r="B1940" s="118"/>
      <c r="C1940" s="110"/>
      <c r="D1940" s="111" t="s">
        <v>546</v>
      </c>
      <c r="E1940" s="772">
        <f>+E1941</f>
        <v>300000000</v>
      </c>
      <c r="F1940" s="114">
        <v>62592857239.279999</v>
      </c>
      <c r="G1940" s="127">
        <f t="shared" si="38"/>
        <v>0.47928791435923729</v>
      </c>
      <c r="H1940" s="120"/>
      <c r="I1940" s="120"/>
      <c r="J1940" s="121"/>
      <c r="K1940" s="121"/>
      <c r="L1940" s="121"/>
      <c r="M1940" s="121"/>
      <c r="N1940" s="121"/>
      <c r="O1940" s="121"/>
      <c r="P1940" s="121"/>
    </row>
    <row r="1941" spans="2:16" s="108" customFormat="1" ht="21.75" hidden="1" customHeight="1">
      <c r="B1941" s="109"/>
      <c r="C1941" s="122"/>
      <c r="D1941" s="123" t="s">
        <v>1521</v>
      </c>
      <c r="E1941" s="773">
        <v>300000000</v>
      </c>
      <c r="F1941" s="114">
        <v>62592857239.279999</v>
      </c>
      <c r="G1941" s="127">
        <f t="shared" si="38"/>
        <v>0.47928791435923729</v>
      </c>
      <c r="H1941" s="120"/>
      <c r="I1941" s="120"/>
      <c r="J1941" s="116"/>
      <c r="K1941" s="116"/>
      <c r="L1941" s="116"/>
      <c r="M1941" s="116"/>
      <c r="N1941" s="116"/>
      <c r="O1941" s="116"/>
      <c r="P1941" s="116"/>
    </row>
    <row r="1942" spans="2:16" s="117" customFormat="1" ht="21.75" hidden="1" customHeight="1">
      <c r="B1942" s="118"/>
      <c r="C1942" s="110"/>
      <c r="D1942" s="111" t="s">
        <v>548</v>
      </c>
      <c r="E1942" s="772">
        <f>+E1943</f>
        <v>1000000000</v>
      </c>
      <c r="F1942" s="114">
        <v>62592857239.279999</v>
      </c>
      <c r="G1942" s="127">
        <f t="shared" si="38"/>
        <v>1.5976263811974578</v>
      </c>
      <c r="H1942" s="120"/>
      <c r="I1942" s="120"/>
      <c r="J1942" s="121"/>
      <c r="K1942" s="121"/>
      <c r="L1942" s="121"/>
      <c r="M1942" s="121"/>
      <c r="N1942" s="121"/>
      <c r="O1942" s="121"/>
      <c r="P1942" s="121"/>
    </row>
    <row r="1943" spans="2:16" s="108" customFormat="1" ht="21.75" hidden="1" customHeight="1">
      <c r="B1943" s="109"/>
      <c r="C1943" s="122"/>
      <c r="D1943" s="123" t="s">
        <v>1522</v>
      </c>
      <c r="E1943" s="773">
        <v>1000000000</v>
      </c>
      <c r="F1943" s="114">
        <v>62592857239.279999</v>
      </c>
      <c r="G1943" s="127">
        <f t="shared" si="38"/>
        <v>1.5976263811974578</v>
      </c>
      <c r="H1943" s="120"/>
      <c r="I1943" s="120"/>
      <c r="J1943" s="116"/>
      <c r="K1943" s="116"/>
      <c r="L1943" s="116"/>
      <c r="M1943" s="116"/>
      <c r="N1943" s="116"/>
      <c r="O1943" s="116"/>
      <c r="P1943" s="116"/>
    </row>
    <row r="1944" spans="2:16" s="117" customFormat="1" ht="21.75" hidden="1" customHeight="1">
      <c r="B1944" s="118"/>
      <c r="C1944" s="110"/>
      <c r="D1944" s="111" t="s">
        <v>1433</v>
      </c>
      <c r="E1944" s="772">
        <f>+E1945</f>
        <v>200000000</v>
      </c>
      <c r="F1944" s="114">
        <v>62592857239.279999</v>
      </c>
      <c r="G1944" s="127">
        <f t="shared" si="38"/>
        <v>0.31952527623949156</v>
      </c>
      <c r="H1944" s="120"/>
      <c r="I1944" s="120"/>
      <c r="J1944" s="121"/>
      <c r="K1944" s="121"/>
      <c r="L1944" s="121"/>
      <c r="M1944" s="121"/>
      <c r="N1944" s="121"/>
      <c r="O1944" s="121"/>
      <c r="P1944" s="121"/>
    </row>
    <row r="1945" spans="2:16" s="108" customFormat="1" ht="21.75" hidden="1" customHeight="1">
      <c r="B1945" s="109"/>
      <c r="C1945" s="122"/>
      <c r="D1945" s="123" t="s">
        <v>1523</v>
      </c>
      <c r="E1945" s="773">
        <v>200000000</v>
      </c>
      <c r="F1945" s="114">
        <v>62592857239.279999</v>
      </c>
      <c r="G1945" s="127">
        <f t="shared" si="38"/>
        <v>0.31952527623949156</v>
      </c>
      <c r="H1945" s="120"/>
      <c r="I1945" s="120"/>
      <c r="J1945" s="116"/>
      <c r="K1945" s="116"/>
      <c r="L1945" s="116"/>
      <c r="M1945" s="116"/>
      <c r="N1945" s="116"/>
      <c r="O1945" s="116"/>
      <c r="P1945" s="116"/>
    </row>
    <row r="1946" spans="2:16" s="108" customFormat="1" ht="15" hidden="1" customHeight="1">
      <c r="B1946" s="109"/>
      <c r="C1946" s="122"/>
      <c r="D1946" s="123"/>
      <c r="E1946" s="773"/>
      <c r="F1946" s="114"/>
      <c r="G1946" s="127"/>
      <c r="H1946" s="120"/>
      <c r="I1946" s="120"/>
      <c r="J1946" s="116"/>
      <c r="K1946" s="116"/>
      <c r="L1946" s="116"/>
      <c r="M1946" s="116"/>
      <c r="N1946" s="116"/>
      <c r="O1946" s="116"/>
      <c r="P1946" s="116"/>
    </row>
    <row r="1947" spans="2:16" s="117" customFormat="1" ht="21.75" hidden="1" customHeight="1">
      <c r="B1947" s="118"/>
      <c r="C1947" s="110"/>
      <c r="D1947" s="111" t="s">
        <v>1524</v>
      </c>
      <c r="E1947" s="772">
        <f>+E1948+E1950+E1953</f>
        <v>17385519980.279999</v>
      </c>
      <c r="F1947" s="114">
        <v>62592857239.279999</v>
      </c>
      <c r="G1947" s="127">
        <f t="shared" si="38"/>
        <v>27.775565371330828</v>
      </c>
      <c r="H1947" s="120"/>
      <c r="I1947" s="120"/>
      <c r="J1947" s="121"/>
      <c r="K1947" s="121"/>
      <c r="L1947" s="121"/>
      <c r="M1947" s="121"/>
      <c r="N1947" s="121"/>
      <c r="O1947" s="121"/>
      <c r="P1947" s="121"/>
    </row>
    <row r="1948" spans="2:16" s="117" customFormat="1" ht="21.75" hidden="1" customHeight="1">
      <c r="B1948" s="118"/>
      <c r="C1948" s="110"/>
      <c r="D1948" s="111" t="s">
        <v>1525</v>
      </c>
      <c r="E1948" s="772">
        <f>+E1949</f>
        <v>2000000000</v>
      </c>
      <c r="F1948" s="114">
        <v>62592857239.279999</v>
      </c>
      <c r="G1948" s="127">
        <f t="shared" si="38"/>
        <v>3.1952527623949156</v>
      </c>
      <c r="H1948" s="120"/>
      <c r="I1948" s="120"/>
      <c r="J1948" s="121"/>
      <c r="K1948" s="121"/>
      <c r="L1948" s="121"/>
      <c r="M1948" s="121"/>
      <c r="N1948" s="121"/>
      <c r="O1948" s="121"/>
      <c r="P1948" s="121"/>
    </row>
    <row r="1949" spans="2:16" s="108" customFormat="1" ht="21.75" hidden="1" customHeight="1">
      <c r="B1949" s="109"/>
      <c r="C1949" s="122"/>
      <c r="D1949" s="123" t="s">
        <v>1526</v>
      </c>
      <c r="E1949" s="773">
        <v>2000000000</v>
      </c>
      <c r="F1949" s="114">
        <v>62592857239.279999</v>
      </c>
      <c r="G1949" s="127">
        <f t="shared" si="38"/>
        <v>3.1952527623949156</v>
      </c>
      <c r="H1949" s="120"/>
      <c r="I1949" s="120"/>
      <c r="J1949" s="116"/>
      <c r="K1949" s="116"/>
      <c r="L1949" s="116"/>
      <c r="M1949" s="116"/>
      <c r="N1949" s="116"/>
      <c r="O1949" s="116"/>
      <c r="P1949" s="116"/>
    </row>
    <row r="1950" spans="2:16" s="117" customFormat="1" ht="21.75" hidden="1" customHeight="1">
      <c r="B1950" s="118"/>
      <c r="C1950" s="110"/>
      <c r="D1950" s="111" t="s">
        <v>498</v>
      </c>
      <c r="E1950" s="772">
        <f>+E1951+E1952</f>
        <v>8885520000</v>
      </c>
      <c r="F1950" s="114">
        <v>62592857239.279999</v>
      </c>
      <c r="G1950" s="127">
        <f t="shared" si="38"/>
        <v>14.195741162657635</v>
      </c>
      <c r="H1950" s="120"/>
      <c r="I1950" s="120"/>
      <c r="J1950" s="121"/>
      <c r="K1950" s="121"/>
      <c r="L1950" s="121"/>
      <c r="M1950" s="121"/>
      <c r="N1950" s="121"/>
      <c r="O1950" s="121"/>
      <c r="P1950" s="121"/>
    </row>
    <row r="1951" spans="2:16" s="108" customFormat="1" ht="21.75" hidden="1" customHeight="1">
      <c r="B1951" s="109"/>
      <c r="C1951" s="122"/>
      <c r="D1951" s="123" t="s">
        <v>1527</v>
      </c>
      <c r="E1951" s="773">
        <v>1969920000</v>
      </c>
      <c r="F1951" s="114">
        <v>62592857239.279999</v>
      </c>
      <c r="G1951" s="127">
        <f t="shared" si="38"/>
        <v>3.1471961608484955</v>
      </c>
      <c r="H1951" s="120"/>
      <c r="I1951" s="120"/>
      <c r="J1951" s="116"/>
      <c r="K1951" s="116"/>
      <c r="L1951" s="116"/>
      <c r="M1951" s="116"/>
      <c r="N1951" s="116"/>
      <c r="O1951" s="116"/>
      <c r="P1951" s="116"/>
    </row>
    <row r="1952" spans="2:16" s="108" customFormat="1" ht="21.75" hidden="1" customHeight="1">
      <c r="B1952" s="109"/>
      <c r="C1952" s="122"/>
      <c r="D1952" s="123" t="s">
        <v>1528</v>
      </c>
      <c r="E1952" s="773">
        <v>6915600000</v>
      </c>
      <c r="F1952" s="114">
        <v>62592857239.279999</v>
      </c>
      <c r="G1952" s="127">
        <f t="shared" si="38"/>
        <v>11.048545001809138</v>
      </c>
      <c r="H1952" s="120"/>
      <c r="I1952" s="120"/>
      <c r="J1952" s="116"/>
      <c r="K1952" s="116"/>
      <c r="L1952" s="116"/>
      <c r="M1952" s="116"/>
      <c r="N1952" s="116"/>
      <c r="O1952" s="116"/>
      <c r="P1952" s="116"/>
    </row>
    <row r="1953" spans="2:16" s="117" customFormat="1" ht="21.75" hidden="1" customHeight="1">
      <c r="B1953" s="118"/>
      <c r="C1953" s="110"/>
      <c r="D1953" s="111" t="s">
        <v>1529</v>
      </c>
      <c r="E1953" s="772">
        <f>+E1954</f>
        <v>6499999980.2799997</v>
      </c>
      <c r="F1953" s="114">
        <v>62592857239.279999</v>
      </c>
      <c r="G1953" s="127">
        <f t="shared" si="38"/>
        <v>10.384571446278283</v>
      </c>
      <c r="H1953" s="120"/>
      <c r="I1953" s="120"/>
      <c r="J1953" s="121"/>
      <c r="K1953" s="121"/>
      <c r="L1953" s="121"/>
      <c r="M1953" s="121"/>
      <c r="N1953" s="121"/>
      <c r="O1953" s="121"/>
      <c r="P1953" s="121"/>
    </row>
    <row r="1954" spans="2:16" s="108" customFormat="1" ht="21.75" hidden="1" customHeight="1">
      <c r="B1954" s="109"/>
      <c r="C1954" s="122"/>
      <c r="D1954" s="123" t="s">
        <v>1530</v>
      </c>
      <c r="E1954" s="773">
        <v>6499999980.2799997</v>
      </c>
      <c r="F1954" s="114">
        <v>62592857239.279999</v>
      </c>
      <c r="G1954" s="127">
        <f t="shared" si="38"/>
        <v>10.384571446278283</v>
      </c>
      <c r="H1954" s="120"/>
      <c r="I1954" s="120"/>
      <c r="J1954" s="116"/>
      <c r="K1954" s="116"/>
      <c r="L1954" s="116"/>
      <c r="M1954" s="116"/>
      <c r="N1954" s="116"/>
      <c r="O1954" s="116"/>
      <c r="P1954" s="116"/>
    </row>
    <row r="1955" spans="2:16" s="108" customFormat="1" ht="15" hidden="1" customHeight="1">
      <c r="B1955" s="109"/>
      <c r="C1955" s="122"/>
      <c r="D1955" s="123"/>
      <c r="E1955" s="773"/>
      <c r="F1955" s="114"/>
      <c r="G1955" s="127"/>
      <c r="H1955" s="120"/>
      <c r="I1955" s="120"/>
      <c r="J1955" s="116"/>
      <c r="K1955" s="116"/>
      <c r="L1955" s="116"/>
      <c r="M1955" s="116"/>
      <c r="N1955" s="116"/>
      <c r="O1955" s="116"/>
      <c r="P1955" s="116"/>
    </row>
    <row r="1956" spans="2:16" s="117" customFormat="1" ht="21.75" hidden="1" customHeight="1">
      <c r="B1956" s="118"/>
      <c r="C1956" s="110"/>
      <c r="D1956" s="111" t="s">
        <v>1531</v>
      </c>
      <c r="E1956" s="250">
        <f>+E1957</f>
        <v>550000000</v>
      </c>
      <c r="F1956" s="114">
        <v>62592857239.279999</v>
      </c>
      <c r="G1956" s="127">
        <f t="shared" si="38"/>
        <v>0.87869450965860174</v>
      </c>
      <c r="H1956" s="120"/>
      <c r="I1956" s="120"/>
      <c r="J1956" s="121"/>
      <c r="K1956" s="121"/>
      <c r="L1956" s="121"/>
      <c r="M1956" s="121"/>
      <c r="N1956" s="121"/>
      <c r="O1956" s="121"/>
      <c r="P1956" s="121"/>
    </row>
    <row r="1957" spans="2:16" s="117" customFormat="1" ht="21.75" hidden="1" customHeight="1">
      <c r="B1957" s="118"/>
      <c r="C1957" s="110"/>
      <c r="D1957" s="111" t="s">
        <v>1532</v>
      </c>
      <c r="E1957" s="772">
        <f>+E1958+E1959+E1960</f>
        <v>550000000</v>
      </c>
      <c r="F1957" s="114">
        <v>62592857239.279999</v>
      </c>
      <c r="G1957" s="127">
        <f t="shared" si="38"/>
        <v>0.87869450965860174</v>
      </c>
      <c r="H1957" s="120"/>
      <c r="I1957" s="120"/>
      <c r="J1957" s="121"/>
      <c r="K1957" s="121"/>
      <c r="L1957" s="121"/>
      <c r="M1957" s="121"/>
      <c r="N1957" s="121"/>
      <c r="O1957" s="121"/>
      <c r="P1957" s="121"/>
    </row>
    <row r="1958" spans="2:16" s="108" customFormat="1" ht="21.75" hidden="1" customHeight="1">
      <c r="B1958" s="109"/>
      <c r="C1958" s="122"/>
      <c r="D1958" s="123" t="s">
        <v>1533</v>
      </c>
      <c r="E1958" s="773">
        <v>200000000</v>
      </c>
      <c r="F1958" s="114">
        <v>62592857239.279999</v>
      </c>
      <c r="G1958" s="127">
        <f t="shared" si="38"/>
        <v>0.31952527623949156</v>
      </c>
      <c r="H1958" s="120"/>
      <c r="I1958" s="120"/>
      <c r="J1958" s="116"/>
      <c r="K1958" s="116"/>
      <c r="L1958" s="116"/>
      <c r="M1958" s="116"/>
      <c r="N1958" s="116"/>
      <c r="O1958" s="116"/>
      <c r="P1958" s="116"/>
    </row>
    <row r="1959" spans="2:16" s="108" customFormat="1" ht="21.75" hidden="1" customHeight="1">
      <c r="B1959" s="109"/>
      <c r="C1959" s="122"/>
      <c r="D1959" s="123" t="s">
        <v>1534</v>
      </c>
      <c r="E1959" s="696">
        <v>200000000</v>
      </c>
      <c r="F1959" s="114">
        <v>62592857239.279999</v>
      </c>
      <c r="G1959" s="127">
        <f t="shared" si="38"/>
        <v>0.31952527623949156</v>
      </c>
      <c r="H1959" s="120"/>
      <c r="I1959" s="120"/>
      <c r="J1959" s="116"/>
      <c r="K1959" s="116"/>
      <c r="L1959" s="116"/>
      <c r="M1959" s="116"/>
      <c r="N1959" s="116"/>
      <c r="O1959" s="116"/>
      <c r="P1959" s="116"/>
    </row>
    <row r="1960" spans="2:16" s="108" customFormat="1" ht="21.75" hidden="1" customHeight="1">
      <c r="B1960" s="109"/>
      <c r="C1960" s="122"/>
      <c r="D1960" s="123" t="s">
        <v>1535</v>
      </c>
      <c r="E1960" s="696">
        <v>150000000</v>
      </c>
      <c r="F1960" s="114">
        <v>62592857239.279999</v>
      </c>
      <c r="G1960" s="127">
        <f t="shared" si="38"/>
        <v>0.23964395717961864</v>
      </c>
      <c r="H1960" s="120"/>
      <c r="I1960" s="120"/>
      <c r="J1960" s="116"/>
      <c r="K1960" s="116"/>
      <c r="L1960" s="116"/>
      <c r="M1960" s="116"/>
      <c r="N1960" s="116"/>
      <c r="O1960" s="116"/>
      <c r="P1960" s="116"/>
    </row>
    <row r="1961" spans="2:16" s="108" customFormat="1" ht="15" hidden="1" customHeight="1">
      <c r="B1961" s="109"/>
      <c r="C1961" s="122"/>
      <c r="D1961" s="111"/>
      <c r="E1961" s="250"/>
      <c r="F1961" s="114">
        <v>62592857239.279999</v>
      </c>
      <c r="G1961" s="127">
        <f t="shared" si="38"/>
        <v>0</v>
      </c>
      <c r="H1961" s="120"/>
      <c r="I1961" s="120"/>
      <c r="J1961" s="116"/>
      <c r="K1961" s="116"/>
      <c r="L1961" s="116"/>
      <c r="M1961" s="116"/>
      <c r="N1961" s="116"/>
      <c r="O1961" s="116"/>
      <c r="P1961" s="116"/>
    </row>
    <row r="1962" spans="2:16" s="117" customFormat="1" ht="21.75" hidden="1" customHeight="1">
      <c r="B1962" s="118"/>
      <c r="C1962" s="110"/>
      <c r="D1962" s="111" t="s">
        <v>651</v>
      </c>
      <c r="E1962" s="772">
        <f>+E1963+E1965</f>
        <v>300000000</v>
      </c>
      <c r="F1962" s="114">
        <v>62592857239.279999</v>
      </c>
      <c r="G1962" s="127">
        <f t="shared" si="38"/>
        <v>0.47928791435923729</v>
      </c>
      <c r="H1962" s="120"/>
      <c r="I1962" s="120"/>
      <c r="J1962" s="121"/>
      <c r="K1962" s="121"/>
      <c r="L1962" s="121"/>
      <c r="M1962" s="121"/>
      <c r="N1962" s="121"/>
      <c r="O1962" s="121"/>
      <c r="P1962" s="121"/>
    </row>
    <row r="1963" spans="2:16" s="117" customFormat="1" ht="21.75" hidden="1" customHeight="1">
      <c r="B1963" s="118"/>
      <c r="C1963" s="110"/>
      <c r="D1963" s="111" t="s">
        <v>1536</v>
      </c>
      <c r="E1963" s="772">
        <f>+E1964</f>
        <v>150000000</v>
      </c>
      <c r="F1963" s="114">
        <v>62592857239.279999</v>
      </c>
      <c r="G1963" s="127">
        <f t="shared" si="38"/>
        <v>0.23964395717961864</v>
      </c>
      <c r="H1963" s="120"/>
      <c r="I1963" s="120"/>
      <c r="J1963" s="121"/>
      <c r="K1963" s="121"/>
      <c r="L1963" s="121"/>
      <c r="M1963" s="121"/>
      <c r="N1963" s="121"/>
      <c r="O1963" s="121"/>
      <c r="P1963" s="121"/>
    </row>
    <row r="1964" spans="2:16" s="108" customFormat="1" ht="39.75" hidden="1" customHeight="1">
      <c r="B1964" s="109"/>
      <c r="C1964" s="122"/>
      <c r="D1964" s="217" t="s">
        <v>1537</v>
      </c>
      <c r="E1964" s="773">
        <v>150000000</v>
      </c>
      <c r="F1964" s="114">
        <v>62592857239.279999</v>
      </c>
      <c r="G1964" s="127">
        <f t="shared" si="38"/>
        <v>0.23964395717961864</v>
      </c>
      <c r="H1964" s="120"/>
      <c r="I1964" s="120"/>
      <c r="J1964" s="116"/>
      <c r="K1964" s="116"/>
      <c r="L1964" s="116"/>
      <c r="M1964" s="116"/>
      <c r="N1964" s="116"/>
      <c r="O1964" s="116"/>
      <c r="P1964" s="116"/>
    </row>
    <row r="1965" spans="2:16" s="117" customFormat="1" ht="21.75" hidden="1" customHeight="1">
      <c r="B1965" s="118"/>
      <c r="C1965" s="110"/>
      <c r="D1965" s="111" t="s">
        <v>884</v>
      </c>
      <c r="E1965" s="772">
        <f>+E1966</f>
        <v>150000000</v>
      </c>
      <c r="F1965" s="114">
        <v>62592857239.279999</v>
      </c>
      <c r="G1965" s="127">
        <f t="shared" si="38"/>
        <v>0.23964395717961864</v>
      </c>
      <c r="H1965" s="120"/>
      <c r="I1965" s="120"/>
      <c r="J1965" s="121"/>
      <c r="K1965" s="121"/>
      <c r="L1965" s="121"/>
      <c r="M1965" s="121"/>
      <c r="N1965" s="121"/>
      <c r="O1965" s="121"/>
      <c r="P1965" s="121"/>
    </row>
    <row r="1966" spans="2:16" s="108" customFormat="1" ht="21.75" hidden="1" customHeight="1">
      <c r="B1966" s="109"/>
      <c r="C1966" s="122"/>
      <c r="D1966" s="123" t="s">
        <v>1538</v>
      </c>
      <c r="E1966" s="773">
        <v>150000000</v>
      </c>
      <c r="F1966" s="114">
        <v>62592857239.279999</v>
      </c>
      <c r="G1966" s="127">
        <f t="shared" si="38"/>
        <v>0.23964395717961864</v>
      </c>
      <c r="H1966" s="120"/>
      <c r="I1966" s="120"/>
      <c r="J1966" s="116"/>
      <c r="K1966" s="116"/>
      <c r="L1966" s="116"/>
      <c r="M1966" s="116"/>
      <c r="N1966" s="116"/>
      <c r="O1966" s="116"/>
      <c r="P1966" s="116"/>
    </row>
    <row r="1967" spans="2:16" s="108" customFormat="1" ht="15" hidden="1" customHeight="1">
      <c r="B1967" s="109"/>
      <c r="C1967" s="122"/>
      <c r="D1967" s="217"/>
      <c r="E1967" s="773"/>
      <c r="F1967" s="114">
        <v>62592857239.279999</v>
      </c>
      <c r="G1967" s="127">
        <f t="shared" si="38"/>
        <v>0</v>
      </c>
      <c r="H1967" s="120"/>
      <c r="I1967" s="120"/>
      <c r="J1967" s="116"/>
      <c r="K1967" s="116"/>
      <c r="L1967" s="116"/>
      <c r="M1967" s="116"/>
      <c r="N1967" s="116"/>
      <c r="O1967" s="116"/>
      <c r="P1967" s="116"/>
    </row>
    <row r="1968" spans="2:16" s="117" customFormat="1" ht="21.75" hidden="1" customHeight="1">
      <c r="B1968" s="118"/>
      <c r="C1968" s="110"/>
      <c r="D1968" s="111" t="s">
        <v>648</v>
      </c>
      <c r="E1968" s="772">
        <f>+E1969</f>
        <v>150000000</v>
      </c>
      <c r="F1968" s="114">
        <v>62592857239.279999</v>
      </c>
      <c r="G1968" s="127">
        <f t="shared" si="38"/>
        <v>0.23964395717961864</v>
      </c>
      <c r="H1968" s="120"/>
      <c r="I1968" s="120"/>
      <c r="J1968" s="121"/>
      <c r="K1968" s="121"/>
      <c r="L1968" s="121"/>
      <c r="M1968" s="121"/>
      <c r="N1968" s="121"/>
      <c r="O1968" s="121"/>
      <c r="P1968" s="121"/>
    </row>
    <row r="1969" spans="2:16" s="117" customFormat="1" ht="33" hidden="1" customHeight="1">
      <c r="B1969" s="118"/>
      <c r="C1969" s="110"/>
      <c r="D1969" s="111" t="s">
        <v>990</v>
      </c>
      <c r="E1969" s="772">
        <f>+E1970</f>
        <v>150000000</v>
      </c>
      <c r="F1969" s="114">
        <v>62592857239.279999</v>
      </c>
      <c r="G1969" s="127">
        <f t="shared" si="38"/>
        <v>0.23964395717961864</v>
      </c>
      <c r="H1969" s="120"/>
      <c r="I1969" s="120"/>
      <c r="J1969" s="121"/>
      <c r="K1969" s="121"/>
      <c r="L1969" s="121"/>
      <c r="M1969" s="121"/>
      <c r="N1969" s="121"/>
      <c r="O1969" s="121"/>
      <c r="P1969" s="121"/>
    </row>
    <row r="1970" spans="2:16" s="108" customFormat="1" ht="62.25" hidden="1" customHeight="1">
      <c r="B1970" s="109"/>
      <c r="C1970" s="122"/>
      <c r="D1970" s="123" t="s">
        <v>1539</v>
      </c>
      <c r="E1970" s="773">
        <v>150000000</v>
      </c>
      <c r="F1970" s="114">
        <v>62592857239.279999</v>
      </c>
      <c r="G1970" s="127">
        <f t="shared" si="38"/>
        <v>0.23964395717961864</v>
      </c>
      <c r="H1970" s="120"/>
      <c r="I1970" s="120"/>
      <c r="J1970" s="116"/>
      <c r="K1970" s="116"/>
      <c r="L1970" s="116"/>
      <c r="M1970" s="116"/>
      <c r="N1970" s="116"/>
      <c r="O1970" s="116"/>
      <c r="P1970" s="116"/>
    </row>
    <row r="1971" spans="2:16" s="108" customFormat="1" ht="15" hidden="1" customHeight="1">
      <c r="B1971" s="109"/>
      <c r="C1971" s="122"/>
      <c r="D1971" s="123"/>
      <c r="E1971" s="773"/>
      <c r="F1971" s="114">
        <v>62592857239.279999</v>
      </c>
      <c r="G1971" s="127">
        <f t="shared" si="38"/>
        <v>0</v>
      </c>
      <c r="H1971" s="120"/>
      <c r="I1971" s="120"/>
      <c r="J1971" s="116"/>
      <c r="K1971" s="116"/>
      <c r="L1971" s="116"/>
      <c r="M1971" s="116"/>
      <c r="N1971" s="116"/>
      <c r="O1971" s="116"/>
      <c r="P1971" s="116"/>
    </row>
    <row r="1972" spans="2:16" s="117" customFormat="1" ht="21.75" hidden="1" customHeight="1">
      <c r="B1972" s="118"/>
      <c r="C1972" s="110"/>
      <c r="D1972" s="111" t="s">
        <v>1540</v>
      </c>
      <c r="E1972" s="250">
        <f>+E1973</f>
        <v>400000000</v>
      </c>
      <c r="F1972" s="114">
        <v>62592857239.279999</v>
      </c>
      <c r="G1972" s="127">
        <f t="shared" si="38"/>
        <v>0.63905055247898312</v>
      </c>
      <c r="H1972" s="120"/>
      <c r="I1972" s="120"/>
      <c r="J1972" s="121"/>
      <c r="K1972" s="121"/>
      <c r="L1972" s="121"/>
      <c r="M1972" s="121"/>
      <c r="N1972" s="121"/>
      <c r="O1972" s="121"/>
      <c r="P1972" s="121"/>
    </row>
    <row r="1973" spans="2:16" s="117" customFormat="1" ht="21.75" hidden="1" customHeight="1">
      <c r="B1973" s="118"/>
      <c r="C1973" s="110"/>
      <c r="D1973" s="111" t="s">
        <v>580</v>
      </c>
      <c r="E1973" s="250">
        <f>+E1974</f>
        <v>400000000</v>
      </c>
      <c r="F1973" s="114">
        <v>62592857239</v>
      </c>
      <c r="G1973" s="127">
        <f t="shared" si="38"/>
        <v>0.63905055248184184</v>
      </c>
      <c r="H1973" s="120"/>
      <c r="I1973" s="120"/>
      <c r="J1973" s="121"/>
      <c r="K1973" s="121"/>
      <c r="L1973" s="121"/>
      <c r="M1973" s="121"/>
      <c r="N1973" s="121"/>
      <c r="O1973" s="121"/>
      <c r="P1973" s="121"/>
    </row>
    <row r="1974" spans="2:16" s="108" customFormat="1" ht="39.75" hidden="1" customHeight="1">
      <c r="B1974" s="109"/>
      <c r="C1974" s="122"/>
      <c r="D1974" s="123" t="s">
        <v>1541</v>
      </c>
      <c r="E1974" s="696">
        <v>400000000</v>
      </c>
      <c r="F1974" s="114">
        <v>62592857239</v>
      </c>
      <c r="G1974" s="127">
        <f t="shared" si="38"/>
        <v>0.63905055248184184</v>
      </c>
      <c r="H1974" s="120"/>
      <c r="I1974" s="120"/>
      <c r="J1974" s="116"/>
      <c r="K1974" s="116"/>
      <c r="L1974" s="116"/>
      <c r="M1974" s="116"/>
      <c r="N1974" s="116"/>
      <c r="O1974" s="116"/>
      <c r="P1974" s="116"/>
    </row>
    <row r="1975" spans="2:16" s="108" customFormat="1" ht="15" hidden="1" customHeight="1">
      <c r="B1975" s="109"/>
      <c r="C1975" s="122"/>
      <c r="D1975" s="123"/>
      <c r="E1975" s="125"/>
      <c r="F1975" s="134"/>
      <c r="G1975" s="126"/>
      <c r="H1975" s="120"/>
      <c r="I1975" s="120"/>
      <c r="J1975" s="116"/>
      <c r="K1975" s="116"/>
      <c r="L1975" s="116"/>
      <c r="M1975" s="116"/>
      <c r="N1975" s="116"/>
      <c r="O1975" s="116"/>
      <c r="P1975" s="116"/>
    </row>
    <row r="1976" spans="2:16" s="117" customFormat="1" ht="21.75" hidden="1" customHeight="1">
      <c r="B1976" s="118"/>
      <c r="C1976" s="110" t="s">
        <v>1542</v>
      </c>
      <c r="D1976" s="111" t="s">
        <v>1543</v>
      </c>
      <c r="E1976" s="129">
        <v>64759842666.910004</v>
      </c>
      <c r="F1976" s="218">
        <v>1557405258400.0002</v>
      </c>
      <c r="G1976" s="127">
        <f>+E1976/F1976*100</f>
        <v>4.1581882633066876</v>
      </c>
      <c r="H1976" s="120"/>
      <c r="I1976" s="120"/>
      <c r="J1976" s="121"/>
      <c r="K1976" s="121"/>
      <c r="L1976" s="121"/>
      <c r="M1976" s="121"/>
      <c r="N1976" s="121"/>
      <c r="O1976" s="121"/>
      <c r="P1976" s="121"/>
    </row>
    <row r="1977" spans="2:16" s="108" customFormat="1" ht="21.75" hidden="1" customHeight="1">
      <c r="B1977" s="109"/>
      <c r="C1977" s="122"/>
      <c r="D1977" s="219" t="s">
        <v>444</v>
      </c>
      <c r="E1977" s="720">
        <f>E1978+E1980+E1987+E1992</f>
        <v>19430850000</v>
      </c>
      <c r="F1977" s="134">
        <v>64759842666.910004</v>
      </c>
      <c r="G1977" s="126">
        <f>+E1977/F1977*100</f>
        <v>30.004473759984101</v>
      </c>
      <c r="H1977" s="120"/>
      <c r="I1977" s="120"/>
      <c r="J1977" s="116"/>
      <c r="K1977" s="116"/>
      <c r="L1977" s="116"/>
      <c r="M1977" s="116"/>
      <c r="N1977" s="116"/>
      <c r="O1977" s="116"/>
      <c r="P1977" s="116"/>
    </row>
    <row r="1978" spans="2:16" s="108" customFormat="1" ht="21.75" hidden="1" customHeight="1">
      <c r="B1978" s="109"/>
      <c r="C1978" s="122"/>
      <c r="D1978" s="219" t="s">
        <v>388</v>
      </c>
      <c r="E1978" s="720">
        <f>SUM(E1979:E1979)</f>
        <v>745200000</v>
      </c>
      <c r="F1978" s="134">
        <v>64759842666.910004</v>
      </c>
      <c r="G1978" s="126">
        <f t="shared" ref="G1978:G2040" si="39">+E1978/F1978*100</f>
        <v>1.1507131106431348</v>
      </c>
      <c r="H1978" s="120"/>
      <c r="I1978" s="120"/>
      <c r="J1978" s="116"/>
      <c r="K1978" s="116"/>
      <c r="L1978" s="116"/>
      <c r="M1978" s="116"/>
      <c r="N1978" s="116"/>
      <c r="O1978" s="116"/>
      <c r="P1978" s="116"/>
    </row>
    <row r="1979" spans="2:16" s="108" customFormat="1" ht="21.75" hidden="1" customHeight="1">
      <c r="B1979" s="109"/>
      <c r="C1979" s="122"/>
      <c r="D1979" s="220" t="s">
        <v>1544</v>
      </c>
      <c r="E1979" s="725">
        <v>745200000</v>
      </c>
      <c r="F1979" s="134">
        <v>64759842666.910004</v>
      </c>
      <c r="G1979" s="126">
        <f t="shared" si="39"/>
        <v>1.1507131106431348</v>
      </c>
      <c r="H1979" s="120"/>
      <c r="I1979" s="120"/>
      <c r="J1979" s="116"/>
      <c r="K1979" s="116"/>
      <c r="L1979" s="116"/>
      <c r="M1979" s="116"/>
      <c r="N1979" s="116"/>
      <c r="O1979" s="116"/>
      <c r="P1979" s="116"/>
    </row>
    <row r="1980" spans="2:16" s="108" customFormat="1" ht="21.75" hidden="1" customHeight="1">
      <c r="B1980" s="109"/>
      <c r="C1980" s="122"/>
      <c r="D1980" s="219" t="s">
        <v>394</v>
      </c>
      <c r="E1980" s="720">
        <f>SUM(E1981:E1986)</f>
        <v>14914957000</v>
      </c>
      <c r="F1980" s="134">
        <v>64759842666.910004</v>
      </c>
      <c r="G1980" s="126">
        <f t="shared" si="39"/>
        <v>23.031181648656194</v>
      </c>
      <c r="H1980" s="120"/>
      <c r="I1980" s="120"/>
      <c r="J1980" s="116"/>
      <c r="K1980" s="116"/>
      <c r="L1980" s="116"/>
      <c r="M1980" s="116"/>
      <c r="N1980" s="116"/>
      <c r="O1980" s="116"/>
      <c r="P1980" s="116"/>
    </row>
    <row r="1981" spans="2:16" s="108" customFormat="1" ht="21.75" hidden="1" customHeight="1">
      <c r="B1981" s="109"/>
      <c r="C1981" s="122"/>
      <c r="D1981" s="220" t="s">
        <v>1545</v>
      </c>
      <c r="E1981" s="725">
        <v>1009102000</v>
      </c>
      <c r="F1981" s="134">
        <v>64759842666.910004</v>
      </c>
      <c r="G1981" s="126">
        <f t="shared" si="39"/>
        <v>1.5582218214924966</v>
      </c>
      <c r="H1981" s="120"/>
      <c r="I1981" s="120"/>
      <c r="J1981" s="116"/>
      <c r="K1981" s="116"/>
      <c r="L1981" s="116"/>
      <c r="M1981" s="116"/>
      <c r="N1981" s="116"/>
      <c r="O1981" s="116"/>
      <c r="P1981" s="116"/>
    </row>
    <row r="1982" spans="2:16" s="108" customFormat="1" ht="21.75" hidden="1" customHeight="1">
      <c r="B1982" s="109"/>
      <c r="C1982" s="122"/>
      <c r="D1982" s="220" t="s">
        <v>1546</v>
      </c>
      <c r="E1982" s="725">
        <v>727981000</v>
      </c>
      <c r="F1982" s="134">
        <v>64759842666.910004</v>
      </c>
      <c r="G1982" s="126">
        <f t="shared" si="39"/>
        <v>1.1241241022532202</v>
      </c>
      <c r="H1982" s="120"/>
      <c r="I1982" s="120"/>
      <c r="J1982" s="116"/>
      <c r="K1982" s="116"/>
      <c r="L1982" s="116"/>
      <c r="M1982" s="116"/>
      <c r="N1982" s="116"/>
      <c r="O1982" s="116"/>
      <c r="P1982" s="116"/>
    </row>
    <row r="1983" spans="2:16" s="108" customFormat="1" ht="21.75" hidden="1" customHeight="1">
      <c r="B1983" s="109"/>
      <c r="C1983" s="122"/>
      <c r="D1983" s="220" t="s">
        <v>1547</v>
      </c>
      <c r="E1983" s="725">
        <v>198674000</v>
      </c>
      <c r="F1983" s="134">
        <v>64759842666.910004</v>
      </c>
      <c r="G1983" s="126">
        <f t="shared" si="39"/>
        <v>0.30678579783133941</v>
      </c>
      <c r="H1983" s="120"/>
      <c r="I1983" s="120"/>
      <c r="J1983" s="116"/>
      <c r="K1983" s="116"/>
      <c r="L1983" s="116"/>
      <c r="M1983" s="116"/>
      <c r="N1983" s="116"/>
      <c r="O1983" s="116"/>
      <c r="P1983" s="116"/>
    </row>
    <row r="1984" spans="2:16" s="108" customFormat="1" ht="41.25" hidden="1" customHeight="1">
      <c r="B1984" s="109"/>
      <c r="C1984" s="122"/>
      <c r="D1984" s="220" t="s">
        <v>1548</v>
      </c>
      <c r="E1984" s="725">
        <v>3608400000</v>
      </c>
      <c r="F1984" s="134">
        <v>64759842666.910004</v>
      </c>
      <c r="G1984" s="126">
        <f t="shared" si="39"/>
        <v>5.5719715357550816</v>
      </c>
      <c r="H1984" s="120"/>
      <c r="I1984" s="120"/>
      <c r="J1984" s="116"/>
      <c r="K1984" s="116"/>
      <c r="L1984" s="116"/>
      <c r="M1984" s="116"/>
      <c r="N1984" s="116"/>
      <c r="O1984" s="116"/>
      <c r="P1984" s="116"/>
    </row>
    <row r="1985" spans="2:16" s="108" customFormat="1" ht="21.75" hidden="1" customHeight="1">
      <c r="B1985" s="109"/>
      <c r="C1985" s="122"/>
      <c r="D1985" s="220" t="s">
        <v>1549</v>
      </c>
      <c r="E1985" s="725">
        <v>6038400000</v>
      </c>
      <c r="F1985" s="134">
        <v>64759842666.910004</v>
      </c>
      <c r="G1985" s="126">
        <f t="shared" si="39"/>
        <v>9.3242968965479118</v>
      </c>
      <c r="H1985" s="120"/>
      <c r="I1985" s="120"/>
      <c r="J1985" s="116"/>
      <c r="K1985" s="116"/>
      <c r="L1985" s="116"/>
      <c r="M1985" s="116"/>
      <c r="N1985" s="116"/>
      <c r="O1985" s="116"/>
      <c r="P1985" s="116"/>
    </row>
    <row r="1986" spans="2:16" s="108" customFormat="1" ht="21.75" hidden="1" customHeight="1">
      <c r="B1986" s="109"/>
      <c r="C1986" s="122"/>
      <c r="D1986" s="220" t="s">
        <v>1550</v>
      </c>
      <c r="E1986" s="725">
        <v>3332400000</v>
      </c>
      <c r="F1986" s="134">
        <v>64759842666.910004</v>
      </c>
      <c r="G1986" s="126">
        <f t="shared" si="39"/>
        <v>5.1457814947761431</v>
      </c>
      <c r="H1986" s="120"/>
      <c r="I1986" s="120"/>
      <c r="J1986" s="116"/>
      <c r="K1986" s="116"/>
      <c r="L1986" s="116"/>
      <c r="M1986" s="116"/>
      <c r="N1986" s="116"/>
      <c r="O1986" s="116"/>
      <c r="P1986" s="116"/>
    </row>
    <row r="1987" spans="2:16" s="108" customFormat="1" ht="21.75" hidden="1" customHeight="1">
      <c r="B1987" s="109"/>
      <c r="C1987" s="122"/>
      <c r="D1987" s="219" t="s">
        <v>404</v>
      </c>
      <c r="E1987" s="720">
        <f>SUM(E1988:E1991)</f>
        <v>2839293000</v>
      </c>
      <c r="F1987" s="134">
        <v>64759842666.910004</v>
      </c>
      <c r="G1987" s="126">
        <f t="shared" si="39"/>
        <v>4.3843420290623696</v>
      </c>
      <c r="H1987" s="120"/>
      <c r="I1987" s="120"/>
      <c r="J1987" s="116"/>
      <c r="K1987" s="116"/>
      <c r="L1987" s="116"/>
      <c r="M1987" s="116"/>
      <c r="N1987" s="116"/>
      <c r="O1987" s="116"/>
      <c r="P1987" s="116"/>
    </row>
    <row r="1988" spans="2:16" s="108" customFormat="1" ht="21.75" hidden="1" customHeight="1">
      <c r="B1988" s="109"/>
      <c r="C1988" s="122"/>
      <c r="D1988" s="220" t="s">
        <v>1551</v>
      </c>
      <c r="E1988" s="725">
        <v>195850000</v>
      </c>
      <c r="F1988" s="134">
        <v>64759842666.910004</v>
      </c>
      <c r="G1988" s="126">
        <f t="shared" si="39"/>
        <v>0.302425070745381</v>
      </c>
      <c r="H1988" s="120"/>
      <c r="I1988" s="120"/>
      <c r="J1988" s="116"/>
      <c r="K1988" s="116"/>
      <c r="L1988" s="116"/>
      <c r="M1988" s="116"/>
      <c r="N1988" s="116"/>
      <c r="O1988" s="116"/>
      <c r="P1988" s="116"/>
    </row>
    <row r="1989" spans="2:16" s="108" customFormat="1" ht="21.75" hidden="1" customHeight="1">
      <c r="B1989" s="109"/>
      <c r="C1989" s="122"/>
      <c r="D1989" s="220" t="s">
        <v>1552</v>
      </c>
      <c r="E1989" s="725">
        <v>479400000</v>
      </c>
      <c r="F1989" s="134">
        <v>64759842666.910004</v>
      </c>
      <c r="G1989" s="126">
        <f t="shared" si="39"/>
        <v>0.7402735711786349</v>
      </c>
      <c r="H1989" s="120"/>
      <c r="I1989" s="120"/>
      <c r="J1989" s="116"/>
      <c r="K1989" s="116"/>
      <c r="L1989" s="116"/>
      <c r="M1989" s="116"/>
      <c r="N1989" s="116"/>
      <c r="O1989" s="116"/>
      <c r="P1989" s="116"/>
    </row>
    <row r="1990" spans="2:16" s="108" customFormat="1" ht="21.75" hidden="1" customHeight="1">
      <c r="B1990" s="109"/>
      <c r="C1990" s="122"/>
      <c r="D1990" s="220" t="s">
        <v>1553</v>
      </c>
      <c r="E1990" s="725">
        <v>1807200000</v>
      </c>
      <c r="F1990" s="134">
        <v>64759842666.910004</v>
      </c>
      <c r="G1990" s="126">
        <f t="shared" si="39"/>
        <v>2.7906182683229641</v>
      </c>
      <c r="H1990" s="120"/>
      <c r="I1990" s="120"/>
      <c r="J1990" s="116"/>
      <c r="K1990" s="116"/>
      <c r="L1990" s="116"/>
      <c r="M1990" s="116"/>
      <c r="N1990" s="116"/>
      <c r="O1990" s="116"/>
      <c r="P1990" s="116"/>
    </row>
    <row r="1991" spans="2:16" s="108" customFormat="1" ht="21.75" hidden="1" customHeight="1">
      <c r="B1991" s="109"/>
      <c r="C1991" s="122"/>
      <c r="D1991" s="220" t="s">
        <v>1554</v>
      </c>
      <c r="E1991" s="725">
        <v>356843000</v>
      </c>
      <c r="F1991" s="134">
        <v>64759842666.910004</v>
      </c>
      <c r="G1991" s="126">
        <f t="shared" si="39"/>
        <v>0.55102511881538929</v>
      </c>
      <c r="H1991" s="120"/>
      <c r="I1991" s="120"/>
      <c r="J1991" s="116"/>
      <c r="K1991" s="116"/>
      <c r="L1991" s="116"/>
      <c r="M1991" s="116"/>
      <c r="N1991" s="116"/>
      <c r="O1991" s="116"/>
      <c r="P1991" s="116"/>
    </row>
    <row r="1992" spans="2:16" s="108" customFormat="1" ht="21.75" hidden="1" customHeight="1">
      <c r="B1992" s="109"/>
      <c r="C1992" s="122"/>
      <c r="D1992" s="219" t="s">
        <v>1555</v>
      </c>
      <c r="E1992" s="720">
        <f>SUM(E1993:E1993)</f>
        <v>931400000</v>
      </c>
      <c r="F1992" s="134">
        <v>64759842666.910004</v>
      </c>
      <c r="G1992" s="126">
        <f t="shared" si="39"/>
        <v>1.4382369716224042</v>
      </c>
      <c r="H1992" s="120"/>
      <c r="I1992" s="120"/>
      <c r="J1992" s="116"/>
      <c r="K1992" s="116"/>
      <c r="L1992" s="116"/>
      <c r="M1992" s="116"/>
      <c r="N1992" s="116"/>
      <c r="O1992" s="116"/>
      <c r="P1992" s="116"/>
    </row>
    <row r="1993" spans="2:16" s="108" customFormat="1" ht="41.25" hidden="1" customHeight="1">
      <c r="B1993" s="109"/>
      <c r="C1993" s="122"/>
      <c r="D1993" s="220" t="s">
        <v>1556</v>
      </c>
      <c r="E1993" s="725">
        <v>931400000</v>
      </c>
      <c r="F1993" s="134">
        <v>64759842666.910004</v>
      </c>
      <c r="G1993" s="126">
        <f t="shared" si="39"/>
        <v>1.4382369716224042</v>
      </c>
      <c r="H1993" s="120"/>
      <c r="I1993" s="120"/>
      <c r="J1993" s="116"/>
      <c r="K1993" s="116"/>
      <c r="L1993" s="116"/>
      <c r="M1993" s="116"/>
      <c r="N1993" s="116"/>
      <c r="O1993" s="116"/>
      <c r="P1993" s="116"/>
    </row>
    <row r="1994" spans="2:16" s="108" customFormat="1" ht="14.25" hidden="1" customHeight="1">
      <c r="B1994" s="109"/>
      <c r="C1994" s="122"/>
      <c r="D1994" s="220"/>
      <c r="E1994" s="725"/>
      <c r="F1994" s="134"/>
      <c r="G1994" s="126"/>
      <c r="H1994" s="120"/>
      <c r="I1994" s="120"/>
      <c r="J1994" s="116"/>
      <c r="K1994" s="116"/>
      <c r="L1994" s="116"/>
      <c r="M1994" s="116"/>
      <c r="N1994" s="116"/>
      <c r="O1994" s="116"/>
      <c r="P1994" s="116"/>
    </row>
    <row r="1995" spans="2:16" s="108" customFormat="1" ht="21.75" hidden="1" customHeight="1">
      <c r="B1995" s="109"/>
      <c r="C1995" s="122"/>
      <c r="D1995" s="219" t="s">
        <v>161</v>
      </c>
      <c r="E1995" s="720">
        <f>E1996+E1998</f>
        <v>9713976400.0400009</v>
      </c>
      <c r="F1995" s="134">
        <v>64759842666.910004</v>
      </c>
      <c r="G1995" s="126">
        <f t="shared" si="39"/>
        <v>15.000000000005405</v>
      </c>
      <c r="H1995" s="120"/>
      <c r="I1995" s="120"/>
      <c r="J1995" s="116"/>
      <c r="K1995" s="116"/>
      <c r="L1995" s="116"/>
      <c r="M1995" s="116"/>
      <c r="N1995" s="116"/>
      <c r="O1995" s="116"/>
      <c r="P1995" s="116"/>
    </row>
    <row r="1996" spans="2:16" s="108" customFormat="1" ht="21.75" hidden="1" customHeight="1">
      <c r="B1996" s="109"/>
      <c r="C1996" s="122"/>
      <c r="D1996" s="219" t="s">
        <v>173</v>
      </c>
      <c r="E1996" s="720">
        <f>E1997</f>
        <v>6443976400.04</v>
      </c>
      <c r="F1996" s="134">
        <v>64759842666.910004</v>
      </c>
      <c r="G1996" s="126">
        <f t="shared" si="39"/>
        <v>9.9505745144940629</v>
      </c>
      <c r="H1996" s="120"/>
      <c r="I1996" s="120"/>
      <c r="J1996" s="116"/>
      <c r="K1996" s="116"/>
      <c r="L1996" s="116"/>
      <c r="M1996" s="116"/>
      <c r="N1996" s="116"/>
      <c r="O1996" s="116"/>
      <c r="P1996" s="116"/>
    </row>
    <row r="1997" spans="2:16" s="108" customFormat="1" ht="41.25" hidden="1" customHeight="1">
      <c r="B1997" s="109"/>
      <c r="C1997" s="122"/>
      <c r="D1997" s="220" t="s">
        <v>1557</v>
      </c>
      <c r="E1997" s="725">
        <v>6443976400.04</v>
      </c>
      <c r="F1997" s="134">
        <v>64759842666.910004</v>
      </c>
      <c r="G1997" s="126">
        <f t="shared" si="39"/>
        <v>9.9505745144940629</v>
      </c>
      <c r="H1997" s="120"/>
      <c r="I1997" s="120"/>
      <c r="J1997" s="116"/>
      <c r="K1997" s="116"/>
      <c r="L1997" s="116"/>
      <c r="M1997" s="116"/>
      <c r="N1997" s="116"/>
      <c r="O1997" s="116"/>
      <c r="P1997" s="116"/>
    </row>
    <row r="1998" spans="2:16" s="108" customFormat="1" ht="21.75" hidden="1" customHeight="1">
      <c r="B1998" s="109"/>
      <c r="C1998" s="122"/>
      <c r="D1998" s="219" t="s">
        <v>212</v>
      </c>
      <c r="E1998" s="720">
        <f>E1999</f>
        <v>3270000000</v>
      </c>
      <c r="F1998" s="134">
        <v>64759842666.910004</v>
      </c>
      <c r="G1998" s="126">
        <f t="shared" si="39"/>
        <v>5.049425485511339</v>
      </c>
      <c r="H1998" s="120"/>
      <c r="I1998" s="120"/>
      <c r="J1998" s="116"/>
      <c r="K1998" s="116"/>
      <c r="L1998" s="116"/>
      <c r="M1998" s="116"/>
      <c r="N1998" s="116"/>
      <c r="O1998" s="116"/>
      <c r="P1998" s="116"/>
    </row>
    <row r="1999" spans="2:16" s="108" customFormat="1" ht="41.25" hidden="1" customHeight="1">
      <c r="B1999" s="109"/>
      <c r="C1999" s="122"/>
      <c r="D1999" s="220" t="s">
        <v>1558</v>
      </c>
      <c r="E1999" s="725">
        <v>3270000000</v>
      </c>
      <c r="F1999" s="134">
        <v>64759842666.910004</v>
      </c>
      <c r="G1999" s="126">
        <f t="shared" si="39"/>
        <v>5.049425485511339</v>
      </c>
      <c r="H1999" s="120"/>
      <c r="I1999" s="120"/>
      <c r="J1999" s="116"/>
      <c r="K1999" s="116"/>
      <c r="L1999" s="116"/>
      <c r="M1999" s="116"/>
      <c r="N1999" s="116"/>
      <c r="O1999" s="116"/>
      <c r="P1999" s="116"/>
    </row>
    <row r="2000" spans="2:16" s="108" customFormat="1" ht="15" hidden="1" customHeight="1">
      <c r="B2000" s="109"/>
      <c r="C2000" s="122"/>
      <c r="D2000" s="220"/>
      <c r="E2000" s="725"/>
      <c r="F2000" s="134"/>
      <c r="G2000" s="126"/>
      <c r="H2000" s="120"/>
      <c r="I2000" s="120"/>
      <c r="J2000" s="116"/>
      <c r="K2000" s="116"/>
      <c r="L2000" s="116"/>
      <c r="M2000" s="116"/>
      <c r="N2000" s="116"/>
      <c r="O2000" s="116"/>
      <c r="P2000" s="116"/>
    </row>
    <row r="2001" spans="2:16" s="108" customFormat="1" ht="21.75" hidden="1" customHeight="1">
      <c r="B2001" s="109"/>
      <c r="C2001" s="122"/>
      <c r="D2001" s="219" t="s">
        <v>1559</v>
      </c>
      <c r="E2001" s="720">
        <f>E2002</f>
        <v>6968800000</v>
      </c>
      <c r="F2001" s="134">
        <v>64759842666.910004</v>
      </c>
      <c r="G2001" s="126">
        <f t="shared" si="39"/>
        <v>10.760989701355175</v>
      </c>
      <c r="H2001" s="120"/>
      <c r="I2001" s="120"/>
      <c r="J2001" s="116"/>
      <c r="K2001" s="116"/>
      <c r="L2001" s="116"/>
      <c r="M2001" s="116"/>
      <c r="N2001" s="116"/>
      <c r="O2001" s="116"/>
      <c r="P2001" s="116"/>
    </row>
    <row r="2002" spans="2:16" s="108" customFormat="1" ht="21.75" hidden="1" customHeight="1">
      <c r="B2002" s="109"/>
      <c r="C2002" s="122"/>
      <c r="D2002" s="219" t="s">
        <v>1560</v>
      </c>
      <c r="E2002" s="720">
        <f>E2003</f>
        <v>6968800000</v>
      </c>
      <c r="F2002" s="134">
        <v>64759842666.910004</v>
      </c>
      <c r="G2002" s="126">
        <f t="shared" si="39"/>
        <v>10.760989701355175</v>
      </c>
      <c r="H2002" s="120"/>
      <c r="I2002" s="120"/>
      <c r="J2002" s="116"/>
      <c r="K2002" s="116"/>
      <c r="L2002" s="116"/>
      <c r="M2002" s="116"/>
      <c r="N2002" s="116"/>
      <c r="O2002" s="116"/>
      <c r="P2002" s="116"/>
    </row>
    <row r="2003" spans="2:16" s="108" customFormat="1" ht="21.75" hidden="1" customHeight="1">
      <c r="B2003" s="109"/>
      <c r="C2003" s="122"/>
      <c r="D2003" s="220" t="s">
        <v>1561</v>
      </c>
      <c r="E2003" s="725">
        <v>6968800000</v>
      </c>
      <c r="F2003" s="134">
        <v>64759842666.910004</v>
      </c>
      <c r="G2003" s="126">
        <f t="shared" si="39"/>
        <v>10.760989701355175</v>
      </c>
      <c r="H2003" s="120"/>
      <c r="I2003" s="120"/>
      <c r="J2003" s="116"/>
      <c r="K2003" s="116"/>
      <c r="L2003" s="116"/>
      <c r="M2003" s="116"/>
      <c r="N2003" s="116"/>
      <c r="O2003" s="116"/>
      <c r="P2003" s="116"/>
    </row>
    <row r="2004" spans="2:16" s="108" customFormat="1" ht="15" hidden="1" customHeight="1">
      <c r="B2004" s="109"/>
      <c r="C2004" s="122"/>
      <c r="D2004" s="220"/>
      <c r="E2004" s="725"/>
      <c r="F2004" s="134"/>
      <c r="G2004" s="126"/>
      <c r="H2004" s="120"/>
      <c r="I2004" s="120"/>
      <c r="J2004" s="116"/>
      <c r="K2004" s="116"/>
      <c r="L2004" s="116"/>
      <c r="M2004" s="116"/>
      <c r="N2004" s="116"/>
      <c r="O2004" s="116"/>
      <c r="P2004" s="116"/>
    </row>
    <row r="2005" spans="2:16" s="108" customFormat="1" ht="21.75" hidden="1" customHeight="1">
      <c r="B2005" s="109"/>
      <c r="C2005" s="122"/>
      <c r="D2005" s="219" t="s">
        <v>1562</v>
      </c>
      <c r="E2005" s="720">
        <f>E2006</f>
        <v>12000000000</v>
      </c>
      <c r="F2005" s="134">
        <v>64759842666.910004</v>
      </c>
      <c r="G2005" s="126">
        <f t="shared" si="39"/>
        <v>18.530001781692988</v>
      </c>
      <c r="H2005" s="120"/>
      <c r="I2005" s="120"/>
      <c r="J2005" s="116"/>
      <c r="K2005" s="116"/>
      <c r="L2005" s="116"/>
      <c r="M2005" s="116"/>
      <c r="N2005" s="116"/>
      <c r="O2005" s="116"/>
      <c r="P2005" s="116"/>
    </row>
    <row r="2006" spans="2:16" s="108" customFormat="1" ht="21.75" hidden="1" customHeight="1">
      <c r="B2006" s="109"/>
      <c r="C2006" s="122"/>
      <c r="D2006" s="219" t="s">
        <v>498</v>
      </c>
      <c r="E2006" s="720">
        <f>E2007</f>
        <v>12000000000</v>
      </c>
      <c r="F2006" s="134">
        <v>64759842666.910004</v>
      </c>
      <c r="G2006" s="126">
        <f t="shared" si="39"/>
        <v>18.530001781692988</v>
      </c>
      <c r="H2006" s="120"/>
      <c r="I2006" s="120"/>
      <c r="J2006" s="116"/>
      <c r="K2006" s="116"/>
      <c r="L2006" s="116"/>
      <c r="M2006" s="116"/>
      <c r="N2006" s="116"/>
      <c r="O2006" s="116"/>
      <c r="P2006" s="116"/>
    </row>
    <row r="2007" spans="2:16" s="108" customFormat="1" ht="21.75" hidden="1" customHeight="1">
      <c r="B2007" s="109"/>
      <c r="C2007" s="122"/>
      <c r="D2007" s="220" t="s">
        <v>1563</v>
      </c>
      <c r="E2007" s="725">
        <v>12000000000</v>
      </c>
      <c r="F2007" s="134">
        <v>64759842666.910004</v>
      </c>
      <c r="G2007" s="126">
        <f t="shared" si="39"/>
        <v>18.530001781692988</v>
      </c>
      <c r="H2007" s="120"/>
      <c r="I2007" s="120"/>
      <c r="J2007" s="116"/>
      <c r="K2007" s="116"/>
      <c r="L2007" s="116"/>
      <c r="M2007" s="116"/>
      <c r="N2007" s="116"/>
      <c r="O2007" s="116"/>
      <c r="P2007" s="116"/>
    </row>
    <row r="2008" spans="2:16" s="108" customFormat="1" ht="15" hidden="1" customHeight="1">
      <c r="B2008" s="109"/>
      <c r="C2008" s="122"/>
      <c r="D2008" s="220"/>
      <c r="E2008" s="725"/>
      <c r="F2008" s="134"/>
      <c r="G2008" s="126"/>
      <c r="H2008" s="120"/>
      <c r="I2008" s="120"/>
      <c r="J2008" s="116"/>
      <c r="K2008" s="116"/>
      <c r="L2008" s="116"/>
      <c r="M2008" s="116"/>
      <c r="N2008" s="116"/>
      <c r="O2008" s="116"/>
      <c r="P2008" s="116"/>
    </row>
    <row r="2009" spans="2:16" s="108" customFormat="1" ht="21.75" hidden="1" customHeight="1">
      <c r="B2009" s="109"/>
      <c r="C2009" s="122"/>
      <c r="D2009" s="219" t="s">
        <v>1564</v>
      </c>
      <c r="E2009" s="720">
        <f>E2010</f>
        <v>2546200000</v>
      </c>
      <c r="F2009" s="134">
        <v>64759842666.910004</v>
      </c>
      <c r="G2009" s="126">
        <f t="shared" si="39"/>
        <v>3.9317575447122244</v>
      </c>
      <c r="H2009" s="120"/>
      <c r="I2009" s="120"/>
      <c r="J2009" s="116"/>
      <c r="K2009" s="116"/>
      <c r="L2009" s="116"/>
      <c r="M2009" s="116"/>
      <c r="N2009" s="116"/>
      <c r="O2009" s="116"/>
      <c r="P2009" s="116"/>
    </row>
    <row r="2010" spans="2:16" s="108" customFormat="1" ht="21.75" hidden="1" customHeight="1">
      <c r="B2010" s="109"/>
      <c r="C2010" s="122"/>
      <c r="D2010" s="219" t="s">
        <v>1565</v>
      </c>
      <c r="E2010" s="720">
        <f>E2011</f>
        <v>2546200000</v>
      </c>
      <c r="F2010" s="134">
        <v>64759842666.910004</v>
      </c>
      <c r="G2010" s="126">
        <f t="shared" si="39"/>
        <v>3.9317575447122244</v>
      </c>
      <c r="H2010" s="120"/>
      <c r="I2010" s="120"/>
      <c r="J2010" s="116"/>
      <c r="K2010" s="116"/>
      <c r="L2010" s="116"/>
      <c r="M2010" s="116"/>
      <c r="N2010" s="116"/>
      <c r="O2010" s="116"/>
      <c r="P2010" s="116"/>
    </row>
    <row r="2011" spans="2:16" s="108" customFormat="1" ht="52.5" hidden="1" customHeight="1">
      <c r="B2011" s="109"/>
      <c r="C2011" s="122"/>
      <c r="D2011" s="220" t="s">
        <v>1566</v>
      </c>
      <c r="E2011" s="725">
        <v>2546200000</v>
      </c>
      <c r="F2011" s="134">
        <v>64759842666.910004</v>
      </c>
      <c r="G2011" s="126">
        <f t="shared" si="39"/>
        <v>3.9317575447122244</v>
      </c>
      <c r="H2011" s="120"/>
      <c r="I2011" s="120"/>
      <c r="J2011" s="116"/>
      <c r="K2011" s="116"/>
      <c r="L2011" s="116"/>
      <c r="M2011" s="116"/>
      <c r="N2011" s="116"/>
      <c r="O2011" s="116"/>
      <c r="P2011" s="116"/>
    </row>
    <row r="2012" spans="2:16" s="108" customFormat="1" ht="15" hidden="1" customHeight="1">
      <c r="B2012" s="109"/>
      <c r="C2012" s="122"/>
      <c r="D2012" s="220"/>
      <c r="E2012" s="725"/>
      <c r="F2012" s="134"/>
      <c r="G2012" s="126"/>
      <c r="H2012" s="120"/>
      <c r="I2012" s="120"/>
      <c r="J2012" s="116"/>
      <c r="K2012" s="116"/>
      <c r="L2012" s="116"/>
      <c r="M2012" s="116"/>
      <c r="N2012" s="116"/>
      <c r="O2012" s="116"/>
      <c r="P2012" s="116"/>
    </row>
    <row r="2013" spans="2:16" s="108" customFormat="1" ht="21.75" hidden="1" customHeight="1">
      <c r="B2013" s="109"/>
      <c r="C2013" s="122"/>
      <c r="D2013" s="219" t="s">
        <v>1567</v>
      </c>
      <c r="E2013" s="720">
        <f>E2014+E2016+E2019+E2021+E2023+E2025</f>
        <v>6654819413.54</v>
      </c>
      <c r="F2013" s="134">
        <v>64759842666.910004</v>
      </c>
      <c r="G2013" s="126">
        <f t="shared" si="39"/>
        <v>10.276151299145107</v>
      </c>
      <c r="H2013" s="120"/>
      <c r="I2013" s="120"/>
      <c r="J2013" s="116"/>
      <c r="K2013" s="116"/>
      <c r="L2013" s="116"/>
      <c r="M2013" s="116"/>
      <c r="N2013" s="116"/>
      <c r="O2013" s="116"/>
      <c r="P2013" s="116"/>
    </row>
    <row r="2014" spans="2:16" s="108" customFormat="1" ht="21.75" hidden="1" customHeight="1">
      <c r="B2014" s="109"/>
      <c r="C2014" s="122"/>
      <c r="D2014" s="219" t="s">
        <v>1428</v>
      </c>
      <c r="E2014" s="720">
        <f>SUM(E2015:E2015)</f>
        <v>608953000</v>
      </c>
      <c r="F2014" s="134">
        <v>64759842666.910004</v>
      </c>
      <c r="G2014" s="126">
        <f t="shared" si="39"/>
        <v>0.94032501458060758</v>
      </c>
      <c r="H2014" s="120"/>
      <c r="I2014" s="120"/>
      <c r="J2014" s="116"/>
      <c r="K2014" s="116"/>
      <c r="L2014" s="116"/>
      <c r="M2014" s="116"/>
      <c r="N2014" s="116"/>
      <c r="O2014" s="116"/>
      <c r="P2014" s="116"/>
    </row>
    <row r="2015" spans="2:16" s="108" customFormat="1" ht="21.75" hidden="1" customHeight="1">
      <c r="B2015" s="109"/>
      <c r="C2015" s="122"/>
      <c r="D2015" s="220" t="s">
        <v>1568</v>
      </c>
      <c r="E2015" s="725">
        <v>608953000</v>
      </c>
      <c r="F2015" s="134">
        <v>64759842666.910004</v>
      </c>
      <c r="G2015" s="126">
        <f t="shared" si="39"/>
        <v>0.94032501458060758</v>
      </c>
      <c r="H2015" s="120"/>
      <c r="I2015" s="120"/>
      <c r="J2015" s="116"/>
      <c r="K2015" s="116"/>
      <c r="L2015" s="116"/>
      <c r="M2015" s="116"/>
      <c r="N2015" s="116"/>
      <c r="O2015" s="116"/>
      <c r="P2015" s="116"/>
    </row>
    <row r="2016" spans="2:16" s="108" customFormat="1" ht="21.75" hidden="1" customHeight="1">
      <c r="B2016" s="109"/>
      <c r="C2016" s="122"/>
      <c r="D2016" s="219" t="s">
        <v>912</v>
      </c>
      <c r="E2016" s="720">
        <f>SUM(E2017:E2018)</f>
        <v>2262312000</v>
      </c>
      <c r="F2016" s="134">
        <v>64759842666.910004</v>
      </c>
      <c r="G2016" s="126">
        <f t="shared" si="39"/>
        <v>3.4933871158954521</v>
      </c>
      <c r="H2016" s="120"/>
      <c r="I2016" s="120"/>
      <c r="J2016" s="116"/>
      <c r="K2016" s="116"/>
      <c r="L2016" s="116"/>
      <c r="M2016" s="116"/>
      <c r="N2016" s="116"/>
      <c r="O2016" s="116"/>
      <c r="P2016" s="116"/>
    </row>
    <row r="2017" spans="2:16" s="108" customFormat="1" ht="21.75" hidden="1" customHeight="1">
      <c r="B2017" s="109"/>
      <c r="C2017" s="122"/>
      <c r="D2017" s="220" t="s">
        <v>1569</v>
      </c>
      <c r="E2017" s="725">
        <v>487034500</v>
      </c>
      <c r="F2017" s="134">
        <v>64759842666.910004</v>
      </c>
      <c r="G2017" s="126">
        <f t="shared" si="39"/>
        <v>0.75206251272882951</v>
      </c>
      <c r="H2017" s="120"/>
      <c r="I2017" s="120"/>
      <c r="J2017" s="116"/>
      <c r="K2017" s="116"/>
      <c r="L2017" s="116"/>
      <c r="M2017" s="116"/>
      <c r="N2017" s="116"/>
      <c r="O2017" s="116"/>
      <c r="P2017" s="116"/>
    </row>
    <row r="2018" spans="2:16" s="108" customFormat="1" ht="21.75" hidden="1" customHeight="1">
      <c r="B2018" s="109"/>
      <c r="C2018" s="122"/>
      <c r="D2018" s="220" t="s">
        <v>1570</v>
      </c>
      <c r="E2018" s="725">
        <v>1775277500</v>
      </c>
      <c r="F2018" s="134">
        <v>64759842666.910004</v>
      </c>
      <c r="G2018" s="126">
        <f t="shared" si="39"/>
        <v>2.741324603166623</v>
      </c>
      <c r="H2018" s="120"/>
      <c r="I2018" s="120"/>
      <c r="J2018" s="116"/>
      <c r="K2018" s="116"/>
      <c r="L2018" s="116"/>
      <c r="M2018" s="116"/>
      <c r="N2018" s="116"/>
      <c r="O2018" s="116"/>
      <c r="P2018" s="116"/>
    </row>
    <row r="2019" spans="2:16" s="108" customFormat="1" ht="21.75" hidden="1" customHeight="1">
      <c r="B2019" s="109"/>
      <c r="C2019" s="122"/>
      <c r="D2019" s="219" t="s">
        <v>310</v>
      </c>
      <c r="E2019" s="720">
        <f>E2020</f>
        <v>900000000</v>
      </c>
      <c r="F2019" s="134">
        <v>64759842666.910004</v>
      </c>
      <c r="G2019" s="126">
        <f t="shared" si="39"/>
        <v>1.3897501336269742</v>
      </c>
      <c r="H2019" s="120"/>
      <c r="I2019" s="120"/>
      <c r="J2019" s="116"/>
      <c r="K2019" s="116"/>
      <c r="L2019" s="116"/>
      <c r="M2019" s="116"/>
      <c r="N2019" s="116"/>
      <c r="O2019" s="116"/>
      <c r="P2019" s="116"/>
    </row>
    <row r="2020" spans="2:16" s="108" customFormat="1" ht="21.75" hidden="1" customHeight="1">
      <c r="B2020" s="109"/>
      <c r="C2020" s="122"/>
      <c r="D2020" s="220" t="s">
        <v>1571</v>
      </c>
      <c r="E2020" s="725">
        <v>900000000</v>
      </c>
      <c r="F2020" s="134">
        <v>64759842666.910004</v>
      </c>
      <c r="G2020" s="126">
        <f t="shared" si="39"/>
        <v>1.3897501336269742</v>
      </c>
      <c r="H2020" s="120"/>
      <c r="I2020" s="120"/>
      <c r="J2020" s="116"/>
      <c r="K2020" s="116"/>
      <c r="L2020" s="116"/>
      <c r="M2020" s="116"/>
      <c r="N2020" s="116"/>
      <c r="O2020" s="116"/>
      <c r="P2020" s="116"/>
    </row>
    <row r="2021" spans="2:16" s="108" customFormat="1" ht="21.75" hidden="1" customHeight="1">
      <c r="B2021" s="109"/>
      <c r="C2021" s="122"/>
      <c r="D2021" s="219" t="s">
        <v>312</v>
      </c>
      <c r="E2021" s="720">
        <f>SUM(E2022:E2022)</f>
        <v>1608250000</v>
      </c>
      <c r="F2021" s="134">
        <v>64759842666.910004</v>
      </c>
      <c r="G2021" s="126">
        <f t="shared" si="39"/>
        <v>2.4834062804506458</v>
      </c>
      <c r="H2021" s="120"/>
      <c r="I2021" s="120"/>
      <c r="J2021" s="116"/>
      <c r="K2021" s="116"/>
      <c r="L2021" s="116"/>
      <c r="M2021" s="116"/>
      <c r="N2021" s="116"/>
      <c r="O2021" s="116"/>
      <c r="P2021" s="116"/>
    </row>
    <row r="2022" spans="2:16" s="108" customFormat="1" ht="21.75" hidden="1" customHeight="1">
      <c r="B2022" s="109"/>
      <c r="C2022" s="122"/>
      <c r="D2022" s="220" t="s">
        <v>1572</v>
      </c>
      <c r="E2022" s="725">
        <v>1608250000</v>
      </c>
      <c r="F2022" s="134">
        <v>64759842666.910004</v>
      </c>
      <c r="G2022" s="126">
        <f t="shared" si="39"/>
        <v>2.4834062804506458</v>
      </c>
      <c r="H2022" s="120"/>
      <c r="I2022" s="120"/>
      <c r="J2022" s="116"/>
      <c r="K2022" s="116"/>
      <c r="L2022" s="116"/>
      <c r="M2022" s="116"/>
      <c r="N2022" s="116"/>
      <c r="O2022" s="116"/>
      <c r="P2022" s="116"/>
    </row>
    <row r="2023" spans="2:16" s="108" customFormat="1" ht="21.75" hidden="1" customHeight="1">
      <c r="B2023" s="109"/>
      <c r="C2023" s="122"/>
      <c r="D2023" s="219" t="s">
        <v>317</v>
      </c>
      <c r="E2023" s="720">
        <f>SUM(E2024:E2024)</f>
        <v>194450000</v>
      </c>
      <c r="F2023" s="134">
        <v>64759842666.910004</v>
      </c>
      <c r="G2023" s="126">
        <f t="shared" si="39"/>
        <v>0.30026323720418346</v>
      </c>
      <c r="H2023" s="120"/>
      <c r="I2023" s="120"/>
      <c r="J2023" s="116"/>
      <c r="K2023" s="116"/>
      <c r="L2023" s="116"/>
      <c r="M2023" s="116"/>
      <c r="N2023" s="116"/>
      <c r="O2023" s="116"/>
      <c r="P2023" s="116"/>
    </row>
    <row r="2024" spans="2:16" s="108" customFormat="1" ht="21.75" hidden="1" customHeight="1">
      <c r="B2024" s="109"/>
      <c r="C2024" s="122"/>
      <c r="D2024" s="220" t="s">
        <v>1573</v>
      </c>
      <c r="E2024" s="725">
        <v>194450000</v>
      </c>
      <c r="F2024" s="134">
        <v>64759842666.910004</v>
      </c>
      <c r="G2024" s="126">
        <f t="shared" si="39"/>
        <v>0.30026323720418346</v>
      </c>
      <c r="H2024" s="120"/>
      <c r="I2024" s="120"/>
      <c r="J2024" s="116"/>
      <c r="K2024" s="116"/>
      <c r="L2024" s="116"/>
      <c r="M2024" s="116"/>
      <c r="N2024" s="116"/>
      <c r="O2024" s="116"/>
      <c r="P2024" s="116"/>
    </row>
    <row r="2025" spans="2:16" s="108" customFormat="1" ht="21.75" hidden="1" customHeight="1">
      <c r="B2025" s="109"/>
      <c r="C2025" s="122"/>
      <c r="D2025" s="219" t="s">
        <v>321</v>
      </c>
      <c r="E2025" s="720">
        <f>SUM(E2026:E2026)</f>
        <v>1080854413.54</v>
      </c>
      <c r="F2025" s="134">
        <v>64759842666.910004</v>
      </c>
      <c r="G2025" s="126">
        <f t="shared" si="39"/>
        <v>1.6690195173872442</v>
      </c>
      <c r="H2025" s="120"/>
      <c r="I2025" s="120"/>
      <c r="J2025" s="116"/>
      <c r="K2025" s="116"/>
      <c r="L2025" s="116"/>
      <c r="M2025" s="116"/>
      <c r="N2025" s="116"/>
      <c r="O2025" s="116"/>
      <c r="P2025" s="116"/>
    </row>
    <row r="2026" spans="2:16" s="108" customFormat="1" ht="21.75" hidden="1" customHeight="1">
      <c r="B2026" s="109"/>
      <c r="C2026" s="122"/>
      <c r="D2026" s="220" t="s">
        <v>1574</v>
      </c>
      <c r="E2026" s="725">
        <v>1080854413.54</v>
      </c>
      <c r="F2026" s="134">
        <v>64759842666.910004</v>
      </c>
      <c r="G2026" s="126">
        <f t="shared" si="39"/>
        <v>1.6690195173872442</v>
      </c>
      <c r="H2026" s="120"/>
      <c r="I2026" s="120"/>
      <c r="J2026" s="116"/>
      <c r="K2026" s="116"/>
      <c r="L2026" s="116"/>
      <c r="M2026" s="116"/>
      <c r="N2026" s="116"/>
      <c r="O2026" s="116"/>
      <c r="P2026" s="116"/>
    </row>
    <row r="2027" spans="2:16" s="108" customFormat="1" ht="15" hidden="1" customHeight="1">
      <c r="B2027" s="109"/>
      <c r="C2027" s="122"/>
      <c r="D2027" s="220"/>
      <c r="E2027" s="725"/>
      <c r="F2027" s="134"/>
      <c r="G2027" s="126"/>
      <c r="H2027" s="120"/>
      <c r="I2027" s="120"/>
      <c r="J2027" s="116"/>
      <c r="K2027" s="116"/>
      <c r="L2027" s="116"/>
      <c r="M2027" s="116"/>
      <c r="N2027" s="116"/>
      <c r="O2027" s="116"/>
      <c r="P2027" s="116"/>
    </row>
    <row r="2028" spans="2:16" s="108" customFormat="1" ht="41.25" hidden="1" customHeight="1">
      <c r="B2028" s="109"/>
      <c r="C2028" s="122"/>
      <c r="D2028" s="219" t="s">
        <v>1575</v>
      </c>
      <c r="E2028" s="720">
        <f>E2029+E2031+E2033</f>
        <v>6150000000</v>
      </c>
      <c r="F2028" s="134">
        <v>64759842666.910004</v>
      </c>
      <c r="G2028" s="126">
        <f t="shared" si="39"/>
        <v>9.496625913117656</v>
      </c>
      <c r="H2028" s="120"/>
      <c r="I2028" s="120"/>
      <c r="J2028" s="116"/>
      <c r="K2028" s="116"/>
      <c r="L2028" s="116"/>
      <c r="M2028" s="116"/>
      <c r="N2028" s="116"/>
      <c r="O2028" s="116"/>
      <c r="P2028" s="116"/>
    </row>
    <row r="2029" spans="2:16" s="108" customFormat="1" ht="21.75" hidden="1" customHeight="1">
      <c r="B2029" s="109"/>
      <c r="C2029" s="122"/>
      <c r="D2029" s="219" t="s">
        <v>1433</v>
      </c>
      <c r="E2029" s="720">
        <f>SUM(E2030:E2030)</f>
        <v>2330972000</v>
      </c>
      <c r="F2029" s="134">
        <v>64759842666.910004</v>
      </c>
      <c r="G2029" s="126">
        <f t="shared" si="39"/>
        <v>3.5994096094230392</v>
      </c>
      <c r="H2029" s="120"/>
      <c r="I2029" s="120"/>
      <c r="J2029" s="116"/>
      <c r="K2029" s="116"/>
      <c r="L2029" s="116"/>
      <c r="M2029" s="116"/>
      <c r="N2029" s="116"/>
      <c r="O2029" s="116"/>
      <c r="P2029" s="116"/>
    </row>
    <row r="2030" spans="2:16" s="108" customFormat="1" ht="41.25" hidden="1" customHeight="1">
      <c r="B2030" s="109"/>
      <c r="C2030" s="122"/>
      <c r="D2030" s="220" t="s">
        <v>1576</v>
      </c>
      <c r="E2030" s="725">
        <v>2330972000</v>
      </c>
      <c r="F2030" s="134">
        <v>64759842666.910004</v>
      </c>
      <c r="G2030" s="126">
        <f t="shared" si="39"/>
        <v>3.5994096094230392</v>
      </c>
      <c r="H2030" s="120"/>
      <c r="I2030" s="120"/>
      <c r="J2030" s="116"/>
      <c r="K2030" s="116"/>
      <c r="L2030" s="116"/>
      <c r="M2030" s="116"/>
      <c r="N2030" s="116"/>
      <c r="O2030" s="116"/>
      <c r="P2030" s="116"/>
    </row>
    <row r="2031" spans="2:16" s="108" customFormat="1" ht="21.75" hidden="1" customHeight="1">
      <c r="B2031" s="109"/>
      <c r="C2031" s="122"/>
      <c r="D2031" s="219" t="s">
        <v>1577</v>
      </c>
      <c r="E2031" s="720">
        <f>SUM(E2032:E2032)</f>
        <v>2328111000</v>
      </c>
      <c r="F2031" s="134">
        <v>64759842666.910004</v>
      </c>
      <c r="G2031" s="126">
        <f t="shared" si="39"/>
        <v>3.5949917481649205</v>
      </c>
      <c r="H2031" s="120"/>
      <c r="I2031" s="120"/>
      <c r="J2031" s="116"/>
      <c r="K2031" s="116"/>
      <c r="L2031" s="116"/>
      <c r="M2031" s="116"/>
      <c r="N2031" s="116"/>
      <c r="O2031" s="116"/>
      <c r="P2031" s="116"/>
    </row>
    <row r="2032" spans="2:16" s="108" customFormat="1" ht="41.25" hidden="1" customHeight="1">
      <c r="B2032" s="109"/>
      <c r="C2032" s="122"/>
      <c r="D2032" s="220" t="s">
        <v>1578</v>
      </c>
      <c r="E2032" s="725">
        <v>2328111000</v>
      </c>
      <c r="F2032" s="134">
        <v>64759842666.910004</v>
      </c>
      <c r="G2032" s="126">
        <f t="shared" si="39"/>
        <v>3.5949917481649205</v>
      </c>
      <c r="H2032" s="120"/>
      <c r="I2032" s="120"/>
      <c r="J2032" s="116"/>
      <c r="K2032" s="116"/>
      <c r="L2032" s="116"/>
      <c r="M2032" s="116"/>
      <c r="N2032" s="116"/>
      <c r="O2032" s="116"/>
      <c r="P2032" s="116"/>
    </row>
    <row r="2033" spans="2:16" s="108" customFormat="1" ht="21.75" hidden="1" customHeight="1">
      <c r="B2033" s="109"/>
      <c r="C2033" s="122"/>
      <c r="D2033" s="219" t="s">
        <v>1423</v>
      </c>
      <c r="E2033" s="720">
        <f>SUM(E2034:E2034)</f>
        <v>1490917000</v>
      </c>
      <c r="F2033" s="134">
        <v>64759842666.910004</v>
      </c>
      <c r="G2033" s="126">
        <f t="shared" si="39"/>
        <v>2.3022245555296972</v>
      </c>
      <c r="H2033" s="120"/>
      <c r="I2033" s="120"/>
      <c r="J2033" s="116"/>
      <c r="K2033" s="116"/>
      <c r="L2033" s="116"/>
      <c r="M2033" s="116"/>
      <c r="N2033" s="116"/>
      <c r="O2033" s="116"/>
      <c r="P2033" s="116"/>
    </row>
    <row r="2034" spans="2:16" s="108" customFormat="1" ht="41.25" hidden="1" customHeight="1">
      <c r="B2034" s="109"/>
      <c r="C2034" s="122"/>
      <c r="D2034" s="220" t="s">
        <v>1579</v>
      </c>
      <c r="E2034" s="725">
        <v>1490917000</v>
      </c>
      <c r="F2034" s="134">
        <v>64759842666.910004</v>
      </c>
      <c r="G2034" s="126">
        <f t="shared" si="39"/>
        <v>2.3022245555296972</v>
      </c>
      <c r="H2034" s="120"/>
      <c r="I2034" s="120"/>
      <c r="J2034" s="116"/>
      <c r="K2034" s="116"/>
      <c r="L2034" s="116"/>
      <c r="M2034" s="116"/>
      <c r="N2034" s="116"/>
      <c r="O2034" s="116"/>
      <c r="P2034" s="116"/>
    </row>
    <row r="2035" spans="2:16" s="108" customFormat="1" ht="15" hidden="1" customHeight="1">
      <c r="B2035" s="109"/>
      <c r="C2035" s="122"/>
      <c r="D2035" s="220"/>
      <c r="E2035" s="725"/>
      <c r="F2035" s="134"/>
      <c r="G2035" s="126"/>
      <c r="H2035" s="120"/>
      <c r="I2035" s="120"/>
      <c r="J2035" s="116"/>
      <c r="K2035" s="116"/>
      <c r="L2035" s="116"/>
      <c r="M2035" s="116"/>
      <c r="N2035" s="116"/>
      <c r="O2035" s="116"/>
      <c r="P2035" s="116"/>
    </row>
    <row r="2036" spans="2:16" s="108" customFormat="1" ht="21.75" hidden="1" customHeight="1">
      <c r="B2036" s="109"/>
      <c r="C2036" s="122"/>
      <c r="D2036" s="219" t="s">
        <v>1580</v>
      </c>
      <c r="E2036" s="720">
        <f>E2037</f>
        <v>1295196853.3299999</v>
      </c>
      <c r="F2036" s="134">
        <v>64759842666.910004</v>
      </c>
      <c r="G2036" s="126">
        <f t="shared" si="39"/>
        <v>1.9999999999873377</v>
      </c>
      <c r="H2036" s="120"/>
      <c r="I2036" s="120"/>
      <c r="J2036" s="116"/>
      <c r="K2036" s="116"/>
      <c r="L2036" s="116"/>
      <c r="M2036" s="116"/>
      <c r="N2036" s="116"/>
      <c r="O2036" s="116"/>
      <c r="P2036" s="116"/>
    </row>
    <row r="2037" spans="2:16" s="108" customFormat="1" ht="21.75" hidden="1" customHeight="1">
      <c r="B2037" s="109"/>
      <c r="C2037" s="122"/>
      <c r="D2037" s="219" t="s">
        <v>439</v>
      </c>
      <c r="E2037" s="720">
        <f>SUM(E2038:E2040)</f>
        <v>1295196853.3299999</v>
      </c>
      <c r="F2037" s="113">
        <v>64759842666.910004</v>
      </c>
      <c r="G2037" s="126">
        <f t="shared" si="39"/>
        <v>1.9999999999873377</v>
      </c>
      <c r="H2037" s="120"/>
      <c r="I2037" s="120"/>
      <c r="J2037" s="116"/>
      <c r="K2037" s="116"/>
      <c r="L2037" s="116"/>
      <c r="M2037" s="116"/>
      <c r="N2037" s="116"/>
      <c r="O2037" s="116"/>
      <c r="P2037" s="116"/>
    </row>
    <row r="2038" spans="2:16" s="108" customFormat="1" ht="41.25" hidden="1" customHeight="1">
      <c r="B2038" s="109"/>
      <c r="C2038" s="122"/>
      <c r="D2038" s="220" t="s">
        <v>1581</v>
      </c>
      <c r="E2038" s="725">
        <v>458146853.32999998</v>
      </c>
      <c r="F2038" s="113">
        <v>64759842666.910004</v>
      </c>
      <c r="G2038" s="126">
        <f t="shared" si="39"/>
        <v>0.70745516737349468</v>
      </c>
      <c r="H2038" s="120"/>
      <c r="I2038" s="120"/>
      <c r="J2038" s="116"/>
      <c r="K2038" s="116"/>
      <c r="L2038" s="116"/>
      <c r="M2038" s="116"/>
      <c r="N2038" s="116"/>
      <c r="O2038" s="116"/>
      <c r="P2038" s="116"/>
    </row>
    <row r="2039" spans="2:16" s="108" customFormat="1" ht="41.25" hidden="1" customHeight="1">
      <c r="B2039" s="109"/>
      <c r="C2039" s="122"/>
      <c r="D2039" s="220" t="s">
        <v>1582</v>
      </c>
      <c r="E2039" s="725">
        <v>250000000</v>
      </c>
      <c r="F2039" s="113">
        <v>64759842666.910004</v>
      </c>
      <c r="G2039" s="126">
        <f t="shared" si="39"/>
        <v>0.38604170378527058</v>
      </c>
      <c r="H2039" s="120"/>
      <c r="I2039" s="120"/>
      <c r="J2039" s="116"/>
      <c r="K2039" s="116"/>
      <c r="L2039" s="116"/>
      <c r="M2039" s="116"/>
      <c r="N2039" s="116"/>
      <c r="O2039" s="116"/>
      <c r="P2039" s="116"/>
    </row>
    <row r="2040" spans="2:16" s="108" customFormat="1" ht="41.25" hidden="1" customHeight="1">
      <c r="B2040" s="109"/>
      <c r="C2040" s="122"/>
      <c r="D2040" s="220" t="s">
        <v>1583</v>
      </c>
      <c r="E2040" s="725">
        <v>587050000</v>
      </c>
      <c r="F2040" s="113">
        <v>64759842666.910004</v>
      </c>
      <c r="G2040" s="126">
        <f t="shared" si="39"/>
        <v>0.90650312882857242</v>
      </c>
      <c r="H2040" s="120"/>
      <c r="I2040" s="120"/>
      <c r="J2040" s="116"/>
      <c r="K2040" s="116"/>
      <c r="L2040" s="116"/>
      <c r="M2040" s="116"/>
      <c r="N2040" s="116"/>
      <c r="O2040" s="116"/>
      <c r="P2040" s="116"/>
    </row>
    <row r="2041" spans="2:16" s="108" customFormat="1" ht="15" hidden="1" customHeight="1">
      <c r="B2041" s="109"/>
      <c r="C2041" s="122"/>
      <c r="D2041" s="123"/>
      <c r="E2041" s="125"/>
      <c r="F2041" s="113"/>
      <c r="G2041" s="126"/>
      <c r="H2041" s="120"/>
      <c r="I2041" s="120"/>
      <c r="J2041" s="116"/>
      <c r="K2041" s="116"/>
      <c r="L2041" s="116"/>
      <c r="M2041" s="116"/>
      <c r="N2041" s="116"/>
      <c r="O2041" s="116"/>
      <c r="P2041" s="116"/>
    </row>
    <row r="2042" spans="2:16" s="117" customFormat="1" ht="21.75" hidden="1" customHeight="1">
      <c r="B2042" s="118"/>
      <c r="C2042" s="110" t="s">
        <v>1584</v>
      </c>
      <c r="D2042" s="221" t="s">
        <v>1585</v>
      </c>
      <c r="E2042" s="775">
        <f>E2043+E2061+E2064+E2091+E2101+E2107+E2111+E2116+E2124+E2128+E2132+E2138+E2144+E2156+E2160</f>
        <v>44404979591.989998</v>
      </c>
      <c r="F2042" s="131">
        <v>1557405258400.0002</v>
      </c>
      <c r="G2042" s="127">
        <f>+E2042/F2042*100</f>
        <v>2.851215465755486</v>
      </c>
      <c r="H2042" s="120"/>
      <c r="I2042" s="120"/>
      <c r="J2042" s="121"/>
      <c r="K2042" s="121"/>
      <c r="L2042" s="121"/>
      <c r="M2042" s="121"/>
      <c r="N2042" s="121"/>
      <c r="O2042" s="121"/>
      <c r="P2042" s="121"/>
    </row>
    <row r="2043" spans="2:16" s="117" customFormat="1" ht="21.75" hidden="1" customHeight="1">
      <c r="B2043" s="118"/>
      <c r="C2043" s="110"/>
      <c r="D2043" s="221" t="s">
        <v>1586</v>
      </c>
      <c r="E2043" s="776">
        <f>E2044+E2048+E2054+E2056</f>
        <v>18559929236</v>
      </c>
      <c r="F2043" s="114">
        <v>44404979591.989998</v>
      </c>
      <c r="G2043" s="127">
        <f>+E2043/F2043*100</f>
        <v>41.796954770694086</v>
      </c>
      <c r="H2043" s="120"/>
      <c r="I2043" s="120"/>
      <c r="J2043" s="121"/>
      <c r="K2043" s="121"/>
      <c r="L2043" s="121"/>
      <c r="M2043" s="121"/>
      <c r="N2043" s="121"/>
      <c r="O2043" s="121"/>
      <c r="P2043" s="121"/>
    </row>
    <row r="2044" spans="2:16" s="117" customFormat="1" ht="21.75" hidden="1" customHeight="1">
      <c r="B2044" s="118"/>
      <c r="C2044" s="110"/>
      <c r="D2044" s="150" t="s">
        <v>1587</v>
      </c>
      <c r="E2044" s="776">
        <f>SUM(E2045:E2047)</f>
        <v>2036900000</v>
      </c>
      <c r="F2044" s="114">
        <v>44404979591.989998</v>
      </c>
      <c r="G2044" s="127">
        <f t="shared" ref="G2044:G2113" si="40">+E2044/F2044*100</f>
        <v>4.5870981559181407</v>
      </c>
      <c r="H2044" s="120"/>
      <c r="I2044" s="120"/>
      <c r="J2044" s="121"/>
      <c r="K2044" s="121"/>
      <c r="L2044" s="121"/>
      <c r="M2044" s="121"/>
      <c r="N2044" s="121"/>
      <c r="O2044" s="121"/>
      <c r="P2044" s="121"/>
    </row>
    <row r="2045" spans="2:16" s="108" customFormat="1" ht="21.75" hidden="1" customHeight="1">
      <c r="B2045" s="109"/>
      <c r="C2045" s="122"/>
      <c r="D2045" s="57" t="s">
        <v>1588</v>
      </c>
      <c r="E2045" s="777">
        <v>1695600000</v>
      </c>
      <c r="F2045" s="114">
        <v>44404979591.989998</v>
      </c>
      <c r="G2045" s="127">
        <f t="shared" si="40"/>
        <v>3.8184906638395599</v>
      </c>
      <c r="H2045" s="115"/>
      <c r="I2045" s="115"/>
      <c r="J2045" s="116"/>
      <c r="K2045" s="116"/>
      <c r="L2045" s="116"/>
      <c r="M2045" s="116"/>
      <c r="N2045" s="116"/>
      <c r="O2045" s="116"/>
      <c r="P2045" s="116"/>
    </row>
    <row r="2046" spans="2:16" s="108" customFormat="1" ht="21.75" hidden="1" customHeight="1">
      <c r="B2046" s="109"/>
      <c r="C2046" s="122"/>
      <c r="D2046" s="57" t="s">
        <v>1589</v>
      </c>
      <c r="E2046" s="777">
        <v>36000000</v>
      </c>
      <c r="F2046" s="114">
        <v>44404979591.989998</v>
      </c>
      <c r="G2046" s="127">
        <f t="shared" si="40"/>
        <v>8.1071988616551169E-2</v>
      </c>
      <c r="H2046" s="115"/>
      <c r="I2046" s="115"/>
      <c r="J2046" s="116"/>
      <c r="K2046" s="116"/>
      <c r="L2046" s="116"/>
      <c r="M2046" s="116"/>
      <c r="N2046" s="116"/>
      <c r="O2046" s="116"/>
      <c r="P2046" s="116"/>
    </row>
    <row r="2047" spans="2:16" s="108" customFormat="1" ht="21.75" hidden="1" customHeight="1">
      <c r="B2047" s="109"/>
      <c r="C2047" s="122"/>
      <c r="D2047" s="57" t="s">
        <v>1590</v>
      </c>
      <c r="E2047" s="777">
        <v>305300000</v>
      </c>
      <c r="F2047" s="114">
        <v>44404979591.989998</v>
      </c>
      <c r="G2047" s="127">
        <f t="shared" si="40"/>
        <v>0.68753550346202974</v>
      </c>
      <c r="H2047" s="115"/>
      <c r="I2047" s="115"/>
      <c r="J2047" s="116"/>
      <c r="K2047" s="116"/>
      <c r="L2047" s="116"/>
      <c r="M2047" s="116"/>
      <c r="N2047" s="116"/>
      <c r="O2047" s="116"/>
      <c r="P2047" s="116"/>
    </row>
    <row r="2048" spans="2:16" s="117" customFormat="1" ht="21.75" hidden="1" customHeight="1">
      <c r="B2048" s="118"/>
      <c r="C2048" s="110"/>
      <c r="D2048" s="150" t="s">
        <v>1591</v>
      </c>
      <c r="E2048" s="710">
        <f>SUM(E2049:E2053)</f>
        <v>13890019502</v>
      </c>
      <c r="F2048" s="114">
        <v>44404979591.989998</v>
      </c>
      <c r="G2048" s="127">
        <f t="shared" si="40"/>
        <v>31.280319526383828</v>
      </c>
      <c r="H2048" s="120"/>
      <c r="I2048" s="120"/>
      <c r="J2048" s="121"/>
      <c r="K2048" s="121"/>
      <c r="L2048" s="121"/>
      <c r="M2048" s="121"/>
      <c r="N2048" s="121"/>
      <c r="O2048" s="121"/>
      <c r="P2048" s="121"/>
    </row>
    <row r="2049" spans="2:16" s="108" customFormat="1" ht="21.75" hidden="1" customHeight="1">
      <c r="B2049" s="109"/>
      <c r="C2049" s="122"/>
      <c r="D2049" s="57" t="s">
        <v>1482</v>
      </c>
      <c r="E2049" s="777">
        <v>823819500</v>
      </c>
      <c r="F2049" s="114">
        <v>44404979591.989998</v>
      </c>
      <c r="G2049" s="127">
        <f t="shared" si="40"/>
        <v>1.85524125350258</v>
      </c>
      <c r="H2049" s="115"/>
      <c r="I2049" s="115"/>
      <c r="J2049" s="116"/>
      <c r="K2049" s="116"/>
      <c r="L2049" s="116"/>
      <c r="M2049" s="116"/>
      <c r="N2049" s="116"/>
      <c r="O2049" s="116"/>
      <c r="P2049" s="116"/>
    </row>
    <row r="2050" spans="2:16" s="108" customFormat="1" ht="21.75" hidden="1" customHeight="1">
      <c r="B2050" s="109"/>
      <c r="C2050" s="122"/>
      <c r="D2050" s="57" t="s">
        <v>1592</v>
      </c>
      <c r="E2050" s="777">
        <v>7675700000</v>
      </c>
      <c r="F2050" s="114">
        <v>44404979591.989998</v>
      </c>
      <c r="G2050" s="127">
        <f t="shared" si="40"/>
        <v>17.285673972890606</v>
      </c>
      <c r="H2050" s="115"/>
      <c r="I2050" s="115"/>
      <c r="J2050" s="116"/>
      <c r="K2050" s="116"/>
      <c r="L2050" s="116"/>
      <c r="M2050" s="116"/>
      <c r="N2050" s="116"/>
      <c r="O2050" s="116"/>
      <c r="P2050" s="116"/>
    </row>
    <row r="2051" spans="2:16" s="108" customFormat="1" ht="21.75" hidden="1" customHeight="1">
      <c r="B2051" s="109"/>
      <c r="C2051" s="122"/>
      <c r="D2051" s="57" t="s">
        <v>1593</v>
      </c>
      <c r="E2051" s="777">
        <v>2064000000</v>
      </c>
      <c r="F2051" s="114">
        <v>44404979591.989998</v>
      </c>
      <c r="G2051" s="127">
        <f t="shared" si="40"/>
        <v>4.6481273473489333</v>
      </c>
      <c r="H2051" s="115"/>
      <c r="I2051" s="115"/>
      <c r="J2051" s="116"/>
      <c r="K2051" s="116"/>
      <c r="L2051" s="116"/>
      <c r="M2051" s="116"/>
      <c r="N2051" s="116"/>
      <c r="O2051" s="116"/>
      <c r="P2051" s="116"/>
    </row>
    <row r="2052" spans="2:16" s="108" customFormat="1" ht="36.75" hidden="1" customHeight="1">
      <c r="B2052" s="109"/>
      <c r="C2052" s="122"/>
      <c r="D2052" s="57" t="s">
        <v>1594</v>
      </c>
      <c r="E2052" s="777">
        <v>1982500002</v>
      </c>
      <c r="F2052" s="114">
        <v>44404979591.989998</v>
      </c>
      <c r="G2052" s="127">
        <f t="shared" si="40"/>
        <v>4.4645893776237964</v>
      </c>
      <c r="H2052" s="115"/>
      <c r="I2052" s="115"/>
      <c r="J2052" s="116"/>
      <c r="K2052" s="116"/>
      <c r="L2052" s="116"/>
      <c r="M2052" s="116"/>
      <c r="N2052" s="116"/>
      <c r="O2052" s="116"/>
      <c r="P2052" s="116"/>
    </row>
    <row r="2053" spans="2:16" s="108" customFormat="1" ht="36.75" hidden="1" customHeight="1">
      <c r="B2053" s="109"/>
      <c r="C2053" s="122"/>
      <c r="D2053" s="57" t="s">
        <v>1595</v>
      </c>
      <c r="E2053" s="777">
        <v>1344000000</v>
      </c>
      <c r="F2053" s="114">
        <v>44404979591.989998</v>
      </c>
      <c r="G2053" s="127">
        <f t="shared" si="40"/>
        <v>3.0266875750179101</v>
      </c>
      <c r="H2053" s="115"/>
      <c r="I2053" s="115"/>
      <c r="J2053" s="116"/>
      <c r="K2053" s="116"/>
      <c r="L2053" s="116"/>
      <c r="M2053" s="116"/>
      <c r="N2053" s="116"/>
      <c r="O2053" s="116"/>
      <c r="P2053" s="116"/>
    </row>
    <row r="2054" spans="2:16" s="117" customFormat="1" ht="21.75" hidden="1" customHeight="1">
      <c r="B2054" s="118"/>
      <c r="C2054" s="110"/>
      <c r="D2054" s="150" t="s">
        <v>404</v>
      </c>
      <c r="E2054" s="250">
        <f>SUM(E2055:E2055)</f>
        <v>1808860736</v>
      </c>
      <c r="F2054" s="114">
        <v>44404979591.989998</v>
      </c>
      <c r="G2054" s="127">
        <f t="shared" si="40"/>
        <v>4.073553805497732</v>
      </c>
      <c r="H2054" s="120"/>
      <c r="I2054" s="120"/>
      <c r="J2054" s="121"/>
      <c r="K2054" s="121"/>
      <c r="L2054" s="121"/>
      <c r="M2054" s="121"/>
      <c r="N2054" s="121"/>
      <c r="O2054" s="121"/>
      <c r="P2054" s="121"/>
    </row>
    <row r="2055" spans="2:16" s="108" customFormat="1" ht="21.75" hidden="1" customHeight="1">
      <c r="B2055" s="109"/>
      <c r="C2055" s="122"/>
      <c r="D2055" s="57" t="s">
        <v>1596</v>
      </c>
      <c r="E2055" s="777">
        <v>1808860736</v>
      </c>
      <c r="F2055" s="114">
        <v>44404979591.989998</v>
      </c>
      <c r="G2055" s="127">
        <f t="shared" si="40"/>
        <v>4.073553805497732</v>
      </c>
      <c r="H2055" s="115"/>
      <c r="I2055" s="115"/>
      <c r="J2055" s="116"/>
      <c r="K2055" s="116"/>
      <c r="L2055" s="116"/>
      <c r="M2055" s="116"/>
      <c r="N2055" s="116"/>
      <c r="O2055" s="116"/>
      <c r="P2055" s="116"/>
    </row>
    <row r="2056" spans="2:16" s="117" customFormat="1" ht="21.75" hidden="1" customHeight="1">
      <c r="B2056" s="118"/>
      <c r="C2056" s="110"/>
      <c r="D2056" s="150" t="s">
        <v>2759</v>
      </c>
      <c r="E2056" s="710">
        <f>SUM(E2057:E2059)</f>
        <v>824148998</v>
      </c>
      <c r="F2056" s="114">
        <v>44404979591.989998</v>
      </c>
      <c r="G2056" s="127">
        <f t="shared" si="40"/>
        <v>1.8559832828943901</v>
      </c>
      <c r="H2056" s="120"/>
      <c r="I2056" s="120"/>
      <c r="J2056" s="121"/>
      <c r="K2056" s="121"/>
      <c r="L2056" s="121"/>
      <c r="M2056" s="121"/>
      <c r="N2056" s="121"/>
      <c r="O2056" s="121"/>
      <c r="P2056" s="121"/>
    </row>
    <row r="2057" spans="2:16" s="108" customFormat="1" ht="21.75" hidden="1" customHeight="1">
      <c r="B2057" s="109"/>
      <c r="C2057" s="122"/>
      <c r="D2057" s="57" t="s">
        <v>2760</v>
      </c>
      <c r="E2057" s="777">
        <v>91010998</v>
      </c>
      <c r="F2057" s="114">
        <v>44404979591.989998</v>
      </c>
      <c r="G2057" s="127">
        <f t="shared" si="40"/>
        <v>0.20495673871769338</v>
      </c>
      <c r="H2057" s="115"/>
      <c r="I2057" s="115"/>
      <c r="J2057" s="116"/>
      <c r="K2057" s="116"/>
      <c r="L2057" s="116"/>
      <c r="M2057" s="116"/>
      <c r="N2057" s="116"/>
      <c r="O2057" s="116"/>
      <c r="P2057" s="116"/>
    </row>
    <row r="2058" spans="2:16" s="108" customFormat="1" ht="21.75" hidden="1" customHeight="1">
      <c r="B2058" s="109"/>
      <c r="C2058" s="122"/>
      <c r="D2058" s="57" t="s">
        <v>1597</v>
      </c>
      <c r="E2058" s="777">
        <v>151890000</v>
      </c>
      <c r="F2058" s="114">
        <v>44404979591.989998</v>
      </c>
      <c r="G2058" s="127">
        <f t="shared" si="40"/>
        <v>0.34205623197133211</v>
      </c>
      <c r="H2058" s="115"/>
      <c r="I2058" s="115"/>
      <c r="J2058" s="116"/>
      <c r="K2058" s="116"/>
      <c r="L2058" s="116"/>
      <c r="M2058" s="116"/>
      <c r="N2058" s="116"/>
      <c r="O2058" s="116"/>
      <c r="P2058" s="116"/>
    </row>
    <row r="2059" spans="2:16" s="108" customFormat="1" ht="36.75" hidden="1" customHeight="1">
      <c r="B2059" s="109"/>
      <c r="C2059" s="122"/>
      <c r="D2059" s="57" t="s">
        <v>1598</v>
      </c>
      <c r="E2059" s="777">
        <v>581248000</v>
      </c>
      <c r="F2059" s="114">
        <v>44404979591.989998</v>
      </c>
      <c r="G2059" s="127">
        <f t="shared" si="40"/>
        <v>1.3089703122053649</v>
      </c>
      <c r="H2059" s="115"/>
      <c r="I2059" s="115"/>
      <c r="J2059" s="116"/>
      <c r="K2059" s="116"/>
      <c r="L2059" s="116"/>
      <c r="M2059" s="116"/>
      <c r="N2059" s="116"/>
      <c r="O2059" s="116"/>
      <c r="P2059" s="116"/>
    </row>
    <row r="2060" spans="2:16" s="108" customFormat="1" ht="15" hidden="1" customHeight="1">
      <c r="B2060" s="109"/>
      <c r="C2060" s="122"/>
      <c r="D2060" s="57"/>
      <c r="E2060" s="777"/>
      <c r="F2060" s="114"/>
      <c r="G2060" s="127"/>
      <c r="H2060" s="115"/>
      <c r="I2060" s="115"/>
      <c r="J2060" s="116"/>
      <c r="K2060" s="116"/>
      <c r="L2060" s="116"/>
      <c r="M2060" s="116"/>
      <c r="N2060" s="116"/>
      <c r="O2060" s="116"/>
      <c r="P2060" s="116"/>
    </row>
    <row r="2061" spans="2:16" s="108" customFormat="1" ht="21.75" hidden="1" customHeight="1">
      <c r="B2061" s="109"/>
      <c r="C2061" s="122"/>
      <c r="D2061" s="150" t="s">
        <v>1599</v>
      </c>
      <c r="E2061" s="250">
        <f>SUM(E2062:E2062)</f>
        <v>3094000000</v>
      </c>
      <c r="F2061" s="114">
        <v>44404979591.989998</v>
      </c>
      <c r="G2061" s="127">
        <f t="shared" si="40"/>
        <v>6.9676870216558147</v>
      </c>
      <c r="H2061" s="115"/>
      <c r="I2061" s="115"/>
      <c r="J2061" s="116"/>
      <c r="K2061" s="116"/>
      <c r="L2061" s="116"/>
      <c r="M2061" s="116"/>
      <c r="N2061" s="116"/>
      <c r="O2061" s="116"/>
      <c r="P2061" s="116"/>
    </row>
    <row r="2062" spans="2:16" s="117" customFormat="1" ht="21.75" hidden="1" customHeight="1">
      <c r="B2062" s="118"/>
      <c r="C2062" s="110"/>
      <c r="D2062" s="57" t="s">
        <v>1600</v>
      </c>
      <c r="E2062" s="696">
        <v>3094000000</v>
      </c>
      <c r="F2062" s="114">
        <v>44404979591.989998</v>
      </c>
      <c r="G2062" s="127">
        <f t="shared" si="40"/>
        <v>6.9676870216558147</v>
      </c>
      <c r="H2062" s="120"/>
      <c r="I2062" s="120"/>
      <c r="J2062" s="121"/>
      <c r="K2062" s="121"/>
      <c r="L2062" s="121"/>
      <c r="M2062" s="121"/>
      <c r="N2062" s="121"/>
      <c r="O2062" s="121"/>
      <c r="P2062" s="121"/>
    </row>
    <row r="2063" spans="2:16" s="117" customFormat="1" ht="15" hidden="1" customHeight="1">
      <c r="B2063" s="118"/>
      <c r="C2063" s="110"/>
      <c r="D2063" s="57"/>
      <c r="E2063" s="696"/>
      <c r="F2063" s="114"/>
      <c r="G2063" s="127"/>
      <c r="H2063" s="120"/>
      <c r="I2063" s="120"/>
      <c r="J2063" s="121"/>
      <c r="K2063" s="121"/>
      <c r="L2063" s="121"/>
      <c r="M2063" s="121"/>
      <c r="N2063" s="121"/>
      <c r="O2063" s="121"/>
      <c r="P2063" s="121"/>
    </row>
    <row r="2064" spans="2:16" s="117" customFormat="1" ht="21.75" hidden="1" customHeight="1">
      <c r="B2064" s="118"/>
      <c r="C2064" s="110"/>
      <c r="D2064" s="150" t="s">
        <v>65</v>
      </c>
      <c r="E2064" s="250">
        <f>E2065+E2067+E2069+E2071+E2074+E2076+E2078+E2080+E2082+E2085+E2088</f>
        <v>9171817389.9899998</v>
      </c>
      <c r="F2064" s="114">
        <v>44404979591.989998</v>
      </c>
      <c r="G2064" s="127">
        <f t="shared" si="40"/>
        <v>20.654929862065423</v>
      </c>
      <c r="H2064" s="120"/>
      <c r="I2064" s="120"/>
      <c r="J2064" s="121"/>
      <c r="K2064" s="121"/>
      <c r="L2064" s="121"/>
      <c r="M2064" s="121"/>
      <c r="N2064" s="121"/>
      <c r="O2064" s="121"/>
      <c r="P2064" s="121"/>
    </row>
    <row r="2065" spans="2:16" s="108" customFormat="1" ht="21.75" hidden="1" customHeight="1">
      <c r="B2065" s="109"/>
      <c r="C2065" s="122"/>
      <c r="D2065" s="150" t="s">
        <v>2761</v>
      </c>
      <c r="E2065" s="710">
        <f>E2066</f>
        <v>1000000000</v>
      </c>
      <c r="F2065" s="114">
        <v>44404979591.989998</v>
      </c>
      <c r="G2065" s="127">
        <f t="shared" si="40"/>
        <v>2.251999683793088</v>
      </c>
      <c r="H2065" s="115"/>
      <c r="I2065" s="115"/>
      <c r="J2065" s="116"/>
      <c r="K2065" s="116"/>
      <c r="L2065" s="116"/>
      <c r="M2065" s="116"/>
      <c r="N2065" s="116"/>
      <c r="O2065" s="116"/>
      <c r="P2065" s="116"/>
    </row>
    <row r="2066" spans="2:16" s="117" customFormat="1" ht="21.75" hidden="1" customHeight="1">
      <c r="B2066" s="118"/>
      <c r="C2066" s="110"/>
      <c r="D2066" s="57" t="s">
        <v>1504</v>
      </c>
      <c r="E2066" s="777">
        <v>1000000000</v>
      </c>
      <c r="F2066" s="114">
        <v>44404979591.989998</v>
      </c>
      <c r="G2066" s="127">
        <f t="shared" si="40"/>
        <v>2.251999683793088</v>
      </c>
      <c r="H2066" s="120"/>
      <c r="I2066" s="120"/>
      <c r="J2066" s="121"/>
      <c r="K2066" s="121"/>
      <c r="L2066" s="121"/>
      <c r="M2066" s="121"/>
      <c r="N2066" s="121"/>
      <c r="O2066" s="121"/>
      <c r="P2066" s="121"/>
    </row>
    <row r="2067" spans="2:16" s="108" customFormat="1" ht="21.75" hidden="1" customHeight="1">
      <c r="B2067" s="109"/>
      <c r="C2067" s="122"/>
      <c r="D2067" s="150" t="s">
        <v>173</v>
      </c>
      <c r="E2067" s="710">
        <f>SUM(E2068:E2068)</f>
        <v>100000000</v>
      </c>
      <c r="F2067" s="114">
        <v>44404979591.989998</v>
      </c>
      <c r="G2067" s="127">
        <f t="shared" si="40"/>
        <v>0.22519996837930878</v>
      </c>
      <c r="H2067" s="115"/>
      <c r="I2067" s="115"/>
      <c r="J2067" s="116"/>
      <c r="K2067" s="116"/>
      <c r="L2067" s="116"/>
      <c r="M2067" s="116"/>
      <c r="N2067" s="116"/>
      <c r="O2067" s="116"/>
      <c r="P2067" s="116"/>
    </row>
    <row r="2068" spans="2:16" s="117" customFormat="1" ht="21.75" hidden="1" customHeight="1">
      <c r="B2068" s="118"/>
      <c r="C2068" s="110"/>
      <c r="D2068" s="57" t="s">
        <v>682</v>
      </c>
      <c r="E2068" s="777">
        <v>100000000</v>
      </c>
      <c r="F2068" s="114">
        <v>44404979591.989998</v>
      </c>
      <c r="G2068" s="127">
        <f t="shared" si="40"/>
        <v>0.22519996837930878</v>
      </c>
      <c r="H2068" s="120"/>
      <c r="I2068" s="120"/>
      <c r="J2068" s="121"/>
      <c r="K2068" s="121"/>
      <c r="L2068" s="121"/>
      <c r="M2068" s="121"/>
      <c r="N2068" s="121"/>
      <c r="O2068" s="121"/>
      <c r="P2068" s="121"/>
    </row>
    <row r="2069" spans="2:16" s="108" customFormat="1" ht="21.75" hidden="1" customHeight="1">
      <c r="B2069" s="109"/>
      <c r="C2069" s="122"/>
      <c r="D2069" s="150" t="s">
        <v>2762</v>
      </c>
      <c r="E2069" s="710">
        <f>SUM(E2070:E2070)</f>
        <v>48000000</v>
      </c>
      <c r="F2069" s="114">
        <v>44404979591.989998</v>
      </c>
      <c r="G2069" s="127">
        <f t="shared" si="40"/>
        <v>0.10809598482206823</v>
      </c>
      <c r="H2069" s="115"/>
      <c r="I2069" s="115"/>
      <c r="J2069" s="116"/>
      <c r="K2069" s="116"/>
      <c r="L2069" s="116"/>
      <c r="M2069" s="116"/>
      <c r="N2069" s="116"/>
      <c r="O2069" s="116"/>
      <c r="P2069" s="116"/>
    </row>
    <row r="2070" spans="2:16" s="117" customFormat="1" ht="21.75" hidden="1" customHeight="1">
      <c r="B2070" s="118"/>
      <c r="C2070" s="110"/>
      <c r="D2070" s="57" t="s">
        <v>1604</v>
      </c>
      <c r="E2070" s="777">
        <v>48000000</v>
      </c>
      <c r="F2070" s="114">
        <v>44404979591.989998</v>
      </c>
      <c r="G2070" s="127">
        <f t="shared" si="40"/>
        <v>0.10809598482206823</v>
      </c>
      <c r="H2070" s="120"/>
      <c r="I2070" s="120"/>
      <c r="J2070" s="121"/>
      <c r="K2070" s="121"/>
      <c r="L2070" s="121"/>
      <c r="M2070" s="121"/>
      <c r="N2070" s="121"/>
      <c r="O2070" s="121"/>
      <c r="P2070" s="121"/>
    </row>
    <row r="2071" spans="2:16" s="108" customFormat="1" ht="21.75" hidden="1" customHeight="1">
      <c r="B2071" s="109"/>
      <c r="C2071" s="122"/>
      <c r="D2071" s="150" t="s">
        <v>190</v>
      </c>
      <c r="E2071" s="776">
        <f>SUM(E2072:E2073)</f>
        <v>339999700</v>
      </c>
      <c r="F2071" s="114">
        <v>44404979591.989998</v>
      </c>
      <c r="G2071" s="127">
        <f t="shared" si="40"/>
        <v>0.76567921688974483</v>
      </c>
      <c r="H2071" s="115"/>
      <c r="I2071" s="115"/>
      <c r="J2071" s="116"/>
      <c r="K2071" s="116"/>
      <c r="L2071" s="116"/>
      <c r="M2071" s="116"/>
      <c r="N2071" s="116"/>
      <c r="O2071" s="116"/>
      <c r="P2071" s="116"/>
    </row>
    <row r="2072" spans="2:16" s="108" customFormat="1" ht="21.75" hidden="1" customHeight="1">
      <c r="B2072" s="109"/>
      <c r="C2072" s="122"/>
      <c r="D2072" s="57" t="s">
        <v>1605</v>
      </c>
      <c r="E2072" s="777">
        <v>200000000</v>
      </c>
      <c r="F2072" s="114">
        <v>44404979591.989998</v>
      </c>
      <c r="G2072" s="127">
        <f t="shared" si="40"/>
        <v>0.45039993675861756</v>
      </c>
      <c r="H2072" s="115"/>
      <c r="I2072" s="115"/>
      <c r="J2072" s="116"/>
      <c r="K2072" s="116"/>
      <c r="L2072" s="116"/>
      <c r="M2072" s="116"/>
      <c r="N2072" s="116"/>
      <c r="O2072" s="116"/>
      <c r="P2072" s="116"/>
    </row>
    <row r="2073" spans="2:16" s="117" customFormat="1" ht="21.75" hidden="1" customHeight="1">
      <c r="B2073" s="118"/>
      <c r="C2073" s="110"/>
      <c r="D2073" s="57" t="s">
        <v>1606</v>
      </c>
      <c r="E2073" s="777">
        <v>139999700</v>
      </c>
      <c r="F2073" s="114">
        <v>44404979591.989998</v>
      </c>
      <c r="G2073" s="127">
        <f t="shared" si="40"/>
        <v>0.31527928013112716</v>
      </c>
      <c r="H2073" s="120"/>
      <c r="I2073" s="120"/>
      <c r="J2073" s="121"/>
      <c r="K2073" s="121"/>
      <c r="L2073" s="121"/>
      <c r="M2073" s="121"/>
      <c r="N2073" s="121"/>
      <c r="O2073" s="121"/>
      <c r="P2073" s="121"/>
    </row>
    <row r="2074" spans="2:16" s="108" customFormat="1" ht="21.75" hidden="1" customHeight="1">
      <c r="B2074" s="109"/>
      <c r="C2074" s="122"/>
      <c r="D2074" s="150" t="s">
        <v>1607</v>
      </c>
      <c r="E2074" s="250">
        <f>E2075</f>
        <v>247120871</v>
      </c>
      <c r="F2074" s="114">
        <v>44404979591.989998</v>
      </c>
      <c r="G2074" s="127">
        <f t="shared" si="40"/>
        <v>0.55651612335067246</v>
      </c>
      <c r="H2074" s="115"/>
      <c r="I2074" s="115"/>
      <c r="J2074" s="116"/>
      <c r="K2074" s="116"/>
      <c r="L2074" s="116"/>
      <c r="M2074" s="116"/>
      <c r="N2074" s="116"/>
      <c r="O2074" s="116"/>
      <c r="P2074" s="116"/>
    </row>
    <row r="2075" spans="2:16" s="117" customFormat="1" ht="21.75" hidden="1" customHeight="1">
      <c r="B2075" s="118"/>
      <c r="C2075" s="110"/>
      <c r="D2075" s="57" t="s">
        <v>1608</v>
      </c>
      <c r="E2075" s="773">
        <v>247120871</v>
      </c>
      <c r="F2075" s="114">
        <v>44404979591.989998</v>
      </c>
      <c r="G2075" s="127">
        <f t="shared" si="40"/>
        <v>0.55651612335067246</v>
      </c>
      <c r="H2075" s="120"/>
      <c r="I2075" s="120"/>
      <c r="J2075" s="121"/>
      <c r="K2075" s="121"/>
      <c r="L2075" s="121"/>
      <c r="M2075" s="121"/>
      <c r="N2075" s="121"/>
      <c r="O2075" s="121"/>
      <c r="P2075" s="121"/>
    </row>
    <row r="2076" spans="2:16" s="108" customFormat="1" ht="21.75" hidden="1" customHeight="1">
      <c r="B2076" s="109"/>
      <c r="C2076" s="122"/>
      <c r="D2076" s="150" t="s">
        <v>1609</v>
      </c>
      <c r="E2076" s="250">
        <f>E2077</f>
        <v>2946123223.9899998</v>
      </c>
      <c r="F2076" s="114">
        <v>44404979591.989998</v>
      </c>
      <c r="G2076" s="127">
        <f t="shared" si="40"/>
        <v>6.6346685688409526</v>
      </c>
      <c r="H2076" s="115"/>
      <c r="I2076" s="115"/>
      <c r="J2076" s="116"/>
      <c r="K2076" s="116"/>
      <c r="L2076" s="116"/>
      <c r="M2076" s="116"/>
      <c r="N2076" s="116"/>
      <c r="O2076" s="116"/>
      <c r="P2076" s="116"/>
    </row>
    <row r="2077" spans="2:16" s="117" customFormat="1" ht="50.25" hidden="1" customHeight="1">
      <c r="B2077" s="118"/>
      <c r="C2077" s="110"/>
      <c r="D2077" s="57" t="s">
        <v>1610</v>
      </c>
      <c r="E2077" s="773">
        <v>2946123223.9899998</v>
      </c>
      <c r="F2077" s="114">
        <v>44404979591.989998</v>
      </c>
      <c r="G2077" s="127">
        <f t="shared" si="40"/>
        <v>6.6346685688409526</v>
      </c>
      <c r="H2077" s="120"/>
      <c r="I2077" s="120"/>
      <c r="J2077" s="121"/>
      <c r="K2077" s="121"/>
      <c r="L2077" s="121"/>
      <c r="M2077" s="121"/>
      <c r="N2077" s="121"/>
      <c r="O2077" s="121"/>
      <c r="P2077" s="121"/>
    </row>
    <row r="2078" spans="2:16" s="108" customFormat="1" ht="21.75" hidden="1" customHeight="1">
      <c r="B2078" s="109"/>
      <c r="C2078" s="122"/>
      <c r="D2078" s="150" t="s">
        <v>426</v>
      </c>
      <c r="E2078" s="250">
        <f>E2079</f>
        <v>999600000</v>
      </c>
      <c r="F2078" s="114">
        <v>44404979591.989998</v>
      </c>
      <c r="G2078" s="127">
        <f t="shared" si="40"/>
        <v>2.2510988839195707</v>
      </c>
      <c r="H2078" s="115"/>
      <c r="I2078" s="115"/>
      <c r="J2078" s="116"/>
      <c r="K2078" s="116"/>
      <c r="L2078" s="116"/>
      <c r="M2078" s="116"/>
      <c r="N2078" s="116"/>
      <c r="O2078" s="116"/>
      <c r="P2078" s="116"/>
    </row>
    <row r="2079" spans="2:16" s="117" customFormat="1" ht="21.75" hidden="1" customHeight="1">
      <c r="B2079" s="118"/>
      <c r="C2079" s="110"/>
      <c r="D2079" s="57" t="s">
        <v>1612</v>
      </c>
      <c r="E2079" s="773">
        <v>999600000</v>
      </c>
      <c r="F2079" s="114">
        <v>44404979591.989998</v>
      </c>
      <c r="G2079" s="127">
        <f t="shared" si="40"/>
        <v>2.2510988839195707</v>
      </c>
      <c r="H2079" s="120"/>
      <c r="I2079" s="120"/>
      <c r="J2079" s="121"/>
      <c r="K2079" s="121"/>
      <c r="L2079" s="121"/>
      <c r="M2079" s="121"/>
      <c r="N2079" s="121"/>
      <c r="O2079" s="121"/>
      <c r="P2079" s="121"/>
    </row>
    <row r="2080" spans="2:16" s="108" customFormat="1" ht="21.75" hidden="1" customHeight="1">
      <c r="B2080" s="109"/>
      <c r="C2080" s="122"/>
      <c r="D2080" s="150" t="s">
        <v>953</v>
      </c>
      <c r="E2080" s="250">
        <f>E2081</f>
        <v>100000000</v>
      </c>
      <c r="F2080" s="114">
        <v>44404979591.989998</v>
      </c>
      <c r="G2080" s="127">
        <f t="shared" si="40"/>
        <v>0.22519996837930878</v>
      </c>
      <c r="H2080" s="115"/>
      <c r="I2080" s="115"/>
      <c r="J2080" s="116"/>
      <c r="K2080" s="116"/>
      <c r="L2080" s="116"/>
      <c r="M2080" s="116"/>
      <c r="N2080" s="116"/>
      <c r="O2080" s="116"/>
      <c r="P2080" s="116"/>
    </row>
    <row r="2081" spans="2:16" s="117" customFormat="1" ht="21.75" hidden="1" customHeight="1">
      <c r="B2081" s="118"/>
      <c r="C2081" s="110"/>
      <c r="D2081" s="57" t="s">
        <v>1614</v>
      </c>
      <c r="E2081" s="696">
        <v>100000000</v>
      </c>
      <c r="F2081" s="114">
        <v>44404979591.989998</v>
      </c>
      <c r="G2081" s="127">
        <f t="shared" si="40"/>
        <v>0.22519996837930878</v>
      </c>
      <c r="H2081" s="120"/>
      <c r="I2081" s="120"/>
      <c r="J2081" s="121"/>
      <c r="K2081" s="121"/>
      <c r="L2081" s="121"/>
      <c r="M2081" s="121"/>
      <c r="N2081" s="121"/>
      <c r="O2081" s="121"/>
      <c r="P2081" s="121"/>
    </row>
    <row r="2082" spans="2:16" s="108" customFormat="1" ht="21.75" hidden="1" customHeight="1">
      <c r="B2082" s="109"/>
      <c r="C2082" s="122"/>
      <c r="D2082" s="150" t="s">
        <v>1615</v>
      </c>
      <c r="E2082" s="778">
        <f>SUM(E2083:E2084)</f>
        <v>795201240</v>
      </c>
      <c r="F2082" s="114">
        <v>44404979591.989998</v>
      </c>
      <c r="G2082" s="127">
        <f t="shared" si="40"/>
        <v>1.7907929410318717</v>
      </c>
      <c r="H2082" s="115"/>
      <c r="I2082" s="115"/>
      <c r="J2082" s="116"/>
      <c r="K2082" s="116"/>
      <c r="L2082" s="116"/>
      <c r="M2082" s="116"/>
      <c r="N2082" s="116"/>
      <c r="O2082" s="116"/>
      <c r="P2082" s="116"/>
    </row>
    <row r="2083" spans="2:16" s="108" customFormat="1" ht="33.75" hidden="1" customHeight="1">
      <c r="B2083" s="109"/>
      <c r="C2083" s="122"/>
      <c r="D2083" s="57" t="s">
        <v>1616</v>
      </c>
      <c r="E2083" s="696">
        <v>495201240</v>
      </c>
      <c r="F2083" s="114">
        <v>44404979591.989998</v>
      </c>
      <c r="G2083" s="127">
        <f t="shared" si="40"/>
        <v>1.115193035893945</v>
      </c>
      <c r="H2083" s="115"/>
      <c r="I2083" s="115"/>
      <c r="J2083" s="116"/>
      <c r="K2083" s="116"/>
      <c r="L2083" s="116"/>
      <c r="M2083" s="116"/>
      <c r="N2083" s="116"/>
      <c r="O2083" s="116"/>
      <c r="P2083" s="116"/>
    </row>
    <row r="2084" spans="2:16" s="117" customFormat="1" ht="36.75" hidden="1" customHeight="1">
      <c r="B2084" s="118"/>
      <c r="C2084" s="110"/>
      <c r="D2084" s="57" t="s">
        <v>1617</v>
      </c>
      <c r="E2084" s="696">
        <v>300000000</v>
      </c>
      <c r="F2084" s="114">
        <v>44404979591.989998</v>
      </c>
      <c r="G2084" s="127">
        <f t="shared" si="40"/>
        <v>0.67559990513792645</v>
      </c>
      <c r="H2084" s="120"/>
      <c r="I2084" s="120"/>
      <c r="J2084" s="121"/>
      <c r="K2084" s="121"/>
      <c r="L2084" s="121"/>
      <c r="M2084" s="121"/>
      <c r="N2084" s="121"/>
      <c r="O2084" s="121"/>
      <c r="P2084" s="121"/>
    </row>
    <row r="2085" spans="2:16" s="108" customFormat="1" ht="21.75" hidden="1" customHeight="1">
      <c r="B2085" s="109"/>
      <c r="C2085" s="122"/>
      <c r="D2085" s="150" t="s">
        <v>2763</v>
      </c>
      <c r="E2085" s="250">
        <f>SUM(E2086:E2087)</f>
        <v>2195776775</v>
      </c>
      <c r="F2085" s="114">
        <v>44404979591.989998</v>
      </c>
      <c r="G2085" s="127">
        <f t="shared" si="40"/>
        <v>4.9448886029802068</v>
      </c>
      <c r="H2085" s="115"/>
      <c r="I2085" s="115"/>
      <c r="J2085" s="116"/>
      <c r="K2085" s="116"/>
      <c r="L2085" s="116"/>
      <c r="M2085" s="116"/>
      <c r="N2085" s="116"/>
      <c r="O2085" s="116"/>
      <c r="P2085" s="116"/>
    </row>
    <row r="2086" spans="2:16" s="108" customFormat="1" ht="21.75" hidden="1" customHeight="1">
      <c r="B2086" s="109"/>
      <c r="C2086" s="122"/>
      <c r="D2086" s="57" t="s">
        <v>1619</v>
      </c>
      <c r="E2086" s="696">
        <v>2096386775</v>
      </c>
      <c r="F2086" s="114">
        <v>44404979591.989998</v>
      </c>
      <c r="G2086" s="127">
        <f t="shared" si="40"/>
        <v>4.7210623544080113</v>
      </c>
      <c r="H2086" s="115"/>
      <c r="I2086" s="115"/>
      <c r="J2086" s="116"/>
      <c r="K2086" s="116"/>
      <c r="L2086" s="116"/>
      <c r="M2086" s="116"/>
      <c r="N2086" s="116"/>
      <c r="O2086" s="116"/>
      <c r="P2086" s="116"/>
    </row>
    <row r="2087" spans="2:16" s="117" customFormat="1" ht="21.75" hidden="1" customHeight="1">
      <c r="B2087" s="118"/>
      <c r="C2087" s="110"/>
      <c r="D2087" s="57" t="s">
        <v>1620</v>
      </c>
      <c r="E2087" s="696">
        <v>99390000</v>
      </c>
      <c r="F2087" s="114">
        <v>44404979591.989998</v>
      </c>
      <c r="G2087" s="127">
        <f t="shared" si="40"/>
        <v>0.22382624857219502</v>
      </c>
      <c r="H2087" s="120"/>
      <c r="I2087" s="120"/>
      <c r="J2087" s="121"/>
      <c r="K2087" s="121"/>
      <c r="L2087" s="121"/>
      <c r="M2087" s="121"/>
      <c r="N2087" s="121"/>
      <c r="O2087" s="121"/>
      <c r="P2087" s="121"/>
    </row>
    <row r="2088" spans="2:16" s="108" customFormat="1" ht="21.75" hidden="1" customHeight="1">
      <c r="B2088" s="109"/>
      <c r="C2088" s="122"/>
      <c r="D2088" s="150" t="s">
        <v>2764</v>
      </c>
      <c r="E2088" s="778">
        <f>E2089</f>
        <v>399995580</v>
      </c>
      <c r="F2088" s="114">
        <v>44404979591.989998</v>
      </c>
      <c r="G2088" s="127">
        <f t="shared" si="40"/>
        <v>0.90078991967863287</v>
      </c>
      <c r="H2088" s="115"/>
      <c r="I2088" s="115"/>
      <c r="J2088" s="116"/>
      <c r="K2088" s="116"/>
      <c r="L2088" s="116"/>
      <c r="M2088" s="116"/>
      <c r="N2088" s="116"/>
      <c r="O2088" s="116"/>
      <c r="P2088" s="116"/>
    </row>
    <row r="2089" spans="2:16" s="117" customFormat="1" ht="21.75" hidden="1" customHeight="1">
      <c r="B2089" s="118"/>
      <c r="C2089" s="110"/>
      <c r="D2089" s="57" t="s">
        <v>1622</v>
      </c>
      <c r="E2089" s="711">
        <v>399995580</v>
      </c>
      <c r="F2089" s="114">
        <v>44404979591.989998</v>
      </c>
      <c r="G2089" s="127">
        <f t="shared" si="40"/>
        <v>0.90078991967863287</v>
      </c>
      <c r="H2089" s="120"/>
      <c r="I2089" s="120"/>
      <c r="J2089" s="121"/>
      <c r="K2089" s="121"/>
      <c r="L2089" s="121"/>
      <c r="M2089" s="121"/>
      <c r="N2089" s="121"/>
      <c r="O2089" s="121"/>
      <c r="P2089" s="121"/>
    </row>
    <row r="2090" spans="2:16" s="117" customFormat="1" ht="15" hidden="1" customHeight="1">
      <c r="B2090" s="118"/>
      <c r="C2090" s="110"/>
      <c r="D2090" s="57"/>
      <c r="E2090" s="711"/>
      <c r="F2090" s="114"/>
      <c r="G2090" s="127"/>
      <c r="H2090" s="120"/>
      <c r="I2090" s="120"/>
      <c r="J2090" s="121"/>
      <c r="K2090" s="121"/>
      <c r="L2090" s="121"/>
      <c r="M2090" s="121"/>
      <c r="N2090" s="121"/>
      <c r="O2090" s="121"/>
      <c r="P2090" s="121"/>
    </row>
    <row r="2091" spans="2:16" s="117" customFormat="1" ht="21.75" hidden="1" customHeight="1">
      <c r="B2091" s="118"/>
      <c r="C2091" s="110"/>
      <c r="D2091" s="150" t="s">
        <v>1231</v>
      </c>
      <c r="E2091" s="250">
        <f>E2092+E2094+E2096+E2098</f>
        <v>3292948861</v>
      </c>
      <c r="F2091" s="114">
        <v>44404979591.989998</v>
      </c>
      <c r="G2091" s="127">
        <f t="shared" si="40"/>
        <v>7.41571979371881</v>
      </c>
      <c r="H2091" s="120"/>
      <c r="I2091" s="120"/>
      <c r="J2091" s="121"/>
      <c r="K2091" s="121"/>
      <c r="L2091" s="121"/>
      <c r="M2091" s="121"/>
      <c r="N2091" s="121"/>
      <c r="O2091" s="121"/>
      <c r="P2091" s="121"/>
    </row>
    <row r="2092" spans="2:16" s="108" customFormat="1" ht="21.75" hidden="1" customHeight="1">
      <c r="B2092" s="109"/>
      <c r="C2092" s="122"/>
      <c r="D2092" s="150" t="s">
        <v>162</v>
      </c>
      <c r="E2092" s="710">
        <f>E2093</f>
        <v>1061651864</v>
      </c>
      <c r="F2092" s="114">
        <v>44404979591.989998</v>
      </c>
      <c r="G2092" s="127">
        <f t="shared" si="40"/>
        <v>2.3908396620263428</v>
      </c>
      <c r="H2092" s="115"/>
      <c r="I2092" s="115"/>
      <c r="J2092" s="116"/>
      <c r="K2092" s="116"/>
      <c r="L2092" s="116"/>
      <c r="M2092" s="116"/>
      <c r="N2092" s="116"/>
      <c r="O2092" s="116"/>
      <c r="P2092" s="116"/>
    </row>
    <row r="2093" spans="2:16" s="117" customFormat="1" ht="21.75" hidden="1" customHeight="1">
      <c r="B2093" s="118"/>
      <c r="C2093" s="110"/>
      <c r="D2093" s="57" t="s">
        <v>1623</v>
      </c>
      <c r="E2093" s="711">
        <v>1061651864</v>
      </c>
      <c r="F2093" s="114">
        <v>44404979591.989998</v>
      </c>
      <c r="G2093" s="127">
        <f t="shared" si="40"/>
        <v>2.3908396620263428</v>
      </c>
      <c r="H2093" s="120"/>
      <c r="I2093" s="120"/>
      <c r="J2093" s="121"/>
      <c r="K2093" s="121"/>
      <c r="L2093" s="121"/>
      <c r="M2093" s="121"/>
      <c r="N2093" s="121"/>
      <c r="O2093" s="121"/>
      <c r="P2093" s="121"/>
    </row>
    <row r="2094" spans="2:16" s="108" customFormat="1" ht="21.75" hidden="1" customHeight="1">
      <c r="B2094" s="109"/>
      <c r="C2094" s="122"/>
      <c r="D2094" s="150" t="s">
        <v>173</v>
      </c>
      <c r="E2094" s="778">
        <f>SUM(E2095:E2095)</f>
        <v>1330100000</v>
      </c>
      <c r="F2094" s="114">
        <v>44404979591.989998</v>
      </c>
      <c r="G2094" s="127">
        <f t="shared" si="40"/>
        <v>2.9953847794131865</v>
      </c>
      <c r="H2094" s="115"/>
      <c r="I2094" s="115"/>
      <c r="J2094" s="116"/>
      <c r="K2094" s="116"/>
      <c r="L2094" s="116"/>
      <c r="M2094" s="116"/>
      <c r="N2094" s="116"/>
      <c r="O2094" s="116"/>
      <c r="P2094" s="116"/>
    </row>
    <row r="2095" spans="2:16" s="108" customFormat="1" ht="21.75" hidden="1" customHeight="1">
      <c r="B2095" s="109"/>
      <c r="C2095" s="122"/>
      <c r="D2095" s="226" t="s">
        <v>1624</v>
      </c>
      <c r="E2095" s="711">
        <v>1330100000</v>
      </c>
      <c r="F2095" s="114">
        <v>44404979591.989998</v>
      </c>
      <c r="G2095" s="127">
        <f t="shared" si="40"/>
        <v>2.9953847794131865</v>
      </c>
      <c r="H2095" s="115"/>
      <c r="I2095" s="115"/>
      <c r="J2095" s="116"/>
      <c r="K2095" s="116"/>
      <c r="L2095" s="116"/>
      <c r="M2095" s="116"/>
      <c r="N2095" s="116"/>
      <c r="O2095" s="116"/>
      <c r="P2095" s="116"/>
    </row>
    <row r="2096" spans="2:16" s="108" customFormat="1" ht="21.75" hidden="1" customHeight="1">
      <c r="B2096" s="109"/>
      <c r="C2096" s="122"/>
      <c r="D2096" s="150" t="s">
        <v>212</v>
      </c>
      <c r="E2096" s="778">
        <f>E2097</f>
        <v>101000000</v>
      </c>
      <c r="F2096" s="114">
        <v>44404979591.989998</v>
      </c>
      <c r="G2096" s="127">
        <f t="shared" si="40"/>
        <v>0.22745196806310189</v>
      </c>
      <c r="H2096" s="115"/>
      <c r="I2096" s="115"/>
      <c r="J2096" s="116"/>
      <c r="K2096" s="116"/>
      <c r="L2096" s="116"/>
      <c r="M2096" s="116"/>
      <c r="N2096" s="116"/>
      <c r="O2096" s="116"/>
      <c r="P2096" s="116"/>
    </row>
    <row r="2097" spans="2:16" s="117" customFormat="1" ht="21.75" hidden="1" customHeight="1">
      <c r="B2097" s="118"/>
      <c r="C2097" s="110"/>
      <c r="D2097" s="57" t="s">
        <v>1625</v>
      </c>
      <c r="E2097" s="711">
        <v>101000000</v>
      </c>
      <c r="F2097" s="114">
        <v>44404979591.989998</v>
      </c>
      <c r="G2097" s="127">
        <f t="shared" si="40"/>
        <v>0.22745196806310189</v>
      </c>
      <c r="H2097" s="120"/>
      <c r="I2097" s="120"/>
      <c r="J2097" s="121"/>
      <c r="K2097" s="121"/>
      <c r="L2097" s="121"/>
      <c r="M2097" s="121"/>
      <c r="N2097" s="121"/>
      <c r="O2097" s="121"/>
      <c r="P2097" s="121"/>
    </row>
    <row r="2098" spans="2:16" s="108" customFormat="1" ht="21.75" hidden="1" customHeight="1">
      <c r="B2098" s="109"/>
      <c r="C2098" s="122"/>
      <c r="D2098" s="150" t="s">
        <v>1626</v>
      </c>
      <c r="E2098" s="778">
        <f>E2099</f>
        <v>800196997</v>
      </c>
      <c r="F2098" s="114">
        <v>44404979591.989998</v>
      </c>
      <c r="G2098" s="127">
        <f t="shared" si="40"/>
        <v>1.8020433842161787</v>
      </c>
      <c r="H2098" s="115"/>
      <c r="I2098" s="115"/>
      <c r="J2098" s="116"/>
      <c r="K2098" s="116"/>
      <c r="L2098" s="116"/>
      <c r="M2098" s="116"/>
      <c r="N2098" s="116"/>
      <c r="O2098" s="116"/>
      <c r="P2098" s="116"/>
    </row>
    <row r="2099" spans="2:16" s="117" customFormat="1" ht="21.75" hidden="1" customHeight="1">
      <c r="B2099" s="118"/>
      <c r="C2099" s="110"/>
      <c r="D2099" s="57" t="s">
        <v>1627</v>
      </c>
      <c r="E2099" s="711">
        <v>800196997</v>
      </c>
      <c r="F2099" s="114">
        <v>44404979591.989998</v>
      </c>
      <c r="G2099" s="127">
        <f t="shared" si="40"/>
        <v>1.8020433842161787</v>
      </c>
      <c r="H2099" s="120"/>
      <c r="I2099" s="120"/>
      <c r="J2099" s="121"/>
      <c r="K2099" s="121"/>
      <c r="L2099" s="121"/>
      <c r="M2099" s="121"/>
      <c r="N2099" s="121"/>
      <c r="O2099" s="121"/>
      <c r="P2099" s="121"/>
    </row>
    <row r="2100" spans="2:16" s="117" customFormat="1" ht="15" hidden="1" customHeight="1">
      <c r="B2100" s="118"/>
      <c r="C2100" s="110"/>
      <c r="D2100" s="57"/>
      <c r="E2100" s="711"/>
      <c r="F2100" s="114"/>
      <c r="G2100" s="127"/>
      <c r="H2100" s="120"/>
      <c r="I2100" s="120"/>
      <c r="J2100" s="121"/>
      <c r="K2100" s="121"/>
      <c r="L2100" s="121"/>
      <c r="M2100" s="121"/>
      <c r="N2100" s="121"/>
      <c r="O2100" s="121"/>
      <c r="P2100" s="121"/>
    </row>
    <row r="2101" spans="2:16" s="108" customFormat="1" ht="21.75" hidden="1" customHeight="1">
      <c r="B2101" s="109"/>
      <c r="C2101" s="122"/>
      <c r="D2101" s="221" t="s">
        <v>1628</v>
      </c>
      <c r="E2101" s="250">
        <f>E2102+E2104</f>
        <v>567981600</v>
      </c>
      <c r="F2101" s="114">
        <v>44404979591.989998</v>
      </c>
      <c r="G2101" s="127">
        <f t="shared" si="40"/>
        <v>1.2790943836002922</v>
      </c>
      <c r="H2101" s="115"/>
      <c r="I2101" s="115"/>
      <c r="J2101" s="116"/>
      <c r="K2101" s="116"/>
      <c r="L2101" s="116"/>
      <c r="M2101" s="116"/>
      <c r="N2101" s="116"/>
      <c r="O2101" s="116"/>
      <c r="P2101" s="116"/>
    </row>
    <row r="2102" spans="2:16" s="108" customFormat="1" ht="21.75" hidden="1" customHeight="1">
      <c r="B2102" s="109"/>
      <c r="C2102" s="122"/>
      <c r="D2102" s="150" t="s">
        <v>1629</v>
      </c>
      <c r="E2102" s="710">
        <f>E2103</f>
        <v>417783100</v>
      </c>
      <c r="F2102" s="114">
        <v>44404979591.989998</v>
      </c>
      <c r="G2102" s="127">
        <f t="shared" si="40"/>
        <v>0.94084740909409614</v>
      </c>
      <c r="H2102" s="115"/>
      <c r="I2102" s="115"/>
      <c r="J2102" s="116"/>
      <c r="K2102" s="116"/>
      <c r="L2102" s="116"/>
      <c r="M2102" s="116"/>
      <c r="N2102" s="116"/>
      <c r="O2102" s="116"/>
      <c r="P2102" s="116"/>
    </row>
    <row r="2103" spans="2:16" s="117" customFormat="1" ht="36.75" hidden="1" customHeight="1">
      <c r="B2103" s="118"/>
      <c r="C2103" s="110"/>
      <c r="D2103" s="57" t="s">
        <v>1630</v>
      </c>
      <c r="E2103" s="696">
        <v>417783100</v>
      </c>
      <c r="F2103" s="114">
        <v>44404979591.989998</v>
      </c>
      <c r="G2103" s="127">
        <f t="shared" si="40"/>
        <v>0.94084740909409614</v>
      </c>
      <c r="H2103" s="120"/>
      <c r="I2103" s="120"/>
      <c r="J2103" s="121"/>
      <c r="K2103" s="121"/>
      <c r="L2103" s="121"/>
      <c r="M2103" s="121"/>
      <c r="N2103" s="121"/>
      <c r="O2103" s="121"/>
      <c r="P2103" s="121"/>
    </row>
    <row r="2104" spans="2:16" s="117" customFormat="1" ht="21.75" hidden="1" customHeight="1">
      <c r="B2104" s="118"/>
      <c r="C2104" s="110"/>
      <c r="D2104" s="150" t="s">
        <v>1631</v>
      </c>
      <c r="E2104" s="250">
        <f>E2105</f>
        <v>150198500</v>
      </c>
      <c r="F2104" s="114">
        <v>44404979591.989998</v>
      </c>
      <c r="G2104" s="127">
        <f t="shared" si="40"/>
        <v>0.33824697450619612</v>
      </c>
      <c r="H2104" s="120"/>
      <c r="I2104" s="120"/>
      <c r="J2104" s="121"/>
      <c r="K2104" s="121"/>
      <c r="L2104" s="121"/>
      <c r="M2104" s="121"/>
      <c r="N2104" s="121"/>
      <c r="O2104" s="121"/>
      <c r="P2104" s="121"/>
    </row>
    <row r="2105" spans="2:16" s="108" customFormat="1" ht="51.75" hidden="1" customHeight="1">
      <c r="B2105" s="109"/>
      <c r="C2105" s="122"/>
      <c r="D2105" s="57" t="s">
        <v>1632</v>
      </c>
      <c r="E2105" s="696">
        <v>150198500</v>
      </c>
      <c r="F2105" s="114">
        <v>44404979591.989998</v>
      </c>
      <c r="G2105" s="127">
        <f t="shared" si="40"/>
        <v>0.33824697450619612</v>
      </c>
      <c r="H2105" s="115"/>
      <c r="I2105" s="115"/>
      <c r="J2105" s="116"/>
      <c r="K2105" s="116"/>
      <c r="L2105" s="116"/>
      <c r="M2105" s="116"/>
      <c r="N2105" s="116"/>
      <c r="O2105" s="116"/>
      <c r="P2105" s="116"/>
    </row>
    <row r="2106" spans="2:16" s="108" customFormat="1" ht="15" hidden="1" customHeight="1">
      <c r="B2106" s="109"/>
      <c r="C2106" s="122"/>
      <c r="D2106" s="57"/>
      <c r="E2106" s="696"/>
      <c r="F2106" s="114"/>
      <c r="G2106" s="127"/>
      <c r="H2106" s="115"/>
      <c r="I2106" s="115"/>
      <c r="J2106" s="116"/>
      <c r="K2106" s="116"/>
      <c r="L2106" s="116"/>
      <c r="M2106" s="116"/>
      <c r="N2106" s="116"/>
      <c r="O2106" s="116"/>
      <c r="P2106" s="116"/>
    </row>
    <row r="2107" spans="2:16" s="117" customFormat="1" ht="21.75" hidden="1" customHeight="1">
      <c r="B2107" s="118"/>
      <c r="C2107" s="110"/>
      <c r="D2107" s="150" t="s">
        <v>1139</v>
      </c>
      <c r="E2107" s="250">
        <f>E2108</f>
        <v>600000000</v>
      </c>
      <c r="F2107" s="114">
        <v>44404979591.989998</v>
      </c>
      <c r="G2107" s="127">
        <f t="shared" si="40"/>
        <v>1.3511998102758529</v>
      </c>
      <c r="H2107" s="120"/>
      <c r="I2107" s="120"/>
      <c r="J2107" s="121"/>
      <c r="K2107" s="121"/>
      <c r="L2107" s="121"/>
      <c r="M2107" s="121"/>
      <c r="N2107" s="121"/>
      <c r="O2107" s="121"/>
      <c r="P2107" s="121"/>
    </row>
    <row r="2108" spans="2:16" s="108" customFormat="1" ht="21.75" hidden="1" customHeight="1">
      <c r="B2108" s="109"/>
      <c r="C2108" s="122"/>
      <c r="D2108" s="150" t="s">
        <v>1633</v>
      </c>
      <c r="E2108" s="250">
        <f>E2109</f>
        <v>600000000</v>
      </c>
      <c r="F2108" s="114">
        <v>44404979591.989998</v>
      </c>
      <c r="G2108" s="127">
        <f t="shared" si="40"/>
        <v>1.3511998102758529</v>
      </c>
      <c r="H2108" s="115"/>
      <c r="I2108" s="115"/>
      <c r="J2108" s="116"/>
      <c r="K2108" s="116"/>
      <c r="L2108" s="116"/>
      <c r="M2108" s="116"/>
      <c r="N2108" s="116"/>
      <c r="O2108" s="116"/>
      <c r="P2108" s="116"/>
    </row>
    <row r="2109" spans="2:16" s="108" customFormat="1" ht="21.75" hidden="1" customHeight="1">
      <c r="B2109" s="109"/>
      <c r="C2109" s="122"/>
      <c r="D2109" s="57" t="s">
        <v>1634</v>
      </c>
      <c r="E2109" s="696">
        <v>600000000</v>
      </c>
      <c r="F2109" s="114">
        <v>44404979591.989998</v>
      </c>
      <c r="G2109" s="127">
        <f t="shared" si="40"/>
        <v>1.3511998102758529</v>
      </c>
      <c r="H2109" s="115"/>
      <c r="I2109" s="115"/>
      <c r="J2109" s="116"/>
      <c r="K2109" s="116"/>
      <c r="L2109" s="116"/>
      <c r="M2109" s="116"/>
      <c r="N2109" s="116"/>
      <c r="O2109" s="116"/>
      <c r="P2109" s="116"/>
    </row>
    <row r="2110" spans="2:16" s="108" customFormat="1" ht="15" hidden="1" customHeight="1">
      <c r="B2110" s="109"/>
      <c r="C2110" s="122"/>
      <c r="D2110" s="57"/>
      <c r="E2110" s="696"/>
      <c r="F2110" s="114"/>
      <c r="G2110" s="127"/>
      <c r="H2110" s="115"/>
      <c r="I2110" s="115"/>
      <c r="J2110" s="116"/>
      <c r="K2110" s="116"/>
      <c r="L2110" s="116"/>
      <c r="M2110" s="116"/>
      <c r="N2110" s="116"/>
      <c r="O2110" s="116"/>
      <c r="P2110" s="116"/>
    </row>
    <row r="2111" spans="2:16" s="117" customFormat="1" ht="21.75" hidden="1" customHeight="1">
      <c r="B2111" s="118"/>
      <c r="C2111" s="110"/>
      <c r="D2111" s="150" t="s">
        <v>654</v>
      </c>
      <c r="E2111" s="250">
        <f>E2112</f>
        <v>499999725</v>
      </c>
      <c r="F2111" s="114">
        <v>44404979591.989998</v>
      </c>
      <c r="G2111" s="127">
        <f t="shared" si="40"/>
        <v>1.1259992225966309</v>
      </c>
      <c r="H2111" s="120"/>
      <c r="I2111" s="120"/>
      <c r="J2111" s="121"/>
      <c r="K2111" s="121"/>
      <c r="L2111" s="121"/>
      <c r="M2111" s="121"/>
      <c r="N2111" s="121"/>
      <c r="O2111" s="121"/>
      <c r="P2111" s="121"/>
    </row>
    <row r="2112" spans="2:16" s="117" customFormat="1" ht="21.75" hidden="1" customHeight="1">
      <c r="B2112" s="118"/>
      <c r="C2112" s="110"/>
      <c r="D2112" s="150" t="s">
        <v>1635</v>
      </c>
      <c r="E2112" s="250">
        <f>SUM(E2113:E2114)</f>
        <v>499999725</v>
      </c>
      <c r="F2112" s="114">
        <v>44404979591.989998</v>
      </c>
      <c r="G2112" s="127">
        <f t="shared" si="40"/>
        <v>1.1259992225966309</v>
      </c>
      <c r="H2112" s="120"/>
      <c r="I2112" s="120"/>
      <c r="J2112" s="121"/>
      <c r="K2112" s="121"/>
      <c r="L2112" s="121"/>
      <c r="M2112" s="121"/>
      <c r="N2112" s="121"/>
      <c r="O2112" s="121"/>
      <c r="P2112" s="121"/>
    </row>
    <row r="2113" spans="2:16" s="108" customFormat="1" ht="39.75" hidden="1" customHeight="1">
      <c r="B2113" s="109"/>
      <c r="C2113" s="122"/>
      <c r="D2113" s="57" t="s">
        <v>1636</v>
      </c>
      <c r="E2113" s="696">
        <v>250000000</v>
      </c>
      <c r="F2113" s="114">
        <v>44404979591.989998</v>
      </c>
      <c r="G2113" s="127">
        <f t="shared" si="40"/>
        <v>0.562999920948272</v>
      </c>
      <c r="H2113" s="115"/>
      <c r="I2113" s="115"/>
      <c r="J2113" s="116"/>
      <c r="K2113" s="116"/>
      <c r="L2113" s="116"/>
      <c r="M2113" s="116"/>
      <c r="N2113" s="116"/>
      <c r="O2113" s="116"/>
      <c r="P2113" s="116"/>
    </row>
    <row r="2114" spans="2:16" s="108" customFormat="1" ht="36.75" hidden="1" customHeight="1">
      <c r="B2114" s="109"/>
      <c r="C2114" s="122"/>
      <c r="D2114" s="57" t="s">
        <v>1637</v>
      </c>
      <c r="E2114" s="696">
        <v>249999725</v>
      </c>
      <c r="F2114" s="114">
        <v>44404979591.989998</v>
      </c>
      <c r="G2114" s="127">
        <f t="shared" ref="G2114:G2163" si="41">+E2114/F2114*100</f>
        <v>0.56299930164835899</v>
      </c>
      <c r="H2114" s="115"/>
      <c r="I2114" s="115"/>
      <c r="J2114" s="116"/>
      <c r="K2114" s="116"/>
      <c r="L2114" s="116"/>
      <c r="M2114" s="116"/>
      <c r="N2114" s="116"/>
      <c r="O2114" s="116"/>
      <c r="P2114" s="116"/>
    </row>
    <row r="2115" spans="2:16" s="108" customFormat="1" ht="15" hidden="1" customHeight="1">
      <c r="B2115" s="109"/>
      <c r="C2115" s="122"/>
      <c r="D2115" s="57"/>
      <c r="E2115" s="696"/>
      <c r="F2115" s="114"/>
      <c r="G2115" s="127"/>
      <c r="H2115" s="115"/>
      <c r="I2115" s="115"/>
      <c r="J2115" s="116"/>
      <c r="K2115" s="116"/>
      <c r="L2115" s="116"/>
      <c r="M2115" s="116"/>
      <c r="N2115" s="116"/>
      <c r="O2115" s="116"/>
      <c r="P2115" s="116"/>
    </row>
    <row r="2116" spans="2:16" s="117" customFormat="1" ht="21.75" hidden="1" customHeight="1">
      <c r="B2116" s="118"/>
      <c r="C2116" s="110"/>
      <c r="D2116" s="227" t="s">
        <v>1638</v>
      </c>
      <c r="E2116" s="710">
        <f>E2117+E2121</f>
        <v>2560478500</v>
      </c>
      <c r="F2116" s="114">
        <v>44404979591.989998</v>
      </c>
      <c r="G2116" s="127">
        <f t="shared" si="41"/>
        <v>5.7661967723590006</v>
      </c>
      <c r="H2116" s="120"/>
      <c r="I2116" s="120"/>
      <c r="J2116" s="121"/>
      <c r="K2116" s="121"/>
      <c r="L2116" s="121"/>
      <c r="M2116" s="121"/>
      <c r="N2116" s="121"/>
      <c r="O2116" s="121"/>
      <c r="P2116" s="121"/>
    </row>
    <row r="2117" spans="2:16" s="117" customFormat="1" ht="21.75" hidden="1" customHeight="1">
      <c r="B2117" s="118"/>
      <c r="C2117" s="110"/>
      <c r="D2117" s="227" t="s">
        <v>1639</v>
      </c>
      <c r="E2117" s="710">
        <f>SUM(E2118:E2120)</f>
        <v>2273166865</v>
      </c>
      <c r="F2117" s="114">
        <v>44404979591.989998</v>
      </c>
      <c r="G2117" s="127">
        <f t="shared" si="41"/>
        <v>5.1191710611889247</v>
      </c>
      <c r="H2117" s="120"/>
      <c r="I2117" s="120"/>
      <c r="J2117" s="121"/>
      <c r="K2117" s="121"/>
      <c r="L2117" s="121"/>
      <c r="M2117" s="121"/>
      <c r="N2117" s="121"/>
      <c r="O2117" s="121"/>
      <c r="P2117" s="121"/>
    </row>
    <row r="2118" spans="2:16" s="108" customFormat="1" ht="21.75" hidden="1" customHeight="1">
      <c r="B2118" s="109"/>
      <c r="C2118" s="122"/>
      <c r="D2118" s="57" t="s">
        <v>1640</v>
      </c>
      <c r="E2118" s="711">
        <v>500821500</v>
      </c>
      <c r="F2118" s="114">
        <v>44404979591.989998</v>
      </c>
      <c r="G2118" s="127">
        <f t="shared" si="41"/>
        <v>1.1278498596367801</v>
      </c>
      <c r="H2118" s="115"/>
      <c r="I2118" s="115"/>
      <c r="J2118" s="116"/>
      <c r="K2118" s="116"/>
      <c r="L2118" s="116"/>
      <c r="M2118" s="116"/>
      <c r="N2118" s="116"/>
      <c r="O2118" s="116"/>
      <c r="P2118" s="116"/>
    </row>
    <row r="2119" spans="2:16" s="108" customFormat="1" ht="21.75" hidden="1" customHeight="1">
      <c r="B2119" s="109"/>
      <c r="C2119" s="122"/>
      <c r="D2119" s="57" t="s">
        <v>1189</v>
      </c>
      <c r="E2119" s="711">
        <v>1000750300</v>
      </c>
      <c r="F2119" s="114">
        <v>44404979591.989998</v>
      </c>
      <c r="G2119" s="127">
        <f t="shared" si="41"/>
        <v>2.253689359155838</v>
      </c>
      <c r="H2119" s="115"/>
      <c r="I2119" s="115"/>
      <c r="J2119" s="116"/>
      <c r="K2119" s="116"/>
      <c r="L2119" s="116"/>
      <c r="M2119" s="116"/>
      <c r="N2119" s="116"/>
      <c r="O2119" s="116"/>
      <c r="P2119" s="116"/>
    </row>
    <row r="2120" spans="2:16" s="108" customFormat="1" ht="21.75" hidden="1" customHeight="1">
      <c r="B2120" s="109"/>
      <c r="C2120" s="122"/>
      <c r="D2120" s="57" t="s">
        <v>1641</v>
      </c>
      <c r="E2120" s="711">
        <v>771595065</v>
      </c>
      <c r="F2120" s="114">
        <v>44404979591.989998</v>
      </c>
      <c r="G2120" s="127">
        <f t="shared" si="41"/>
        <v>1.7376318423963071</v>
      </c>
      <c r="H2120" s="115"/>
      <c r="I2120" s="115"/>
      <c r="J2120" s="116"/>
      <c r="K2120" s="116"/>
      <c r="L2120" s="116"/>
      <c r="M2120" s="116"/>
      <c r="N2120" s="116"/>
      <c r="O2120" s="116"/>
      <c r="P2120" s="116"/>
    </row>
    <row r="2121" spans="2:16" s="117" customFormat="1" ht="21.75" hidden="1" customHeight="1">
      <c r="B2121" s="118"/>
      <c r="C2121" s="110"/>
      <c r="D2121" s="150" t="s">
        <v>1642</v>
      </c>
      <c r="E2121" s="710">
        <f>E2122</f>
        <v>287311635</v>
      </c>
      <c r="F2121" s="114">
        <v>44404979591.989998</v>
      </c>
      <c r="G2121" s="127">
        <f t="shared" si="41"/>
        <v>0.64702571117007512</v>
      </c>
      <c r="H2121" s="120"/>
      <c r="I2121" s="120"/>
      <c r="J2121" s="121"/>
      <c r="K2121" s="121"/>
      <c r="L2121" s="121"/>
      <c r="M2121" s="121"/>
      <c r="N2121" s="121"/>
      <c r="O2121" s="121"/>
      <c r="P2121" s="121"/>
    </row>
    <row r="2122" spans="2:16" s="117" customFormat="1" ht="21.75" hidden="1" customHeight="1">
      <c r="B2122" s="118"/>
      <c r="C2122" s="110"/>
      <c r="D2122" s="57" t="s">
        <v>1643</v>
      </c>
      <c r="E2122" s="711">
        <v>287311635</v>
      </c>
      <c r="F2122" s="114">
        <v>44404979591.989998</v>
      </c>
      <c r="G2122" s="127">
        <f t="shared" si="41"/>
        <v>0.64702571117007512</v>
      </c>
      <c r="H2122" s="120"/>
      <c r="I2122" s="120"/>
      <c r="J2122" s="121"/>
      <c r="K2122" s="121"/>
      <c r="L2122" s="121"/>
      <c r="M2122" s="121"/>
      <c r="N2122" s="121"/>
      <c r="O2122" s="121"/>
      <c r="P2122" s="121"/>
    </row>
    <row r="2123" spans="2:16" s="117" customFormat="1" ht="15" hidden="1" customHeight="1">
      <c r="B2123" s="118"/>
      <c r="C2123" s="110"/>
      <c r="D2123" s="57"/>
      <c r="E2123" s="711"/>
      <c r="F2123" s="114"/>
      <c r="G2123" s="127"/>
      <c r="H2123" s="120"/>
      <c r="I2123" s="120"/>
      <c r="J2123" s="121"/>
      <c r="K2123" s="121"/>
      <c r="L2123" s="121"/>
      <c r="M2123" s="121"/>
      <c r="N2123" s="121"/>
      <c r="O2123" s="121"/>
      <c r="P2123" s="121"/>
    </row>
    <row r="2124" spans="2:16" s="108" customFormat="1" ht="21.75" hidden="1" customHeight="1">
      <c r="B2124" s="109"/>
      <c r="C2124" s="122"/>
      <c r="D2124" s="150" t="s">
        <v>1644</v>
      </c>
      <c r="E2124" s="779">
        <f>E2125</f>
        <v>360000000</v>
      </c>
      <c r="F2124" s="114">
        <v>44404979591.989998</v>
      </c>
      <c r="G2124" s="127">
        <f t="shared" si="41"/>
        <v>0.81071988616551161</v>
      </c>
      <c r="H2124" s="115"/>
      <c r="I2124" s="115"/>
      <c r="J2124" s="116"/>
      <c r="K2124" s="116"/>
      <c r="L2124" s="116"/>
      <c r="M2124" s="116"/>
      <c r="N2124" s="116"/>
      <c r="O2124" s="116"/>
      <c r="P2124" s="116"/>
    </row>
    <row r="2125" spans="2:16" s="108" customFormat="1" ht="21.75" hidden="1" customHeight="1">
      <c r="B2125" s="109"/>
      <c r="C2125" s="122"/>
      <c r="D2125" s="150" t="s">
        <v>1645</v>
      </c>
      <c r="E2125" s="779">
        <f>E2126</f>
        <v>360000000</v>
      </c>
      <c r="F2125" s="114">
        <v>44404979591.989998</v>
      </c>
      <c r="G2125" s="127">
        <f t="shared" si="41"/>
        <v>0.81071988616551161</v>
      </c>
      <c r="H2125" s="115"/>
      <c r="I2125" s="115"/>
      <c r="J2125" s="116"/>
      <c r="K2125" s="116"/>
      <c r="L2125" s="116"/>
      <c r="M2125" s="116"/>
      <c r="N2125" s="116"/>
      <c r="O2125" s="116"/>
      <c r="P2125" s="116"/>
    </row>
    <row r="2126" spans="2:16" s="108" customFormat="1" ht="21.75" hidden="1" customHeight="1">
      <c r="B2126" s="109"/>
      <c r="C2126" s="122"/>
      <c r="D2126" s="57" t="s">
        <v>1646</v>
      </c>
      <c r="E2126" s="780">
        <v>360000000</v>
      </c>
      <c r="F2126" s="114">
        <v>44404979591.989998</v>
      </c>
      <c r="G2126" s="127">
        <f t="shared" si="41"/>
        <v>0.81071988616551161</v>
      </c>
      <c r="H2126" s="115"/>
      <c r="I2126" s="115"/>
      <c r="J2126" s="116"/>
      <c r="K2126" s="116"/>
      <c r="L2126" s="116"/>
      <c r="M2126" s="116"/>
      <c r="N2126" s="116"/>
      <c r="O2126" s="116"/>
      <c r="P2126" s="116"/>
    </row>
    <row r="2127" spans="2:16" s="108" customFormat="1" ht="15" hidden="1" customHeight="1">
      <c r="B2127" s="109"/>
      <c r="C2127" s="122"/>
      <c r="D2127" s="57"/>
      <c r="E2127" s="780"/>
      <c r="F2127" s="114"/>
      <c r="G2127" s="127"/>
      <c r="H2127" s="115"/>
      <c r="I2127" s="115"/>
      <c r="J2127" s="116"/>
      <c r="K2127" s="116"/>
      <c r="L2127" s="116"/>
      <c r="M2127" s="116"/>
      <c r="N2127" s="116"/>
      <c r="O2127" s="116"/>
      <c r="P2127" s="116"/>
    </row>
    <row r="2128" spans="2:16" s="117" customFormat="1" ht="21.75" hidden="1" customHeight="1">
      <c r="B2128" s="118"/>
      <c r="C2128" s="110"/>
      <c r="D2128" s="150" t="s">
        <v>1647</v>
      </c>
      <c r="E2128" s="779">
        <f>E2129</f>
        <v>300000000</v>
      </c>
      <c r="F2128" s="114">
        <v>44404979591.989998</v>
      </c>
      <c r="G2128" s="127">
        <f t="shared" si="41"/>
        <v>0.67559990513792645</v>
      </c>
      <c r="H2128" s="120"/>
      <c r="I2128" s="120"/>
      <c r="J2128" s="121"/>
      <c r="K2128" s="121"/>
      <c r="L2128" s="121"/>
      <c r="M2128" s="121"/>
      <c r="N2128" s="121"/>
      <c r="O2128" s="121"/>
      <c r="P2128" s="121"/>
    </row>
    <row r="2129" spans="2:16" s="108" customFormat="1" ht="21.75" hidden="1" customHeight="1">
      <c r="B2129" s="109"/>
      <c r="C2129" s="122"/>
      <c r="D2129" s="150" t="s">
        <v>1648</v>
      </c>
      <c r="E2129" s="779">
        <f>SUM(E2130:E2130)</f>
        <v>300000000</v>
      </c>
      <c r="F2129" s="114">
        <v>44404979591.989998</v>
      </c>
      <c r="G2129" s="127">
        <f t="shared" si="41"/>
        <v>0.67559990513792645</v>
      </c>
      <c r="H2129" s="115"/>
      <c r="I2129" s="115"/>
      <c r="J2129" s="116"/>
      <c r="K2129" s="116"/>
      <c r="L2129" s="116"/>
      <c r="M2129" s="116"/>
      <c r="N2129" s="116"/>
      <c r="O2129" s="116"/>
      <c r="P2129" s="116"/>
    </row>
    <row r="2130" spans="2:16" s="108" customFormat="1" ht="21.75" hidden="1" customHeight="1">
      <c r="B2130" s="109"/>
      <c r="C2130" s="122"/>
      <c r="D2130" s="57" t="s">
        <v>1649</v>
      </c>
      <c r="E2130" s="780">
        <v>300000000</v>
      </c>
      <c r="F2130" s="114">
        <v>44404979591.989998</v>
      </c>
      <c r="G2130" s="127">
        <f t="shared" si="41"/>
        <v>0.67559990513792645</v>
      </c>
      <c r="H2130" s="115"/>
      <c r="I2130" s="115"/>
      <c r="J2130" s="116"/>
      <c r="K2130" s="116"/>
      <c r="L2130" s="116"/>
      <c r="M2130" s="116"/>
      <c r="N2130" s="116"/>
      <c r="O2130" s="116"/>
      <c r="P2130" s="116"/>
    </row>
    <row r="2131" spans="2:16" s="108" customFormat="1" ht="15" hidden="1" customHeight="1">
      <c r="B2131" s="109"/>
      <c r="C2131" s="122"/>
      <c r="D2131" s="57"/>
      <c r="E2131" s="780"/>
      <c r="F2131" s="114"/>
      <c r="G2131" s="127"/>
      <c r="H2131" s="115"/>
      <c r="I2131" s="115"/>
      <c r="J2131" s="116"/>
      <c r="K2131" s="116"/>
      <c r="L2131" s="116"/>
      <c r="M2131" s="116"/>
      <c r="N2131" s="116"/>
      <c r="O2131" s="116"/>
      <c r="P2131" s="116"/>
    </row>
    <row r="2132" spans="2:16" s="117" customFormat="1" ht="21.75" hidden="1" customHeight="1">
      <c r="B2132" s="118"/>
      <c r="C2132" s="110"/>
      <c r="D2132" s="150" t="s">
        <v>1650</v>
      </c>
      <c r="E2132" s="779">
        <f>E2133+E2135</f>
        <v>520000000</v>
      </c>
      <c r="F2132" s="114">
        <v>44404979591.989998</v>
      </c>
      <c r="G2132" s="127">
        <f t="shared" si="41"/>
        <v>1.1710398355724059</v>
      </c>
      <c r="H2132" s="120"/>
      <c r="I2132" s="120"/>
      <c r="J2132" s="121"/>
      <c r="K2132" s="121"/>
      <c r="L2132" s="121"/>
      <c r="M2132" s="121"/>
      <c r="N2132" s="121"/>
      <c r="O2132" s="121"/>
      <c r="P2132" s="121"/>
    </row>
    <row r="2133" spans="2:16" s="117" customFormat="1" ht="21.75" hidden="1" customHeight="1">
      <c r="B2133" s="118"/>
      <c r="C2133" s="110"/>
      <c r="D2133" s="150" t="s">
        <v>1651</v>
      </c>
      <c r="E2133" s="779">
        <f>SUM(E2134)</f>
        <v>200000000</v>
      </c>
      <c r="F2133" s="114">
        <v>44404979591.989998</v>
      </c>
      <c r="G2133" s="127">
        <f t="shared" si="41"/>
        <v>0.45039993675861756</v>
      </c>
      <c r="H2133" s="120"/>
      <c r="I2133" s="120"/>
      <c r="J2133" s="121"/>
      <c r="K2133" s="121"/>
      <c r="L2133" s="121"/>
      <c r="M2133" s="121"/>
      <c r="N2133" s="121"/>
      <c r="O2133" s="121"/>
      <c r="P2133" s="121"/>
    </row>
    <row r="2134" spans="2:16" s="108" customFormat="1" ht="21.75" hidden="1" customHeight="1">
      <c r="B2134" s="109"/>
      <c r="C2134" s="122"/>
      <c r="D2134" s="57" t="s">
        <v>1652</v>
      </c>
      <c r="E2134" s="780">
        <v>200000000</v>
      </c>
      <c r="F2134" s="114">
        <v>44404979591.989998</v>
      </c>
      <c r="G2134" s="127">
        <f t="shared" si="41"/>
        <v>0.45039993675861756</v>
      </c>
      <c r="H2134" s="115"/>
      <c r="I2134" s="115"/>
      <c r="J2134" s="116"/>
      <c r="K2134" s="116"/>
      <c r="L2134" s="116"/>
      <c r="M2134" s="116"/>
      <c r="N2134" s="116"/>
      <c r="O2134" s="116"/>
      <c r="P2134" s="116"/>
    </row>
    <row r="2135" spans="2:16" s="108" customFormat="1" ht="21.75" hidden="1" customHeight="1">
      <c r="B2135" s="109"/>
      <c r="C2135" s="122"/>
      <c r="D2135" s="150" t="s">
        <v>1653</v>
      </c>
      <c r="E2135" s="779">
        <f>SUM(E2136)</f>
        <v>320000000</v>
      </c>
      <c r="F2135" s="114">
        <v>44404979591.989998</v>
      </c>
      <c r="G2135" s="127">
        <f t="shared" si="41"/>
        <v>0.7206398988137882</v>
      </c>
      <c r="H2135" s="115"/>
      <c r="I2135" s="115"/>
      <c r="J2135" s="116"/>
      <c r="K2135" s="116"/>
      <c r="L2135" s="116"/>
      <c r="M2135" s="116"/>
      <c r="N2135" s="116"/>
      <c r="O2135" s="116"/>
      <c r="P2135" s="116"/>
    </row>
    <row r="2136" spans="2:16" s="117" customFormat="1" ht="36.75" hidden="1" customHeight="1">
      <c r="B2136" s="118"/>
      <c r="C2136" s="110"/>
      <c r="D2136" s="57" t="s">
        <v>1654</v>
      </c>
      <c r="E2136" s="780">
        <v>320000000</v>
      </c>
      <c r="F2136" s="114">
        <v>44404979591.989998</v>
      </c>
      <c r="G2136" s="127">
        <f t="shared" si="41"/>
        <v>0.7206398988137882</v>
      </c>
      <c r="H2136" s="120"/>
      <c r="I2136" s="120"/>
      <c r="J2136" s="121"/>
      <c r="K2136" s="121"/>
      <c r="L2136" s="121"/>
      <c r="M2136" s="121"/>
      <c r="N2136" s="121"/>
      <c r="O2136" s="121"/>
      <c r="P2136" s="121"/>
    </row>
    <row r="2137" spans="2:16" s="117" customFormat="1" ht="15" hidden="1" customHeight="1">
      <c r="B2137" s="118"/>
      <c r="C2137" s="110"/>
      <c r="D2137" s="57"/>
      <c r="E2137" s="780"/>
      <c r="F2137" s="114"/>
      <c r="G2137" s="127"/>
      <c r="H2137" s="120"/>
      <c r="I2137" s="120"/>
      <c r="J2137" s="121"/>
      <c r="K2137" s="121"/>
      <c r="L2137" s="121"/>
      <c r="M2137" s="121"/>
      <c r="N2137" s="121"/>
      <c r="O2137" s="121"/>
      <c r="P2137" s="121"/>
    </row>
    <row r="2138" spans="2:16" s="117" customFormat="1" ht="21.75" hidden="1" customHeight="1">
      <c r="B2138" s="118"/>
      <c r="C2138" s="110"/>
      <c r="D2138" s="150" t="s">
        <v>1186</v>
      </c>
      <c r="E2138" s="779">
        <f>E2139+E2141</f>
        <v>500000000</v>
      </c>
      <c r="F2138" s="114">
        <v>44404979591.989998</v>
      </c>
      <c r="G2138" s="127">
        <f t="shared" si="41"/>
        <v>1.125999841896544</v>
      </c>
      <c r="H2138" s="120"/>
      <c r="I2138" s="120"/>
      <c r="J2138" s="121"/>
      <c r="K2138" s="121"/>
      <c r="L2138" s="121"/>
      <c r="M2138" s="121"/>
      <c r="N2138" s="121"/>
      <c r="O2138" s="121"/>
      <c r="P2138" s="121"/>
    </row>
    <row r="2139" spans="2:16" s="108" customFormat="1" ht="21.75" hidden="1" customHeight="1">
      <c r="B2139" s="109"/>
      <c r="C2139" s="122"/>
      <c r="D2139" s="150" t="s">
        <v>1655</v>
      </c>
      <c r="E2139" s="779">
        <f>E2140</f>
        <v>107000000</v>
      </c>
      <c r="F2139" s="114">
        <v>44404979591.989998</v>
      </c>
      <c r="G2139" s="127">
        <f t="shared" si="41"/>
        <v>0.24096396616586041</v>
      </c>
      <c r="H2139" s="115"/>
      <c r="I2139" s="115"/>
      <c r="J2139" s="116"/>
      <c r="K2139" s="116"/>
      <c r="L2139" s="116"/>
      <c r="M2139" s="116"/>
      <c r="N2139" s="116"/>
      <c r="O2139" s="116"/>
      <c r="P2139" s="116"/>
    </row>
    <row r="2140" spans="2:16" s="108" customFormat="1" ht="21.75" hidden="1" customHeight="1">
      <c r="B2140" s="109"/>
      <c r="C2140" s="122"/>
      <c r="D2140" s="57" t="s">
        <v>708</v>
      </c>
      <c r="E2140" s="780">
        <v>107000000</v>
      </c>
      <c r="F2140" s="114">
        <v>44404979591.989998</v>
      </c>
      <c r="G2140" s="127">
        <f t="shared" si="41"/>
        <v>0.24096396616586041</v>
      </c>
      <c r="H2140" s="115"/>
      <c r="I2140" s="115"/>
      <c r="J2140" s="116"/>
      <c r="K2140" s="116"/>
      <c r="L2140" s="116"/>
      <c r="M2140" s="116"/>
      <c r="N2140" s="116"/>
      <c r="O2140" s="116"/>
      <c r="P2140" s="116"/>
    </row>
    <row r="2141" spans="2:16" s="117" customFormat="1" ht="21.75" hidden="1" customHeight="1">
      <c r="B2141" s="118"/>
      <c r="C2141" s="110"/>
      <c r="D2141" s="150" t="s">
        <v>286</v>
      </c>
      <c r="E2141" s="779">
        <f>E2142</f>
        <v>393000000</v>
      </c>
      <c r="F2141" s="114">
        <v>44404979591.989998</v>
      </c>
      <c r="G2141" s="127">
        <f t="shared" si="41"/>
        <v>0.88503587573068365</v>
      </c>
      <c r="H2141" s="120"/>
      <c r="I2141" s="120"/>
      <c r="J2141" s="121"/>
      <c r="K2141" s="121"/>
      <c r="L2141" s="121"/>
      <c r="M2141" s="121"/>
      <c r="N2141" s="121"/>
      <c r="O2141" s="121"/>
      <c r="P2141" s="121"/>
    </row>
    <row r="2142" spans="2:16" s="117" customFormat="1" ht="21.75" hidden="1" customHeight="1">
      <c r="B2142" s="118"/>
      <c r="C2142" s="110"/>
      <c r="D2142" s="57" t="s">
        <v>1656</v>
      </c>
      <c r="E2142" s="780">
        <v>393000000</v>
      </c>
      <c r="F2142" s="114">
        <v>44404979591.989998</v>
      </c>
      <c r="G2142" s="127">
        <f t="shared" si="41"/>
        <v>0.88503587573068365</v>
      </c>
      <c r="H2142" s="120"/>
      <c r="I2142" s="120"/>
      <c r="J2142" s="121"/>
      <c r="K2142" s="121"/>
      <c r="L2142" s="121"/>
      <c r="M2142" s="121"/>
      <c r="N2142" s="121"/>
      <c r="O2142" s="121"/>
      <c r="P2142" s="121"/>
    </row>
    <row r="2143" spans="2:16" s="117" customFormat="1" ht="15" hidden="1" customHeight="1">
      <c r="B2143" s="118"/>
      <c r="C2143" s="110"/>
      <c r="D2143" s="57"/>
      <c r="E2143" s="780"/>
      <c r="F2143" s="114"/>
      <c r="G2143" s="127"/>
      <c r="H2143" s="120"/>
      <c r="I2143" s="120"/>
      <c r="J2143" s="121"/>
      <c r="K2143" s="121"/>
      <c r="L2143" s="121"/>
      <c r="M2143" s="121"/>
      <c r="N2143" s="121"/>
      <c r="O2143" s="121"/>
      <c r="P2143" s="121"/>
    </row>
    <row r="2144" spans="2:16" s="108" customFormat="1" ht="21.75" hidden="1" customHeight="1">
      <c r="B2144" s="109"/>
      <c r="C2144" s="122"/>
      <c r="D2144" s="150" t="s">
        <v>1305</v>
      </c>
      <c r="E2144" s="779">
        <f>E2145+E2147+E2151+E2153</f>
        <v>2100268680</v>
      </c>
      <c r="F2144" s="114">
        <v>44404979591.989998</v>
      </c>
      <c r="G2144" s="127">
        <f t="shared" si="41"/>
        <v>4.729804403240526</v>
      </c>
      <c r="H2144" s="115"/>
      <c r="I2144" s="115"/>
      <c r="J2144" s="116"/>
      <c r="K2144" s="116"/>
      <c r="L2144" s="116"/>
      <c r="M2144" s="116"/>
      <c r="N2144" s="116"/>
      <c r="O2144" s="116"/>
      <c r="P2144" s="116"/>
    </row>
    <row r="2145" spans="2:16" s="117" customFormat="1" ht="21.75" hidden="1" customHeight="1">
      <c r="B2145" s="118"/>
      <c r="C2145" s="110"/>
      <c r="D2145" s="150" t="s">
        <v>1657</v>
      </c>
      <c r="E2145" s="779">
        <f>E2146</f>
        <v>250000000</v>
      </c>
      <c r="F2145" s="114">
        <v>44404979591.989998</v>
      </c>
      <c r="G2145" s="127">
        <f t="shared" si="41"/>
        <v>0.562999920948272</v>
      </c>
      <c r="H2145" s="120"/>
      <c r="I2145" s="120"/>
      <c r="J2145" s="121"/>
      <c r="K2145" s="121"/>
      <c r="L2145" s="121"/>
      <c r="M2145" s="121"/>
      <c r="N2145" s="121"/>
      <c r="O2145" s="121"/>
      <c r="P2145" s="121"/>
    </row>
    <row r="2146" spans="2:16" s="108" customFormat="1" ht="21.75" hidden="1" customHeight="1">
      <c r="B2146" s="109"/>
      <c r="C2146" s="122"/>
      <c r="D2146" s="57" t="s">
        <v>1421</v>
      </c>
      <c r="E2146" s="780">
        <v>250000000</v>
      </c>
      <c r="F2146" s="114">
        <v>44404979591.989998</v>
      </c>
      <c r="G2146" s="127">
        <f t="shared" si="41"/>
        <v>0.562999920948272</v>
      </c>
      <c r="H2146" s="115"/>
      <c r="I2146" s="115"/>
      <c r="J2146" s="116"/>
      <c r="K2146" s="116"/>
      <c r="L2146" s="116"/>
      <c r="M2146" s="116"/>
      <c r="N2146" s="116"/>
      <c r="O2146" s="116"/>
      <c r="P2146" s="116"/>
    </row>
    <row r="2147" spans="2:16" s="108" customFormat="1" ht="21.75" hidden="1" customHeight="1">
      <c r="B2147" s="109"/>
      <c r="C2147" s="122"/>
      <c r="D2147" s="150" t="s">
        <v>1658</v>
      </c>
      <c r="E2147" s="779">
        <f>SUM(E2148:E2150)</f>
        <v>835131000</v>
      </c>
      <c r="F2147" s="114">
        <v>44404979591.989998</v>
      </c>
      <c r="G2147" s="127">
        <f t="shared" si="41"/>
        <v>1.8807147479258053</v>
      </c>
      <c r="H2147" s="115"/>
      <c r="I2147" s="115"/>
      <c r="J2147" s="116"/>
      <c r="K2147" s="116"/>
      <c r="L2147" s="116"/>
      <c r="M2147" s="116"/>
      <c r="N2147" s="116"/>
      <c r="O2147" s="116"/>
      <c r="P2147" s="116"/>
    </row>
    <row r="2148" spans="2:16" s="117" customFormat="1" ht="21.75" hidden="1" customHeight="1">
      <c r="B2148" s="118"/>
      <c r="C2148" s="110"/>
      <c r="D2148" s="57" t="s">
        <v>1659</v>
      </c>
      <c r="E2148" s="780">
        <v>270000000</v>
      </c>
      <c r="F2148" s="114">
        <v>44404979591.989998</v>
      </c>
      <c r="G2148" s="127">
        <f t="shared" si="41"/>
        <v>0.60803991462413376</v>
      </c>
      <c r="H2148" s="120"/>
      <c r="I2148" s="120"/>
      <c r="J2148" s="121"/>
      <c r="K2148" s="121"/>
      <c r="L2148" s="121"/>
      <c r="M2148" s="121"/>
      <c r="N2148" s="121"/>
      <c r="O2148" s="121"/>
      <c r="P2148" s="121"/>
    </row>
    <row r="2149" spans="2:16" s="117" customFormat="1" ht="21.75" hidden="1" customHeight="1">
      <c r="B2149" s="118"/>
      <c r="C2149" s="110"/>
      <c r="D2149" s="57" t="s">
        <v>469</v>
      </c>
      <c r="E2149" s="780">
        <v>516975000</v>
      </c>
      <c r="F2149" s="114">
        <v>44404979591.989998</v>
      </c>
      <c r="G2149" s="127">
        <f t="shared" si="41"/>
        <v>1.1642275365289316</v>
      </c>
      <c r="H2149" s="120"/>
      <c r="I2149" s="120"/>
      <c r="J2149" s="121"/>
      <c r="K2149" s="121"/>
      <c r="L2149" s="121"/>
      <c r="M2149" s="121"/>
      <c r="N2149" s="121"/>
      <c r="O2149" s="121"/>
      <c r="P2149" s="121"/>
    </row>
    <row r="2150" spans="2:16" s="108" customFormat="1" ht="21.75" hidden="1" customHeight="1">
      <c r="B2150" s="109"/>
      <c r="C2150" s="122"/>
      <c r="D2150" s="57" t="s">
        <v>1660</v>
      </c>
      <c r="E2150" s="780">
        <v>48156000</v>
      </c>
      <c r="F2150" s="114">
        <v>44404979591.989998</v>
      </c>
      <c r="G2150" s="127">
        <f t="shared" si="41"/>
        <v>0.10844729677273995</v>
      </c>
      <c r="H2150" s="115"/>
      <c r="I2150" s="115"/>
      <c r="J2150" s="116"/>
      <c r="K2150" s="116"/>
      <c r="L2150" s="116"/>
      <c r="M2150" s="116"/>
      <c r="N2150" s="116"/>
      <c r="O2150" s="116"/>
      <c r="P2150" s="116"/>
    </row>
    <row r="2151" spans="2:16" s="117" customFormat="1" ht="21.75" hidden="1" customHeight="1">
      <c r="B2151" s="118"/>
      <c r="C2151" s="110"/>
      <c r="D2151" s="150" t="s">
        <v>1661</v>
      </c>
      <c r="E2151" s="779">
        <f>E2152</f>
        <v>565137680</v>
      </c>
      <c r="F2151" s="114">
        <v>44404979591.989998</v>
      </c>
      <c r="G2151" s="127">
        <f t="shared" si="41"/>
        <v>1.2726898766595593</v>
      </c>
      <c r="H2151" s="120"/>
      <c r="I2151" s="120"/>
      <c r="J2151" s="121"/>
      <c r="K2151" s="121"/>
      <c r="L2151" s="121"/>
      <c r="M2151" s="121"/>
      <c r="N2151" s="121"/>
      <c r="O2151" s="121"/>
      <c r="P2151" s="121"/>
    </row>
    <row r="2152" spans="2:16" s="108" customFormat="1" ht="21.75" hidden="1" customHeight="1">
      <c r="B2152" s="109"/>
      <c r="C2152" s="122"/>
      <c r="D2152" s="57" t="s">
        <v>1662</v>
      </c>
      <c r="E2152" s="780">
        <v>565137680</v>
      </c>
      <c r="F2152" s="114">
        <v>44404979591.989998</v>
      </c>
      <c r="G2152" s="127">
        <f t="shared" si="41"/>
        <v>1.2726898766595593</v>
      </c>
      <c r="H2152" s="115"/>
      <c r="I2152" s="115"/>
      <c r="J2152" s="116"/>
      <c r="K2152" s="116"/>
      <c r="L2152" s="116"/>
      <c r="M2152" s="116"/>
      <c r="N2152" s="116"/>
      <c r="O2152" s="116"/>
      <c r="P2152" s="116"/>
    </row>
    <row r="2153" spans="2:16" s="108" customFormat="1" ht="21.75" hidden="1" customHeight="1">
      <c r="B2153" s="109"/>
      <c r="C2153" s="122"/>
      <c r="D2153" s="150" t="s">
        <v>308</v>
      </c>
      <c r="E2153" s="779">
        <f>E2154</f>
        <v>450000000</v>
      </c>
      <c r="F2153" s="114">
        <v>44404979591.989998</v>
      </c>
      <c r="G2153" s="127">
        <f t="shared" si="41"/>
        <v>1.0133998577068897</v>
      </c>
      <c r="H2153" s="115"/>
      <c r="I2153" s="115"/>
      <c r="J2153" s="116"/>
      <c r="K2153" s="116"/>
      <c r="L2153" s="116"/>
      <c r="M2153" s="116"/>
      <c r="N2153" s="116"/>
      <c r="O2153" s="116"/>
      <c r="P2153" s="116"/>
    </row>
    <row r="2154" spans="2:16" s="117" customFormat="1" ht="21.75" hidden="1" customHeight="1">
      <c r="B2154" s="118"/>
      <c r="C2154" s="110"/>
      <c r="D2154" s="57" t="s">
        <v>1663</v>
      </c>
      <c r="E2154" s="780">
        <v>450000000</v>
      </c>
      <c r="F2154" s="114">
        <v>44404979591.989998</v>
      </c>
      <c r="G2154" s="127">
        <f t="shared" si="41"/>
        <v>1.0133998577068897</v>
      </c>
      <c r="H2154" s="120"/>
      <c r="I2154" s="120"/>
      <c r="J2154" s="121"/>
      <c r="K2154" s="121"/>
      <c r="L2154" s="121"/>
      <c r="M2154" s="121"/>
      <c r="N2154" s="121"/>
      <c r="O2154" s="121"/>
      <c r="P2154" s="121"/>
    </row>
    <row r="2155" spans="2:16" s="117" customFormat="1" ht="15" hidden="1" customHeight="1">
      <c r="B2155" s="118"/>
      <c r="C2155" s="110"/>
      <c r="D2155" s="57"/>
      <c r="E2155" s="780"/>
      <c r="F2155" s="114"/>
      <c r="G2155" s="127"/>
      <c r="H2155" s="120"/>
      <c r="I2155" s="120"/>
      <c r="J2155" s="121"/>
      <c r="K2155" s="121"/>
      <c r="L2155" s="121"/>
      <c r="M2155" s="121"/>
      <c r="N2155" s="121"/>
      <c r="O2155" s="121"/>
      <c r="P2155" s="121"/>
    </row>
    <row r="2156" spans="2:16" s="117" customFormat="1" ht="21.75" hidden="1" customHeight="1">
      <c r="B2156" s="118"/>
      <c r="C2156" s="110"/>
      <c r="D2156" s="150" t="s">
        <v>1182</v>
      </c>
      <c r="E2156" s="779">
        <f>E2157</f>
        <v>500000000</v>
      </c>
      <c r="F2156" s="114">
        <v>44404979591.989998</v>
      </c>
      <c r="G2156" s="127">
        <f t="shared" si="41"/>
        <v>1.125999841896544</v>
      </c>
      <c r="H2156" s="120"/>
      <c r="I2156" s="120"/>
      <c r="J2156" s="121"/>
      <c r="K2156" s="121"/>
      <c r="L2156" s="121"/>
      <c r="M2156" s="121"/>
      <c r="N2156" s="121"/>
      <c r="O2156" s="121"/>
      <c r="P2156" s="121"/>
    </row>
    <row r="2157" spans="2:16" s="108" customFormat="1" ht="21.75" hidden="1" customHeight="1">
      <c r="B2157" s="109"/>
      <c r="C2157" s="122"/>
      <c r="D2157" s="150" t="s">
        <v>439</v>
      </c>
      <c r="E2157" s="778">
        <f>E2158</f>
        <v>500000000</v>
      </c>
      <c r="F2157" s="114">
        <v>44404979591.989998</v>
      </c>
      <c r="G2157" s="127">
        <f t="shared" si="41"/>
        <v>1.125999841896544</v>
      </c>
      <c r="H2157" s="115"/>
      <c r="I2157" s="115"/>
      <c r="J2157" s="116"/>
      <c r="K2157" s="116"/>
      <c r="L2157" s="116"/>
      <c r="M2157" s="116"/>
      <c r="N2157" s="116"/>
      <c r="O2157" s="116"/>
      <c r="P2157" s="116"/>
    </row>
    <row r="2158" spans="2:16" s="117" customFormat="1" ht="41.25" hidden="1" customHeight="1">
      <c r="B2158" s="118"/>
      <c r="C2158" s="110"/>
      <c r="D2158" s="57" t="s">
        <v>1664</v>
      </c>
      <c r="E2158" s="696">
        <v>500000000</v>
      </c>
      <c r="F2158" s="114">
        <v>44404979591.989998</v>
      </c>
      <c r="G2158" s="127">
        <f t="shared" si="41"/>
        <v>1.125999841896544</v>
      </c>
      <c r="H2158" s="120"/>
      <c r="I2158" s="120"/>
      <c r="J2158" s="121"/>
      <c r="K2158" s="121"/>
      <c r="L2158" s="121"/>
      <c r="M2158" s="121"/>
      <c r="N2158" s="121"/>
      <c r="O2158" s="121"/>
      <c r="P2158" s="121"/>
    </row>
    <row r="2159" spans="2:16" s="117" customFormat="1" ht="15" hidden="1" customHeight="1">
      <c r="B2159" s="118"/>
      <c r="C2159" s="110"/>
      <c r="D2159" s="57"/>
      <c r="E2159" s="696"/>
      <c r="F2159" s="114"/>
      <c r="G2159" s="127"/>
      <c r="H2159" s="120"/>
      <c r="I2159" s="120"/>
      <c r="J2159" s="121"/>
      <c r="K2159" s="121"/>
      <c r="L2159" s="121"/>
      <c r="M2159" s="121"/>
      <c r="N2159" s="121"/>
      <c r="O2159" s="121"/>
      <c r="P2159" s="121"/>
    </row>
    <row r="2160" spans="2:16" s="108" customFormat="1" ht="21.75" hidden="1" customHeight="1">
      <c r="B2160" s="109"/>
      <c r="C2160" s="122"/>
      <c r="D2160" s="150" t="s">
        <v>651</v>
      </c>
      <c r="E2160" s="779">
        <f>E2161</f>
        <v>1777555600</v>
      </c>
      <c r="F2160" s="114">
        <v>44404979591.989998</v>
      </c>
      <c r="G2160" s="127">
        <f t="shared" si="41"/>
        <v>4.0030546491246328</v>
      </c>
      <c r="H2160" s="115"/>
      <c r="I2160" s="115"/>
      <c r="J2160" s="116"/>
      <c r="K2160" s="116"/>
      <c r="L2160" s="116"/>
      <c r="M2160" s="116"/>
      <c r="N2160" s="116"/>
      <c r="O2160" s="116"/>
      <c r="P2160" s="116"/>
    </row>
    <row r="2161" spans="2:16" s="108" customFormat="1" ht="21.75" hidden="1" customHeight="1">
      <c r="B2161" s="109"/>
      <c r="C2161" s="122"/>
      <c r="D2161" s="150" t="s">
        <v>1665</v>
      </c>
      <c r="E2161" s="710">
        <f>SUM(E2162:E2163)</f>
        <v>1777555600</v>
      </c>
      <c r="F2161" s="119">
        <v>44404979591.989998</v>
      </c>
      <c r="G2161" s="127">
        <f t="shared" si="41"/>
        <v>4.0030546491246328</v>
      </c>
      <c r="H2161" s="115"/>
      <c r="I2161" s="115"/>
      <c r="J2161" s="116"/>
      <c r="K2161" s="116"/>
      <c r="L2161" s="116"/>
      <c r="M2161" s="116"/>
      <c r="N2161" s="116"/>
      <c r="O2161" s="116"/>
      <c r="P2161" s="116"/>
    </row>
    <row r="2162" spans="2:16" s="108" customFormat="1" ht="21.75" hidden="1" customHeight="1">
      <c r="B2162" s="109"/>
      <c r="C2162" s="122"/>
      <c r="D2162" s="57" t="s">
        <v>1666</v>
      </c>
      <c r="E2162" s="696">
        <v>293925000</v>
      </c>
      <c r="F2162" s="119">
        <v>44404979591.989998</v>
      </c>
      <c r="G2162" s="127">
        <f t="shared" si="41"/>
        <v>0.6619190070588834</v>
      </c>
      <c r="H2162" s="115"/>
      <c r="I2162" s="115"/>
      <c r="J2162" s="116"/>
      <c r="K2162" s="116"/>
      <c r="L2162" s="116"/>
      <c r="M2162" s="116"/>
      <c r="N2162" s="116"/>
      <c r="O2162" s="116"/>
      <c r="P2162" s="116"/>
    </row>
    <row r="2163" spans="2:16" s="117" customFormat="1" ht="41.25" hidden="1" customHeight="1">
      <c r="B2163" s="118"/>
      <c r="C2163" s="110"/>
      <c r="D2163" s="57" t="s">
        <v>1667</v>
      </c>
      <c r="E2163" s="696">
        <v>1483630600</v>
      </c>
      <c r="F2163" s="119">
        <v>44404979591.989998</v>
      </c>
      <c r="G2163" s="127">
        <f t="shared" si="41"/>
        <v>3.341135642065749</v>
      </c>
      <c r="H2163" s="120"/>
      <c r="I2163" s="120"/>
      <c r="J2163" s="121"/>
      <c r="K2163" s="121"/>
      <c r="L2163" s="121"/>
      <c r="M2163" s="121"/>
      <c r="N2163" s="121"/>
      <c r="O2163" s="121"/>
      <c r="P2163" s="121"/>
    </row>
    <row r="2164" spans="2:16" s="108" customFormat="1" ht="15" hidden="1" customHeight="1">
      <c r="B2164" s="109"/>
      <c r="C2164" s="122"/>
      <c r="D2164" s="130"/>
      <c r="E2164" s="722"/>
      <c r="F2164" s="113"/>
      <c r="G2164" s="126"/>
      <c r="H2164" s="120"/>
      <c r="I2164" s="120"/>
      <c r="J2164" s="116"/>
      <c r="K2164" s="116"/>
      <c r="L2164" s="116"/>
      <c r="M2164" s="116"/>
      <c r="N2164" s="116"/>
      <c r="O2164" s="116"/>
      <c r="P2164" s="116"/>
    </row>
    <row r="2165" spans="2:16" s="117" customFormat="1" ht="21.75" hidden="1" customHeight="1">
      <c r="B2165" s="118"/>
      <c r="C2165" s="110" t="s">
        <v>1668</v>
      </c>
      <c r="D2165" s="111" t="s">
        <v>1669</v>
      </c>
      <c r="E2165" s="129">
        <f>+E2166+E2180+E2195+E2199+E2203+E2210+E2216+E2226+E2230</f>
        <v>29015053505.559998</v>
      </c>
      <c r="F2165" s="119">
        <v>1557405258400.0002</v>
      </c>
      <c r="G2165" s="127">
        <f>+E2165/F2165*100</f>
        <v>1.8630381109261569</v>
      </c>
      <c r="H2165" s="120"/>
      <c r="I2165" s="120"/>
      <c r="J2165" s="121"/>
      <c r="K2165" s="121"/>
      <c r="L2165" s="121"/>
      <c r="M2165" s="121"/>
      <c r="N2165" s="121"/>
      <c r="O2165" s="121"/>
      <c r="P2165" s="121"/>
    </row>
    <row r="2166" spans="2:16" s="108" customFormat="1" ht="21.75" hidden="1" customHeight="1">
      <c r="B2166" s="109"/>
      <c r="C2166" s="122"/>
      <c r="D2166" s="150" t="s">
        <v>767</v>
      </c>
      <c r="E2166" s="231">
        <f>E2167+E2169+E2177</f>
        <v>10500000000.559999</v>
      </c>
      <c r="F2166" s="134">
        <v>29015053505</v>
      </c>
      <c r="G2166" s="126">
        <f>+E2166/F2166*100</f>
        <v>36.188111797728013</v>
      </c>
      <c r="H2166" s="120"/>
      <c r="I2166" s="120"/>
      <c r="J2166" s="116"/>
      <c r="K2166" s="116"/>
      <c r="L2166" s="116"/>
      <c r="M2166" s="116"/>
      <c r="N2166" s="116"/>
      <c r="O2166" s="116"/>
      <c r="P2166" s="116"/>
    </row>
    <row r="2167" spans="2:16" s="108" customFormat="1" ht="21.75" hidden="1" customHeight="1">
      <c r="B2167" s="109"/>
      <c r="C2167" s="122"/>
      <c r="D2167" s="150" t="s">
        <v>1670</v>
      </c>
      <c r="E2167" s="231">
        <f>SUM(E2168:E2168)</f>
        <v>960000000</v>
      </c>
      <c r="F2167" s="134">
        <v>29015053505</v>
      </c>
      <c r="G2167" s="126">
        <f t="shared" ref="G2167:G2230" si="42">+E2167/F2167*100</f>
        <v>3.3086273641872435</v>
      </c>
      <c r="H2167" s="120"/>
      <c r="I2167" s="120"/>
      <c r="J2167" s="116"/>
      <c r="K2167" s="116"/>
      <c r="L2167" s="116"/>
      <c r="M2167" s="116"/>
      <c r="N2167" s="116"/>
      <c r="O2167" s="116"/>
      <c r="P2167" s="116"/>
    </row>
    <row r="2168" spans="2:16" s="108" customFormat="1" ht="21.75" hidden="1" customHeight="1">
      <c r="B2168" s="109"/>
      <c r="C2168" s="122"/>
      <c r="D2168" s="228" t="s">
        <v>1671</v>
      </c>
      <c r="E2168" s="694">
        <v>960000000</v>
      </c>
      <c r="F2168" s="134">
        <v>29015053505</v>
      </c>
      <c r="G2168" s="126">
        <f t="shared" si="42"/>
        <v>3.3086273641872435</v>
      </c>
      <c r="H2168" s="120"/>
      <c r="I2168" s="120"/>
      <c r="J2168" s="116"/>
      <c r="K2168" s="116"/>
      <c r="L2168" s="116"/>
      <c r="M2168" s="116"/>
      <c r="N2168" s="116"/>
      <c r="O2168" s="116"/>
      <c r="P2168" s="116"/>
    </row>
    <row r="2169" spans="2:16" s="108" customFormat="1" ht="21.75" hidden="1" customHeight="1">
      <c r="B2169" s="109"/>
      <c r="C2169" s="122"/>
      <c r="D2169" s="150" t="s">
        <v>1672</v>
      </c>
      <c r="E2169" s="231">
        <f>SUM(E2170:E2176)</f>
        <v>8485100000.5599995</v>
      </c>
      <c r="F2169" s="134">
        <v>29015053505</v>
      </c>
      <c r="G2169" s="126">
        <f t="shared" si="42"/>
        <v>29.243785468456263</v>
      </c>
      <c r="H2169" s="120"/>
      <c r="I2169" s="120"/>
      <c r="J2169" s="116"/>
      <c r="K2169" s="116"/>
      <c r="L2169" s="116"/>
      <c r="M2169" s="116"/>
      <c r="N2169" s="116"/>
      <c r="O2169" s="116"/>
      <c r="P2169" s="116"/>
    </row>
    <row r="2170" spans="2:16" s="108" customFormat="1" ht="21.75" hidden="1" customHeight="1">
      <c r="B2170" s="109"/>
      <c r="C2170" s="122"/>
      <c r="D2170" s="228" t="s">
        <v>1673</v>
      </c>
      <c r="E2170" s="694">
        <v>1920000000</v>
      </c>
      <c r="F2170" s="134">
        <v>29015053505</v>
      </c>
      <c r="G2170" s="126">
        <f t="shared" si="42"/>
        <v>6.6172547283744869</v>
      </c>
      <c r="H2170" s="120"/>
      <c r="I2170" s="120"/>
      <c r="J2170" s="116"/>
      <c r="K2170" s="116"/>
      <c r="L2170" s="116"/>
      <c r="M2170" s="116"/>
      <c r="N2170" s="116"/>
      <c r="O2170" s="116"/>
      <c r="P2170" s="116"/>
    </row>
    <row r="2171" spans="2:16" s="108" customFormat="1" ht="21.75" hidden="1" customHeight="1">
      <c r="B2171" s="109"/>
      <c r="C2171" s="122"/>
      <c r="D2171" s="123" t="s">
        <v>1674</v>
      </c>
      <c r="E2171" s="694">
        <v>1296000000</v>
      </c>
      <c r="F2171" s="134">
        <v>29015053505</v>
      </c>
      <c r="G2171" s="126">
        <f t="shared" si="42"/>
        <v>4.4666469416527788</v>
      </c>
      <c r="H2171" s="120"/>
      <c r="I2171" s="120"/>
      <c r="J2171" s="116"/>
      <c r="K2171" s="116"/>
      <c r="L2171" s="116"/>
      <c r="M2171" s="116"/>
      <c r="N2171" s="116"/>
      <c r="O2171" s="116"/>
      <c r="P2171" s="116"/>
    </row>
    <row r="2172" spans="2:16" s="108" customFormat="1" ht="34.5" hidden="1" customHeight="1">
      <c r="B2172" s="109"/>
      <c r="C2172" s="122"/>
      <c r="D2172" s="57" t="s">
        <v>1675</v>
      </c>
      <c r="E2172" s="694">
        <v>80800000.560000002</v>
      </c>
      <c r="F2172" s="134">
        <v>29015053505</v>
      </c>
      <c r="G2172" s="126">
        <f t="shared" si="42"/>
        <v>0.27847613841579233</v>
      </c>
      <c r="H2172" s="120"/>
      <c r="I2172" s="120"/>
      <c r="J2172" s="116"/>
      <c r="K2172" s="116"/>
      <c r="L2172" s="116"/>
      <c r="M2172" s="116"/>
      <c r="N2172" s="116"/>
      <c r="O2172" s="116"/>
      <c r="P2172" s="116"/>
    </row>
    <row r="2173" spans="2:16" s="108" customFormat="1" ht="34.5" hidden="1" customHeight="1">
      <c r="B2173" s="109"/>
      <c r="C2173" s="122"/>
      <c r="D2173" s="229" t="s">
        <v>1676</v>
      </c>
      <c r="E2173" s="694">
        <v>2328696000</v>
      </c>
      <c r="F2173" s="134">
        <v>29015053505</v>
      </c>
      <c r="G2173" s="126">
        <f t="shared" si="42"/>
        <v>8.0258201129931024</v>
      </c>
      <c r="H2173" s="120"/>
      <c r="I2173" s="120"/>
      <c r="J2173" s="116"/>
      <c r="K2173" s="116"/>
      <c r="L2173" s="116"/>
      <c r="M2173" s="116"/>
      <c r="N2173" s="116"/>
      <c r="O2173" s="116"/>
      <c r="P2173" s="116"/>
    </row>
    <row r="2174" spans="2:16" s="108" customFormat="1" ht="34.5" hidden="1" customHeight="1">
      <c r="B2174" s="109"/>
      <c r="C2174" s="122"/>
      <c r="D2174" s="123" t="s">
        <v>1677</v>
      </c>
      <c r="E2174" s="694">
        <v>2179008000</v>
      </c>
      <c r="F2174" s="134">
        <v>29015053505</v>
      </c>
      <c r="G2174" s="126">
        <f t="shared" si="42"/>
        <v>7.5099223912322062</v>
      </c>
      <c r="H2174" s="120"/>
      <c r="I2174" s="120"/>
      <c r="J2174" s="116"/>
      <c r="K2174" s="116"/>
      <c r="L2174" s="116"/>
      <c r="M2174" s="116"/>
      <c r="N2174" s="116"/>
      <c r="O2174" s="116"/>
      <c r="P2174" s="116"/>
    </row>
    <row r="2175" spans="2:16" s="108" customFormat="1" ht="21.75" hidden="1" customHeight="1">
      <c r="B2175" s="109"/>
      <c r="C2175" s="122"/>
      <c r="D2175" s="228" t="s">
        <v>1678</v>
      </c>
      <c r="E2175" s="694">
        <v>435694000</v>
      </c>
      <c r="F2175" s="134">
        <v>29015053505</v>
      </c>
      <c r="G2175" s="126">
        <f t="shared" si="42"/>
        <v>1.5016136362627053</v>
      </c>
      <c r="H2175" s="120"/>
      <c r="I2175" s="120"/>
      <c r="J2175" s="116"/>
      <c r="K2175" s="116"/>
      <c r="L2175" s="116"/>
      <c r="M2175" s="116"/>
      <c r="N2175" s="116"/>
      <c r="O2175" s="116"/>
      <c r="P2175" s="116"/>
    </row>
    <row r="2176" spans="2:16" s="108" customFormat="1" ht="21.75" hidden="1" customHeight="1">
      <c r="B2176" s="109"/>
      <c r="C2176" s="122"/>
      <c r="D2176" s="228" t="s">
        <v>1679</v>
      </c>
      <c r="E2176" s="694">
        <v>244902000</v>
      </c>
      <c r="F2176" s="134">
        <v>29015053505</v>
      </c>
      <c r="G2176" s="126">
        <f t="shared" si="42"/>
        <v>0.84405151952519208</v>
      </c>
      <c r="H2176" s="120"/>
      <c r="I2176" s="120"/>
      <c r="J2176" s="116"/>
      <c r="K2176" s="116"/>
      <c r="L2176" s="116"/>
      <c r="M2176" s="116"/>
      <c r="N2176" s="116"/>
      <c r="O2176" s="116"/>
      <c r="P2176" s="116"/>
    </row>
    <row r="2177" spans="2:16" s="108" customFormat="1" ht="21.75" hidden="1" customHeight="1">
      <c r="B2177" s="109"/>
      <c r="C2177" s="122"/>
      <c r="D2177" s="230" t="s">
        <v>1680</v>
      </c>
      <c r="E2177" s="231">
        <f>E2178</f>
        <v>1054900000</v>
      </c>
      <c r="F2177" s="134">
        <v>29015053505</v>
      </c>
      <c r="G2177" s="126">
        <f t="shared" si="42"/>
        <v>3.6356989650845035</v>
      </c>
      <c r="H2177" s="120"/>
      <c r="I2177" s="120"/>
      <c r="J2177" s="116"/>
      <c r="K2177" s="116"/>
      <c r="L2177" s="116"/>
      <c r="M2177" s="116"/>
      <c r="N2177" s="116"/>
      <c r="O2177" s="116"/>
      <c r="P2177" s="116"/>
    </row>
    <row r="2178" spans="2:16" s="108" customFormat="1" ht="34.5" hidden="1" customHeight="1">
      <c r="B2178" s="109"/>
      <c r="C2178" s="122"/>
      <c r="D2178" s="123" t="s">
        <v>1681</v>
      </c>
      <c r="E2178" s="695">
        <v>1054900000</v>
      </c>
      <c r="F2178" s="134">
        <v>29015053505</v>
      </c>
      <c r="G2178" s="126">
        <f t="shared" si="42"/>
        <v>3.6356989650845035</v>
      </c>
      <c r="H2178" s="120"/>
      <c r="I2178" s="120"/>
      <c r="J2178" s="116"/>
      <c r="K2178" s="116"/>
      <c r="L2178" s="116"/>
      <c r="M2178" s="116"/>
      <c r="N2178" s="116"/>
      <c r="O2178" s="116"/>
      <c r="P2178" s="116"/>
    </row>
    <row r="2179" spans="2:16" s="108" customFormat="1" ht="15" hidden="1" customHeight="1">
      <c r="B2179" s="109"/>
      <c r="C2179" s="122"/>
      <c r="D2179" s="123"/>
      <c r="E2179" s="695"/>
      <c r="F2179" s="134">
        <v>29015053505</v>
      </c>
      <c r="G2179" s="126">
        <f t="shared" si="42"/>
        <v>0</v>
      </c>
      <c r="H2179" s="120"/>
      <c r="I2179" s="120"/>
      <c r="J2179" s="116"/>
      <c r="K2179" s="116"/>
      <c r="L2179" s="116"/>
      <c r="M2179" s="116"/>
      <c r="N2179" s="116"/>
      <c r="O2179" s="116"/>
      <c r="P2179" s="116"/>
    </row>
    <row r="2180" spans="2:16" s="108" customFormat="1" ht="21.75" hidden="1" customHeight="1">
      <c r="B2180" s="109"/>
      <c r="C2180" s="122"/>
      <c r="D2180" s="150" t="s">
        <v>65</v>
      </c>
      <c r="E2180" s="231">
        <f>E2181+E2183+E2188+E2190+E2185+E2192</f>
        <v>8000000000</v>
      </c>
      <c r="F2180" s="134">
        <v>29015053505</v>
      </c>
      <c r="G2180" s="126">
        <f t="shared" si="42"/>
        <v>27.571894701560367</v>
      </c>
      <c r="H2180" s="120"/>
      <c r="I2180" s="120"/>
      <c r="J2180" s="116"/>
      <c r="K2180" s="116"/>
      <c r="L2180" s="116"/>
      <c r="M2180" s="116"/>
      <c r="N2180" s="116"/>
      <c r="O2180" s="116"/>
      <c r="P2180" s="116"/>
    </row>
    <row r="2181" spans="2:16" s="108" customFormat="1" ht="21.75" hidden="1" customHeight="1">
      <c r="B2181" s="109"/>
      <c r="C2181" s="122"/>
      <c r="D2181" s="150" t="s">
        <v>1682</v>
      </c>
      <c r="E2181" s="231">
        <f>E2182</f>
        <v>1768630600</v>
      </c>
      <c r="F2181" s="134">
        <v>29015053505</v>
      </c>
      <c r="G2181" s="126">
        <f t="shared" si="42"/>
        <v>6.0955620836446913</v>
      </c>
      <c r="H2181" s="120"/>
      <c r="I2181" s="120"/>
      <c r="J2181" s="116"/>
      <c r="K2181" s="116"/>
      <c r="L2181" s="116"/>
      <c r="M2181" s="116"/>
      <c r="N2181" s="116"/>
      <c r="O2181" s="116"/>
      <c r="P2181" s="116"/>
    </row>
    <row r="2182" spans="2:16" s="108" customFormat="1" ht="21.75" hidden="1" customHeight="1">
      <c r="B2182" s="109"/>
      <c r="C2182" s="122"/>
      <c r="D2182" s="57" t="s">
        <v>1683</v>
      </c>
      <c r="E2182" s="694">
        <v>1768630600</v>
      </c>
      <c r="F2182" s="134">
        <v>29015053505</v>
      </c>
      <c r="G2182" s="126">
        <f t="shared" si="42"/>
        <v>6.0955620836446913</v>
      </c>
      <c r="H2182" s="120"/>
      <c r="I2182" s="120"/>
      <c r="J2182" s="116"/>
      <c r="K2182" s="116"/>
      <c r="L2182" s="116"/>
      <c r="M2182" s="116"/>
      <c r="N2182" s="116"/>
      <c r="O2182" s="116"/>
      <c r="P2182" s="116"/>
    </row>
    <row r="2183" spans="2:16" s="108" customFormat="1" ht="21.75" hidden="1" customHeight="1">
      <c r="B2183" s="109"/>
      <c r="C2183" s="122"/>
      <c r="D2183" s="150" t="s">
        <v>1684</v>
      </c>
      <c r="E2183" s="231">
        <f>E2184</f>
        <v>723443000</v>
      </c>
      <c r="F2183" s="134">
        <v>29015053505</v>
      </c>
      <c r="G2183" s="126">
        <f t="shared" si="42"/>
        <v>2.4933367773226167</v>
      </c>
      <c r="H2183" s="120"/>
      <c r="I2183" s="120"/>
      <c r="J2183" s="116"/>
      <c r="K2183" s="116"/>
      <c r="L2183" s="116"/>
      <c r="M2183" s="116"/>
      <c r="N2183" s="116"/>
      <c r="O2183" s="116"/>
      <c r="P2183" s="116"/>
    </row>
    <row r="2184" spans="2:16" s="108" customFormat="1" ht="21.75" hidden="1" customHeight="1">
      <c r="B2184" s="109"/>
      <c r="C2184" s="122"/>
      <c r="D2184" s="57" t="s">
        <v>1685</v>
      </c>
      <c r="E2184" s="694">
        <v>723443000</v>
      </c>
      <c r="F2184" s="134">
        <v>29015053505</v>
      </c>
      <c r="G2184" s="126">
        <f t="shared" si="42"/>
        <v>2.4933367773226167</v>
      </c>
      <c r="H2184" s="120"/>
      <c r="I2184" s="120"/>
      <c r="J2184" s="116"/>
      <c r="K2184" s="116"/>
      <c r="L2184" s="116"/>
      <c r="M2184" s="116"/>
      <c r="N2184" s="116"/>
      <c r="O2184" s="116"/>
      <c r="P2184" s="116"/>
    </row>
    <row r="2185" spans="2:16" s="108" customFormat="1" ht="21.75" hidden="1" customHeight="1">
      <c r="B2185" s="109"/>
      <c r="C2185" s="122"/>
      <c r="D2185" s="150" t="s">
        <v>1686</v>
      </c>
      <c r="E2185" s="231">
        <f>E2186+E2187</f>
        <v>416998400</v>
      </c>
      <c r="F2185" s="134">
        <v>29015053505</v>
      </c>
      <c r="G2185" s="126">
        <f t="shared" si="42"/>
        <v>1.4371794969398937</v>
      </c>
      <c r="H2185" s="120"/>
      <c r="I2185" s="120"/>
      <c r="J2185" s="116"/>
      <c r="K2185" s="116"/>
      <c r="L2185" s="116"/>
      <c r="M2185" s="116"/>
      <c r="N2185" s="116"/>
      <c r="O2185" s="116"/>
      <c r="P2185" s="116"/>
    </row>
    <row r="2186" spans="2:16" s="108" customFormat="1" ht="21.75" hidden="1" customHeight="1">
      <c r="B2186" s="109"/>
      <c r="C2186" s="122"/>
      <c r="D2186" s="123" t="s">
        <v>1687</v>
      </c>
      <c r="E2186" s="694">
        <v>120638400</v>
      </c>
      <c r="F2186" s="134">
        <v>29015053505</v>
      </c>
      <c r="G2186" s="126">
        <f t="shared" si="42"/>
        <v>0.41577865772058997</v>
      </c>
      <c r="H2186" s="120"/>
      <c r="I2186" s="120"/>
      <c r="J2186" s="116"/>
      <c r="K2186" s="116"/>
      <c r="L2186" s="116"/>
      <c r="M2186" s="116"/>
      <c r="N2186" s="116"/>
      <c r="O2186" s="116"/>
      <c r="P2186" s="116"/>
    </row>
    <row r="2187" spans="2:16" s="108" customFormat="1" ht="41.25" hidden="1" customHeight="1">
      <c r="B2187" s="109"/>
      <c r="C2187" s="122"/>
      <c r="D2187" s="123" t="s">
        <v>1688</v>
      </c>
      <c r="E2187" s="694">
        <v>296360000</v>
      </c>
      <c r="F2187" s="134">
        <v>29015053505</v>
      </c>
      <c r="G2187" s="126">
        <f t="shared" si="42"/>
        <v>1.0214008392193037</v>
      </c>
      <c r="H2187" s="120"/>
      <c r="I2187" s="120"/>
      <c r="J2187" s="116"/>
      <c r="K2187" s="116"/>
      <c r="L2187" s="116"/>
      <c r="M2187" s="116"/>
      <c r="N2187" s="116"/>
      <c r="O2187" s="116"/>
      <c r="P2187" s="116"/>
    </row>
    <row r="2188" spans="2:16" s="108" customFormat="1" ht="21.75" hidden="1" customHeight="1">
      <c r="B2188" s="109"/>
      <c r="C2188" s="122"/>
      <c r="D2188" s="150" t="s">
        <v>1689</v>
      </c>
      <c r="E2188" s="231">
        <f>E2189</f>
        <v>1893528000</v>
      </c>
      <c r="F2188" s="134">
        <v>29015053505</v>
      </c>
      <c r="G2188" s="126">
        <f t="shared" si="42"/>
        <v>6.5260193288070241</v>
      </c>
      <c r="H2188" s="120"/>
      <c r="I2188" s="120"/>
      <c r="J2188" s="116"/>
      <c r="K2188" s="116"/>
      <c r="L2188" s="116"/>
      <c r="M2188" s="116"/>
      <c r="N2188" s="116"/>
      <c r="O2188" s="116"/>
      <c r="P2188" s="116"/>
    </row>
    <row r="2189" spans="2:16" s="108" customFormat="1" ht="21.75" hidden="1" customHeight="1">
      <c r="B2189" s="109"/>
      <c r="C2189" s="122"/>
      <c r="D2189" s="57" t="s">
        <v>1690</v>
      </c>
      <c r="E2189" s="695">
        <v>1893528000</v>
      </c>
      <c r="F2189" s="134">
        <v>29015053505</v>
      </c>
      <c r="G2189" s="126">
        <f t="shared" si="42"/>
        <v>6.5260193288070241</v>
      </c>
      <c r="H2189" s="120"/>
      <c r="I2189" s="120"/>
      <c r="J2189" s="116"/>
      <c r="K2189" s="116"/>
      <c r="L2189" s="116"/>
      <c r="M2189" s="116"/>
      <c r="N2189" s="116"/>
      <c r="O2189" s="116"/>
      <c r="P2189" s="116"/>
    </row>
    <row r="2190" spans="2:16" s="108" customFormat="1" ht="21.75" hidden="1" customHeight="1">
      <c r="B2190" s="109"/>
      <c r="C2190" s="122"/>
      <c r="D2190" s="150" t="s">
        <v>1691</v>
      </c>
      <c r="E2190" s="231">
        <f>E2191</f>
        <v>702000000</v>
      </c>
      <c r="F2190" s="134">
        <v>29015053505</v>
      </c>
      <c r="G2190" s="126">
        <f t="shared" si="42"/>
        <v>2.419433760061922</v>
      </c>
      <c r="H2190" s="120"/>
      <c r="I2190" s="120"/>
      <c r="J2190" s="116"/>
      <c r="K2190" s="116"/>
      <c r="L2190" s="116"/>
      <c r="M2190" s="116"/>
      <c r="N2190" s="116"/>
      <c r="O2190" s="116"/>
      <c r="P2190" s="116"/>
    </row>
    <row r="2191" spans="2:16" s="108" customFormat="1" ht="21.75" hidden="1" customHeight="1">
      <c r="B2191" s="109"/>
      <c r="C2191" s="122"/>
      <c r="D2191" s="57" t="s">
        <v>1692</v>
      </c>
      <c r="E2191" s="694">
        <v>702000000</v>
      </c>
      <c r="F2191" s="134">
        <v>29015053505</v>
      </c>
      <c r="G2191" s="126">
        <f t="shared" si="42"/>
        <v>2.419433760061922</v>
      </c>
      <c r="H2191" s="120"/>
      <c r="I2191" s="120"/>
      <c r="J2191" s="116"/>
      <c r="K2191" s="116"/>
      <c r="L2191" s="116"/>
      <c r="M2191" s="116"/>
      <c r="N2191" s="116"/>
      <c r="O2191" s="116"/>
      <c r="P2191" s="116"/>
    </row>
    <row r="2192" spans="2:16" s="108" customFormat="1" ht="21.75" hidden="1" customHeight="1">
      <c r="B2192" s="109"/>
      <c r="C2192" s="122"/>
      <c r="D2192" s="111" t="s">
        <v>1693</v>
      </c>
      <c r="E2192" s="135">
        <f>E2193</f>
        <v>2495400000</v>
      </c>
      <c r="F2192" s="134">
        <v>29015053505</v>
      </c>
      <c r="G2192" s="126">
        <f t="shared" si="42"/>
        <v>8.6003632547842166</v>
      </c>
      <c r="H2192" s="120"/>
      <c r="I2192" s="120"/>
      <c r="J2192" s="116"/>
      <c r="K2192" s="116"/>
      <c r="L2192" s="116"/>
      <c r="M2192" s="116"/>
      <c r="N2192" s="116"/>
      <c r="O2192" s="116"/>
      <c r="P2192" s="116"/>
    </row>
    <row r="2193" spans="2:16" s="108" customFormat="1" ht="21.75" hidden="1" customHeight="1">
      <c r="B2193" s="109"/>
      <c r="C2193" s="122"/>
      <c r="D2193" s="123" t="s">
        <v>1694</v>
      </c>
      <c r="E2193" s="136">
        <v>2495400000</v>
      </c>
      <c r="F2193" s="134">
        <v>29015053505</v>
      </c>
      <c r="G2193" s="126">
        <f t="shared" si="42"/>
        <v>8.6003632547842166</v>
      </c>
      <c r="H2193" s="120"/>
      <c r="I2193" s="120"/>
      <c r="J2193" s="116"/>
      <c r="K2193" s="116"/>
      <c r="L2193" s="116"/>
      <c r="M2193" s="116"/>
      <c r="N2193" s="116"/>
      <c r="O2193" s="116"/>
      <c r="P2193" s="116"/>
    </row>
    <row r="2194" spans="2:16" s="108" customFormat="1" ht="15" hidden="1" customHeight="1">
      <c r="B2194" s="109"/>
      <c r="C2194" s="122"/>
      <c r="D2194" s="123"/>
      <c r="E2194" s="696"/>
      <c r="F2194" s="134">
        <v>29015053505</v>
      </c>
      <c r="G2194" s="126">
        <f t="shared" si="42"/>
        <v>0</v>
      </c>
      <c r="H2194" s="120"/>
      <c r="I2194" s="120"/>
      <c r="J2194" s="116"/>
      <c r="K2194" s="116"/>
      <c r="L2194" s="116"/>
      <c r="M2194" s="116"/>
      <c r="N2194" s="116"/>
      <c r="O2194" s="116"/>
      <c r="P2194" s="116"/>
    </row>
    <row r="2195" spans="2:16" s="108" customFormat="1" ht="21.75" hidden="1" customHeight="1">
      <c r="B2195" s="109"/>
      <c r="C2195" s="122"/>
      <c r="D2195" s="150" t="s">
        <v>1695</v>
      </c>
      <c r="E2195" s="231">
        <f>E2196</f>
        <v>2000000000</v>
      </c>
      <c r="F2195" s="134">
        <v>29015053505</v>
      </c>
      <c r="G2195" s="126">
        <f t="shared" si="42"/>
        <v>6.8929736753900919</v>
      </c>
      <c r="H2195" s="120"/>
      <c r="I2195" s="120"/>
      <c r="J2195" s="116"/>
      <c r="K2195" s="116"/>
      <c r="L2195" s="116"/>
      <c r="M2195" s="116"/>
      <c r="N2195" s="116"/>
      <c r="O2195" s="116"/>
      <c r="P2195" s="116"/>
    </row>
    <row r="2196" spans="2:16" s="108" customFormat="1" ht="21.75" hidden="1" customHeight="1">
      <c r="B2196" s="109"/>
      <c r="C2196" s="122"/>
      <c r="D2196" s="150" t="s">
        <v>1696</v>
      </c>
      <c r="E2196" s="697">
        <f>E2197</f>
        <v>2000000000</v>
      </c>
      <c r="F2196" s="134">
        <v>29015053505</v>
      </c>
      <c r="G2196" s="126">
        <f t="shared" si="42"/>
        <v>6.8929736753900919</v>
      </c>
      <c r="H2196" s="120"/>
      <c r="I2196" s="120"/>
      <c r="J2196" s="116"/>
      <c r="K2196" s="116"/>
      <c r="L2196" s="116"/>
      <c r="M2196" s="116"/>
      <c r="N2196" s="116"/>
      <c r="O2196" s="116"/>
      <c r="P2196" s="116"/>
    </row>
    <row r="2197" spans="2:16" s="108" customFormat="1" ht="37.5" hidden="1" customHeight="1">
      <c r="B2197" s="109"/>
      <c r="C2197" s="122"/>
      <c r="D2197" s="57" t="s">
        <v>1697</v>
      </c>
      <c r="E2197" s="696">
        <v>2000000000</v>
      </c>
      <c r="F2197" s="134">
        <v>29015053505</v>
      </c>
      <c r="G2197" s="126">
        <f t="shared" si="42"/>
        <v>6.8929736753900919</v>
      </c>
      <c r="H2197" s="120"/>
      <c r="I2197" s="120"/>
      <c r="J2197" s="116"/>
      <c r="K2197" s="116"/>
      <c r="L2197" s="116"/>
      <c r="M2197" s="116"/>
      <c r="N2197" s="116"/>
      <c r="O2197" s="116"/>
      <c r="P2197" s="116"/>
    </row>
    <row r="2198" spans="2:16" s="108" customFormat="1" ht="15" hidden="1" customHeight="1">
      <c r="B2198" s="109"/>
      <c r="C2198" s="122"/>
      <c r="D2198" s="57"/>
      <c r="E2198" s="696"/>
      <c r="F2198" s="134">
        <v>29015053505</v>
      </c>
      <c r="G2198" s="126">
        <f t="shared" si="42"/>
        <v>0</v>
      </c>
      <c r="H2198" s="120"/>
      <c r="I2198" s="120"/>
      <c r="J2198" s="116"/>
      <c r="K2198" s="116"/>
      <c r="L2198" s="116"/>
      <c r="M2198" s="116"/>
      <c r="N2198" s="116"/>
      <c r="O2198" s="116"/>
      <c r="P2198" s="116"/>
    </row>
    <row r="2199" spans="2:16" s="108" customFormat="1" ht="21.75" hidden="1" customHeight="1">
      <c r="B2199" s="109"/>
      <c r="C2199" s="122"/>
      <c r="D2199" s="150" t="s">
        <v>642</v>
      </c>
      <c r="E2199" s="231">
        <f>E2200</f>
        <v>1000000000</v>
      </c>
      <c r="F2199" s="134">
        <v>29015053505</v>
      </c>
      <c r="G2199" s="126">
        <f t="shared" si="42"/>
        <v>3.4464868376950459</v>
      </c>
      <c r="H2199" s="120"/>
      <c r="I2199" s="120"/>
      <c r="J2199" s="116"/>
      <c r="K2199" s="116"/>
      <c r="L2199" s="116"/>
      <c r="M2199" s="116"/>
      <c r="N2199" s="116"/>
      <c r="O2199" s="116"/>
      <c r="P2199" s="116"/>
    </row>
    <row r="2200" spans="2:16" s="108" customFormat="1" ht="30.75" hidden="1" customHeight="1">
      <c r="B2200" s="109"/>
      <c r="C2200" s="122"/>
      <c r="D2200" s="150" t="s">
        <v>1698</v>
      </c>
      <c r="E2200" s="231">
        <f>E2201</f>
        <v>1000000000</v>
      </c>
      <c r="F2200" s="134">
        <v>29015053505</v>
      </c>
      <c r="G2200" s="126">
        <f t="shared" si="42"/>
        <v>3.4464868376950459</v>
      </c>
      <c r="H2200" s="120"/>
      <c r="I2200" s="120"/>
      <c r="J2200" s="116"/>
      <c r="K2200" s="116"/>
      <c r="L2200" s="116"/>
      <c r="M2200" s="116"/>
      <c r="N2200" s="116"/>
      <c r="O2200" s="116"/>
      <c r="P2200" s="116"/>
    </row>
    <row r="2201" spans="2:16" s="108" customFormat="1" ht="21.75" hidden="1" customHeight="1">
      <c r="B2201" s="109"/>
      <c r="C2201" s="122"/>
      <c r="D2201" s="57" t="s">
        <v>1699</v>
      </c>
      <c r="E2201" s="694">
        <v>1000000000</v>
      </c>
      <c r="F2201" s="134">
        <v>29015053505</v>
      </c>
      <c r="G2201" s="126">
        <f t="shared" si="42"/>
        <v>3.4464868376950459</v>
      </c>
      <c r="H2201" s="120"/>
      <c r="I2201" s="120"/>
      <c r="J2201" s="116"/>
      <c r="K2201" s="116"/>
      <c r="L2201" s="116"/>
      <c r="M2201" s="116"/>
      <c r="N2201" s="116"/>
      <c r="O2201" s="116"/>
      <c r="P2201" s="116"/>
    </row>
    <row r="2202" spans="2:16" s="108" customFormat="1" ht="15" hidden="1" customHeight="1">
      <c r="B2202" s="109"/>
      <c r="C2202" s="122"/>
      <c r="D2202" s="123"/>
      <c r="E2202" s="694"/>
      <c r="F2202" s="134">
        <v>29015053505</v>
      </c>
      <c r="G2202" s="126">
        <f t="shared" si="42"/>
        <v>0</v>
      </c>
      <c r="H2202" s="120"/>
      <c r="I2202" s="120"/>
      <c r="J2202" s="116"/>
      <c r="K2202" s="116"/>
      <c r="L2202" s="116"/>
      <c r="M2202" s="116"/>
      <c r="N2202" s="116"/>
      <c r="O2202" s="116"/>
      <c r="P2202" s="116"/>
    </row>
    <row r="2203" spans="2:16" s="108" customFormat="1" ht="21.75" hidden="1" customHeight="1">
      <c r="B2203" s="109"/>
      <c r="C2203" s="122"/>
      <c r="D2203" s="150" t="s">
        <v>654</v>
      </c>
      <c r="E2203" s="231">
        <f>E2204+E2207</f>
        <v>500000000</v>
      </c>
      <c r="F2203" s="134">
        <v>29015053505</v>
      </c>
      <c r="G2203" s="126">
        <f t="shared" si="42"/>
        <v>1.723243418847523</v>
      </c>
      <c r="H2203" s="120"/>
      <c r="I2203" s="120"/>
      <c r="J2203" s="116"/>
      <c r="K2203" s="116"/>
      <c r="L2203" s="116"/>
      <c r="M2203" s="116"/>
      <c r="N2203" s="116"/>
      <c r="O2203" s="116"/>
      <c r="P2203" s="116"/>
    </row>
    <row r="2204" spans="2:16" s="108" customFormat="1" ht="21.75" hidden="1" customHeight="1">
      <c r="B2204" s="109"/>
      <c r="C2204" s="122"/>
      <c r="D2204" s="150" t="s">
        <v>1700</v>
      </c>
      <c r="E2204" s="231">
        <f>E2205+E2206</f>
        <v>285000000</v>
      </c>
      <c r="F2204" s="134">
        <v>29015053505</v>
      </c>
      <c r="G2204" s="126">
        <f t="shared" si="42"/>
        <v>0.98224874874308798</v>
      </c>
      <c r="H2204" s="120"/>
      <c r="I2204" s="120"/>
      <c r="J2204" s="116"/>
      <c r="K2204" s="116"/>
      <c r="L2204" s="116"/>
      <c r="M2204" s="116"/>
      <c r="N2204" s="116"/>
      <c r="O2204" s="116"/>
      <c r="P2204" s="116"/>
    </row>
    <row r="2205" spans="2:16" s="108" customFormat="1" ht="21.75" hidden="1" customHeight="1">
      <c r="B2205" s="109"/>
      <c r="C2205" s="122"/>
      <c r="D2205" s="123" t="s">
        <v>1701</v>
      </c>
      <c r="E2205" s="694">
        <v>160266668</v>
      </c>
      <c r="F2205" s="134">
        <v>29015053505</v>
      </c>
      <c r="G2205" s="126">
        <f t="shared" si="42"/>
        <v>0.55235696178324178</v>
      </c>
      <c r="H2205" s="120"/>
      <c r="I2205" s="120"/>
      <c r="J2205" s="116"/>
      <c r="K2205" s="116"/>
      <c r="L2205" s="116"/>
      <c r="M2205" s="116"/>
      <c r="N2205" s="116"/>
      <c r="O2205" s="116"/>
      <c r="P2205" s="116"/>
    </row>
    <row r="2206" spans="2:16" s="108" customFormat="1" ht="35.25" hidden="1" customHeight="1">
      <c r="B2206" s="109"/>
      <c r="C2206" s="122"/>
      <c r="D2206" s="57" t="s">
        <v>1702</v>
      </c>
      <c r="E2206" s="694">
        <v>124733332</v>
      </c>
      <c r="F2206" s="134">
        <v>29015053505</v>
      </c>
      <c r="G2206" s="126">
        <f t="shared" si="42"/>
        <v>0.4298917869598462</v>
      </c>
      <c r="H2206" s="120"/>
      <c r="I2206" s="120"/>
      <c r="J2206" s="116"/>
      <c r="K2206" s="116"/>
      <c r="L2206" s="116"/>
      <c r="M2206" s="116"/>
      <c r="N2206" s="116"/>
      <c r="O2206" s="116"/>
      <c r="P2206" s="116"/>
    </row>
    <row r="2207" spans="2:16" s="108" customFormat="1" ht="21.75" hidden="1" customHeight="1">
      <c r="B2207" s="109"/>
      <c r="C2207" s="122"/>
      <c r="D2207" s="150" t="s">
        <v>1703</v>
      </c>
      <c r="E2207" s="231">
        <f>E2208</f>
        <v>215000000</v>
      </c>
      <c r="F2207" s="134">
        <v>29015053505</v>
      </c>
      <c r="G2207" s="126">
        <f t="shared" si="42"/>
        <v>0.74099467010443476</v>
      </c>
      <c r="H2207" s="120"/>
      <c r="I2207" s="120"/>
      <c r="J2207" s="116"/>
      <c r="K2207" s="116"/>
      <c r="L2207" s="116"/>
      <c r="M2207" s="116"/>
      <c r="N2207" s="116"/>
      <c r="O2207" s="116"/>
      <c r="P2207" s="116"/>
    </row>
    <row r="2208" spans="2:16" s="108" customFormat="1" ht="21.75" hidden="1" customHeight="1">
      <c r="B2208" s="109"/>
      <c r="C2208" s="122"/>
      <c r="D2208" s="123" t="s">
        <v>1704</v>
      </c>
      <c r="E2208" s="694">
        <v>215000000</v>
      </c>
      <c r="F2208" s="134">
        <v>29015053505</v>
      </c>
      <c r="G2208" s="126">
        <f t="shared" si="42"/>
        <v>0.74099467010443476</v>
      </c>
      <c r="H2208" s="120"/>
      <c r="I2208" s="120"/>
      <c r="J2208" s="116"/>
      <c r="K2208" s="116"/>
      <c r="L2208" s="116"/>
      <c r="M2208" s="116"/>
      <c r="N2208" s="116"/>
      <c r="O2208" s="116"/>
      <c r="P2208" s="116"/>
    </row>
    <row r="2209" spans="2:16" s="108" customFormat="1" ht="15" hidden="1" customHeight="1">
      <c r="B2209" s="109"/>
      <c r="C2209" s="122"/>
      <c r="D2209" s="123"/>
      <c r="E2209" s="694"/>
      <c r="F2209" s="134">
        <v>29015053505</v>
      </c>
      <c r="G2209" s="126">
        <f t="shared" si="42"/>
        <v>0</v>
      </c>
      <c r="H2209" s="120"/>
      <c r="I2209" s="120"/>
      <c r="J2209" s="116"/>
      <c r="K2209" s="116"/>
      <c r="L2209" s="116"/>
      <c r="M2209" s="116"/>
      <c r="N2209" s="116"/>
      <c r="O2209" s="116"/>
      <c r="P2209" s="116"/>
    </row>
    <row r="2210" spans="2:16" s="108" customFormat="1" ht="21.75" hidden="1" customHeight="1">
      <c r="B2210" s="109"/>
      <c r="C2210" s="122"/>
      <c r="D2210" s="150" t="s">
        <v>1137</v>
      </c>
      <c r="E2210" s="231">
        <f>E2211</f>
        <v>1200000000</v>
      </c>
      <c r="F2210" s="134">
        <v>29015053505</v>
      </c>
      <c r="G2210" s="126">
        <f t="shared" si="42"/>
        <v>4.1357842052340548</v>
      </c>
      <c r="H2210" s="120"/>
      <c r="I2210" s="120"/>
      <c r="J2210" s="116"/>
      <c r="K2210" s="116"/>
      <c r="L2210" s="116"/>
      <c r="M2210" s="116"/>
      <c r="N2210" s="116"/>
      <c r="O2210" s="116"/>
      <c r="P2210" s="116"/>
    </row>
    <row r="2211" spans="2:16" s="108" customFormat="1" ht="21.75" hidden="1" customHeight="1">
      <c r="B2211" s="109"/>
      <c r="C2211" s="122"/>
      <c r="D2211" s="150" t="s">
        <v>1705</v>
      </c>
      <c r="E2211" s="231">
        <f>E2212+E2213+E2214</f>
        <v>1200000000</v>
      </c>
      <c r="F2211" s="134">
        <v>29015053505</v>
      </c>
      <c r="G2211" s="126">
        <f t="shared" si="42"/>
        <v>4.1357842052340548</v>
      </c>
      <c r="H2211" s="120"/>
      <c r="I2211" s="120"/>
      <c r="J2211" s="116"/>
      <c r="K2211" s="116"/>
      <c r="L2211" s="116"/>
      <c r="M2211" s="116"/>
      <c r="N2211" s="116"/>
      <c r="O2211" s="116"/>
      <c r="P2211" s="116"/>
    </row>
    <row r="2212" spans="2:16" s="108" customFormat="1" ht="21.75" hidden="1" customHeight="1">
      <c r="B2212" s="109"/>
      <c r="C2212" s="122"/>
      <c r="D2212" s="57" t="s">
        <v>1706</v>
      </c>
      <c r="E2212" s="694">
        <v>539200000</v>
      </c>
      <c r="F2212" s="134">
        <v>29015053505</v>
      </c>
      <c r="G2212" s="126">
        <f t="shared" si="42"/>
        <v>1.8583457028851686</v>
      </c>
      <c r="H2212" s="120"/>
      <c r="I2212" s="120"/>
      <c r="J2212" s="116"/>
      <c r="K2212" s="116"/>
      <c r="L2212" s="116"/>
      <c r="M2212" s="116"/>
      <c r="N2212" s="116"/>
      <c r="O2212" s="116"/>
      <c r="P2212" s="116"/>
    </row>
    <row r="2213" spans="2:16" s="108" customFormat="1" ht="21.75" hidden="1" customHeight="1">
      <c r="B2213" s="109"/>
      <c r="C2213" s="122"/>
      <c r="D2213" s="123" t="s">
        <v>1707</v>
      </c>
      <c r="E2213" s="694">
        <v>380800000</v>
      </c>
      <c r="F2213" s="134">
        <v>29015053505</v>
      </c>
      <c r="G2213" s="126">
        <f t="shared" si="42"/>
        <v>1.3124221877942734</v>
      </c>
      <c r="H2213" s="120"/>
      <c r="I2213" s="120"/>
      <c r="J2213" s="116"/>
      <c r="K2213" s="116"/>
      <c r="L2213" s="116"/>
      <c r="M2213" s="116"/>
      <c r="N2213" s="116"/>
      <c r="O2213" s="116"/>
      <c r="P2213" s="116"/>
    </row>
    <row r="2214" spans="2:16" s="108" customFormat="1" ht="21.75" hidden="1" customHeight="1">
      <c r="B2214" s="109"/>
      <c r="C2214" s="122"/>
      <c r="D2214" s="123" t="s">
        <v>1708</v>
      </c>
      <c r="E2214" s="694">
        <v>280000000</v>
      </c>
      <c r="F2214" s="134">
        <v>29015053505</v>
      </c>
      <c r="G2214" s="126">
        <f t="shared" si="42"/>
        <v>0.96501631455461268</v>
      </c>
      <c r="H2214" s="120"/>
      <c r="I2214" s="120"/>
      <c r="J2214" s="116"/>
      <c r="K2214" s="116"/>
      <c r="L2214" s="116"/>
      <c r="M2214" s="116"/>
      <c r="N2214" s="116"/>
      <c r="O2214" s="116"/>
      <c r="P2214" s="116"/>
    </row>
    <row r="2215" spans="2:16" s="108" customFormat="1" ht="15" hidden="1" customHeight="1">
      <c r="B2215" s="109"/>
      <c r="C2215" s="122"/>
      <c r="D2215" s="157"/>
      <c r="E2215" s="698"/>
      <c r="F2215" s="134">
        <v>29015053505</v>
      </c>
      <c r="G2215" s="126">
        <f t="shared" si="42"/>
        <v>0</v>
      </c>
      <c r="H2215" s="120"/>
      <c r="I2215" s="120"/>
      <c r="J2215" s="116"/>
      <c r="K2215" s="116"/>
      <c r="L2215" s="116"/>
      <c r="M2215" s="116"/>
      <c r="N2215" s="116"/>
      <c r="O2215" s="116"/>
      <c r="P2215" s="116"/>
    </row>
    <row r="2216" spans="2:16" s="108" customFormat="1" ht="21.75" hidden="1" customHeight="1">
      <c r="B2216" s="109"/>
      <c r="C2216" s="122"/>
      <c r="D2216" s="150" t="s">
        <v>1146</v>
      </c>
      <c r="E2216" s="231">
        <f>E2217+E2219+E2221+E2223</f>
        <v>3000000000</v>
      </c>
      <c r="F2216" s="134">
        <v>29015053505</v>
      </c>
      <c r="G2216" s="126">
        <f t="shared" si="42"/>
        <v>10.339460513085138</v>
      </c>
      <c r="H2216" s="120"/>
      <c r="I2216" s="120"/>
      <c r="J2216" s="116"/>
      <c r="K2216" s="116"/>
      <c r="L2216" s="116"/>
      <c r="M2216" s="116"/>
      <c r="N2216" s="116"/>
      <c r="O2216" s="116"/>
      <c r="P2216" s="116"/>
    </row>
    <row r="2217" spans="2:16" s="108" customFormat="1" ht="21.75" hidden="1" customHeight="1">
      <c r="B2217" s="109"/>
      <c r="C2217" s="122"/>
      <c r="D2217" s="150" t="s">
        <v>1709</v>
      </c>
      <c r="E2217" s="135">
        <f>E2218</f>
        <v>500000000</v>
      </c>
      <c r="F2217" s="134">
        <v>29015053505</v>
      </c>
      <c r="G2217" s="126">
        <f t="shared" si="42"/>
        <v>1.723243418847523</v>
      </c>
      <c r="H2217" s="120"/>
      <c r="I2217" s="120"/>
      <c r="J2217" s="116"/>
      <c r="K2217" s="116"/>
      <c r="L2217" s="116"/>
      <c r="M2217" s="116"/>
      <c r="N2217" s="116"/>
      <c r="O2217" s="116"/>
      <c r="P2217" s="116"/>
    </row>
    <row r="2218" spans="2:16" s="108" customFormat="1" ht="21.75" hidden="1" customHeight="1">
      <c r="B2218" s="109"/>
      <c r="C2218" s="122"/>
      <c r="D2218" s="57" t="s">
        <v>1429</v>
      </c>
      <c r="E2218" s="136">
        <v>500000000</v>
      </c>
      <c r="F2218" s="134">
        <v>29015053505</v>
      </c>
      <c r="G2218" s="126">
        <f t="shared" si="42"/>
        <v>1.723243418847523</v>
      </c>
      <c r="H2218" s="120"/>
      <c r="I2218" s="120"/>
      <c r="J2218" s="116"/>
      <c r="K2218" s="116"/>
      <c r="L2218" s="116"/>
      <c r="M2218" s="116"/>
      <c r="N2218" s="116"/>
      <c r="O2218" s="116"/>
      <c r="P2218" s="116"/>
    </row>
    <row r="2219" spans="2:16" s="108" customFormat="1" ht="21.75" hidden="1" customHeight="1">
      <c r="B2219" s="109"/>
      <c r="C2219" s="122"/>
      <c r="D2219" s="150" t="s">
        <v>1710</v>
      </c>
      <c r="E2219" s="231">
        <f>E2220</f>
        <v>500000000</v>
      </c>
      <c r="F2219" s="134">
        <v>29015053505</v>
      </c>
      <c r="G2219" s="126">
        <f t="shared" si="42"/>
        <v>1.723243418847523</v>
      </c>
      <c r="H2219" s="120"/>
      <c r="I2219" s="120"/>
      <c r="J2219" s="116"/>
      <c r="K2219" s="116"/>
      <c r="L2219" s="116"/>
      <c r="M2219" s="116"/>
      <c r="N2219" s="116"/>
      <c r="O2219" s="116"/>
      <c r="P2219" s="116"/>
    </row>
    <row r="2220" spans="2:16" s="108" customFormat="1" ht="21.75" hidden="1" customHeight="1">
      <c r="B2220" s="109"/>
      <c r="C2220" s="122"/>
      <c r="D2220" s="57" t="s">
        <v>1711</v>
      </c>
      <c r="E2220" s="694">
        <v>500000000</v>
      </c>
      <c r="F2220" s="134">
        <v>29015053505</v>
      </c>
      <c r="G2220" s="126">
        <f t="shared" si="42"/>
        <v>1.723243418847523</v>
      </c>
      <c r="H2220" s="120"/>
      <c r="I2220" s="120"/>
      <c r="J2220" s="116"/>
      <c r="K2220" s="116"/>
      <c r="L2220" s="116"/>
      <c r="M2220" s="116"/>
      <c r="N2220" s="116"/>
      <c r="O2220" s="116"/>
      <c r="P2220" s="116"/>
    </row>
    <row r="2221" spans="2:16" s="108" customFormat="1" ht="21.75" hidden="1" customHeight="1">
      <c r="B2221" s="109"/>
      <c r="C2221" s="122"/>
      <c r="D2221" s="150" t="s">
        <v>1712</v>
      </c>
      <c r="E2221" s="231">
        <f>E2222</f>
        <v>1100000000</v>
      </c>
      <c r="F2221" s="134">
        <v>29015053505</v>
      </c>
      <c r="G2221" s="126">
        <f t="shared" si="42"/>
        <v>3.7911355214645504</v>
      </c>
      <c r="H2221" s="120"/>
      <c r="I2221" s="120"/>
      <c r="J2221" s="116"/>
      <c r="K2221" s="116"/>
      <c r="L2221" s="116"/>
      <c r="M2221" s="116"/>
      <c r="N2221" s="116"/>
      <c r="O2221" s="116"/>
      <c r="P2221" s="116"/>
    </row>
    <row r="2222" spans="2:16" s="108" customFormat="1" ht="21.75" hidden="1" customHeight="1">
      <c r="B2222" s="109"/>
      <c r="C2222" s="122"/>
      <c r="D2222" s="57" t="s">
        <v>1713</v>
      </c>
      <c r="E2222" s="699">
        <v>1100000000</v>
      </c>
      <c r="F2222" s="134">
        <v>29015053505</v>
      </c>
      <c r="G2222" s="126">
        <f t="shared" si="42"/>
        <v>3.7911355214645504</v>
      </c>
      <c r="H2222" s="120"/>
      <c r="I2222" s="120"/>
      <c r="J2222" s="116"/>
      <c r="K2222" s="116"/>
      <c r="L2222" s="116"/>
      <c r="M2222" s="116"/>
      <c r="N2222" s="116"/>
      <c r="O2222" s="116"/>
      <c r="P2222" s="116"/>
    </row>
    <row r="2223" spans="2:16" s="108" customFormat="1" ht="21.75" hidden="1" customHeight="1">
      <c r="B2223" s="109"/>
      <c r="C2223" s="122"/>
      <c r="D2223" s="150" t="s">
        <v>1714</v>
      </c>
      <c r="E2223" s="250">
        <f>E2224</f>
        <v>900000000</v>
      </c>
      <c r="F2223" s="134">
        <v>29015053505</v>
      </c>
      <c r="G2223" s="126">
        <f t="shared" si="42"/>
        <v>3.1018381539255411</v>
      </c>
      <c r="H2223" s="120"/>
      <c r="I2223" s="120"/>
      <c r="J2223" s="116"/>
      <c r="K2223" s="116"/>
      <c r="L2223" s="116"/>
      <c r="M2223" s="116"/>
      <c r="N2223" s="116"/>
      <c r="O2223" s="116"/>
      <c r="P2223" s="116"/>
    </row>
    <row r="2224" spans="2:16" s="108" customFormat="1" ht="21.75" hidden="1" customHeight="1">
      <c r="B2224" s="109"/>
      <c r="C2224" s="122"/>
      <c r="D2224" s="57" t="s">
        <v>1715</v>
      </c>
      <c r="E2224" s="136">
        <v>900000000</v>
      </c>
      <c r="F2224" s="134">
        <v>29015053505</v>
      </c>
      <c r="G2224" s="126">
        <f t="shared" si="42"/>
        <v>3.1018381539255411</v>
      </c>
      <c r="H2224" s="120"/>
      <c r="I2224" s="120"/>
      <c r="J2224" s="116"/>
      <c r="K2224" s="116"/>
      <c r="L2224" s="116"/>
      <c r="M2224" s="116"/>
      <c r="N2224" s="116"/>
      <c r="O2224" s="116"/>
      <c r="P2224" s="116"/>
    </row>
    <row r="2225" spans="2:16" s="108" customFormat="1" ht="15" hidden="1" customHeight="1">
      <c r="B2225" s="109"/>
      <c r="C2225" s="122"/>
      <c r="D2225" s="57"/>
      <c r="E2225" s="136"/>
      <c r="F2225" s="134">
        <v>29015053505</v>
      </c>
      <c r="G2225" s="126">
        <f t="shared" si="42"/>
        <v>0</v>
      </c>
      <c r="H2225" s="120"/>
      <c r="I2225" s="120"/>
      <c r="J2225" s="116"/>
      <c r="K2225" s="116"/>
      <c r="L2225" s="116"/>
      <c r="M2225" s="116"/>
      <c r="N2225" s="116"/>
      <c r="O2225" s="116"/>
      <c r="P2225" s="116"/>
    </row>
    <row r="2226" spans="2:16" s="108" customFormat="1" ht="21.75" hidden="1" customHeight="1">
      <c r="B2226" s="109"/>
      <c r="C2226" s="122"/>
      <c r="D2226" s="150" t="s">
        <v>651</v>
      </c>
      <c r="E2226" s="231">
        <f>E2227</f>
        <v>800000000</v>
      </c>
      <c r="F2226" s="134">
        <v>29015053505</v>
      </c>
      <c r="G2226" s="126">
        <f t="shared" si="42"/>
        <v>2.7571894701560367</v>
      </c>
      <c r="H2226" s="120"/>
      <c r="I2226" s="120"/>
      <c r="J2226" s="116"/>
      <c r="K2226" s="116"/>
      <c r="L2226" s="116"/>
      <c r="M2226" s="116"/>
      <c r="N2226" s="116"/>
      <c r="O2226" s="116"/>
      <c r="P2226" s="116"/>
    </row>
    <row r="2227" spans="2:16" s="108" customFormat="1" ht="21.75" hidden="1" customHeight="1">
      <c r="B2227" s="109"/>
      <c r="C2227" s="122"/>
      <c r="D2227" s="150" t="s">
        <v>1716</v>
      </c>
      <c r="E2227" s="231">
        <f>E2228</f>
        <v>800000000</v>
      </c>
      <c r="F2227" s="134">
        <v>29015053505</v>
      </c>
      <c r="G2227" s="126">
        <f t="shared" si="42"/>
        <v>2.7571894701560367</v>
      </c>
      <c r="H2227" s="120"/>
      <c r="I2227" s="120"/>
      <c r="J2227" s="116"/>
      <c r="K2227" s="116"/>
      <c r="L2227" s="116"/>
      <c r="M2227" s="116"/>
      <c r="N2227" s="116"/>
      <c r="O2227" s="116"/>
      <c r="P2227" s="116"/>
    </row>
    <row r="2228" spans="2:16" s="108" customFormat="1" ht="21.75" hidden="1" customHeight="1">
      <c r="B2228" s="109"/>
      <c r="C2228" s="122"/>
      <c r="D2228" s="57" t="s">
        <v>1717</v>
      </c>
      <c r="E2228" s="136">
        <v>800000000</v>
      </c>
      <c r="F2228" s="134">
        <v>29015053505</v>
      </c>
      <c r="G2228" s="126">
        <f t="shared" si="42"/>
        <v>2.7571894701560367</v>
      </c>
      <c r="H2228" s="120"/>
      <c r="I2228" s="120"/>
      <c r="J2228" s="116"/>
      <c r="K2228" s="116"/>
      <c r="L2228" s="116"/>
      <c r="M2228" s="116"/>
      <c r="N2228" s="116"/>
      <c r="O2228" s="116"/>
      <c r="P2228" s="116"/>
    </row>
    <row r="2229" spans="2:16" s="108" customFormat="1" ht="15" hidden="1" customHeight="1">
      <c r="B2229" s="109"/>
      <c r="C2229" s="122"/>
      <c r="D2229" s="57"/>
      <c r="E2229" s="136"/>
      <c r="F2229" s="134">
        <v>29015053505</v>
      </c>
      <c r="G2229" s="126">
        <f t="shared" si="42"/>
        <v>0</v>
      </c>
      <c r="H2229" s="120"/>
      <c r="I2229" s="120"/>
      <c r="J2229" s="116"/>
      <c r="K2229" s="116"/>
      <c r="L2229" s="116"/>
      <c r="M2229" s="116"/>
      <c r="N2229" s="116"/>
      <c r="O2229" s="116"/>
      <c r="P2229" s="116"/>
    </row>
    <row r="2230" spans="2:16" s="108" customFormat="1" ht="21.75" hidden="1" customHeight="1">
      <c r="B2230" s="109"/>
      <c r="C2230" s="122"/>
      <c r="D2230" s="111" t="s">
        <v>1718</v>
      </c>
      <c r="E2230" s="232">
        <f>E2231</f>
        <v>2015053505</v>
      </c>
      <c r="F2230" s="134">
        <v>29015053505</v>
      </c>
      <c r="G2230" s="126">
        <f t="shared" si="42"/>
        <v>6.9448553822337677</v>
      </c>
      <c r="H2230" s="120"/>
      <c r="I2230" s="120"/>
      <c r="J2230" s="116"/>
      <c r="K2230" s="116"/>
      <c r="L2230" s="116"/>
      <c r="M2230" s="116"/>
      <c r="N2230" s="116"/>
      <c r="O2230" s="116"/>
      <c r="P2230" s="116"/>
    </row>
    <row r="2231" spans="2:16" s="117" customFormat="1" ht="21.75" hidden="1" customHeight="1">
      <c r="B2231" s="118"/>
      <c r="C2231" s="110"/>
      <c r="D2231" s="111" t="s">
        <v>1374</v>
      </c>
      <c r="E2231" s="232">
        <f>E2232</f>
        <v>2015053505</v>
      </c>
      <c r="F2231" s="119">
        <v>29015053505</v>
      </c>
      <c r="G2231" s="127">
        <f t="shared" ref="G2231:G2232" si="43">+E2231/F2231*100</f>
        <v>6.9448553822337677</v>
      </c>
      <c r="H2231" s="120"/>
      <c r="I2231" s="120"/>
      <c r="J2231" s="121"/>
      <c r="K2231" s="121"/>
      <c r="L2231" s="121"/>
      <c r="M2231" s="121"/>
      <c r="N2231" s="121"/>
      <c r="O2231" s="121"/>
      <c r="P2231" s="121"/>
    </row>
    <row r="2232" spans="2:16" s="108" customFormat="1" ht="21.75" hidden="1" customHeight="1">
      <c r="B2232" s="109"/>
      <c r="C2232" s="122"/>
      <c r="D2232" s="123" t="s">
        <v>1719</v>
      </c>
      <c r="E2232" s="233">
        <v>2015053505</v>
      </c>
      <c r="F2232" s="113">
        <v>29015053505</v>
      </c>
      <c r="G2232" s="126">
        <f t="shared" si="43"/>
        <v>6.9448553822337677</v>
      </c>
      <c r="H2232" s="120"/>
      <c r="I2232" s="120"/>
      <c r="J2232" s="116"/>
      <c r="K2232" s="116"/>
      <c r="L2232" s="116"/>
      <c r="M2232" s="116"/>
      <c r="N2232" s="116"/>
      <c r="O2232" s="116"/>
      <c r="P2232" s="116"/>
    </row>
    <row r="2233" spans="2:16" s="108" customFormat="1" ht="15" hidden="1" customHeight="1">
      <c r="B2233" s="109"/>
      <c r="C2233" s="122"/>
      <c r="D2233" s="111"/>
      <c r="E2233" s="129"/>
      <c r="F2233" s="113"/>
      <c r="G2233" s="126"/>
      <c r="H2233" s="120"/>
      <c r="I2233" s="120"/>
      <c r="J2233" s="116"/>
      <c r="K2233" s="116"/>
      <c r="L2233" s="116"/>
      <c r="M2233" s="116"/>
      <c r="N2233" s="116"/>
      <c r="O2233" s="116"/>
      <c r="P2233" s="116"/>
    </row>
    <row r="2234" spans="2:16" s="117" customFormat="1" ht="21.75" hidden="1" customHeight="1">
      <c r="B2234" s="118"/>
      <c r="C2234" s="110" t="s">
        <v>1720</v>
      </c>
      <c r="D2234" s="111" t="s">
        <v>1721</v>
      </c>
      <c r="E2234" s="250">
        <f>+E2235+E2244+E2248+E2254+E2258+E2262+E2273+E2277+E2281+E2285+E2289+E2295</f>
        <v>43827566023.510002</v>
      </c>
      <c r="F2234" s="131">
        <v>1557405258400.0002</v>
      </c>
      <c r="G2234" s="127">
        <f>+E2234/F2234*100</f>
        <v>2.8141401081781527</v>
      </c>
      <c r="H2234" s="120"/>
      <c r="I2234" s="120"/>
      <c r="J2234" s="121"/>
      <c r="K2234" s="121"/>
      <c r="L2234" s="121"/>
      <c r="M2234" s="121"/>
      <c r="N2234" s="121"/>
      <c r="O2234" s="121"/>
      <c r="P2234" s="121"/>
    </row>
    <row r="2235" spans="2:16" s="117" customFormat="1" ht="21.75" hidden="1" customHeight="1">
      <c r="B2235" s="118"/>
      <c r="C2235" s="110"/>
      <c r="D2235" s="111" t="s">
        <v>444</v>
      </c>
      <c r="E2235" s="710">
        <f>E2236+E2239+E2241</f>
        <v>3356421950</v>
      </c>
      <c r="F2235" s="125">
        <v>43827566023.510002</v>
      </c>
      <c r="G2235" s="127">
        <f>+E2235/F2235*100</f>
        <v>7.6582440106291703</v>
      </c>
      <c r="H2235" s="120"/>
      <c r="I2235" s="120"/>
      <c r="J2235" s="121"/>
      <c r="K2235" s="121"/>
      <c r="L2235" s="121"/>
      <c r="M2235" s="121"/>
      <c r="N2235" s="121"/>
      <c r="O2235" s="121"/>
      <c r="P2235" s="121"/>
    </row>
    <row r="2236" spans="2:16" s="117" customFormat="1" ht="21.75" hidden="1" customHeight="1">
      <c r="B2236" s="118"/>
      <c r="C2236" s="110"/>
      <c r="D2236" s="111" t="s">
        <v>394</v>
      </c>
      <c r="E2236" s="720">
        <f>SUM(E2237:E2238)</f>
        <v>1000000000</v>
      </c>
      <c r="F2236" s="125">
        <v>43827566023.510002</v>
      </c>
      <c r="G2236" s="127">
        <f t="shared" ref="G2236:G2297" si="44">+E2236/F2236*100</f>
        <v>2.2816690287194583</v>
      </c>
      <c r="H2236" s="120"/>
      <c r="I2236" s="120"/>
      <c r="J2236" s="121"/>
      <c r="K2236" s="121"/>
      <c r="L2236" s="121"/>
      <c r="M2236" s="121"/>
      <c r="N2236" s="121"/>
      <c r="O2236" s="121"/>
      <c r="P2236" s="121"/>
    </row>
    <row r="2237" spans="2:16" s="108" customFormat="1" ht="21.75" hidden="1" customHeight="1">
      <c r="B2237" s="109"/>
      <c r="C2237" s="122"/>
      <c r="D2237" s="123" t="s">
        <v>1722</v>
      </c>
      <c r="E2237" s="725">
        <v>600000000</v>
      </c>
      <c r="F2237" s="125">
        <v>43827566023.510002</v>
      </c>
      <c r="G2237" s="127">
        <f t="shared" si="44"/>
        <v>1.3690014172316749</v>
      </c>
      <c r="H2237" s="120"/>
      <c r="I2237" s="120"/>
      <c r="J2237" s="116"/>
      <c r="K2237" s="116"/>
      <c r="L2237" s="116"/>
      <c r="M2237" s="116"/>
      <c r="N2237" s="116"/>
      <c r="O2237" s="116"/>
      <c r="P2237" s="116"/>
    </row>
    <row r="2238" spans="2:16" s="108" customFormat="1" ht="21.75" hidden="1" customHeight="1">
      <c r="B2238" s="109"/>
      <c r="C2238" s="122"/>
      <c r="D2238" s="123" t="s">
        <v>1723</v>
      </c>
      <c r="E2238" s="725">
        <v>400000000</v>
      </c>
      <c r="F2238" s="125">
        <v>43827566023.510002</v>
      </c>
      <c r="G2238" s="127">
        <f t="shared" si="44"/>
        <v>0.9126676114877833</v>
      </c>
      <c r="H2238" s="120"/>
      <c r="I2238" s="120"/>
      <c r="J2238" s="116"/>
      <c r="K2238" s="116"/>
      <c r="L2238" s="116"/>
      <c r="M2238" s="116"/>
      <c r="N2238" s="116"/>
      <c r="O2238" s="116"/>
      <c r="P2238" s="116"/>
    </row>
    <row r="2239" spans="2:16" s="117" customFormat="1" ht="21.75" hidden="1" customHeight="1">
      <c r="B2239" s="118"/>
      <c r="C2239" s="110"/>
      <c r="D2239" s="111" t="s">
        <v>108</v>
      </c>
      <c r="E2239" s="720">
        <v>356421950</v>
      </c>
      <c r="F2239" s="125">
        <v>43827566023.510002</v>
      </c>
      <c r="G2239" s="127">
        <f t="shared" si="44"/>
        <v>0.81323692447079543</v>
      </c>
      <c r="H2239" s="120"/>
      <c r="I2239" s="120"/>
      <c r="J2239" s="121"/>
      <c r="K2239" s="121"/>
      <c r="L2239" s="121"/>
      <c r="M2239" s="121"/>
      <c r="N2239" s="121"/>
      <c r="O2239" s="121"/>
      <c r="P2239" s="121"/>
    </row>
    <row r="2240" spans="2:16" s="108" customFormat="1" ht="30.75" hidden="1" customHeight="1">
      <c r="B2240" s="109"/>
      <c r="C2240" s="122"/>
      <c r="D2240" s="123" t="s">
        <v>1724</v>
      </c>
      <c r="E2240" s="725">
        <v>356421950</v>
      </c>
      <c r="F2240" s="125">
        <v>43827566023.510002</v>
      </c>
      <c r="G2240" s="127">
        <f t="shared" si="44"/>
        <v>0.81323692447079543</v>
      </c>
      <c r="H2240" s="120"/>
      <c r="I2240" s="120"/>
      <c r="J2240" s="116"/>
      <c r="K2240" s="116"/>
      <c r="L2240" s="116"/>
      <c r="M2240" s="116"/>
      <c r="N2240" s="116"/>
      <c r="O2240" s="116"/>
      <c r="P2240" s="116"/>
    </row>
    <row r="2241" spans="2:16" s="117" customFormat="1" ht="21.75" hidden="1" customHeight="1">
      <c r="B2241" s="118"/>
      <c r="C2241" s="110"/>
      <c r="D2241" s="111" t="s">
        <v>1725</v>
      </c>
      <c r="E2241" s="720">
        <f>E2242</f>
        <v>2000000000</v>
      </c>
      <c r="F2241" s="125">
        <v>43827566023.510002</v>
      </c>
      <c r="G2241" s="127">
        <f t="shared" si="44"/>
        <v>4.5633380574389166</v>
      </c>
      <c r="H2241" s="120"/>
      <c r="I2241" s="120"/>
      <c r="J2241" s="121"/>
      <c r="K2241" s="121"/>
      <c r="L2241" s="121"/>
      <c r="M2241" s="121"/>
      <c r="N2241" s="121"/>
      <c r="O2241" s="121"/>
      <c r="P2241" s="121"/>
    </row>
    <row r="2242" spans="2:16" s="108" customFormat="1" ht="30.75" hidden="1" customHeight="1">
      <c r="B2242" s="109"/>
      <c r="C2242" s="122"/>
      <c r="D2242" s="123" t="s">
        <v>1726</v>
      </c>
      <c r="E2242" s="725">
        <v>2000000000</v>
      </c>
      <c r="F2242" s="125">
        <v>43827566023.510002</v>
      </c>
      <c r="G2242" s="127">
        <f t="shared" si="44"/>
        <v>4.5633380574389166</v>
      </c>
      <c r="H2242" s="120"/>
      <c r="I2242" s="120"/>
      <c r="J2242" s="116"/>
      <c r="K2242" s="116"/>
      <c r="L2242" s="116"/>
      <c r="M2242" s="116"/>
      <c r="N2242" s="116"/>
      <c r="O2242" s="116"/>
      <c r="P2242" s="116"/>
    </row>
    <row r="2243" spans="2:16" s="108" customFormat="1" ht="15" hidden="1" customHeight="1">
      <c r="B2243" s="109"/>
      <c r="C2243" s="122"/>
      <c r="D2243" s="123"/>
      <c r="E2243" s="725"/>
      <c r="F2243" s="125">
        <v>43827566023.510002</v>
      </c>
      <c r="G2243" s="127">
        <f t="shared" si="44"/>
        <v>0</v>
      </c>
      <c r="H2243" s="120"/>
      <c r="I2243" s="120"/>
      <c r="J2243" s="116"/>
      <c r="K2243" s="116"/>
      <c r="L2243" s="116"/>
      <c r="M2243" s="116"/>
      <c r="N2243" s="116"/>
      <c r="O2243" s="116"/>
      <c r="P2243" s="116"/>
    </row>
    <row r="2244" spans="2:16" s="117" customFormat="1" ht="21.75" hidden="1" customHeight="1">
      <c r="B2244" s="118"/>
      <c r="C2244" s="110"/>
      <c r="D2244" s="111" t="s">
        <v>1373</v>
      </c>
      <c r="E2244" s="720">
        <v>10000000000</v>
      </c>
      <c r="F2244" s="125">
        <v>43827566023.510002</v>
      </c>
      <c r="G2244" s="127">
        <f t="shared" si="44"/>
        <v>22.816690287194582</v>
      </c>
      <c r="H2244" s="120"/>
      <c r="I2244" s="120"/>
      <c r="J2244" s="121"/>
      <c r="K2244" s="121"/>
      <c r="L2244" s="121"/>
      <c r="M2244" s="121"/>
      <c r="N2244" s="121"/>
      <c r="O2244" s="121"/>
      <c r="P2244" s="121"/>
    </row>
    <row r="2245" spans="2:16" s="117" customFormat="1" ht="21.75" hidden="1" customHeight="1">
      <c r="B2245" s="118"/>
      <c r="C2245" s="110"/>
      <c r="D2245" s="111" t="s">
        <v>375</v>
      </c>
      <c r="E2245" s="720">
        <v>10000000000</v>
      </c>
      <c r="F2245" s="125">
        <v>43827566023.510002</v>
      </c>
      <c r="G2245" s="127">
        <f t="shared" si="44"/>
        <v>22.816690287194582</v>
      </c>
      <c r="H2245" s="120"/>
      <c r="I2245" s="120"/>
      <c r="J2245" s="121"/>
      <c r="K2245" s="121"/>
      <c r="L2245" s="121"/>
      <c r="M2245" s="121"/>
      <c r="N2245" s="121"/>
      <c r="O2245" s="121"/>
      <c r="P2245" s="121"/>
    </row>
    <row r="2246" spans="2:16" s="108" customFormat="1" ht="21.75" hidden="1" customHeight="1">
      <c r="B2246" s="109"/>
      <c r="C2246" s="122"/>
      <c r="D2246" s="123" t="s">
        <v>1727</v>
      </c>
      <c r="E2246" s="725">
        <v>10000000000</v>
      </c>
      <c r="F2246" s="125">
        <v>43827566023.510002</v>
      </c>
      <c r="G2246" s="127">
        <f t="shared" si="44"/>
        <v>22.816690287194582</v>
      </c>
      <c r="H2246" s="120"/>
      <c r="I2246" s="120"/>
      <c r="J2246" s="116"/>
      <c r="K2246" s="116"/>
      <c r="L2246" s="116"/>
      <c r="M2246" s="116"/>
      <c r="N2246" s="116"/>
      <c r="O2246" s="116"/>
      <c r="P2246" s="116"/>
    </row>
    <row r="2247" spans="2:16" s="108" customFormat="1" ht="15" hidden="1" customHeight="1">
      <c r="B2247" s="109"/>
      <c r="C2247" s="122"/>
      <c r="D2247" s="123"/>
      <c r="E2247" s="725"/>
      <c r="F2247" s="125">
        <v>43827566023.510002</v>
      </c>
      <c r="G2247" s="127">
        <f t="shared" si="44"/>
        <v>0</v>
      </c>
      <c r="H2247" s="120"/>
      <c r="I2247" s="120"/>
      <c r="J2247" s="116"/>
      <c r="K2247" s="116"/>
      <c r="L2247" s="116"/>
      <c r="M2247" s="116"/>
      <c r="N2247" s="116"/>
      <c r="O2247" s="116"/>
      <c r="P2247" s="116"/>
    </row>
    <row r="2248" spans="2:16" s="117" customFormat="1" ht="21.75" hidden="1" customHeight="1">
      <c r="B2248" s="118"/>
      <c r="C2248" s="110"/>
      <c r="D2248" s="111" t="s">
        <v>161</v>
      </c>
      <c r="E2248" s="250">
        <f>E2249+E2251</f>
        <v>5210000000</v>
      </c>
      <c r="F2248" s="125">
        <v>43827566023.510002</v>
      </c>
      <c r="G2248" s="127">
        <f t="shared" si="44"/>
        <v>11.887495639628378</v>
      </c>
      <c r="H2248" s="120"/>
      <c r="I2248" s="120"/>
      <c r="J2248" s="121"/>
      <c r="K2248" s="121"/>
      <c r="L2248" s="121"/>
      <c r="M2248" s="121"/>
      <c r="N2248" s="121"/>
      <c r="O2248" s="121"/>
      <c r="P2248" s="121"/>
    </row>
    <row r="2249" spans="2:16" s="117" customFormat="1" ht="21.75" hidden="1" customHeight="1">
      <c r="B2249" s="118"/>
      <c r="C2249" s="110"/>
      <c r="D2249" s="111" t="s">
        <v>953</v>
      </c>
      <c r="E2249" s="250">
        <f>SUM(E2250:E2250)</f>
        <v>1450000000</v>
      </c>
      <c r="F2249" s="125">
        <v>43827566023.510002</v>
      </c>
      <c r="G2249" s="127">
        <f t="shared" si="44"/>
        <v>3.3084200916432147</v>
      </c>
      <c r="H2249" s="120"/>
      <c r="I2249" s="120"/>
      <c r="J2249" s="121"/>
      <c r="K2249" s="121"/>
      <c r="L2249" s="121"/>
      <c r="M2249" s="121"/>
      <c r="N2249" s="121"/>
      <c r="O2249" s="121"/>
      <c r="P2249" s="121"/>
    </row>
    <row r="2250" spans="2:16" s="108" customFormat="1" ht="21.75" hidden="1" customHeight="1">
      <c r="B2250" s="109"/>
      <c r="C2250" s="122"/>
      <c r="D2250" s="123" t="s">
        <v>1728</v>
      </c>
      <c r="E2250" s="696">
        <v>1450000000</v>
      </c>
      <c r="F2250" s="125">
        <v>43827566023.510002</v>
      </c>
      <c r="G2250" s="127">
        <f t="shared" si="44"/>
        <v>3.3084200916432147</v>
      </c>
      <c r="H2250" s="120"/>
      <c r="I2250" s="120"/>
      <c r="J2250" s="116"/>
      <c r="K2250" s="116"/>
      <c r="L2250" s="116"/>
      <c r="M2250" s="116"/>
      <c r="N2250" s="116"/>
      <c r="O2250" s="116"/>
      <c r="P2250" s="116"/>
    </row>
    <row r="2251" spans="2:16" s="117" customFormat="1" ht="21.75" hidden="1" customHeight="1">
      <c r="B2251" s="118"/>
      <c r="C2251" s="110"/>
      <c r="D2251" s="111" t="s">
        <v>1171</v>
      </c>
      <c r="E2251" s="250">
        <f>E2252</f>
        <v>3760000000</v>
      </c>
      <c r="F2251" s="125">
        <v>43827566023.510002</v>
      </c>
      <c r="G2251" s="127">
        <f t="shared" si="44"/>
        <v>8.5790755479851626</v>
      </c>
      <c r="H2251" s="120"/>
      <c r="I2251" s="120"/>
      <c r="J2251" s="121"/>
      <c r="K2251" s="121"/>
      <c r="L2251" s="121"/>
      <c r="M2251" s="121"/>
      <c r="N2251" s="121"/>
      <c r="O2251" s="121"/>
      <c r="P2251" s="121"/>
    </row>
    <row r="2252" spans="2:16" s="108" customFormat="1" ht="21.75" hidden="1" customHeight="1">
      <c r="B2252" s="109"/>
      <c r="C2252" s="122"/>
      <c r="D2252" s="123" t="s">
        <v>1729</v>
      </c>
      <c r="E2252" s="696">
        <v>3760000000</v>
      </c>
      <c r="F2252" s="125">
        <v>43827566023.510002</v>
      </c>
      <c r="G2252" s="127">
        <f t="shared" si="44"/>
        <v>8.5790755479851626</v>
      </c>
      <c r="H2252" s="120"/>
      <c r="I2252" s="120"/>
      <c r="J2252" s="116"/>
      <c r="K2252" s="116"/>
      <c r="L2252" s="116"/>
      <c r="M2252" s="116"/>
      <c r="N2252" s="116"/>
      <c r="O2252" s="116"/>
      <c r="P2252" s="116"/>
    </row>
    <row r="2253" spans="2:16" s="108" customFormat="1" ht="15" hidden="1" customHeight="1">
      <c r="B2253" s="109"/>
      <c r="C2253" s="122"/>
      <c r="D2253" s="123"/>
      <c r="E2253" s="723"/>
      <c r="F2253" s="125"/>
      <c r="G2253" s="127"/>
      <c r="H2253" s="120"/>
      <c r="I2253" s="120"/>
      <c r="J2253" s="116"/>
      <c r="K2253" s="116"/>
      <c r="L2253" s="116"/>
      <c r="M2253" s="116"/>
      <c r="N2253" s="116"/>
      <c r="O2253" s="116"/>
      <c r="P2253" s="116"/>
    </row>
    <row r="2254" spans="2:16" s="117" customFormat="1" ht="21.75" hidden="1" customHeight="1">
      <c r="B2254" s="118"/>
      <c r="C2254" s="110"/>
      <c r="D2254" s="111" t="s">
        <v>1373</v>
      </c>
      <c r="E2254" s="250">
        <f>E2255</f>
        <v>15000000000</v>
      </c>
      <c r="F2254" s="125">
        <v>43827566023.510002</v>
      </c>
      <c r="G2254" s="127">
        <f t="shared" si="44"/>
        <v>34.22503543079187</v>
      </c>
      <c r="H2254" s="120"/>
      <c r="I2254" s="120"/>
      <c r="J2254" s="121"/>
      <c r="K2254" s="121"/>
      <c r="L2254" s="121"/>
      <c r="M2254" s="121"/>
      <c r="N2254" s="121"/>
      <c r="O2254" s="121"/>
      <c r="P2254" s="121"/>
    </row>
    <row r="2255" spans="2:16" s="117" customFormat="1" ht="21.75" hidden="1" customHeight="1">
      <c r="B2255" s="118"/>
      <c r="C2255" s="110"/>
      <c r="D2255" s="111" t="s">
        <v>375</v>
      </c>
      <c r="E2255" s="724">
        <f>E2256</f>
        <v>15000000000</v>
      </c>
      <c r="F2255" s="125">
        <v>43827566023.510002</v>
      </c>
      <c r="G2255" s="127">
        <f t="shared" si="44"/>
        <v>34.22503543079187</v>
      </c>
      <c r="H2255" s="120"/>
      <c r="I2255" s="120"/>
      <c r="J2255" s="121"/>
      <c r="K2255" s="121"/>
      <c r="L2255" s="121"/>
      <c r="M2255" s="121"/>
      <c r="N2255" s="121"/>
      <c r="O2255" s="121"/>
      <c r="P2255" s="121"/>
    </row>
    <row r="2256" spans="2:16" s="108" customFormat="1" ht="21.75" hidden="1" customHeight="1">
      <c r="B2256" s="109"/>
      <c r="C2256" s="122"/>
      <c r="D2256" s="123" t="s">
        <v>1730</v>
      </c>
      <c r="E2256" s="723">
        <v>15000000000</v>
      </c>
      <c r="F2256" s="125">
        <v>43827566023.510002</v>
      </c>
      <c r="G2256" s="127">
        <f t="shared" si="44"/>
        <v>34.22503543079187</v>
      </c>
      <c r="H2256" s="120"/>
      <c r="I2256" s="120"/>
      <c r="J2256" s="116"/>
      <c r="K2256" s="116"/>
      <c r="L2256" s="116"/>
      <c r="M2256" s="116"/>
      <c r="N2256" s="116"/>
      <c r="O2256" s="116"/>
      <c r="P2256" s="116"/>
    </row>
    <row r="2257" spans="2:16" s="108" customFormat="1" ht="15" hidden="1" customHeight="1">
      <c r="B2257" s="109"/>
      <c r="C2257" s="122"/>
      <c r="D2257" s="123"/>
      <c r="E2257" s="723"/>
      <c r="F2257" s="125"/>
      <c r="G2257" s="127"/>
      <c r="H2257" s="120"/>
      <c r="I2257" s="120"/>
      <c r="J2257" s="116"/>
      <c r="K2257" s="116"/>
      <c r="L2257" s="116"/>
      <c r="M2257" s="116"/>
      <c r="N2257" s="116"/>
      <c r="O2257" s="116"/>
      <c r="P2257" s="116"/>
    </row>
    <row r="2258" spans="2:16" s="117" customFormat="1" ht="21.75" hidden="1" customHeight="1">
      <c r="B2258" s="118"/>
      <c r="C2258" s="110"/>
      <c r="D2258" s="111" t="s">
        <v>1731</v>
      </c>
      <c r="E2258" s="724">
        <f>E2259</f>
        <v>3000000000</v>
      </c>
      <c r="F2258" s="125">
        <v>43827566023.510002</v>
      </c>
      <c r="G2258" s="127">
        <f t="shared" si="44"/>
        <v>6.8450070861583754</v>
      </c>
      <c r="H2258" s="120"/>
      <c r="I2258" s="120"/>
      <c r="J2258" s="121"/>
      <c r="K2258" s="121"/>
      <c r="L2258" s="121"/>
      <c r="M2258" s="121"/>
      <c r="N2258" s="121"/>
      <c r="O2258" s="121"/>
      <c r="P2258" s="121"/>
    </row>
    <row r="2259" spans="2:16" s="117" customFormat="1" ht="21.75" hidden="1" customHeight="1">
      <c r="B2259" s="118"/>
      <c r="C2259" s="110"/>
      <c r="D2259" s="111" t="s">
        <v>498</v>
      </c>
      <c r="E2259" s="724">
        <f>E2260</f>
        <v>3000000000</v>
      </c>
      <c r="F2259" s="125">
        <v>43827566023.510002</v>
      </c>
      <c r="G2259" s="127">
        <f t="shared" si="44"/>
        <v>6.8450070861583754</v>
      </c>
      <c r="H2259" s="120"/>
      <c r="I2259" s="120"/>
      <c r="J2259" s="121"/>
      <c r="K2259" s="121"/>
      <c r="L2259" s="121"/>
      <c r="M2259" s="121"/>
      <c r="N2259" s="121"/>
      <c r="O2259" s="121"/>
      <c r="P2259" s="121"/>
    </row>
    <row r="2260" spans="2:16" s="108" customFormat="1" ht="21.75" hidden="1" customHeight="1">
      <c r="B2260" s="109"/>
      <c r="C2260" s="122"/>
      <c r="D2260" s="123" t="s">
        <v>1732</v>
      </c>
      <c r="E2260" s="723">
        <v>3000000000</v>
      </c>
      <c r="F2260" s="125">
        <v>43827566023.510002</v>
      </c>
      <c r="G2260" s="127">
        <f t="shared" si="44"/>
        <v>6.8450070861583754</v>
      </c>
      <c r="H2260" s="120"/>
      <c r="I2260" s="120"/>
      <c r="J2260" s="116"/>
      <c r="K2260" s="116"/>
      <c r="L2260" s="116"/>
      <c r="M2260" s="116"/>
      <c r="N2260" s="116"/>
      <c r="O2260" s="116"/>
      <c r="P2260" s="116"/>
    </row>
    <row r="2261" spans="2:16" s="108" customFormat="1" ht="15" hidden="1" customHeight="1">
      <c r="B2261" s="109"/>
      <c r="C2261" s="122"/>
      <c r="D2261" s="123"/>
      <c r="E2261" s="723"/>
      <c r="F2261" s="125"/>
      <c r="G2261" s="127"/>
      <c r="H2261" s="120"/>
      <c r="I2261" s="120"/>
      <c r="J2261" s="116"/>
      <c r="K2261" s="116"/>
      <c r="L2261" s="116"/>
      <c r="M2261" s="116"/>
      <c r="N2261" s="116"/>
      <c r="O2261" s="116"/>
      <c r="P2261" s="116"/>
    </row>
    <row r="2262" spans="2:16" s="117" customFormat="1" ht="32.25" hidden="1" customHeight="1">
      <c r="B2262" s="118"/>
      <c r="C2262" s="110"/>
      <c r="D2262" s="111" t="s">
        <v>1733</v>
      </c>
      <c r="E2262" s="720">
        <f>E2263+E2265+E2269</f>
        <v>2600000000</v>
      </c>
      <c r="F2262" s="125">
        <v>43827566023.510002</v>
      </c>
      <c r="G2262" s="127">
        <f t="shared" si="44"/>
        <v>5.9323394746705915</v>
      </c>
      <c r="H2262" s="120"/>
      <c r="I2262" s="120"/>
      <c r="J2262" s="121"/>
      <c r="K2262" s="121"/>
      <c r="L2262" s="121"/>
      <c r="M2262" s="121"/>
      <c r="N2262" s="121"/>
      <c r="O2262" s="121"/>
      <c r="P2262" s="121"/>
    </row>
    <row r="2263" spans="2:16" s="117" customFormat="1" ht="21.75" hidden="1" customHeight="1">
      <c r="B2263" s="118"/>
      <c r="C2263" s="110"/>
      <c r="D2263" s="111" t="s">
        <v>257</v>
      </c>
      <c r="E2263" s="720">
        <f>E2264</f>
        <v>40000000</v>
      </c>
      <c r="F2263" s="125">
        <v>43827566023.510002</v>
      </c>
      <c r="G2263" s="127">
        <f t="shared" si="44"/>
        <v>9.1266761148778325E-2</v>
      </c>
      <c r="H2263" s="120"/>
      <c r="I2263" s="120"/>
      <c r="J2263" s="121"/>
      <c r="K2263" s="121"/>
      <c r="L2263" s="121"/>
      <c r="M2263" s="121"/>
      <c r="N2263" s="121"/>
      <c r="O2263" s="121"/>
      <c r="P2263" s="121"/>
    </row>
    <row r="2264" spans="2:16" s="108" customFormat="1" ht="21.75" hidden="1" customHeight="1">
      <c r="B2264" s="109"/>
      <c r="C2264" s="122"/>
      <c r="D2264" s="123" t="s">
        <v>1734</v>
      </c>
      <c r="E2264" s="725">
        <v>40000000</v>
      </c>
      <c r="F2264" s="125">
        <v>43827566023.510002</v>
      </c>
      <c r="G2264" s="127">
        <f t="shared" si="44"/>
        <v>9.1266761148778325E-2</v>
      </c>
      <c r="H2264" s="120"/>
      <c r="I2264" s="120"/>
      <c r="J2264" s="116"/>
      <c r="K2264" s="116"/>
      <c r="L2264" s="116"/>
      <c r="M2264" s="116"/>
      <c r="N2264" s="116"/>
      <c r="O2264" s="116"/>
      <c r="P2264" s="116"/>
    </row>
    <row r="2265" spans="2:16" s="117" customFormat="1" ht="21.75" hidden="1" customHeight="1">
      <c r="B2265" s="118"/>
      <c r="C2265" s="110"/>
      <c r="D2265" s="111" t="s">
        <v>1735</v>
      </c>
      <c r="E2265" s="724">
        <f>SUM(E2266:E2268)</f>
        <v>1660000000</v>
      </c>
      <c r="F2265" s="125">
        <v>43827566023.510002</v>
      </c>
      <c r="G2265" s="127">
        <f t="shared" si="44"/>
        <v>3.7875705876743009</v>
      </c>
      <c r="H2265" s="120"/>
      <c r="I2265" s="120"/>
      <c r="J2265" s="121"/>
      <c r="K2265" s="121"/>
      <c r="L2265" s="121"/>
      <c r="M2265" s="121"/>
      <c r="N2265" s="121"/>
      <c r="O2265" s="121"/>
      <c r="P2265" s="121"/>
    </row>
    <row r="2266" spans="2:16" s="108" customFormat="1" ht="21.75" hidden="1" customHeight="1">
      <c r="B2266" s="109"/>
      <c r="C2266" s="122"/>
      <c r="D2266" s="123" t="s">
        <v>741</v>
      </c>
      <c r="E2266" s="723">
        <v>460000000</v>
      </c>
      <c r="F2266" s="125">
        <v>43827566023.510002</v>
      </c>
      <c r="G2266" s="127">
        <f t="shared" si="44"/>
        <v>1.0495677532109509</v>
      </c>
      <c r="H2266" s="120"/>
      <c r="I2266" s="120"/>
      <c r="J2266" s="116"/>
      <c r="K2266" s="116"/>
      <c r="L2266" s="116"/>
      <c r="M2266" s="116"/>
      <c r="N2266" s="116"/>
      <c r="O2266" s="116"/>
      <c r="P2266" s="116"/>
    </row>
    <row r="2267" spans="2:16" s="108" customFormat="1" ht="21.75" hidden="1" customHeight="1">
      <c r="B2267" s="109"/>
      <c r="C2267" s="122"/>
      <c r="D2267" s="123" t="s">
        <v>1736</v>
      </c>
      <c r="E2267" s="723">
        <v>200000000</v>
      </c>
      <c r="F2267" s="125">
        <v>43827566023.510002</v>
      </c>
      <c r="G2267" s="127">
        <f t="shared" si="44"/>
        <v>0.45633380574389165</v>
      </c>
      <c r="H2267" s="120"/>
      <c r="I2267" s="120"/>
      <c r="J2267" s="116"/>
      <c r="K2267" s="116"/>
      <c r="L2267" s="116"/>
      <c r="M2267" s="116"/>
      <c r="N2267" s="116"/>
      <c r="O2267" s="116"/>
      <c r="P2267" s="116"/>
    </row>
    <row r="2268" spans="2:16" s="108" customFormat="1" ht="21.75" hidden="1" customHeight="1">
      <c r="B2268" s="109"/>
      <c r="C2268" s="122"/>
      <c r="D2268" s="123" t="s">
        <v>1737</v>
      </c>
      <c r="E2268" s="723">
        <v>1000000000</v>
      </c>
      <c r="F2268" s="125">
        <v>43827566023.510002</v>
      </c>
      <c r="G2268" s="127">
        <f t="shared" si="44"/>
        <v>2.2816690287194583</v>
      </c>
      <c r="H2268" s="120"/>
      <c r="I2268" s="120"/>
      <c r="J2268" s="116"/>
      <c r="K2268" s="116"/>
      <c r="L2268" s="116"/>
      <c r="M2268" s="116"/>
      <c r="N2268" s="116"/>
      <c r="O2268" s="116"/>
      <c r="P2268" s="116"/>
    </row>
    <row r="2269" spans="2:16" s="117" customFormat="1" ht="21.75" hidden="1" customHeight="1">
      <c r="B2269" s="118"/>
      <c r="C2269" s="110"/>
      <c r="D2269" s="111" t="s">
        <v>1738</v>
      </c>
      <c r="E2269" s="724">
        <f>SUM(E2270:E2271)</f>
        <v>900000000</v>
      </c>
      <c r="F2269" s="125">
        <v>43827566023.510002</v>
      </c>
      <c r="G2269" s="127">
        <f t="shared" si="44"/>
        <v>2.0535021258475123</v>
      </c>
      <c r="H2269" s="120"/>
      <c r="I2269" s="120"/>
      <c r="J2269" s="121"/>
      <c r="K2269" s="121"/>
      <c r="L2269" s="121"/>
      <c r="M2269" s="121"/>
      <c r="N2269" s="121"/>
      <c r="O2269" s="121"/>
      <c r="P2269" s="121"/>
    </row>
    <row r="2270" spans="2:16" s="108" customFormat="1" ht="21.75" hidden="1" customHeight="1">
      <c r="B2270" s="109"/>
      <c r="C2270" s="122"/>
      <c r="D2270" s="123" t="s">
        <v>1739</v>
      </c>
      <c r="E2270" s="723">
        <v>600000000</v>
      </c>
      <c r="F2270" s="125">
        <v>43827566023.510002</v>
      </c>
      <c r="G2270" s="127">
        <f t="shared" si="44"/>
        <v>1.3690014172316749</v>
      </c>
      <c r="H2270" s="120"/>
      <c r="I2270" s="120"/>
      <c r="J2270" s="116"/>
      <c r="K2270" s="116"/>
      <c r="L2270" s="116"/>
      <c r="M2270" s="116"/>
      <c r="N2270" s="116"/>
      <c r="O2270" s="116"/>
      <c r="P2270" s="116"/>
    </row>
    <row r="2271" spans="2:16" s="108" customFormat="1" ht="21.75" hidden="1" customHeight="1">
      <c r="B2271" s="109"/>
      <c r="C2271" s="122"/>
      <c r="D2271" s="123" t="s">
        <v>1740</v>
      </c>
      <c r="E2271" s="723">
        <v>300000000</v>
      </c>
      <c r="F2271" s="125">
        <v>43827566023.510002</v>
      </c>
      <c r="G2271" s="127">
        <f t="shared" si="44"/>
        <v>0.68450070861583745</v>
      </c>
      <c r="H2271" s="120"/>
      <c r="I2271" s="120"/>
      <c r="J2271" s="116"/>
      <c r="K2271" s="116"/>
      <c r="L2271" s="116"/>
      <c r="M2271" s="116"/>
      <c r="N2271" s="116"/>
      <c r="O2271" s="116"/>
      <c r="P2271" s="116"/>
    </row>
    <row r="2272" spans="2:16" s="108" customFormat="1" ht="15" hidden="1" customHeight="1">
      <c r="B2272" s="109"/>
      <c r="C2272" s="122"/>
      <c r="D2272" s="123"/>
      <c r="E2272" s="723"/>
      <c r="F2272" s="125"/>
      <c r="G2272" s="127"/>
      <c r="H2272" s="120"/>
      <c r="I2272" s="120"/>
      <c r="J2272" s="116"/>
      <c r="K2272" s="116"/>
      <c r="L2272" s="116"/>
      <c r="M2272" s="116"/>
      <c r="N2272" s="116"/>
      <c r="O2272" s="116"/>
      <c r="P2272" s="116"/>
    </row>
    <row r="2273" spans="2:16" s="117" customFormat="1" ht="21.75" hidden="1" customHeight="1">
      <c r="B2273" s="118"/>
      <c r="C2273" s="110"/>
      <c r="D2273" s="111" t="s">
        <v>1644</v>
      </c>
      <c r="E2273" s="724">
        <f>E2274</f>
        <v>510000000</v>
      </c>
      <c r="F2273" s="125">
        <v>43827566023.510002</v>
      </c>
      <c r="G2273" s="127">
        <f t="shared" si="44"/>
        <v>1.1636512046469238</v>
      </c>
      <c r="H2273" s="120"/>
      <c r="I2273" s="120"/>
      <c r="J2273" s="121"/>
      <c r="K2273" s="121"/>
      <c r="L2273" s="121"/>
      <c r="M2273" s="121"/>
      <c r="N2273" s="121"/>
      <c r="O2273" s="121"/>
      <c r="P2273" s="121"/>
    </row>
    <row r="2274" spans="2:16" s="117" customFormat="1" ht="21.75" hidden="1" customHeight="1">
      <c r="B2274" s="118"/>
      <c r="C2274" s="110"/>
      <c r="D2274" s="111" t="s">
        <v>1205</v>
      </c>
      <c r="E2274" s="724">
        <f>E2275</f>
        <v>510000000</v>
      </c>
      <c r="F2274" s="125">
        <v>43827566023.510002</v>
      </c>
      <c r="G2274" s="127">
        <f t="shared" si="44"/>
        <v>1.1636512046469238</v>
      </c>
      <c r="H2274" s="120"/>
      <c r="I2274" s="120"/>
      <c r="J2274" s="121"/>
      <c r="K2274" s="121"/>
      <c r="L2274" s="121"/>
      <c r="M2274" s="121"/>
      <c r="N2274" s="121"/>
      <c r="O2274" s="121"/>
      <c r="P2274" s="121"/>
    </row>
    <row r="2275" spans="2:16" s="108" customFormat="1" ht="21.75" hidden="1" customHeight="1">
      <c r="B2275" s="109"/>
      <c r="C2275" s="122"/>
      <c r="D2275" s="123" t="s">
        <v>1741</v>
      </c>
      <c r="E2275" s="723">
        <v>510000000</v>
      </c>
      <c r="F2275" s="125">
        <v>43827566023.510002</v>
      </c>
      <c r="G2275" s="127">
        <f t="shared" si="44"/>
        <v>1.1636512046469238</v>
      </c>
      <c r="H2275" s="120"/>
      <c r="I2275" s="120"/>
      <c r="J2275" s="116"/>
      <c r="K2275" s="116"/>
      <c r="L2275" s="116"/>
      <c r="M2275" s="116"/>
      <c r="N2275" s="116"/>
      <c r="O2275" s="116"/>
      <c r="P2275" s="116"/>
    </row>
    <row r="2276" spans="2:16" s="108" customFormat="1" ht="15" hidden="1" customHeight="1">
      <c r="B2276" s="109"/>
      <c r="C2276" s="122"/>
      <c r="D2276" s="123"/>
      <c r="E2276" s="723"/>
      <c r="F2276" s="125"/>
      <c r="G2276" s="127"/>
      <c r="H2276" s="120"/>
      <c r="I2276" s="120"/>
      <c r="J2276" s="116"/>
      <c r="K2276" s="116"/>
      <c r="L2276" s="116"/>
      <c r="M2276" s="116"/>
      <c r="N2276" s="116"/>
      <c r="O2276" s="116"/>
      <c r="P2276" s="116"/>
    </row>
    <row r="2277" spans="2:16" s="117" customFormat="1" ht="21.75" hidden="1" customHeight="1">
      <c r="B2277" s="118"/>
      <c r="C2277" s="110"/>
      <c r="D2277" s="111" t="s">
        <v>1305</v>
      </c>
      <c r="E2277" s="724">
        <f>E2278</f>
        <v>300000000</v>
      </c>
      <c r="F2277" s="125">
        <v>43827566023.510002</v>
      </c>
      <c r="G2277" s="127">
        <f t="shared" si="44"/>
        <v>0.68450070861583745</v>
      </c>
      <c r="H2277" s="120"/>
      <c r="I2277" s="120"/>
      <c r="J2277" s="121"/>
      <c r="K2277" s="121"/>
      <c r="L2277" s="121"/>
      <c r="M2277" s="121"/>
      <c r="N2277" s="121"/>
      <c r="O2277" s="121"/>
      <c r="P2277" s="121"/>
    </row>
    <row r="2278" spans="2:16" s="117" customFormat="1" ht="21.75" hidden="1" customHeight="1">
      <c r="B2278" s="118"/>
      <c r="C2278" s="110"/>
      <c r="D2278" s="111" t="s">
        <v>912</v>
      </c>
      <c r="E2278" s="724">
        <f>E2279</f>
        <v>300000000</v>
      </c>
      <c r="F2278" s="125">
        <v>43827566023.510002</v>
      </c>
      <c r="G2278" s="127">
        <f t="shared" si="44"/>
        <v>0.68450070861583745</v>
      </c>
      <c r="H2278" s="120"/>
      <c r="I2278" s="120"/>
      <c r="J2278" s="121"/>
      <c r="K2278" s="121"/>
      <c r="L2278" s="121"/>
      <c r="M2278" s="121"/>
      <c r="N2278" s="121"/>
      <c r="O2278" s="121"/>
      <c r="P2278" s="121"/>
    </row>
    <row r="2279" spans="2:16" s="108" customFormat="1" ht="21.75" hidden="1" customHeight="1">
      <c r="B2279" s="109"/>
      <c r="C2279" s="122"/>
      <c r="D2279" s="123" t="s">
        <v>1509</v>
      </c>
      <c r="E2279" s="723">
        <v>300000000</v>
      </c>
      <c r="F2279" s="125">
        <v>43827566023.510002</v>
      </c>
      <c r="G2279" s="127">
        <f t="shared" si="44"/>
        <v>0.68450070861583745</v>
      </c>
      <c r="H2279" s="120"/>
      <c r="I2279" s="120"/>
      <c r="J2279" s="116"/>
      <c r="K2279" s="116"/>
      <c r="L2279" s="116"/>
      <c r="M2279" s="116"/>
      <c r="N2279" s="116"/>
      <c r="O2279" s="116"/>
      <c r="P2279" s="116"/>
    </row>
    <row r="2280" spans="2:16" s="108" customFormat="1" ht="15" hidden="1" customHeight="1">
      <c r="B2280" s="109"/>
      <c r="C2280" s="122"/>
      <c r="D2280" s="123"/>
      <c r="E2280" s="723"/>
      <c r="F2280" s="125"/>
      <c r="G2280" s="127"/>
      <c r="H2280" s="120"/>
      <c r="I2280" s="120"/>
      <c r="J2280" s="116"/>
      <c r="K2280" s="116"/>
      <c r="L2280" s="116"/>
      <c r="M2280" s="116"/>
      <c r="N2280" s="116"/>
      <c r="O2280" s="116"/>
      <c r="P2280" s="116"/>
    </row>
    <row r="2281" spans="2:16" s="117" customFormat="1" ht="21.75" hidden="1" customHeight="1">
      <c r="B2281" s="118"/>
      <c r="C2281" s="110"/>
      <c r="D2281" s="111" t="s">
        <v>1742</v>
      </c>
      <c r="E2281" s="724">
        <f>E2282</f>
        <v>512404710</v>
      </c>
      <c r="F2281" s="125">
        <v>43827566023.510002</v>
      </c>
      <c r="G2281" s="127">
        <f t="shared" si="44"/>
        <v>1.1691379569769758</v>
      </c>
      <c r="H2281" s="120"/>
      <c r="I2281" s="120"/>
      <c r="J2281" s="121"/>
      <c r="K2281" s="121"/>
      <c r="L2281" s="121"/>
      <c r="M2281" s="121"/>
      <c r="N2281" s="121"/>
      <c r="O2281" s="121"/>
      <c r="P2281" s="121"/>
    </row>
    <row r="2282" spans="2:16" s="117" customFormat="1" ht="21.75" hidden="1" customHeight="1">
      <c r="B2282" s="118"/>
      <c r="C2282" s="110"/>
      <c r="D2282" s="111" t="s">
        <v>321</v>
      </c>
      <c r="E2282" s="724">
        <f>E2283</f>
        <v>512404710</v>
      </c>
      <c r="F2282" s="125">
        <v>43827566023.510002</v>
      </c>
      <c r="G2282" s="127">
        <f t="shared" si="44"/>
        <v>1.1691379569769758</v>
      </c>
      <c r="H2282" s="120"/>
      <c r="I2282" s="120"/>
      <c r="J2282" s="121"/>
      <c r="K2282" s="121"/>
      <c r="L2282" s="121"/>
      <c r="M2282" s="121"/>
      <c r="N2282" s="121"/>
      <c r="O2282" s="121"/>
      <c r="P2282" s="121"/>
    </row>
    <row r="2283" spans="2:16" s="108" customFormat="1" ht="21.75" hidden="1" customHeight="1">
      <c r="B2283" s="109"/>
      <c r="C2283" s="122"/>
      <c r="D2283" s="123" t="s">
        <v>322</v>
      </c>
      <c r="E2283" s="723">
        <v>512404710</v>
      </c>
      <c r="F2283" s="125">
        <v>43827566023.510002</v>
      </c>
      <c r="G2283" s="127">
        <f t="shared" si="44"/>
        <v>1.1691379569769758</v>
      </c>
      <c r="H2283" s="120"/>
      <c r="I2283" s="120"/>
      <c r="J2283" s="116"/>
      <c r="K2283" s="116"/>
      <c r="L2283" s="116"/>
      <c r="M2283" s="116"/>
      <c r="N2283" s="116"/>
      <c r="O2283" s="116"/>
      <c r="P2283" s="116"/>
    </row>
    <row r="2284" spans="2:16" s="108" customFormat="1" ht="15" hidden="1" customHeight="1">
      <c r="B2284" s="109"/>
      <c r="C2284" s="122"/>
      <c r="D2284" s="123"/>
      <c r="E2284" s="723"/>
      <c r="F2284" s="125"/>
      <c r="G2284" s="127"/>
      <c r="H2284" s="120"/>
      <c r="I2284" s="120"/>
      <c r="J2284" s="116"/>
      <c r="K2284" s="116"/>
      <c r="L2284" s="116"/>
      <c r="M2284" s="116"/>
      <c r="N2284" s="116"/>
      <c r="O2284" s="116"/>
      <c r="P2284" s="116"/>
    </row>
    <row r="2285" spans="2:16" s="117" customFormat="1" ht="21.75" hidden="1" customHeight="1">
      <c r="B2285" s="118"/>
      <c r="C2285" s="110"/>
      <c r="D2285" s="111" t="s">
        <v>1186</v>
      </c>
      <c r="E2285" s="724">
        <f>E2286</f>
        <v>357000000</v>
      </c>
      <c r="F2285" s="125">
        <v>43827566023.510002</v>
      </c>
      <c r="G2285" s="127">
        <f t="shared" si="44"/>
        <v>0.81455584325284669</v>
      </c>
      <c r="H2285" s="120"/>
      <c r="I2285" s="120"/>
      <c r="J2285" s="121"/>
      <c r="K2285" s="121"/>
      <c r="L2285" s="121"/>
      <c r="M2285" s="121"/>
      <c r="N2285" s="121"/>
      <c r="O2285" s="121"/>
      <c r="P2285" s="121"/>
    </row>
    <row r="2286" spans="2:16" s="117" customFormat="1" ht="21.75" hidden="1" customHeight="1">
      <c r="B2286" s="118"/>
      <c r="C2286" s="110"/>
      <c r="D2286" s="111" t="s">
        <v>1743</v>
      </c>
      <c r="E2286" s="724">
        <f>E2287</f>
        <v>357000000</v>
      </c>
      <c r="F2286" s="125">
        <v>43827566023.510002</v>
      </c>
      <c r="G2286" s="127">
        <f t="shared" si="44"/>
        <v>0.81455584325284669</v>
      </c>
      <c r="H2286" s="120"/>
      <c r="I2286" s="120"/>
      <c r="J2286" s="121"/>
      <c r="K2286" s="121"/>
      <c r="L2286" s="121"/>
      <c r="M2286" s="121"/>
      <c r="N2286" s="121"/>
      <c r="O2286" s="121"/>
      <c r="P2286" s="121"/>
    </row>
    <row r="2287" spans="2:16" s="108" customFormat="1" ht="21.75" hidden="1" customHeight="1">
      <c r="B2287" s="109"/>
      <c r="C2287" s="122"/>
      <c r="D2287" s="123" t="s">
        <v>1514</v>
      </c>
      <c r="E2287" s="723">
        <v>357000000</v>
      </c>
      <c r="F2287" s="125">
        <v>43827566023.510002</v>
      </c>
      <c r="G2287" s="127">
        <f t="shared" si="44"/>
        <v>0.81455584325284669</v>
      </c>
      <c r="H2287" s="120"/>
      <c r="I2287" s="120"/>
      <c r="J2287" s="116"/>
      <c r="K2287" s="116"/>
      <c r="L2287" s="116"/>
      <c r="M2287" s="116"/>
      <c r="N2287" s="116"/>
      <c r="O2287" s="116"/>
      <c r="P2287" s="116"/>
    </row>
    <row r="2288" spans="2:16" s="108" customFormat="1" ht="15" hidden="1" customHeight="1">
      <c r="B2288" s="109"/>
      <c r="C2288" s="122"/>
      <c r="D2288" s="123"/>
      <c r="E2288" s="723"/>
      <c r="F2288" s="125"/>
      <c r="G2288" s="127"/>
      <c r="H2288" s="120"/>
      <c r="I2288" s="120"/>
      <c r="J2288" s="116"/>
      <c r="K2288" s="116"/>
      <c r="L2288" s="116"/>
      <c r="M2288" s="116"/>
      <c r="N2288" s="116"/>
      <c r="O2288" s="116"/>
      <c r="P2288" s="116"/>
    </row>
    <row r="2289" spans="2:16" s="117" customFormat="1" ht="21.75" hidden="1" customHeight="1">
      <c r="B2289" s="118"/>
      <c r="C2289" s="110"/>
      <c r="D2289" s="111" t="s">
        <v>524</v>
      </c>
      <c r="E2289" s="724">
        <f>E2290+E2292</f>
        <v>981739363.50999999</v>
      </c>
      <c r="F2289" s="125">
        <v>43827566023.510002</v>
      </c>
      <c r="G2289" s="127">
        <f t="shared" si="44"/>
        <v>2.2400042999955212</v>
      </c>
      <c r="H2289" s="120"/>
      <c r="I2289" s="120"/>
      <c r="J2289" s="121"/>
      <c r="K2289" s="121"/>
      <c r="L2289" s="121"/>
      <c r="M2289" s="121"/>
      <c r="N2289" s="121"/>
      <c r="O2289" s="121"/>
      <c r="P2289" s="121"/>
    </row>
    <row r="2290" spans="2:16" s="117" customFormat="1" ht="21.75" hidden="1" customHeight="1">
      <c r="B2290" s="118"/>
      <c r="C2290" s="110"/>
      <c r="D2290" s="111" t="s">
        <v>1519</v>
      </c>
      <c r="E2290" s="724">
        <f>E2291</f>
        <v>581739363.50999999</v>
      </c>
      <c r="F2290" s="125">
        <v>43827566023.510002</v>
      </c>
      <c r="G2290" s="127">
        <f t="shared" si="44"/>
        <v>1.3273366885077376</v>
      </c>
      <c r="H2290" s="120"/>
      <c r="I2290" s="120"/>
      <c r="J2290" s="121"/>
      <c r="K2290" s="121"/>
      <c r="L2290" s="121"/>
      <c r="M2290" s="121"/>
      <c r="N2290" s="121"/>
      <c r="O2290" s="121"/>
      <c r="P2290" s="121"/>
    </row>
    <row r="2291" spans="2:16" s="108" customFormat="1" ht="32.25" hidden="1" customHeight="1">
      <c r="B2291" s="109"/>
      <c r="C2291" s="122"/>
      <c r="D2291" s="123" t="s">
        <v>1744</v>
      </c>
      <c r="E2291" s="723">
        <f>581739363.51</f>
        <v>581739363.50999999</v>
      </c>
      <c r="F2291" s="125">
        <v>43827566023.510002</v>
      </c>
      <c r="G2291" s="127">
        <f t="shared" si="44"/>
        <v>1.3273366885077376</v>
      </c>
      <c r="H2291" s="120"/>
      <c r="I2291" s="120"/>
      <c r="J2291" s="116"/>
      <c r="K2291" s="116"/>
      <c r="L2291" s="116"/>
      <c r="M2291" s="116"/>
      <c r="N2291" s="116"/>
      <c r="O2291" s="116"/>
      <c r="P2291" s="116"/>
    </row>
    <row r="2292" spans="2:16" s="117" customFormat="1" ht="21.75" hidden="1" customHeight="1">
      <c r="B2292" s="118"/>
      <c r="C2292" s="110"/>
      <c r="D2292" s="111" t="s">
        <v>1745</v>
      </c>
      <c r="E2292" s="724">
        <f>E2293</f>
        <v>400000000</v>
      </c>
      <c r="F2292" s="125">
        <v>43827566023.510002</v>
      </c>
      <c r="G2292" s="127">
        <f t="shared" si="44"/>
        <v>0.9126676114877833</v>
      </c>
      <c r="H2292" s="120"/>
      <c r="I2292" s="120"/>
      <c r="J2292" s="121"/>
      <c r="K2292" s="121"/>
      <c r="L2292" s="121"/>
      <c r="M2292" s="121"/>
      <c r="N2292" s="121"/>
      <c r="O2292" s="121"/>
      <c r="P2292" s="121"/>
    </row>
    <row r="2293" spans="2:16" s="108" customFormat="1" ht="21.75" hidden="1" customHeight="1">
      <c r="B2293" s="109"/>
      <c r="C2293" s="122"/>
      <c r="D2293" s="123" t="s">
        <v>1746</v>
      </c>
      <c r="E2293" s="723">
        <v>400000000</v>
      </c>
      <c r="F2293" s="125">
        <v>43827566023.510002</v>
      </c>
      <c r="G2293" s="127">
        <f t="shared" si="44"/>
        <v>0.9126676114877833</v>
      </c>
      <c r="H2293" s="120"/>
      <c r="I2293" s="120"/>
      <c r="J2293" s="116"/>
      <c r="K2293" s="116"/>
      <c r="L2293" s="116"/>
      <c r="M2293" s="116"/>
      <c r="N2293" s="116"/>
      <c r="O2293" s="116"/>
      <c r="P2293" s="116"/>
    </row>
    <row r="2294" spans="2:16" s="108" customFormat="1" ht="15" hidden="1" customHeight="1">
      <c r="B2294" s="109"/>
      <c r="C2294" s="122"/>
      <c r="D2294" s="123"/>
      <c r="E2294" s="723"/>
      <c r="F2294" s="125"/>
      <c r="G2294" s="127"/>
      <c r="H2294" s="120"/>
      <c r="I2294" s="120"/>
      <c r="J2294" s="116"/>
      <c r="K2294" s="116"/>
      <c r="L2294" s="116"/>
      <c r="M2294" s="116"/>
      <c r="N2294" s="116"/>
      <c r="O2294" s="116"/>
      <c r="P2294" s="116"/>
    </row>
    <row r="2295" spans="2:16" s="117" customFormat="1" ht="21.75" hidden="1" customHeight="1">
      <c r="B2295" s="118"/>
      <c r="C2295" s="110"/>
      <c r="D2295" s="111" t="s">
        <v>1747</v>
      </c>
      <c r="E2295" s="724">
        <f>E2296</f>
        <v>2000000000</v>
      </c>
      <c r="F2295" s="125">
        <v>43827566023.510002</v>
      </c>
      <c r="G2295" s="127">
        <f t="shared" si="44"/>
        <v>4.5633380574389166</v>
      </c>
      <c r="H2295" s="120"/>
      <c r="I2295" s="120"/>
      <c r="J2295" s="121"/>
      <c r="K2295" s="121"/>
      <c r="L2295" s="121"/>
      <c r="M2295" s="121"/>
      <c r="N2295" s="121"/>
      <c r="O2295" s="121"/>
      <c r="P2295" s="121"/>
    </row>
    <row r="2296" spans="2:16" s="117" customFormat="1" ht="21.75" hidden="1" customHeight="1">
      <c r="B2296" s="118"/>
      <c r="C2296" s="110"/>
      <c r="D2296" s="111" t="s">
        <v>439</v>
      </c>
      <c r="E2296" s="724">
        <f>E2297</f>
        <v>2000000000</v>
      </c>
      <c r="F2296" s="125">
        <v>43827566023.510002</v>
      </c>
      <c r="G2296" s="127">
        <f t="shared" si="44"/>
        <v>4.5633380574389166</v>
      </c>
      <c r="H2296" s="120"/>
      <c r="I2296" s="120"/>
      <c r="J2296" s="121"/>
      <c r="K2296" s="121"/>
      <c r="L2296" s="121"/>
      <c r="M2296" s="121"/>
      <c r="N2296" s="121"/>
      <c r="O2296" s="121"/>
      <c r="P2296" s="121"/>
    </row>
    <row r="2297" spans="2:16" s="108" customFormat="1" ht="21.75" hidden="1" customHeight="1">
      <c r="B2297" s="109"/>
      <c r="C2297" s="122"/>
      <c r="D2297" s="123" t="s">
        <v>1748</v>
      </c>
      <c r="E2297" s="723">
        <v>2000000000</v>
      </c>
      <c r="F2297" s="125">
        <v>43827566023.510002</v>
      </c>
      <c r="G2297" s="127">
        <f t="shared" si="44"/>
        <v>4.5633380574389166</v>
      </c>
      <c r="H2297" s="120"/>
      <c r="I2297" s="120"/>
      <c r="J2297" s="116"/>
      <c r="K2297" s="116"/>
      <c r="L2297" s="116"/>
      <c r="M2297" s="116"/>
      <c r="N2297" s="116"/>
      <c r="O2297" s="116"/>
      <c r="P2297" s="116"/>
    </row>
    <row r="2298" spans="2:16" s="108" customFormat="1" ht="15" hidden="1" customHeight="1">
      <c r="B2298" s="109"/>
      <c r="C2298" s="122"/>
      <c r="D2298" s="166"/>
      <c r="E2298" s="125"/>
      <c r="F2298" s="113"/>
      <c r="G2298" s="126"/>
      <c r="H2298" s="120"/>
      <c r="I2298" s="120"/>
      <c r="J2298" s="116"/>
      <c r="K2298" s="116"/>
      <c r="L2298" s="116"/>
      <c r="M2298" s="116"/>
      <c r="N2298" s="116"/>
      <c r="O2298" s="116"/>
      <c r="P2298" s="116"/>
    </row>
    <row r="2299" spans="2:16" s="117" customFormat="1" ht="21.75" hidden="1" customHeight="1">
      <c r="B2299" s="118"/>
      <c r="C2299" s="110" t="s">
        <v>1749</v>
      </c>
      <c r="D2299" s="111" t="s">
        <v>1750</v>
      </c>
      <c r="E2299" s="129">
        <f>+E2300+E2337+E2359+E2367+E2371+E2378+E2390+E2407+E2420+E2424+E2428+E2443+E2453+E2466+E2470+E2479+E2483</f>
        <v>43402635532.330002</v>
      </c>
      <c r="F2299" s="131">
        <v>1557405258400.0002</v>
      </c>
      <c r="G2299" s="127">
        <f>+E2299/F2299*100</f>
        <v>2.7868555919041702</v>
      </c>
      <c r="H2299" s="120"/>
      <c r="I2299" s="120"/>
      <c r="J2299" s="121"/>
      <c r="K2299" s="121"/>
      <c r="L2299" s="121"/>
      <c r="M2299" s="121"/>
      <c r="N2299" s="121"/>
      <c r="O2299" s="121"/>
      <c r="P2299" s="121"/>
    </row>
    <row r="2300" spans="2:16" s="108" customFormat="1" ht="21.75" hidden="1" customHeight="1">
      <c r="B2300" s="109"/>
      <c r="C2300" s="122"/>
      <c r="D2300" s="111" t="s">
        <v>444</v>
      </c>
      <c r="E2300" s="120">
        <f>SUM(E2301,E2307,E2333)</f>
        <v>13020790660</v>
      </c>
      <c r="F2300" s="125">
        <v>43402635532.330002</v>
      </c>
      <c r="G2300" s="126">
        <f>+E2300/F2300*100</f>
        <v>30.000000000693504</v>
      </c>
      <c r="H2300" s="120"/>
      <c r="I2300" s="120"/>
      <c r="J2300" s="116"/>
      <c r="K2300" s="116"/>
      <c r="L2300" s="116"/>
      <c r="M2300" s="116"/>
      <c r="N2300" s="116"/>
      <c r="O2300" s="116"/>
      <c r="P2300" s="116"/>
    </row>
    <row r="2301" spans="2:16" s="108" customFormat="1" ht="21.75" hidden="1" customHeight="1">
      <c r="B2301" s="109"/>
      <c r="C2301" s="122"/>
      <c r="D2301" s="111" t="s">
        <v>388</v>
      </c>
      <c r="E2301" s="120">
        <f>SUM(E2302:E2306)</f>
        <v>1400000000</v>
      </c>
      <c r="F2301" s="125">
        <v>43402635532.330002</v>
      </c>
      <c r="G2301" s="126">
        <f t="shared" ref="G2301:G2364" si="45">+E2301/F2301*100</f>
        <v>3.2256105714067984</v>
      </c>
      <c r="H2301" s="120"/>
      <c r="I2301" s="120"/>
      <c r="J2301" s="116"/>
      <c r="K2301" s="116"/>
      <c r="L2301" s="116"/>
      <c r="M2301" s="116"/>
      <c r="N2301" s="116"/>
      <c r="O2301" s="116"/>
      <c r="P2301" s="116"/>
    </row>
    <row r="2302" spans="2:16" s="108" customFormat="1" ht="21.75" hidden="1" customHeight="1">
      <c r="B2302" s="109"/>
      <c r="C2302" s="122"/>
      <c r="D2302" s="123" t="s">
        <v>1209</v>
      </c>
      <c r="E2302" s="115">
        <v>700000000</v>
      </c>
      <c r="F2302" s="125">
        <v>43402635532.330002</v>
      </c>
      <c r="G2302" s="126">
        <f t="shared" si="45"/>
        <v>1.6128052857033992</v>
      </c>
      <c r="H2302" s="120"/>
      <c r="I2302" s="120"/>
      <c r="J2302" s="116"/>
      <c r="K2302" s="116"/>
      <c r="L2302" s="116"/>
      <c r="M2302" s="116"/>
      <c r="N2302" s="116"/>
      <c r="O2302" s="116"/>
      <c r="P2302" s="116"/>
    </row>
    <row r="2303" spans="2:16" s="108" customFormat="1" ht="21.75" hidden="1" customHeight="1">
      <c r="B2303" s="109"/>
      <c r="C2303" s="122"/>
      <c r="D2303" s="123" t="s">
        <v>1751</v>
      </c>
      <c r="E2303" s="115">
        <v>250000000</v>
      </c>
      <c r="F2303" s="125">
        <v>43402635532.330002</v>
      </c>
      <c r="G2303" s="126">
        <f t="shared" si="45"/>
        <v>0.57600188775121408</v>
      </c>
      <c r="H2303" s="120"/>
      <c r="I2303" s="120"/>
      <c r="J2303" s="116"/>
      <c r="K2303" s="116"/>
      <c r="L2303" s="116"/>
      <c r="M2303" s="116"/>
      <c r="N2303" s="116"/>
      <c r="O2303" s="116"/>
      <c r="P2303" s="116"/>
    </row>
    <row r="2304" spans="2:16" s="108" customFormat="1" ht="39.75" hidden="1" customHeight="1">
      <c r="B2304" s="109"/>
      <c r="C2304" s="122"/>
      <c r="D2304" s="123" t="s">
        <v>1752</v>
      </c>
      <c r="E2304" s="115">
        <v>50000000</v>
      </c>
      <c r="F2304" s="125">
        <v>43402635532.330002</v>
      </c>
      <c r="G2304" s="126">
        <f t="shared" si="45"/>
        <v>0.1152003775502428</v>
      </c>
      <c r="H2304" s="120"/>
      <c r="I2304" s="120"/>
      <c r="J2304" s="116"/>
      <c r="K2304" s="116"/>
      <c r="L2304" s="116"/>
      <c r="M2304" s="116"/>
      <c r="N2304" s="116"/>
      <c r="O2304" s="116"/>
      <c r="P2304" s="116"/>
    </row>
    <row r="2305" spans="2:16" s="108" customFormat="1" ht="21.75" hidden="1" customHeight="1">
      <c r="B2305" s="109"/>
      <c r="C2305" s="122"/>
      <c r="D2305" s="123" t="s">
        <v>1753</v>
      </c>
      <c r="E2305" s="115">
        <v>50000000</v>
      </c>
      <c r="F2305" s="125">
        <v>43402635532.330002</v>
      </c>
      <c r="G2305" s="126">
        <f t="shared" si="45"/>
        <v>0.1152003775502428</v>
      </c>
      <c r="H2305" s="120"/>
      <c r="I2305" s="120"/>
      <c r="J2305" s="116"/>
      <c r="K2305" s="116"/>
      <c r="L2305" s="116"/>
      <c r="M2305" s="116"/>
      <c r="N2305" s="116"/>
      <c r="O2305" s="116"/>
      <c r="P2305" s="116"/>
    </row>
    <row r="2306" spans="2:16" s="108" customFormat="1" ht="21.75" hidden="1" customHeight="1">
      <c r="B2306" s="109"/>
      <c r="C2306" s="122"/>
      <c r="D2306" s="123" t="s">
        <v>1754</v>
      </c>
      <c r="E2306" s="115">
        <v>350000000</v>
      </c>
      <c r="F2306" s="125">
        <v>43402635532.330002</v>
      </c>
      <c r="G2306" s="126">
        <f t="shared" si="45"/>
        <v>0.8064026428516996</v>
      </c>
      <c r="H2306" s="120"/>
      <c r="I2306" s="120"/>
      <c r="J2306" s="116"/>
      <c r="K2306" s="116"/>
      <c r="L2306" s="116"/>
      <c r="M2306" s="116"/>
      <c r="N2306" s="116"/>
      <c r="O2306" s="116"/>
      <c r="P2306" s="116"/>
    </row>
    <row r="2307" spans="2:16" s="108" customFormat="1" ht="21.75" hidden="1" customHeight="1">
      <c r="B2307" s="109"/>
      <c r="C2307" s="122"/>
      <c r="D2307" s="111" t="s">
        <v>394</v>
      </c>
      <c r="E2307" s="120">
        <f>SUM(E2308:E2332)</f>
        <v>10970790660</v>
      </c>
      <c r="F2307" s="125">
        <v>43402635532.330002</v>
      </c>
      <c r="G2307" s="126">
        <f t="shared" si="45"/>
        <v>25.27678452113355</v>
      </c>
      <c r="H2307" s="120"/>
      <c r="I2307" s="120"/>
      <c r="J2307" s="116"/>
      <c r="K2307" s="116"/>
      <c r="L2307" s="116"/>
      <c r="M2307" s="116"/>
      <c r="N2307" s="116"/>
      <c r="O2307" s="116"/>
      <c r="P2307" s="116"/>
    </row>
    <row r="2308" spans="2:16" s="108" customFormat="1" ht="21.75" hidden="1" customHeight="1">
      <c r="B2308" s="109"/>
      <c r="C2308" s="122"/>
      <c r="D2308" s="123" t="s">
        <v>1755</v>
      </c>
      <c r="E2308" s="115">
        <v>500000000</v>
      </c>
      <c r="F2308" s="125">
        <v>43402635532.330002</v>
      </c>
      <c r="G2308" s="126">
        <f t="shared" si="45"/>
        <v>1.1520037755024282</v>
      </c>
      <c r="H2308" s="120"/>
      <c r="I2308" s="120"/>
      <c r="J2308" s="116"/>
      <c r="K2308" s="116"/>
      <c r="L2308" s="116"/>
      <c r="M2308" s="116"/>
      <c r="N2308" s="116"/>
      <c r="O2308" s="116"/>
      <c r="P2308" s="116"/>
    </row>
    <row r="2309" spans="2:16" s="108" customFormat="1" ht="21.75" hidden="1" customHeight="1">
      <c r="B2309" s="109"/>
      <c r="C2309" s="122"/>
      <c r="D2309" s="123" t="s">
        <v>1756</v>
      </c>
      <c r="E2309" s="166">
        <v>350000000</v>
      </c>
      <c r="F2309" s="125">
        <v>43402635532.330002</v>
      </c>
      <c r="G2309" s="126">
        <f t="shared" si="45"/>
        <v>0.8064026428516996</v>
      </c>
      <c r="H2309" s="120"/>
      <c r="I2309" s="120"/>
      <c r="J2309" s="116"/>
      <c r="K2309" s="116"/>
      <c r="L2309" s="116"/>
      <c r="M2309" s="116"/>
      <c r="N2309" s="116"/>
      <c r="O2309" s="116"/>
      <c r="P2309" s="116"/>
    </row>
    <row r="2310" spans="2:16" s="108" customFormat="1" ht="34.5" hidden="1" customHeight="1">
      <c r="B2310" s="109"/>
      <c r="C2310" s="122"/>
      <c r="D2310" s="123" t="s">
        <v>1757</v>
      </c>
      <c r="E2310" s="115">
        <v>445790660</v>
      </c>
      <c r="F2310" s="125">
        <v>43402635532.330002</v>
      </c>
      <c r="G2310" s="126">
        <f t="shared" si="45"/>
        <v>1.0271050468074385</v>
      </c>
      <c r="H2310" s="120"/>
      <c r="I2310" s="120"/>
      <c r="J2310" s="116"/>
      <c r="K2310" s="116"/>
      <c r="L2310" s="116"/>
      <c r="M2310" s="116"/>
      <c r="N2310" s="116"/>
      <c r="O2310" s="116"/>
      <c r="P2310" s="116"/>
    </row>
    <row r="2311" spans="2:16" s="108" customFormat="1" ht="21.75" hidden="1" customHeight="1">
      <c r="B2311" s="109"/>
      <c r="C2311" s="122"/>
      <c r="D2311" s="123" t="s">
        <v>1758</v>
      </c>
      <c r="E2311" s="115">
        <v>100000000</v>
      </c>
      <c r="F2311" s="125">
        <v>43402635532.330002</v>
      </c>
      <c r="G2311" s="126">
        <f t="shared" si="45"/>
        <v>0.2304007551004856</v>
      </c>
      <c r="H2311" s="120"/>
      <c r="I2311" s="120"/>
      <c r="J2311" s="116"/>
      <c r="K2311" s="116"/>
      <c r="L2311" s="116"/>
      <c r="M2311" s="116"/>
      <c r="N2311" s="116"/>
      <c r="O2311" s="116"/>
      <c r="P2311" s="116"/>
    </row>
    <row r="2312" spans="2:16" s="108" customFormat="1" ht="21.75" hidden="1" customHeight="1">
      <c r="B2312" s="109"/>
      <c r="C2312" s="122"/>
      <c r="D2312" s="123" t="s">
        <v>1759</v>
      </c>
      <c r="E2312" s="115">
        <v>350000000</v>
      </c>
      <c r="F2312" s="125">
        <v>43402635532.330002</v>
      </c>
      <c r="G2312" s="126">
        <f t="shared" si="45"/>
        <v>0.8064026428516996</v>
      </c>
      <c r="H2312" s="120"/>
      <c r="I2312" s="120"/>
      <c r="J2312" s="116"/>
      <c r="K2312" s="116"/>
      <c r="L2312" s="116"/>
      <c r="M2312" s="116"/>
      <c r="N2312" s="116"/>
      <c r="O2312" s="116"/>
      <c r="P2312" s="116"/>
    </row>
    <row r="2313" spans="2:16" s="108" customFormat="1" ht="21.75" hidden="1" customHeight="1">
      <c r="B2313" s="109"/>
      <c r="C2313" s="122"/>
      <c r="D2313" s="123" t="s">
        <v>1760</v>
      </c>
      <c r="E2313" s="115">
        <v>2700000000</v>
      </c>
      <c r="F2313" s="125">
        <v>43402635532.330002</v>
      </c>
      <c r="G2313" s="126">
        <f t="shared" si="45"/>
        <v>6.2208203877131112</v>
      </c>
      <c r="H2313" s="120"/>
      <c r="I2313" s="120"/>
      <c r="J2313" s="116"/>
      <c r="K2313" s="116"/>
      <c r="L2313" s="116"/>
      <c r="M2313" s="116"/>
      <c r="N2313" s="116"/>
      <c r="O2313" s="116"/>
      <c r="P2313" s="116"/>
    </row>
    <row r="2314" spans="2:16" s="108" customFormat="1" ht="21.75" hidden="1" customHeight="1">
      <c r="B2314" s="109"/>
      <c r="C2314" s="122"/>
      <c r="D2314" s="123" t="s">
        <v>1545</v>
      </c>
      <c r="E2314" s="115">
        <v>450000000</v>
      </c>
      <c r="F2314" s="125">
        <v>43402635532.330002</v>
      </c>
      <c r="G2314" s="126">
        <f t="shared" si="45"/>
        <v>1.0368033979521853</v>
      </c>
      <c r="H2314" s="120"/>
      <c r="I2314" s="120"/>
      <c r="J2314" s="116"/>
      <c r="K2314" s="116"/>
      <c r="L2314" s="116"/>
      <c r="M2314" s="116"/>
      <c r="N2314" s="116"/>
      <c r="O2314" s="116"/>
      <c r="P2314" s="116"/>
    </row>
    <row r="2315" spans="2:16" s="108" customFormat="1" ht="34.5" hidden="1" customHeight="1">
      <c r="B2315" s="109"/>
      <c r="C2315" s="122"/>
      <c r="D2315" s="123" t="s">
        <v>1761</v>
      </c>
      <c r="E2315" s="115">
        <v>150000000</v>
      </c>
      <c r="F2315" s="125">
        <v>43402635532.330002</v>
      </c>
      <c r="G2315" s="126">
        <f t="shared" si="45"/>
        <v>0.34560113265072845</v>
      </c>
      <c r="H2315" s="120"/>
      <c r="I2315" s="120"/>
      <c r="J2315" s="116"/>
      <c r="K2315" s="116"/>
      <c r="L2315" s="116"/>
      <c r="M2315" s="116"/>
      <c r="N2315" s="116"/>
      <c r="O2315" s="116"/>
      <c r="P2315" s="116"/>
    </row>
    <row r="2316" spans="2:16" s="108" customFormat="1" ht="21.75" hidden="1" customHeight="1">
      <c r="B2316" s="109"/>
      <c r="C2316" s="122"/>
      <c r="D2316" s="123" t="s">
        <v>1762</v>
      </c>
      <c r="E2316" s="115">
        <v>200000000</v>
      </c>
      <c r="F2316" s="125">
        <v>43402635532.330002</v>
      </c>
      <c r="G2316" s="126">
        <f t="shared" si="45"/>
        <v>0.46080151020097121</v>
      </c>
      <c r="H2316" s="120"/>
      <c r="I2316" s="120"/>
      <c r="J2316" s="116"/>
      <c r="K2316" s="116"/>
      <c r="L2316" s="116"/>
      <c r="M2316" s="116"/>
      <c r="N2316" s="116"/>
      <c r="O2316" s="116"/>
      <c r="P2316" s="116"/>
    </row>
    <row r="2317" spans="2:16" s="108" customFormat="1" ht="30.75" hidden="1" customHeight="1">
      <c r="B2317" s="109"/>
      <c r="C2317" s="122"/>
      <c r="D2317" s="123" t="s">
        <v>1763</v>
      </c>
      <c r="E2317" s="115">
        <v>500000000</v>
      </c>
      <c r="F2317" s="125">
        <v>43402635532.330002</v>
      </c>
      <c r="G2317" s="126">
        <f t="shared" si="45"/>
        <v>1.1520037755024282</v>
      </c>
      <c r="H2317" s="120"/>
      <c r="I2317" s="120"/>
      <c r="J2317" s="116"/>
      <c r="K2317" s="116"/>
      <c r="L2317" s="116"/>
      <c r="M2317" s="116"/>
      <c r="N2317" s="116"/>
      <c r="O2317" s="116"/>
      <c r="P2317" s="116"/>
    </row>
    <row r="2318" spans="2:16" s="108" customFormat="1" ht="32.25" hidden="1" customHeight="1">
      <c r="B2318" s="109"/>
      <c r="C2318" s="122"/>
      <c r="D2318" s="123" t="s">
        <v>1764</v>
      </c>
      <c r="E2318" s="115">
        <v>250000000</v>
      </c>
      <c r="F2318" s="125">
        <v>43402635532.330002</v>
      </c>
      <c r="G2318" s="126">
        <f t="shared" si="45"/>
        <v>0.57600188775121408</v>
      </c>
      <c r="H2318" s="120"/>
      <c r="I2318" s="120"/>
      <c r="J2318" s="116"/>
      <c r="K2318" s="116"/>
      <c r="L2318" s="116"/>
      <c r="M2318" s="116"/>
      <c r="N2318" s="116"/>
      <c r="O2318" s="116"/>
      <c r="P2318" s="116"/>
    </row>
    <row r="2319" spans="2:16" s="108" customFormat="1" ht="21.75" hidden="1" customHeight="1">
      <c r="B2319" s="109"/>
      <c r="C2319" s="122"/>
      <c r="D2319" s="123" t="s">
        <v>1765</v>
      </c>
      <c r="E2319" s="115">
        <v>65000000</v>
      </c>
      <c r="F2319" s="125">
        <v>43402635532.330002</v>
      </c>
      <c r="G2319" s="126">
        <f t="shared" si="45"/>
        <v>0.14976049081531564</v>
      </c>
      <c r="H2319" s="120"/>
      <c r="I2319" s="120"/>
      <c r="J2319" s="116"/>
      <c r="K2319" s="116"/>
      <c r="L2319" s="116"/>
      <c r="M2319" s="116"/>
      <c r="N2319" s="116"/>
      <c r="O2319" s="116"/>
      <c r="P2319" s="116"/>
    </row>
    <row r="2320" spans="2:16" s="108" customFormat="1" ht="21.75" hidden="1" customHeight="1">
      <c r="B2320" s="109"/>
      <c r="C2320" s="122"/>
      <c r="D2320" s="123" t="s">
        <v>1766</v>
      </c>
      <c r="E2320" s="115">
        <v>450000000</v>
      </c>
      <c r="F2320" s="125">
        <v>43402635532.330002</v>
      </c>
      <c r="G2320" s="126">
        <f t="shared" si="45"/>
        <v>1.0368033979521853</v>
      </c>
      <c r="H2320" s="120"/>
      <c r="I2320" s="120"/>
      <c r="J2320" s="116"/>
      <c r="K2320" s="116"/>
      <c r="L2320" s="116"/>
      <c r="M2320" s="116"/>
      <c r="N2320" s="116"/>
      <c r="O2320" s="116"/>
      <c r="P2320" s="116"/>
    </row>
    <row r="2321" spans="2:16" s="108" customFormat="1" ht="21.75" hidden="1" customHeight="1">
      <c r="B2321" s="109"/>
      <c r="C2321" s="122"/>
      <c r="D2321" s="123" t="s">
        <v>1767</v>
      </c>
      <c r="E2321" s="115">
        <v>191000000</v>
      </c>
      <c r="F2321" s="125">
        <v>43402635532.330002</v>
      </c>
      <c r="G2321" s="126">
        <f t="shared" si="45"/>
        <v>0.44006544224192751</v>
      </c>
      <c r="H2321" s="120"/>
      <c r="I2321" s="120"/>
      <c r="J2321" s="116"/>
      <c r="K2321" s="116"/>
      <c r="L2321" s="116"/>
      <c r="M2321" s="116"/>
      <c r="N2321" s="116"/>
      <c r="O2321" s="116"/>
      <c r="P2321" s="116"/>
    </row>
    <row r="2322" spans="2:16" s="108" customFormat="1" ht="33.75" hidden="1" customHeight="1">
      <c r="B2322" s="109"/>
      <c r="C2322" s="122"/>
      <c r="D2322" s="123" t="s">
        <v>1768</v>
      </c>
      <c r="E2322" s="115">
        <v>154300000</v>
      </c>
      <c r="F2322" s="125">
        <v>43402635532.330002</v>
      </c>
      <c r="G2322" s="126">
        <f t="shared" si="45"/>
        <v>0.3555083651200493</v>
      </c>
      <c r="H2322" s="120"/>
      <c r="I2322" s="120"/>
      <c r="J2322" s="116"/>
      <c r="K2322" s="116"/>
      <c r="L2322" s="116"/>
      <c r="M2322" s="116"/>
      <c r="N2322" s="116"/>
      <c r="O2322" s="116"/>
      <c r="P2322" s="116"/>
    </row>
    <row r="2323" spans="2:16" s="108" customFormat="1" ht="33.75" hidden="1" customHeight="1">
      <c r="B2323" s="109"/>
      <c r="C2323" s="122"/>
      <c r="D2323" s="123" t="s">
        <v>1769</v>
      </c>
      <c r="E2323" s="115">
        <v>432000000</v>
      </c>
      <c r="F2323" s="125">
        <v>43402635532.330002</v>
      </c>
      <c r="G2323" s="126">
        <f t="shared" si="45"/>
        <v>0.99533126203409794</v>
      </c>
      <c r="H2323" s="120"/>
      <c r="I2323" s="120"/>
      <c r="J2323" s="116"/>
      <c r="K2323" s="116"/>
      <c r="L2323" s="116"/>
      <c r="M2323" s="116"/>
      <c r="N2323" s="116"/>
      <c r="O2323" s="116"/>
      <c r="P2323" s="116"/>
    </row>
    <row r="2324" spans="2:16" s="108" customFormat="1" ht="21.75" hidden="1" customHeight="1">
      <c r="B2324" s="109"/>
      <c r="C2324" s="122"/>
      <c r="D2324" s="123" t="s">
        <v>1770</v>
      </c>
      <c r="E2324" s="115">
        <v>330250000</v>
      </c>
      <c r="F2324" s="125">
        <v>43402635532.330002</v>
      </c>
      <c r="G2324" s="126">
        <f t="shared" si="45"/>
        <v>0.7608984937193537</v>
      </c>
      <c r="H2324" s="120"/>
      <c r="I2324" s="120"/>
      <c r="J2324" s="116"/>
      <c r="K2324" s="116"/>
      <c r="L2324" s="116"/>
      <c r="M2324" s="116"/>
      <c r="N2324" s="116"/>
      <c r="O2324" s="116"/>
      <c r="P2324" s="116"/>
    </row>
    <row r="2325" spans="2:16" s="108" customFormat="1" ht="51.75" hidden="1" customHeight="1">
      <c r="B2325" s="109"/>
      <c r="C2325" s="122"/>
      <c r="D2325" s="123" t="s">
        <v>1771</v>
      </c>
      <c r="E2325" s="115">
        <v>150000000</v>
      </c>
      <c r="F2325" s="125">
        <v>43402635532.330002</v>
      </c>
      <c r="G2325" s="126">
        <f t="shared" si="45"/>
        <v>0.34560113265072845</v>
      </c>
      <c r="H2325" s="120"/>
      <c r="I2325" s="120"/>
      <c r="J2325" s="116"/>
      <c r="K2325" s="116"/>
      <c r="L2325" s="116"/>
      <c r="M2325" s="116"/>
      <c r="N2325" s="116"/>
      <c r="O2325" s="116"/>
      <c r="P2325" s="116"/>
    </row>
    <row r="2326" spans="2:16" s="108" customFormat="1" ht="43.5" hidden="1" customHeight="1">
      <c r="B2326" s="109"/>
      <c r="C2326" s="122"/>
      <c r="D2326" s="123" t="s">
        <v>1761</v>
      </c>
      <c r="E2326" s="115">
        <v>100000000</v>
      </c>
      <c r="F2326" s="125">
        <v>43402635532.330002</v>
      </c>
      <c r="G2326" s="126">
        <f t="shared" si="45"/>
        <v>0.2304007551004856</v>
      </c>
      <c r="H2326" s="120"/>
      <c r="I2326" s="120"/>
      <c r="J2326" s="116"/>
      <c r="K2326" s="116"/>
      <c r="L2326" s="116"/>
      <c r="M2326" s="116"/>
      <c r="N2326" s="116"/>
      <c r="O2326" s="116"/>
      <c r="P2326" s="116"/>
    </row>
    <row r="2327" spans="2:16" s="108" customFormat="1" ht="39" hidden="1" customHeight="1">
      <c r="B2327" s="109"/>
      <c r="C2327" s="122"/>
      <c r="D2327" s="123" t="s">
        <v>1772</v>
      </c>
      <c r="E2327" s="115">
        <v>290000000</v>
      </c>
      <c r="F2327" s="125">
        <v>43402635532.330002</v>
      </c>
      <c r="G2327" s="126">
        <f t="shared" si="45"/>
        <v>0.66816218979140829</v>
      </c>
      <c r="H2327" s="120"/>
      <c r="I2327" s="120"/>
      <c r="J2327" s="116"/>
      <c r="K2327" s="116"/>
      <c r="L2327" s="116"/>
      <c r="M2327" s="116"/>
      <c r="N2327" s="116"/>
      <c r="O2327" s="116"/>
      <c r="P2327" s="116"/>
    </row>
    <row r="2328" spans="2:16" s="108" customFormat="1" ht="21.75" hidden="1" customHeight="1">
      <c r="B2328" s="109"/>
      <c r="C2328" s="122"/>
      <c r="D2328" s="123" t="s">
        <v>1773</v>
      </c>
      <c r="E2328" s="115">
        <v>150000000</v>
      </c>
      <c r="F2328" s="125">
        <v>43402635532.330002</v>
      </c>
      <c r="G2328" s="126">
        <f t="shared" si="45"/>
        <v>0.34560113265072845</v>
      </c>
      <c r="H2328" s="120"/>
      <c r="I2328" s="120"/>
      <c r="J2328" s="116"/>
      <c r="K2328" s="116"/>
      <c r="L2328" s="116"/>
      <c r="M2328" s="116"/>
      <c r="N2328" s="116"/>
      <c r="O2328" s="116"/>
      <c r="P2328" s="116"/>
    </row>
    <row r="2329" spans="2:16" s="108" customFormat="1" ht="21.75" hidden="1" customHeight="1">
      <c r="B2329" s="109"/>
      <c r="C2329" s="122"/>
      <c r="D2329" s="123" t="s">
        <v>1774</v>
      </c>
      <c r="E2329" s="115">
        <v>1747250000</v>
      </c>
      <c r="F2329" s="125">
        <v>43402635532.330002</v>
      </c>
      <c r="G2329" s="126">
        <f t="shared" si="45"/>
        <v>4.0256771934932347</v>
      </c>
      <c r="H2329" s="120"/>
      <c r="I2329" s="120"/>
      <c r="J2329" s="116"/>
      <c r="K2329" s="116"/>
      <c r="L2329" s="116"/>
      <c r="M2329" s="116"/>
      <c r="N2329" s="116"/>
      <c r="O2329" s="116"/>
      <c r="P2329" s="116"/>
    </row>
    <row r="2330" spans="2:16" s="108" customFormat="1" ht="21.75" hidden="1" customHeight="1">
      <c r="B2330" s="109"/>
      <c r="C2330" s="122"/>
      <c r="D2330" s="123" t="s">
        <v>1546</v>
      </c>
      <c r="E2330" s="115">
        <v>388340000</v>
      </c>
      <c r="F2330" s="125">
        <v>43402635532.330002</v>
      </c>
      <c r="G2330" s="126">
        <f t="shared" si="45"/>
        <v>0.89473829235722591</v>
      </c>
      <c r="H2330" s="120"/>
      <c r="I2330" s="120"/>
      <c r="J2330" s="116"/>
      <c r="K2330" s="116"/>
      <c r="L2330" s="116"/>
      <c r="M2330" s="116"/>
      <c r="N2330" s="116"/>
      <c r="O2330" s="116"/>
      <c r="P2330" s="116"/>
    </row>
    <row r="2331" spans="2:16" s="108" customFormat="1" ht="21.75" hidden="1" customHeight="1">
      <c r="B2331" s="109"/>
      <c r="C2331" s="122"/>
      <c r="D2331" s="123" t="s">
        <v>1775</v>
      </c>
      <c r="E2331" s="115">
        <v>272755000</v>
      </c>
      <c r="F2331" s="125">
        <v>43402635532.330002</v>
      </c>
      <c r="G2331" s="126">
        <f t="shared" si="45"/>
        <v>0.62842957957432954</v>
      </c>
      <c r="H2331" s="120"/>
      <c r="I2331" s="120"/>
      <c r="J2331" s="116"/>
      <c r="K2331" s="116"/>
      <c r="L2331" s="116"/>
      <c r="M2331" s="116"/>
      <c r="N2331" s="116"/>
      <c r="O2331" s="116"/>
      <c r="P2331" s="116"/>
    </row>
    <row r="2332" spans="2:16" s="108" customFormat="1" ht="33.75" hidden="1" customHeight="1">
      <c r="B2332" s="109"/>
      <c r="C2332" s="122"/>
      <c r="D2332" s="123" t="s">
        <v>1776</v>
      </c>
      <c r="E2332" s="115">
        <v>254105000</v>
      </c>
      <c r="F2332" s="125">
        <v>43402635532.330002</v>
      </c>
      <c r="G2332" s="126">
        <f t="shared" si="45"/>
        <v>0.58545983874808905</v>
      </c>
      <c r="H2332" s="120"/>
      <c r="I2332" s="120"/>
      <c r="J2332" s="116"/>
      <c r="K2332" s="116"/>
      <c r="L2332" s="116"/>
      <c r="M2332" s="116"/>
      <c r="N2332" s="116"/>
      <c r="O2332" s="116"/>
      <c r="P2332" s="116"/>
    </row>
    <row r="2333" spans="2:16" s="108" customFormat="1" ht="21.75" hidden="1" customHeight="1">
      <c r="B2333" s="109"/>
      <c r="C2333" s="122"/>
      <c r="D2333" s="111" t="s">
        <v>106</v>
      </c>
      <c r="E2333" s="120">
        <f>SUM(E2334:E2335)</f>
        <v>650000000</v>
      </c>
      <c r="F2333" s="125">
        <v>43402635532.330002</v>
      </c>
      <c r="G2333" s="126">
        <f t="shared" si="45"/>
        <v>1.4976049081531564</v>
      </c>
      <c r="H2333" s="120"/>
      <c r="I2333" s="120"/>
      <c r="J2333" s="116"/>
      <c r="K2333" s="116"/>
      <c r="L2333" s="116"/>
      <c r="M2333" s="116"/>
      <c r="N2333" s="116"/>
      <c r="O2333" s="116"/>
      <c r="P2333" s="116"/>
    </row>
    <row r="2334" spans="2:16" s="108" customFormat="1" ht="21.75" hidden="1" customHeight="1">
      <c r="B2334" s="109"/>
      <c r="C2334" s="122"/>
      <c r="D2334" s="123" t="s">
        <v>1777</v>
      </c>
      <c r="E2334" s="696">
        <v>300000000</v>
      </c>
      <c r="F2334" s="125">
        <v>43402635532.330002</v>
      </c>
      <c r="G2334" s="126">
        <f t="shared" si="45"/>
        <v>0.6912022653014569</v>
      </c>
      <c r="H2334" s="120"/>
      <c r="I2334" s="120"/>
      <c r="J2334" s="116"/>
      <c r="K2334" s="116"/>
      <c r="L2334" s="116"/>
      <c r="M2334" s="116"/>
      <c r="N2334" s="116"/>
      <c r="O2334" s="116"/>
      <c r="P2334" s="116"/>
    </row>
    <row r="2335" spans="2:16" s="108" customFormat="1" ht="33.75" hidden="1" customHeight="1">
      <c r="B2335" s="109"/>
      <c r="C2335" s="122"/>
      <c r="D2335" s="123" t="s">
        <v>1778</v>
      </c>
      <c r="E2335" s="696">
        <v>350000000</v>
      </c>
      <c r="F2335" s="125">
        <v>43402635532.330002</v>
      </c>
      <c r="G2335" s="126">
        <f t="shared" si="45"/>
        <v>0.8064026428516996</v>
      </c>
      <c r="H2335" s="120"/>
      <c r="I2335" s="120"/>
      <c r="J2335" s="116"/>
      <c r="K2335" s="116"/>
      <c r="L2335" s="116"/>
      <c r="M2335" s="116"/>
      <c r="N2335" s="116"/>
      <c r="O2335" s="116"/>
      <c r="P2335" s="116"/>
    </row>
    <row r="2336" spans="2:16" s="108" customFormat="1" ht="15" hidden="1" customHeight="1">
      <c r="B2336" s="109"/>
      <c r="C2336" s="122"/>
      <c r="D2336" s="111"/>
      <c r="E2336" s="120"/>
      <c r="F2336" s="125"/>
      <c r="G2336" s="126"/>
      <c r="H2336" s="120"/>
      <c r="I2336" s="120"/>
      <c r="J2336" s="116"/>
      <c r="K2336" s="116"/>
      <c r="L2336" s="116"/>
      <c r="M2336" s="116"/>
      <c r="N2336" s="116"/>
      <c r="O2336" s="116"/>
      <c r="P2336" s="116"/>
    </row>
    <row r="2337" spans="2:16" s="108" customFormat="1" ht="21.75" hidden="1" customHeight="1">
      <c r="B2337" s="109"/>
      <c r="C2337" s="122"/>
      <c r="D2337" s="111" t="s">
        <v>161</v>
      </c>
      <c r="E2337" s="120">
        <f>SUM(E2338,E2340,E2343,E2345,E2349,E2354,E2357)</f>
        <v>4317424725</v>
      </c>
      <c r="F2337" s="125">
        <v>43402635532.330002</v>
      </c>
      <c r="G2337" s="126">
        <f t="shared" si="45"/>
        <v>9.9473791672950647</v>
      </c>
      <c r="H2337" s="120"/>
      <c r="I2337" s="120"/>
      <c r="J2337" s="116"/>
      <c r="K2337" s="116"/>
      <c r="L2337" s="116"/>
      <c r="M2337" s="116"/>
      <c r="N2337" s="116"/>
      <c r="O2337" s="116"/>
      <c r="P2337" s="116"/>
    </row>
    <row r="2338" spans="2:16" s="108" customFormat="1" ht="21.75" hidden="1" customHeight="1">
      <c r="B2338" s="109"/>
      <c r="C2338" s="122"/>
      <c r="D2338" s="111" t="s">
        <v>162</v>
      </c>
      <c r="E2338" s="120">
        <f>E2339</f>
        <v>892175437</v>
      </c>
      <c r="F2338" s="125">
        <v>43402635532.330002</v>
      </c>
      <c r="G2338" s="126">
        <f t="shared" si="45"/>
        <v>2.0555789436690572</v>
      </c>
      <c r="H2338" s="120"/>
      <c r="I2338" s="120"/>
      <c r="J2338" s="116"/>
      <c r="K2338" s="116"/>
      <c r="L2338" s="116"/>
      <c r="M2338" s="116"/>
      <c r="N2338" s="116"/>
      <c r="O2338" s="116"/>
      <c r="P2338" s="116"/>
    </row>
    <row r="2339" spans="2:16" s="108" customFormat="1" ht="32.25" hidden="1" customHeight="1">
      <c r="B2339" s="109"/>
      <c r="C2339" s="122"/>
      <c r="D2339" s="123" t="s">
        <v>1779</v>
      </c>
      <c r="E2339" s="115">
        <v>892175437</v>
      </c>
      <c r="F2339" s="125">
        <v>43402635532.330002</v>
      </c>
      <c r="G2339" s="126">
        <f t="shared" si="45"/>
        <v>2.0555789436690572</v>
      </c>
      <c r="H2339" s="120"/>
      <c r="I2339" s="120"/>
      <c r="J2339" s="116"/>
      <c r="K2339" s="116"/>
      <c r="L2339" s="116"/>
      <c r="M2339" s="116"/>
      <c r="N2339" s="116"/>
      <c r="O2339" s="116"/>
      <c r="P2339" s="116"/>
    </row>
    <row r="2340" spans="2:16" s="108" customFormat="1" ht="21.75" hidden="1" customHeight="1">
      <c r="B2340" s="109"/>
      <c r="C2340" s="122"/>
      <c r="D2340" s="111" t="s">
        <v>173</v>
      </c>
      <c r="E2340" s="120">
        <f>SUM(E2341:E2342)</f>
        <v>1172644289</v>
      </c>
      <c r="F2340" s="125">
        <v>43402635532.330002</v>
      </c>
      <c r="G2340" s="126">
        <f t="shared" si="45"/>
        <v>2.7017812964987207</v>
      </c>
      <c r="H2340" s="120"/>
      <c r="I2340" s="120"/>
      <c r="J2340" s="116"/>
      <c r="K2340" s="116"/>
      <c r="L2340" s="116"/>
      <c r="M2340" s="116"/>
      <c r="N2340" s="116"/>
      <c r="O2340" s="116"/>
      <c r="P2340" s="116"/>
    </row>
    <row r="2341" spans="2:16" s="108" customFormat="1" ht="21.75" hidden="1" customHeight="1">
      <c r="B2341" s="109"/>
      <c r="C2341" s="122"/>
      <c r="D2341" s="123" t="s">
        <v>1223</v>
      </c>
      <c r="E2341" s="696">
        <v>1005219563</v>
      </c>
      <c r="F2341" s="125">
        <v>43402635532.330002</v>
      </c>
      <c r="G2341" s="126">
        <f t="shared" si="45"/>
        <v>2.3160334635698017</v>
      </c>
      <c r="H2341" s="120"/>
      <c r="I2341" s="120"/>
      <c r="J2341" s="116"/>
      <c r="K2341" s="116"/>
      <c r="L2341" s="116"/>
      <c r="M2341" s="116"/>
      <c r="N2341" s="116"/>
      <c r="O2341" s="116"/>
      <c r="P2341" s="116"/>
    </row>
    <row r="2342" spans="2:16" s="108" customFormat="1" ht="33.75" hidden="1" customHeight="1">
      <c r="B2342" s="109"/>
      <c r="C2342" s="122"/>
      <c r="D2342" s="123" t="s">
        <v>1780</v>
      </c>
      <c r="E2342" s="696">
        <v>167424726</v>
      </c>
      <c r="F2342" s="125">
        <v>43402635532.330002</v>
      </c>
      <c r="G2342" s="126">
        <f t="shared" si="45"/>
        <v>0.38574783292891907</v>
      </c>
      <c r="H2342" s="120"/>
      <c r="I2342" s="120"/>
      <c r="J2342" s="116"/>
      <c r="K2342" s="116"/>
      <c r="L2342" s="116"/>
      <c r="M2342" s="116"/>
      <c r="N2342" s="116"/>
      <c r="O2342" s="116"/>
      <c r="P2342" s="116"/>
    </row>
    <row r="2343" spans="2:16" s="108" customFormat="1" ht="21.75" hidden="1" customHeight="1">
      <c r="B2343" s="109"/>
      <c r="C2343" s="122"/>
      <c r="D2343" s="111" t="s">
        <v>945</v>
      </c>
      <c r="E2343" s="120">
        <f>E2344</f>
        <v>296510000</v>
      </c>
      <c r="F2343" s="125">
        <v>43402635532.330002</v>
      </c>
      <c r="G2343" s="126">
        <f t="shared" si="45"/>
        <v>0.68316127894844991</v>
      </c>
      <c r="H2343" s="120"/>
      <c r="I2343" s="120"/>
      <c r="J2343" s="116"/>
      <c r="K2343" s="116"/>
      <c r="L2343" s="116"/>
      <c r="M2343" s="116"/>
      <c r="N2343" s="116"/>
      <c r="O2343" s="116"/>
      <c r="P2343" s="116"/>
    </row>
    <row r="2344" spans="2:16" s="108" customFormat="1" ht="21.75" hidden="1" customHeight="1">
      <c r="B2344" s="109"/>
      <c r="C2344" s="122"/>
      <c r="D2344" s="123" t="s">
        <v>1781</v>
      </c>
      <c r="E2344" s="115">
        <v>296510000</v>
      </c>
      <c r="F2344" s="125">
        <v>43402635532.330002</v>
      </c>
      <c r="G2344" s="126">
        <f t="shared" si="45"/>
        <v>0.68316127894844991</v>
      </c>
      <c r="H2344" s="120"/>
      <c r="I2344" s="120"/>
      <c r="J2344" s="116"/>
      <c r="K2344" s="116"/>
      <c r="L2344" s="116"/>
      <c r="M2344" s="116"/>
      <c r="N2344" s="116"/>
      <c r="O2344" s="116"/>
      <c r="P2344" s="116"/>
    </row>
    <row r="2345" spans="2:16" s="108" customFormat="1" ht="21.75" hidden="1" customHeight="1">
      <c r="B2345" s="109"/>
      <c r="C2345" s="122"/>
      <c r="D2345" s="111" t="s">
        <v>190</v>
      </c>
      <c r="E2345" s="120">
        <f>SUM(E2346:E2348)</f>
        <v>475495000</v>
      </c>
      <c r="F2345" s="125">
        <v>43402635532.330002</v>
      </c>
      <c r="G2345" s="126">
        <f t="shared" si="45"/>
        <v>1.0955440704650541</v>
      </c>
      <c r="H2345" s="120"/>
      <c r="I2345" s="120"/>
      <c r="J2345" s="116"/>
      <c r="K2345" s="116"/>
      <c r="L2345" s="116"/>
      <c r="M2345" s="116"/>
      <c r="N2345" s="116"/>
      <c r="O2345" s="116"/>
      <c r="P2345" s="116"/>
    </row>
    <row r="2346" spans="2:16" s="108" customFormat="1" ht="33.75" hidden="1" customHeight="1">
      <c r="B2346" s="109"/>
      <c r="C2346" s="122"/>
      <c r="D2346" s="123" t="s">
        <v>1782</v>
      </c>
      <c r="E2346" s="115">
        <v>234920000</v>
      </c>
      <c r="F2346" s="125">
        <v>43402635532.330002</v>
      </c>
      <c r="G2346" s="126">
        <f t="shared" si="45"/>
        <v>0.54125745388206081</v>
      </c>
      <c r="H2346" s="120"/>
      <c r="I2346" s="120"/>
      <c r="J2346" s="116"/>
      <c r="K2346" s="116"/>
      <c r="L2346" s="116"/>
      <c r="M2346" s="116"/>
      <c r="N2346" s="116"/>
      <c r="O2346" s="116"/>
      <c r="P2346" s="116"/>
    </row>
    <row r="2347" spans="2:16" s="108" customFormat="1" ht="50.25" hidden="1" customHeight="1">
      <c r="B2347" s="109"/>
      <c r="C2347" s="122"/>
      <c r="D2347" s="123" t="s">
        <v>1783</v>
      </c>
      <c r="E2347" s="115">
        <v>100000000</v>
      </c>
      <c r="F2347" s="125">
        <v>43402635532.330002</v>
      </c>
      <c r="G2347" s="126">
        <f t="shared" si="45"/>
        <v>0.2304007551004856</v>
      </c>
      <c r="H2347" s="120"/>
      <c r="I2347" s="120"/>
      <c r="J2347" s="116"/>
      <c r="K2347" s="116"/>
      <c r="L2347" s="116"/>
      <c r="M2347" s="116"/>
      <c r="N2347" s="116"/>
      <c r="O2347" s="116"/>
      <c r="P2347" s="116"/>
    </row>
    <row r="2348" spans="2:16" s="108" customFormat="1" ht="21.75" hidden="1" customHeight="1">
      <c r="B2348" s="109"/>
      <c r="C2348" s="122"/>
      <c r="D2348" s="123" t="s">
        <v>1784</v>
      </c>
      <c r="E2348" s="115">
        <v>140575000</v>
      </c>
      <c r="F2348" s="125">
        <v>43402635532.330002</v>
      </c>
      <c r="G2348" s="126">
        <f t="shared" si="45"/>
        <v>0.32388586148250764</v>
      </c>
      <c r="H2348" s="120"/>
      <c r="I2348" s="120"/>
      <c r="J2348" s="116"/>
      <c r="K2348" s="116"/>
      <c r="L2348" s="116"/>
      <c r="M2348" s="116"/>
      <c r="N2348" s="116"/>
      <c r="O2348" s="116"/>
      <c r="P2348" s="116"/>
    </row>
    <row r="2349" spans="2:16" s="108" customFormat="1" ht="21.75" hidden="1" customHeight="1">
      <c r="B2349" s="109"/>
      <c r="C2349" s="122"/>
      <c r="D2349" s="111" t="s">
        <v>196</v>
      </c>
      <c r="E2349" s="120">
        <f>SUM(E2350:E2353)</f>
        <v>585000000</v>
      </c>
      <c r="F2349" s="125">
        <v>43402635532.330002</v>
      </c>
      <c r="G2349" s="126">
        <f t="shared" si="45"/>
        <v>1.3478444173378408</v>
      </c>
      <c r="H2349" s="120"/>
      <c r="I2349" s="120"/>
      <c r="J2349" s="116"/>
      <c r="K2349" s="116"/>
      <c r="L2349" s="116"/>
      <c r="M2349" s="116"/>
      <c r="N2349" s="116"/>
      <c r="O2349" s="116"/>
      <c r="P2349" s="116"/>
    </row>
    <row r="2350" spans="2:16" s="108" customFormat="1" ht="21.75" hidden="1" customHeight="1">
      <c r="B2350" s="109"/>
      <c r="C2350" s="122"/>
      <c r="D2350" s="123" t="s">
        <v>1785</v>
      </c>
      <c r="E2350" s="115">
        <v>165900000</v>
      </c>
      <c r="F2350" s="125">
        <v>43402635532.330002</v>
      </c>
      <c r="G2350" s="126">
        <f t="shared" si="45"/>
        <v>0.38223485271170565</v>
      </c>
      <c r="H2350" s="120"/>
      <c r="I2350" s="120"/>
      <c r="J2350" s="116"/>
      <c r="K2350" s="116"/>
      <c r="L2350" s="116"/>
      <c r="M2350" s="116"/>
      <c r="N2350" s="116"/>
      <c r="O2350" s="116"/>
      <c r="P2350" s="116"/>
    </row>
    <row r="2351" spans="2:16" s="108" customFormat="1" ht="21.75" hidden="1" customHeight="1">
      <c r="B2351" s="109"/>
      <c r="C2351" s="122"/>
      <c r="D2351" s="123" t="s">
        <v>1786</v>
      </c>
      <c r="E2351" s="115">
        <v>150300000</v>
      </c>
      <c r="F2351" s="125">
        <v>43402635532.330002</v>
      </c>
      <c r="G2351" s="126">
        <f t="shared" si="45"/>
        <v>0.3462923349160299</v>
      </c>
      <c r="H2351" s="120"/>
      <c r="I2351" s="120"/>
      <c r="J2351" s="116"/>
      <c r="K2351" s="116"/>
      <c r="L2351" s="116"/>
      <c r="M2351" s="116"/>
      <c r="N2351" s="116"/>
      <c r="O2351" s="116"/>
      <c r="P2351" s="116"/>
    </row>
    <row r="2352" spans="2:16" s="108" customFormat="1" ht="21.75" hidden="1" customHeight="1">
      <c r="B2352" s="109"/>
      <c r="C2352" s="122"/>
      <c r="D2352" s="123" t="s">
        <v>1787</v>
      </c>
      <c r="E2352" s="115">
        <v>118800000</v>
      </c>
      <c r="F2352" s="125">
        <v>43402635532.330002</v>
      </c>
      <c r="G2352" s="126">
        <f t="shared" si="45"/>
        <v>0.27371609705937694</v>
      </c>
      <c r="H2352" s="120"/>
      <c r="I2352" s="120"/>
      <c r="J2352" s="116"/>
      <c r="K2352" s="116"/>
      <c r="L2352" s="116"/>
      <c r="M2352" s="116"/>
      <c r="N2352" s="116"/>
      <c r="O2352" s="116"/>
      <c r="P2352" s="116"/>
    </row>
    <row r="2353" spans="2:16" s="108" customFormat="1" ht="21.75" hidden="1" customHeight="1">
      <c r="B2353" s="109"/>
      <c r="C2353" s="122"/>
      <c r="D2353" s="123" t="s">
        <v>1788</v>
      </c>
      <c r="E2353" s="115">
        <v>150000000</v>
      </c>
      <c r="F2353" s="125">
        <v>43402635532.330002</v>
      </c>
      <c r="G2353" s="126">
        <f t="shared" si="45"/>
        <v>0.34560113265072845</v>
      </c>
      <c r="H2353" s="120"/>
      <c r="I2353" s="120"/>
      <c r="J2353" s="116"/>
      <c r="K2353" s="116"/>
      <c r="L2353" s="116"/>
      <c r="M2353" s="116"/>
      <c r="N2353" s="116"/>
      <c r="O2353" s="116"/>
      <c r="P2353" s="116"/>
    </row>
    <row r="2354" spans="2:16" s="108" customFormat="1" ht="21.75" hidden="1" customHeight="1">
      <c r="B2354" s="109"/>
      <c r="C2354" s="122"/>
      <c r="D2354" s="111" t="s">
        <v>953</v>
      </c>
      <c r="E2354" s="120">
        <f>SUM(E2355:E2356)</f>
        <v>638599999</v>
      </c>
      <c r="F2354" s="125">
        <v>43402635532.330002</v>
      </c>
      <c r="G2354" s="126">
        <f t="shared" si="45"/>
        <v>1.4713392197676936</v>
      </c>
      <c r="H2354" s="120"/>
      <c r="I2354" s="120"/>
      <c r="J2354" s="116"/>
      <c r="K2354" s="116"/>
      <c r="L2354" s="116"/>
      <c r="M2354" s="116"/>
      <c r="N2354" s="116"/>
      <c r="O2354" s="116"/>
      <c r="P2354" s="116"/>
    </row>
    <row r="2355" spans="2:16" s="108" customFormat="1" ht="21.75" hidden="1" customHeight="1">
      <c r="B2355" s="109"/>
      <c r="C2355" s="122"/>
      <c r="D2355" s="123" t="s">
        <v>1789</v>
      </c>
      <c r="E2355" s="696">
        <v>120200000</v>
      </c>
      <c r="F2355" s="125">
        <v>43402635532.330002</v>
      </c>
      <c r="G2355" s="126">
        <f t="shared" si="45"/>
        <v>0.27694170763078368</v>
      </c>
      <c r="H2355" s="120"/>
      <c r="I2355" s="120"/>
      <c r="J2355" s="116"/>
      <c r="K2355" s="116"/>
      <c r="L2355" s="116"/>
      <c r="M2355" s="116"/>
      <c r="N2355" s="116"/>
      <c r="O2355" s="116"/>
      <c r="P2355" s="116"/>
    </row>
    <row r="2356" spans="2:16" s="108" customFormat="1" ht="21.75" hidden="1" customHeight="1">
      <c r="B2356" s="109"/>
      <c r="C2356" s="122"/>
      <c r="D2356" s="123" t="s">
        <v>1790</v>
      </c>
      <c r="E2356" s="696">
        <v>518399999</v>
      </c>
      <c r="F2356" s="125">
        <v>43402635532.330002</v>
      </c>
      <c r="G2356" s="126">
        <f t="shared" si="45"/>
        <v>1.1943975121369099</v>
      </c>
      <c r="H2356" s="120"/>
      <c r="I2356" s="120"/>
      <c r="J2356" s="116"/>
      <c r="K2356" s="116"/>
      <c r="L2356" s="116"/>
      <c r="M2356" s="116"/>
      <c r="N2356" s="116"/>
      <c r="O2356" s="116"/>
      <c r="P2356" s="116"/>
    </row>
    <row r="2357" spans="2:16" s="108" customFormat="1" ht="21.75" hidden="1" customHeight="1">
      <c r="B2357" s="109"/>
      <c r="C2357" s="122"/>
      <c r="D2357" s="111" t="s">
        <v>212</v>
      </c>
      <c r="E2357" s="120">
        <f>E2358</f>
        <v>257000000</v>
      </c>
      <c r="F2357" s="125">
        <v>43402635532.330002</v>
      </c>
      <c r="G2357" s="126">
        <f t="shared" si="45"/>
        <v>0.59212994060824808</v>
      </c>
      <c r="H2357" s="120"/>
      <c r="I2357" s="120"/>
      <c r="J2357" s="116"/>
      <c r="K2357" s="116"/>
      <c r="L2357" s="116"/>
      <c r="M2357" s="116"/>
      <c r="N2357" s="116"/>
      <c r="O2357" s="116"/>
      <c r="P2357" s="116"/>
    </row>
    <row r="2358" spans="2:16" s="108" customFormat="1" ht="33.75" hidden="1" customHeight="1">
      <c r="B2358" s="109"/>
      <c r="C2358" s="122"/>
      <c r="D2358" s="123" t="s">
        <v>1791</v>
      </c>
      <c r="E2358" s="115">
        <v>257000000</v>
      </c>
      <c r="F2358" s="125">
        <v>43402635532.330002</v>
      </c>
      <c r="G2358" s="126">
        <f t="shared" si="45"/>
        <v>0.59212994060824808</v>
      </c>
      <c r="H2358" s="120"/>
      <c r="I2358" s="120"/>
      <c r="J2358" s="116"/>
      <c r="K2358" s="116"/>
      <c r="L2358" s="116"/>
      <c r="M2358" s="116"/>
      <c r="N2358" s="116"/>
      <c r="O2358" s="116"/>
      <c r="P2358" s="116"/>
    </row>
    <row r="2359" spans="2:16" s="108" customFormat="1" ht="21.75" hidden="1" customHeight="1">
      <c r="B2359" s="109"/>
      <c r="C2359" s="122"/>
      <c r="D2359" s="111" t="s">
        <v>425</v>
      </c>
      <c r="E2359" s="120">
        <f>SUM(E2360,E2362,E2364)</f>
        <v>2510395330</v>
      </c>
      <c r="F2359" s="125">
        <v>43402635532.330002</v>
      </c>
      <c r="G2359" s="126">
        <f t="shared" si="45"/>
        <v>5.7839697963273276</v>
      </c>
      <c r="H2359" s="120"/>
      <c r="I2359" s="120"/>
      <c r="J2359" s="116"/>
      <c r="K2359" s="116"/>
      <c r="L2359" s="116"/>
      <c r="M2359" s="116"/>
      <c r="N2359" s="116"/>
      <c r="O2359" s="116"/>
      <c r="P2359" s="116"/>
    </row>
    <row r="2360" spans="2:16" s="108" customFormat="1" ht="21.75" hidden="1" customHeight="1">
      <c r="B2360" s="109"/>
      <c r="C2360" s="122"/>
      <c r="D2360" s="111" t="s">
        <v>162</v>
      </c>
      <c r="E2360" s="120">
        <f>E2361</f>
        <v>734533220</v>
      </c>
      <c r="F2360" s="125">
        <v>43402635532.330002</v>
      </c>
      <c r="G2360" s="126">
        <f t="shared" si="45"/>
        <v>1.692370085343911</v>
      </c>
      <c r="H2360" s="120"/>
      <c r="I2360" s="120"/>
      <c r="J2360" s="116"/>
      <c r="K2360" s="116"/>
      <c r="L2360" s="116"/>
      <c r="M2360" s="116"/>
      <c r="N2360" s="116"/>
      <c r="O2360" s="116"/>
      <c r="P2360" s="116"/>
    </row>
    <row r="2361" spans="2:16" s="108" customFormat="1" ht="21.75" hidden="1" customHeight="1">
      <c r="B2361" s="109"/>
      <c r="C2361" s="122"/>
      <c r="D2361" s="57" t="s">
        <v>1792</v>
      </c>
      <c r="E2361" s="115">
        <v>734533220</v>
      </c>
      <c r="F2361" s="125">
        <v>43402635532.330002</v>
      </c>
      <c r="G2361" s="126">
        <f t="shared" si="45"/>
        <v>1.692370085343911</v>
      </c>
      <c r="H2361" s="120"/>
      <c r="I2361" s="120"/>
      <c r="J2361" s="116"/>
      <c r="K2361" s="116"/>
      <c r="L2361" s="116"/>
      <c r="M2361" s="116"/>
      <c r="N2361" s="116"/>
      <c r="O2361" s="116"/>
      <c r="P2361" s="116"/>
    </row>
    <row r="2362" spans="2:16" s="108" customFormat="1" ht="21.75" hidden="1" customHeight="1">
      <c r="B2362" s="109"/>
      <c r="C2362" s="122"/>
      <c r="D2362" s="111" t="s">
        <v>945</v>
      </c>
      <c r="E2362" s="120">
        <f>E2363</f>
        <v>200000000</v>
      </c>
      <c r="F2362" s="125">
        <v>43402635532.330002</v>
      </c>
      <c r="G2362" s="126">
        <f t="shared" si="45"/>
        <v>0.46080151020097121</v>
      </c>
      <c r="H2362" s="120"/>
      <c r="I2362" s="120"/>
      <c r="J2362" s="116"/>
      <c r="K2362" s="116"/>
      <c r="L2362" s="116"/>
      <c r="M2362" s="116"/>
      <c r="N2362" s="116"/>
      <c r="O2362" s="116"/>
      <c r="P2362" s="116"/>
    </row>
    <row r="2363" spans="2:16" s="108" customFormat="1" ht="21.75" hidden="1" customHeight="1">
      <c r="B2363" s="109"/>
      <c r="C2363" s="122"/>
      <c r="D2363" s="57" t="s">
        <v>1781</v>
      </c>
      <c r="E2363" s="115">
        <v>200000000</v>
      </c>
      <c r="F2363" s="125">
        <v>43402635532.330002</v>
      </c>
      <c r="G2363" s="126">
        <f t="shared" si="45"/>
        <v>0.46080151020097121</v>
      </c>
      <c r="H2363" s="120"/>
      <c r="I2363" s="120"/>
      <c r="J2363" s="116"/>
      <c r="K2363" s="116"/>
      <c r="L2363" s="116"/>
      <c r="M2363" s="116"/>
      <c r="N2363" s="116"/>
      <c r="O2363" s="116"/>
      <c r="P2363" s="116"/>
    </row>
    <row r="2364" spans="2:16" s="108" customFormat="1" ht="33.75" hidden="1" customHeight="1">
      <c r="B2364" s="109"/>
      <c r="C2364" s="122"/>
      <c r="D2364" s="111" t="s">
        <v>1793</v>
      </c>
      <c r="E2364" s="120">
        <f>E2365</f>
        <v>1575862110</v>
      </c>
      <c r="F2364" s="125">
        <v>43402635532.330002</v>
      </c>
      <c r="G2364" s="126">
        <f t="shared" si="45"/>
        <v>3.6307982007824453</v>
      </c>
      <c r="H2364" s="120"/>
      <c r="I2364" s="120"/>
      <c r="J2364" s="116"/>
      <c r="K2364" s="116"/>
      <c r="L2364" s="116"/>
      <c r="M2364" s="116"/>
      <c r="N2364" s="116"/>
      <c r="O2364" s="116"/>
      <c r="P2364" s="116"/>
    </row>
    <row r="2365" spans="2:16" s="108" customFormat="1" ht="21.75" hidden="1" customHeight="1">
      <c r="B2365" s="109"/>
      <c r="C2365" s="122"/>
      <c r="D2365" s="123" t="s">
        <v>1794</v>
      </c>
      <c r="E2365" s="115">
        <v>1575862110</v>
      </c>
      <c r="F2365" s="125">
        <v>43402635532.330002</v>
      </c>
      <c r="G2365" s="126">
        <f t="shared" ref="G2365:G2428" si="46">+E2365/F2365*100</f>
        <v>3.6307982007824453</v>
      </c>
      <c r="H2365" s="120"/>
      <c r="I2365" s="120"/>
      <c r="J2365" s="116"/>
      <c r="K2365" s="116"/>
      <c r="L2365" s="116"/>
      <c r="M2365" s="116"/>
      <c r="N2365" s="116"/>
      <c r="O2365" s="116"/>
      <c r="P2365" s="116"/>
    </row>
    <row r="2366" spans="2:16" s="108" customFormat="1" ht="15" hidden="1" customHeight="1">
      <c r="B2366" s="109"/>
      <c r="C2366" s="122"/>
      <c r="D2366" s="236"/>
      <c r="E2366" s="120"/>
      <c r="F2366" s="125"/>
      <c r="G2366" s="126"/>
      <c r="H2366" s="120"/>
      <c r="I2366" s="120"/>
      <c r="J2366" s="116"/>
      <c r="K2366" s="116"/>
      <c r="L2366" s="116"/>
      <c r="M2366" s="116"/>
      <c r="N2366" s="116"/>
      <c r="O2366" s="116"/>
      <c r="P2366" s="116"/>
    </row>
    <row r="2367" spans="2:16" s="108" customFormat="1" ht="21.75" hidden="1" customHeight="1">
      <c r="B2367" s="109"/>
      <c r="C2367" s="122"/>
      <c r="D2367" s="111" t="s">
        <v>489</v>
      </c>
      <c r="E2367" s="120">
        <f>E2368</f>
        <v>1866827106</v>
      </c>
      <c r="F2367" s="125">
        <v>43402635532.330002</v>
      </c>
      <c r="G2367" s="126">
        <f t="shared" si="46"/>
        <v>4.3011837486445428</v>
      </c>
      <c r="H2367" s="120"/>
      <c r="I2367" s="120"/>
      <c r="J2367" s="116"/>
      <c r="K2367" s="116"/>
      <c r="L2367" s="116"/>
      <c r="M2367" s="116"/>
      <c r="N2367" s="116"/>
      <c r="O2367" s="116"/>
      <c r="P2367" s="116"/>
    </row>
    <row r="2368" spans="2:16" s="108" customFormat="1" ht="21.75" hidden="1" customHeight="1">
      <c r="B2368" s="109"/>
      <c r="C2368" s="122"/>
      <c r="D2368" s="111" t="s">
        <v>1525</v>
      </c>
      <c r="E2368" s="120">
        <f>E2369</f>
        <v>1866827106</v>
      </c>
      <c r="F2368" s="125">
        <v>43402635532.330002</v>
      </c>
      <c r="G2368" s="126">
        <f t="shared" si="46"/>
        <v>4.3011837486445428</v>
      </c>
      <c r="H2368" s="120"/>
      <c r="I2368" s="120"/>
      <c r="J2368" s="116"/>
      <c r="K2368" s="116"/>
      <c r="L2368" s="116"/>
      <c r="M2368" s="116"/>
      <c r="N2368" s="116"/>
      <c r="O2368" s="116"/>
      <c r="P2368" s="116"/>
    </row>
    <row r="2369" spans="2:16" s="108" customFormat="1" ht="21.75" hidden="1" customHeight="1">
      <c r="B2369" s="109"/>
      <c r="C2369" s="122"/>
      <c r="D2369" s="57" t="s">
        <v>1795</v>
      </c>
      <c r="E2369" s="115">
        <v>1866827106</v>
      </c>
      <c r="F2369" s="125">
        <v>43402635532.330002</v>
      </c>
      <c r="G2369" s="126">
        <f t="shared" si="46"/>
        <v>4.3011837486445428</v>
      </c>
      <c r="H2369" s="120"/>
      <c r="I2369" s="120"/>
      <c r="J2369" s="116"/>
      <c r="K2369" s="116"/>
      <c r="L2369" s="116"/>
      <c r="M2369" s="116"/>
      <c r="N2369" s="116"/>
      <c r="O2369" s="116"/>
      <c r="P2369" s="116"/>
    </row>
    <row r="2370" spans="2:16" s="108" customFormat="1" ht="15" hidden="1" customHeight="1">
      <c r="B2370" s="109"/>
      <c r="C2370" s="122"/>
      <c r="D2370" s="236"/>
      <c r="E2370" s="120"/>
      <c r="F2370" s="125">
        <v>43402635532.330002</v>
      </c>
      <c r="G2370" s="126">
        <f t="shared" si="46"/>
        <v>0</v>
      </c>
      <c r="H2370" s="120"/>
      <c r="I2370" s="120"/>
      <c r="J2370" s="116"/>
      <c r="K2370" s="116"/>
      <c r="L2370" s="116"/>
      <c r="M2370" s="116"/>
      <c r="N2370" s="116"/>
      <c r="O2370" s="116"/>
      <c r="P2370" s="116"/>
    </row>
    <row r="2371" spans="2:16" s="108" customFormat="1" ht="21.75" hidden="1" customHeight="1">
      <c r="B2371" s="109"/>
      <c r="C2371" s="122"/>
      <c r="D2371" s="111" t="s">
        <v>1796</v>
      </c>
      <c r="E2371" s="120">
        <f>SUM(E2372,E2374)</f>
        <v>2000000000</v>
      </c>
      <c r="F2371" s="125">
        <v>43402635532.330002</v>
      </c>
      <c r="G2371" s="126">
        <f t="shared" si="46"/>
        <v>4.6080151020097126</v>
      </c>
      <c r="H2371" s="120"/>
      <c r="I2371" s="120"/>
      <c r="J2371" s="116"/>
      <c r="K2371" s="116"/>
      <c r="L2371" s="116"/>
      <c r="M2371" s="116"/>
      <c r="N2371" s="116"/>
      <c r="O2371" s="116"/>
      <c r="P2371" s="116"/>
    </row>
    <row r="2372" spans="2:16" s="108" customFormat="1" ht="21.75" hidden="1" customHeight="1">
      <c r="B2372" s="109"/>
      <c r="C2372" s="122"/>
      <c r="D2372" s="111" t="s">
        <v>500</v>
      </c>
      <c r="E2372" s="120">
        <f>E2373</f>
        <v>1000000000</v>
      </c>
      <c r="F2372" s="125">
        <v>43402635532.330002</v>
      </c>
      <c r="G2372" s="126">
        <f t="shared" si="46"/>
        <v>2.3040075510048563</v>
      </c>
      <c r="H2372" s="120"/>
      <c r="I2372" s="120"/>
      <c r="J2372" s="116"/>
      <c r="K2372" s="116"/>
      <c r="L2372" s="116"/>
      <c r="M2372" s="116"/>
      <c r="N2372" s="116"/>
      <c r="O2372" s="116"/>
      <c r="P2372" s="116"/>
    </row>
    <row r="2373" spans="2:16" s="108" customFormat="1" ht="21.75" hidden="1" customHeight="1">
      <c r="B2373" s="109"/>
      <c r="C2373" s="122"/>
      <c r="D2373" s="57" t="s">
        <v>1797</v>
      </c>
      <c r="E2373" s="115">
        <v>1000000000</v>
      </c>
      <c r="F2373" s="125">
        <v>43402635532.330002</v>
      </c>
      <c r="G2373" s="126">
        <f t="shared" si="46"/>
        <v>2.3040075510048563</v>
      </c>
      <c r="H2373" s="120"/>
      <c r="I2373" s="120"/>
      <c r="J2373" s="116"/>
      <c r="K2373" s="116"/>
      <c r="L2373" s="116"/>
      <c r="M2373" s="116"/>
      <c r="N2373" s="116"/>
      <c r="O2373" s="116"/>
      <c r="P2373" s="116"/>
    </row>
    <row r="2374" spans="2:16" s="108" customFormat="1" ht="21.75" hidden="1" customHeight="1">
      <c r="B2374" s="109"/>
      <c r="C2374" s="122"/>
      <c r="D2374" s="150" t="s">
        <v>1798</v>
      </c>
      <c r="E2374" s="120">
        <f>SUM(E2375:E2376)</f>
        <v>1000000000</v>
      </c>
      <c r="F2374" s="125">
        <v>43402635532.330002</v>
      </c>
      <c r="G2374" s="126">
        <f t="shared" si="46"/>
        <v>2.3040075510048563</v>
      </c>
      <c r="H2374" s="120"/>
      <c r="I2374" s="120"/>
      <c r="J2374" s="116"/>
      <c r="K2374" s="116"/>
      <c r="L2374" s="116"/>
      <c r="M2374" s="116"/>
      <c r="N2374" s="116"/>
      <c r="O2374" s="116"/>
      <c r="P2374" s="116"/>
    </row>
    <row r="2375" spans="2:16" s="108" customFormat="1" ht="21.75" hidden="1" customHeight="1">
      <c r="B2375" s="109"/>
      <c r="C2375" s="122"/>
      <c r="D2375" s="123" t="s">
        <v>1799</v>
      </c>
      <c r="E2375" s="115">
        <v>300000000</v>
      </c>
      <c r="F2375" s="125">
        <v>43402635532.330002</v>
      </c>
      <c r="G2375" s="126">
        <f t="shared" si="46"/>
        <v>0.6912022653014569</v>
      </c>
      <c r="H2375" s="120"/>
      <c r="I2375" s="120"/>
      <c r="J2375" s="116"/>
      <c r="K2375" s="116"/>
      <c r="L2375" s="116"/>
      <c r="M2375" s="116"/>
      <c r="N2375" s="116"/>
      <c r="O2375" s="116"/>
      <c r="P2375" s="116"/>
    </row>
    <row r="2376" spans="2:16" s="108" customFormat="1" ht="21.75" hidden="1" customHeight="1">
      <c r="B2376" s="109"/>
      <c r="C2376" s="122"/>
      <c r="D2376" s="123" t="s">
        <v>1800</v>
      </c>
      <c r="E2376" s="115">
        <v>700000000</v>
      </c>
      <c r="F2376" s="125">
        <v>43402635532.330002</v>
      </c>
      <c r="G2376" s="126">
        <f t="shared" si="46"/>
        <v>1.6128052857033992</v>
      </c>
      <c r="H2376" s="120"/>
      <c r="I2376" s="120"/>
      <c r="J2376" s="116"/>
      <c r="K2376" s="116"/>
      <c r="L2376" s="116"/>
      <c r="M2376" s="116"/>
      <c r="N2376" s="116"/>
      <c r="O2376" s="116"/>
      <c r="P2376" s="116"/>
    </row>
    <row r="2377" spans="2:16" s="108" customFormat="1" ht="15" hidden="1" customHeight="1">
      <c r="B2377" s="109"/>
      <c r="C2377" s="122"/>
      <c r="D2377" s="111"/>
      <c r="E2377" s="120"/>
      <c r="F2377" s="125">
        <v>43402635532.330002</v>
      </c>
      <c r="G2377" s="126">
        <f t="shared" si="46"/>
        <v>0</v>
      </c>
      <c r="H2377" s="120"/>
      <c r="I2377" s="120"/>
      <c r="J2377" s="116"/>
      <c r="K2377" s="116"/>
      <c r="L2377" s="116"/>
      <c r="M2377" s="116"/>
      <c r="N2377" s="116"/>
      <c r="O2377" s="116"/>
      <c r="P2377" s="116"/>
    </row>
    <row r="2378" spans="2:16" s="108" customFormat="1" ht="21.75" hidden="1" customHeight="1">
      <c r="B2378" s="109"/>
      <c r="C2378" s="122"/>
      <c r="D2378" s="111" t="s">
        <v>525</v>
      </c>
      <c r="E2378" s="120">
        <f>SUM(E2379,E2384,E2386)</f>
        <v>1000000000</v>
      </c>
      <c r="F2378" s="125">
        <v>43402635532.330002</v>
      </c>
      <c r="G2378" s="126">
        <f t="shared" si="46"/>
        <v>2.3040075510048563</v>
      </c>
      <c r="H2378" s="120"/>
      <c r="I2378" s="120"/>
      <c r="J2378" s="116"/>
      <c r="K2378" s="116"/>
      <c r="L2378" s="116"/>
      <c r="M2378" s="116"/>
      <c r="N2378" s="116"/>
      <c r="O2378" s="116"/>
      <c r="P2378" s="116"/>
    </row>
    <row r="2379" spans="2:16" s="108" customFormat="1" ht="32.25" hidden="1" customHeight="1">
      <c r="B2379" s="109"/>
      <c r="C2379" s="122"/>
      <c r="D2379" s="111" t="s">
        <v>890</v>
      </c>
      <c r="E2379" s="120">
        <f>SUM(E2380:E2383)</f>
        <v>550000000</v>
      </c>
      <c r="F2379" s="125">
        <v>43402635532.330002</v>
      </c>
      <c r="G2379" s="126">
        <f t="shared" si="46"/>
        <v>1.267204153052671</v>
      </c>
      <c r="H2379" s="120"/>
      <c r="I2379" s="120"/>
      <c r="J2379" s="116"/>
      <c r="K2379" s="116"/>
      <c r="L2379" s="116"/>
      <c r="M2379" s="116"/>
      <c r="N2379" s="116"/>
      <c r="O2379" s="116"/>
      <c r="P2379" s="116"/>
    </row>
    <row r="2380" spans="2:16" s="108" customFormat="1" ht="33.75" hidden="1" customHeight="1">
      <c r="B2380" s="109"/>
      <c r="C2380" s="122"/>
      <c r="D2380" s="123" t="s">
        <v>1801</v>
      </c>
      <c r="E2380" s="696">
        <v>100000000</v>
      </c>
      <c r="F2380" s="125">
        <v>43402635532.330002</v>
      </c>
      <c r="G2380" s="126">
        <f t="shared" si="46"/>
        <v>0.2304007551004856</v>
      </c>
      <c r="H2380" s="120"/>
      <c r="I2380" s="120"/>
      <c r="J2380" s="116"/>
      <c r="K2380" s="116"/>
      <c r="L2380" s="116"/>
      <c r="M2380" s="116"/>
      <c r="N2380" s="116"/>
      <c r="O2380" s="116"/>
      <c r="P2380" s="116"/>
    </row>
    <row r="2381" spans="2:16" s="108" customFormat="1" ht="21.75" hidden="1" customHeight="1">
      <c r="B2381" s="109"/>
      <c r="C2381" s="122"/>
      <c r="D2381" s="123" t="s">
        <v>1802</v>
      </c>
      <c r="E2381" s="696">
        <v>150000000</v>
      </c>
      <c r="F2381" s="125">
        <v>43402635532.330002</v>
      </c>
      <c r="G2381" s="126">
        <f t="shared" si="46"/>
        <v>0.34560113265072845</v>
      </c>
      <c r="H2381" s="120"/>
      <c r="I2381" s="120"/>
      <c r="J2381" s="116"/>
      <c r="K2381" s="116"/>
      <c r="L2381" s="116"/>
      <c r="M2381" s="116"/>
      <c r="N2381" s="116"/>
      <c r="O2381" s="116"/>
      <c r="P2381" s="116"/>
    </row>
    <row r="2382" spans="2:16" s="108" customFormat="1" ht="21.75" hidden="1" customHeight="1">
      <c r="B2382" s="109"/>
      <c r="C2382" s="122"/>
      <c r="D2382" s="123" t="s">
        <v>1803</v>
      </c>
      <c r="E2382" s="696">
        <v>150000000</v>
      </c>
      <c r="F2382" s="125">
        <v>43402635532.330002</v>
      </c>
      <c r="G2382" s="126">
        <f t="shared" si="46"/>
        <v>0.34560113265072845</v>
      </c>
      <c r="H2382" s="120"/>
      <c r="I2382" s="120"/>
      <c r="J2382" s="116"/>
      <c r="K2382" s="116"/>
      <c r="L2382" s="116"/>
      <c r="M2382" s="116"/>
      <c r="N2382" s="116"/>
      <c r="O2382" s="116"/>
      <c r="P2382" s="116"/>
    </row>
    <row r="2383" spans="2:16" s="108" customFormat="1" ht="33.75" hidden="1" customHeight="1">
      <c r="B2383" s="109"/>
      <c r="C2383" s="122"/>
      <c r="D2383" s="123" t="s">
        <v>1804</v>
      </c>
      <c r="E2383" s="696">
        <v>150000000</v>
      </c>
      <c r="F2383" s="125">
        <v>43402635532.330002</v>
      </c>
      <c r="G2383" s="126">
        <f t="shared" si="46"/>
        <v>0.34560113265072845</v>
      </c>
      <c r="H2383" s="120"/>
      <c r="I2383" s="120"/>
      <c r="J2383" s="116"/>
      <c r="K2383" s="116"/>
      <c r="L2383" s="116"/>
      <c r="M2383" s="116"/>
      <c r="N2383" s="116"/>
      <c r="O2383" s="116"/>
      <c r="P2383" s="116"/>
    </row>
    <row r="2384" spans="2:16" s="108" customFormat="1" ht="21.75" hidden="1" customHeight="1">
      <c r="B2384" s="109"/>
      <c r="C2384" s="122"/>
      <c r="D2384" s="150" t="s">
        <v>528</v>
      </c>
      <c r="E2384" s="120">
        <f>E2385</f>
        <v>150000000</v>
      </c>
      <c r="F2384" s="125">
        <v>43402635532.330002</v>
      </c>
      <c r="G2384" s="126">
        <f t="shared" si="46"/>
        <v>0.34560113265072845</v>
      </c>
      <c r="H2384" s="120"/>
      <c r="I2384" s="120"/>
      <c r="J2384" s="116"/>
      <c r="K2384" s="116"/>
      <c r="L2384" s="116"/>
      <c r="M2384" s="116"/>
      <c r="N2384" s="116"/>
      <c r="O2384" s="116"/>
      <c r="P2384" s="116"/>
    </row>
    <row r="2385" spans="2:16" s="108" customFormat="1" ht="21.75" hidden="1" customHeight="1">
      <c r="B2385" s="109"/>
      <c r="C2385" s="122"/>
      <c r="D2385" s="123" t="s">
        <v>1805</v>
      </c>
      <c r="E2385" s="696">
        <v>150000000</v>
      </c>
      <c r="F2385" s="125">
        <v>43402635532.330002</v>
      </c>
      <c r="G2385" s="126">
        <f t="shared" si="46"/>
        <v>0.34560113265072845</v>
      </c>
      <c r="H2385" s="120"/>
      <c r="I2385" s="120"/>
      <c r="J2385" s="116"/>
      <c r="K2385" s="116"/>
      <c r="L2385" s="116"/>
      <c r="M2385" s="116"/>
      <c r="N2385" s="116"/>
      <c r="O2385" s="116"/>
      <c r="P2385" s="116"/>
    </row>
    <row r="2386" spans="2:16" s="108" customFormat="1" ht="21.75" hidden="1" customHeight="1">
      <c r="B2386" s="109"/>
      <c r="C2386" s="122"/>
      <c r="D2386" s="111" t="s">
        <v>1745</v>
      </c>
      <c r="E2386" s="250">
        <f>SUM(E2387:E2388)</f>
        <v>300000000</v>
      </c>
      <c r="F2386" s="125">
        <v>43402635532.330002</v>
      </c>
      <c r="G2386" s="126">
        <f t="shared" si="46"/>
        <v>0.6912022653014569</v>
      </c>
      <c r="H2386" s="120"/>
      <c r="I2386" s="120"/>
      <c r="J2386" s="116"/>
      <c r="K2386" s="116"/>
      <c r="L2386" s="116"/>
      <c r="M2386" s="116"/>
      <c r="N2386" s="116"/>
      <c r="O2386" s="116"/>
      <c r="P2386" s="116"/>
    </row>
    <row r="2387" spans="2:16" s="108" customFormat="1" ht="47.25" hidden="1" customHeight="1">
      <c r="B2387" s="109"/>
      <c r="C2387" s="122"/>
      <c r="D2387" s="123" t="s">
        <v>1806</v>
      </c>
      <c r="E2387" s="696">
        <v>150000000</v>
      </c>
      <c r="F2387" s="125">
        <v>43402635532.330002</v>
      </c>
      <c r="G2387" s="126">
        <f t="shared" si="46"/>
        <v>0.34560113265072845</v>
      </c>
      <c r="H2387" s="120"/>
      <c r="I2387" s="120"/>
      <c r="J2387" s="116"/>
      <c r="K2387" s="116"/>
      <c r="L2387" s="116"/>
      <c r="M2387" s="116"/>
      <c r="N2387" s="116"/>
      <c r="O2387" s="116"/>
      <c r="P2387" s="116"/>
    </row>
    <row r="2388" spans="2:16" s="108" customFormat="1" ht="33.75" hidden="1" customHeight="1">
      <c r="B2388" s="109"/>
      <c r="C2388" s="122"/>
      <c r="D2388" s="123" t="s">
        <v>1807</v>
      </c>
      <c r="E2388" s="696">
        <v>150000000</v>
      </c>
      <c r="F2388" s="125">
        <v>43402635532.330002</v>
      </c>
      <c r="G2388" s="126">
        <f t="shared" si="46"/>
        <v>0.34560113265072845</v>
      </c>
      <c r="H2388" s="120"/>
      <c r="I2388" s="120"/>
      <c r="J2388" s="116"/>
      <c r="K2388" s="116"/>
      <c r="L2388" s="116"/>
      <c r="M2388" s="116"/>
      <c r="N2388" s="116"/>
      <c r="O2388" s="116"/>
      <c r="P2388" s="116"/>
    </row>
    <row r="2389" spans="2:16" s="108" customFormat="1" ht="15" hidden="1" customHeight="1">
      <c r="B2389" s="109"/>
      <c r="C2389" s="122"/>
      <c r="D2389" s="111"/>
      <c r="E2389" s="120"/>
      <c r="F2389" s="125">
        <v>43402635532.330002</v>
      </c>
      <c r="G2389" s="126">
        <f t="shared" si="46"/>
        <v>0</v>
      </c>
      <c r="H2389" s="120"/>
      <c r="I2389" s="120"/>
      <c r="J2389" s="116"/>
      <c r="K2389" s="116"/>
      <c r="L2389" s="116"/>
      <c r="M2389" s="116"/>
      <c r="N2389" s="116"/>
      <c r="O2389" s="116"/>
      <c r="P2389" s="116"/>
    </row>
    <row r="2390" spans="2:16" s="108" customFormat="1" ht="21.75" hidden="1" customHeight="1">
      <c r="B2390" s="109"/>
      <c r="C2390" s="122"/>
      <c r="D2390" s="111" t="s">
        <v>1808</v>
      </c>
      <c r="E2390" s="120">
        <f>SUM(E2391,E2394,E2397,E2401)</f>
        <v>2000000000</v>
      </c>
      <c r="F2390" s="125">
        <v>43402635532.330002</v>
      </c>
      <c r="G2390" s="126">
        <f t="shared" si="46"/>
        <v>4.6080151020097126</v>
      </c>
      <c r="H2390" s="120"/>
      <c r="I2390" s="120"/>
      <c r="J2390" s="116"/>
      <c r="K2390" s="116"/>
      <c r="L2390" s="116"/>
      <c r="M2390" s="116"/>
      <c r="N2390" s="116"/>
      <c r="O2390" s="116"/>
      <c r="P2390" s="116"/>
    </row>
    <row r="2391" spans="2:16" s="108" customFormat="1" ht="21.75" hidden="1" customHeight="1">
      <c r="B2391" s="109"/>
      <c r="C2391" s="122"/>
      <c r="D2391" s="111" t="s">
        <v>536</v>
      </c>
      <c r="E2391" s="120">
        <f>SUM(E2392:E2393)</f>
        <v>250000000</v>
      </c>
      <c r="F2391" s="125">
        <v>43402635532.330002</v>
      </c>
      <c r="G2391" s="126">
        <f t="shared" si="46"/>
        <v>0.57600188775121408</v>
      </c>
      <c r="H2391" s="120"/>
      <c r="I2391" s="120"/>
      <c r="J2391" s="116"/>
      <c r="K2391" s="116"/>
      <c r="L2391" s="116"/>
      <c r="M2391" s="116"/>
      <c r="N2391" s="116"/>
      <c r="O2391" s="116"/>
      <c r="P2391" s="116"/>
    </row>
    <row r="2392" spans="2:16" s="108" customFormat="1" ht="21.75" hidden="1" customHeight="1">
      <c r="B2392" s="109"/>
      <c r="C2392" s="122"/>
      <c r="D2392" s="123" t="s">
        <v>1809</v>
      </c>
      <c r="E2392" s="696">
        <v>100000000</v>
      </c>
      <c r="F2392" s="125">
        <v>43402635532.330002</v>
      </c>
      <c r="G2392" s="126">
        <f t="shared" si="46"/>
        <v>0.2304007551004856</v>
      </c>
      <c r="H2392" s="120"/>
      <c r="I2392" s="120"/>
      <c r="J2392" s="116"/>
      <c r="K2392" s="116"/>
      <c r="L2392" s="116"/>
      <c r="M2392" s="116"/>
      <c r="N2392" s="116"/>
      <c r="O2392" s="116"/>
      <c r="P2392" s="116"/>
    </row>
    <row r="2393" spans="2:16" s="108" customFormat="1" ht="21.75" hidden="1" customHeight="1">
      <c r="B2393" s="109"/>
      <c r="C2393" s="122"/>
      <c r="D2393" s="123" t="s">
        <v>1810</v>
      </c>
      <c r="E2393" s="696">
        <v>150000000</v>
      </c>
      <c r="F2393" s="125">
        <v>43402635532.330002</v>
      </c>
      <c r="G2393" s="126">
        <f t="shared" si="46"/>
        <v>0.34560113265072845</v>
      </c>
      <c r="H2393" s="120"/>
      <c r="I2393" s="120"/>
      <c r="J2393" s="116"/>
      <c r="K2393" s="116"/>
      <c r="L2393" s="116"/>
      <c r="M2393" s="116"/>
      <c r="N2393" s="116"/>
      <c r="O2393" s="116"/>
      <c r="P2393" s="116"/>
    </row>
    <row r="2394" spans="2:16" s="108" customFormat="1" ht="21.75" hidden="1" customHeight="1">
      <c r="B2394" s="109"/>
      <c r="C2394" s="122"/>
      <c r="D2394" s="111" t="s">
        <v>1811</v>
      </c>
      <c r="E2394" s="250">
        <f>SUM(E2395:E2396)</f>
        <v>581000000</v>
      </c>
      <c r="F2394" s="125">
        <v>43402635532.330002</v>
      </c>
      <c r="G2394" s="126">
        <f t="shared" si="46"/>
        <v>1.3386283871338214</v>
      </c>
      <c r="H2394" s="120"/>
      <c r="I2394" s="120"/>
      <c r="J2394" s="116"/>
      <c r="K2394" s="116"/>
      <c r="L2394" s="116"/>
      <c r="M2394" s="116"/>
      <c r="N2394" s="116"/>
      <c r="O2394" s="116"/>
      <c r="P2394" s="116"/>
    </row>
    <row r="2395" spans="2:16" s="108" customFormat="1" ht="33.75" hidden="1" customHeight="1">
      <c r="B2395" s="109"/>
      <c r="C2395" s="122"/>
      <c r="D2395" s="123" t="s">
        <v>1812</v>
      </c>
      <c r="E2395" s="696">
        <v>150000000</v>
      </c>
      <c r="F2395" s="125">
        <v>43402635532.330002</v>
      </c>
      <c r="G2395" s="126">
        <f t="shared" si="46"/>
        <v>0.34560113265072845</v>
      </c>
      <c r="H2395" s="120"/>
      <c r="I2395" s="120"/>
      <c r="J2395" s="116"/>
      <c r="K2395" s="116"/>
      <c r="L2395" s="116"/>
      <c r="M2395" s="116"/>
      <c r="N2395" s="116"/>
      <c r="O2395" s="116"/>
      <c r="P2395" s="116"/>
    </row>
    <row r="2396" spans="2:16" s="108" customFormat="1" ht="33.75" hidden="1" customHeight="1">
      <c r="B2396" s="109"/>
      <c r="C2396" s="122"/>
      <c r="D2396" s="123" t="s">
        <v>1813</v>
      </c>
      <c r="E2396" s="696">
        <v>431000000</v>
      </c>
      <c r="F2396" s="125">
        <v>43402635532.330002</v>
      </c>
      <c r="G2396" s="126">
        <f t="shared" si="46"/>
        <v>0.99302725448309304</v>
      </c>
      <c r="H2396" s="120"/>
      <c r="I2396" s="120"/>
      <c r="J2396" s="116"/>
      <c r="K2396" s="116"/>
      <c r="L2396" s="116"/>
      <c r="M2396" s="116"/>
      <c r="N2396" s="116"/>
      <c r="O2396" s="116"/>
      <c r="P2396" s="116"/>
    </row>
    <row r="2397" spans="2:16" s="108" customFormat="1" ht="21.75" hidden="1" customHeight="1">
      <c r="B2397" s="109"/>
      <c r="C2397" s="122"/>
      <c r="D2397" s="111" t="s">
        <v>1814</v>
      </c>
      <c r="E2397" s="250">
        <f>SUM(E2398:E2400)</f>
        <v>650000000</v>
      </c>
      <c r="F2397" s="125">
        <v>43402635532.330002</v>
      </c>
      <c r="G2397" s="126">
        <f t="shared" si="46"/>
        <v>1.4976049081531564</v>
      </c>
      <c r="H2397" s="120"/>
      <c r="I2397" s="120"/>
      <c r="J2397" s="116"/>
      <c r="K2397" s="116"/>
      <c r="L2397" s="116"/>
      <c r="M2397" s="116"/>
      <c r="N2397" s="116"/>
      <c r="O2397" s="116"/>
      <c r="P2397" s="116"/>
    </row>
    <row r="2398" spans="2:16" s="108" customFormat="1" ht="21.75" hidden="1" customHeight="1">
      <c r="B2398" s="109"/>
      <c r="C2398" s="122"/>
      <c r="D2398" s="123" t="s">
        <v>1815</v>
      </c>
      <c r="E2398" s="696">
        <v>250000000</v>
      </c>
      <c r="F2398" s="125">
        <v>43402635532.330002</v>
      </c>
      <c r="G2398" s="126">
        <f t="shared" si="46"/>
        <v>0.57600188775121408</v>
      </c>
      <c r="H2398" s="120"/>
      <c r="I2398" s="120"/>
      <c r="J2398" s="116"/>
      <c r="K2398" s="116"/>
      <c r="L2398" s="116"/>
      <c r="M2398" s="116"/>
      <c r="N2398" s="116"/>
      <c r="O2398" s="116"/>
      <c r="P2398" s="116"/>
    </row>
    <row r="2399" spans="2:16" s="108" customFormat="1" ht="21.75" hidden="1" customHeight="1">
      <c r="B2399" s="109"/>
      <c r="C2399" s="122"/>
      <c r="D2399" s="123" t="s">
        <v>1816</v>
      </c>
      <c r="E2399" s="696">
        <v>200000000</v>
      </c>
      <c r="F2399" s="125">
        <v>43402635532.330002</v>
      </c>
      <c r="G2399" s="126">
        <f t="shared" si="46"/>
        <v>0.46080151020097121</v>
      </c>
      <c r="H2399" s="120"/>
      <c r="I2399" s="120"/>
      <c r="J2399" s="116"/>
      <c r="K2399" s="116"/>
      <c r="L2399" s="116"/>
      <c r="M2399" s="116"/>
      <c r="N2399" s="116"/>
      <c r="O2399" s="116"/>
      <c r="P2399" s="116"/>
    </row>
    <row r="2400" spans="2:16" s="108" customFormat="1" ht="21.75" hidden="1" customHeight="1">
      <c r="B2400" s="109"/>
      <c r="C2400" s="122"/>
      <c r="D2400" s="123" t="s">
        <v>1817</v>
      </c>
      <c r="E2400" s="696">
        <v>200000000</v>
      </c>
      <c r="F2400" s="125">
        <v>43402635532.330002</v>
      </c>
      <c r="G2400" s="126">
        <f t="shared" si="46"/>
        <v>0.46080151020097121</v>
      </c>
      <c r="H2400" s="120"/>
      <c r="I2400" s="120"/>
      <c r="J2400" s="116"/>
      <c r="K2400" s="116"/>
      <c r="L2400" s="116"/>
      <c r="M2400" s="116"/>
      <c r="N2400" s="116"/>
      <c r="O2400" s="116"/>
      <c r="P2400" s="116"/>
    </row>
    <row r="2401" spans="2:16" s="108" customFormat="1" ht="21.75" hidden="1" customHeight="1">
      <c r="B2401" s="109"/>
      <c r="C2401" s="122"/>
      <c r="D2401" s="111" t="s">
        <v>1433</v>
      </c>
      <c r="E2401" s="250">
        <f>SUM(E2402:E2405)</f>
        <v>519000000</v>
      </c>
      <c r="F2401" s="125">
        <v>43402635532.330002</v>
      </c>
      <c r="G2401" s="126">
        <f t="shared" si="46"/>
        <v>1.1957799189715204</v>
      </c>
      <c r="H2401" s="120"/>
      <c r="I2401" s="120"/>
      <c r="J2401" s="116"/>
      <c r="K2401" s="116"/>
      <c r="L2401" s="116"/>
      <c r="M2401" s="116"/>
      <c r="N2401" s="116"/>
      <c r="O2401" s="116"/>
      <c r="P2401" s="116"/>
    </row>
    <row r="2402" spans="2:16" s="108" customFormat="1" ht="33.75" hidden="1" customHeight="1">
      <c r="B2402" s="109"/>
      <c r="C2402" s="122"/>
      <c r="D2402" s="123" t="s">
        <v>1818</v>
      </c>
      <c r="E2402" s="696">
        <v>100000000</v>
      </c>
      <c r="F2402" s="125">
        <v>43402635532.330002</v>
      </c>
      <c r="G2402" s="126">
        <f t="shared" si="46"/>
        <v>0.2304007551004856</v>
      </c>
      <c r="H2402" s="120"/>
      <c r="I2402" s="120"/>
      <c r="J2402" s="116"/>
      <c r="K2402" s="116"/>
      <c r="L2402" s="116"/>
      <c r="M2402" s="116"/>
      <c r="N2402" s="116"/>
      <c r="O2402" s="116"/>
      <c r="P2402" s="116"/>
    </row>
    <row r="2403" spans="2:16" s="108" customFormat="1" ht="33.75" hidden="1" customHeight="1">
      <c r="B2403" s="109"/>
      <c r="C2403" s="122"/>
      <c r="D2403" s="123" t="s">
        <v>1819</v>
      </c>
      <c r="E2403" s="696">
        <v>189000000</v>
      </c>
      <c r="F2403" s="125">
        <v>43402635532.330002</v>
      </c>
      <c r="G2403" s="126">
        <f t="shared" si="46"/>
        <v>0.43545742713991781</v>
      </c>
      <c r="H2403" s="120"/>
      <c r="I2403" s="120"/>
      <c r="J2403" s="116"/>
      <c r="K2403" s="116"/>
      <c r="L2403" s="116"/>
      <c r="M2403" s="116"/>
      <c r="N2403" s="116"/>
      <c r="O2403" s="116"/>
      <c r="P2403" s="116"/>
    </row>
    <row r="2404" spans="2:16" s="108" customFormat="1" ht="31.5" hidden="1" customHeight="1">
      <c r="B2404" s="109"/>
      <c r="C2404" s="122"/>
      <c r="D2404" s="123" t="s">
        <v>1820</v>
      </c>
      <c r="E2404" s="696">
        <v>100000000</v>
      </c>
      <c r="F2404" s="125">
        <v>43402635532.330002</v>
      </c>
      <c r="G2404" s="126">
        <f t="shared" si="46"/>
        <v>0.2304007551004856</v>
      </c>
      <c r="H2404" s="120"/>
      <c r="I2404" s="120"/>
      <c r="J2404" s="116"/>
      <c r="K2404" s="116"/>
      <c r="L2404" s="116"/>
      <c r="M2404" s="116"/>
      <c r="N2404" s="116"/>
      <c r="O2404" s="116"/>
      <c r="P2404" s="116"/>
    </row>
    <row r="2405" spans="2:16" s="108" customFormat="1" ht="30" hidden="1" customHeight="1">
      <c r="B2405" s="109"/>
      <c r="C2405" s="122"/>
      <c r="D2405" s="123" t="s">
        <v>1821</v>
      </c>
      <c r="E2405" s="696">
        <v>130000000</v>
      </c>
      <c r="F2405" s="125">
        <v>43402635532.330002</v>
      </c>
      <c r="G2405" s="126">
        <f t="shared" si="46"/>
        <v>0.29952098163063129</v>
      </c>
      <c r="H2405" s="120"/>
      <c r="I2405" s="120"/>
      <c r="J2405" s="116"/>
      <c r="K2405" s="116"/>
      <c r="L2405" s="116"/>
      <c r="M2405" s="116"/>
      <c r="N2405" s="116"/>
      <c r="O2405" s="116"/>
      <c r="P2405" s="116"/>
    </row>
    <row r="2406" spans="2:16" s="108" customFormat="1" ht="15" hidden="1" customHeight="1">
      <c r="B2406" s="109"/>
      <c r="C2406" s="122"/>
      <c r="D2406" s="111"/>
      <c r="E2406" s="120"/>
      <c r="F2406" s="125">
        <v>43402635532.330002</v>
      </c>
      <c r="G2406" s="126">
        <f t="shared" si="46"/>
        <v>0</v>
      </c>
      <c r="H2406" s="120"/>
      <c r="I2406" s="120"/>
      <c r="J2406" s="116"/>
      <c r="K2406" s="116"/>
      <c r="L2406" s="116"/>
      <c r="M2406" s="116"/>
      <c r="N2406" s="116"/>
      <c r="O2406" s="116"/>
      <c r="P2406" s="116"/>
    </row>
    <row r="2407" spans="2:16" s="108" customFormat="1" ht="21.75" hidden="1" customHeight="1">
      <c r="B2407" s="109"/>
      <c r="C2407" s="122"/>
      <c r="D2407" s="111" t="s">
        <v>522</v>
      </c>
      <c r="E2407" s="120">
        <f>SUM(E2408,E2412,E2414,E2417)</f>
        <v>1177350000</v>
      </c>
      <c r="F2407" s="125">
        <v>43402635532.330002</v>
      </c>
      <c r="G2407" s="126">
        <f t="shared" si="46"/>
        <v>2.7126232901755674</v>
      </c>
      <c r="H2407" s="120"/>
      <c r="I2407" s="120"/>
      <c r="J2407" s="116"/>
      <c r="K2407" s="116"/>
      <c r="L2407" s="116"/>
      <c r="M2407" s="116"/>
      <c r="N2407" s="116"/>
      <c r="O2407" s="116"/>
      <c r="P2407" s="116"/>
    </row>
    <row r="2408" spans="2:16" s="108" customFormat="1" ht="21.75" hidden="1" customHeight="1">
      <c r="B2408" s="109"/>
      <c r="C2408" s="122"/>
      <c r="D2408" s="111" t="s">
        <v>973</v>
      </c>
      <c r="E2408" s="120">
        <f>SUM(E2409:E2411)</f>
        <v>705850000</v>
      </c>
      <c r="F2408" s="125">
        <v>43402635532.330002</v>
      </c>
      <c r="G2408" s="126">
        <f t="shared" si="46"/>
        <v>1.6262837298767776</v>
      </c>
      <c r="H2408" s="120"/>
      <c r="I2408" s="120"/>
      <c r="J2408" s="116"/>
      <c r="K2408" s="116"/>
      <c r="L2408" s="116"/>
      <c r="M2408" s="116"/>
      <c r="N2408" s="116"/>
      <c r="O2408" s="116"/>
      <c r="P2408" s="116"/>
    </row>
    <row r="2409" spans="2:16" s="108" customFormat="1" ht="32.25" hidden="1" customHeight="1">
      <c r="B2409" s="109"/>
      <c r="C2409" s="122"/>
      <c r="D2409" s="123" t="s">
        <v>1822</v>
      </c>
      <c r="E2409" s="696">
        <v>175000000</v>
      </c>
      <c r="F2409" s="125">
        <v>43402635532.330002</v>
      </c>
      <c r="G2409" s="126">
        <f t="shared" si="46"/>
        <v>0.4032013214258498</v>
      </c>
      <c r="H2409" s="120"/>
      <c r="I2409" s="120"/>
      <c r="J2409" s="116"/>
      <c r="K2409" s="116"/>
      <c r="L2409" s="116"/>
      <c r="M2409" s="116"/>
      <c r="N2409" s="116"/>
      <c r="O2409" s="116"/>
      <c r="P2409" s="116"/>
    </row>
    <row r="2410" spans="2:16" s="108" customFormat="1" ht="21.75" hidden="1" customHeight="1">
      <c r="B2410" s="109"/>
      <c r="C2410" s="122"/>
      <c r="D2410" s="123" t="s">
        <v>1823</v>
      </c>
      <c r="E2410" s="696">
        <v>244920000</v>
      </c>
      <c r="F2410" s="125">
        <v>43402635532.330002</v>
      </c>
      <c r="G2410" s="126">
        <f t="shared" si="46"/>
        <v>0.56429752939210942</v>
      </c>
      <c r="H2410" s="120"/>
      <c r="I2410" s="120"/>
      <c r="J2410" s="116"/>
      <c r="K2410" s="116"/>
      <c r="L2410" s="116"/>
      <c r="M2410" s="116"/>
      <c r="N2410" s="116"/>
      <c r="O2410" s="116"/>
      <c r="P2410" s="116"/>
    </row>
    <row r="2411" spans="2:16" s="108" customFormat="1" ht="21.75" hidden="1" customHeight="1">
      <c r="B2411" s="109"/>
      <c r="C2411" s="122"/>
      <c r="D2411" s="123" t="s">
        <v>1824</v>
      </c>
      <c r="E2411" s="696">
        <v>285930000</v>
      </c>
      <c r="F2411" s="125">
        <v>43402635532.330002</v>
      </c>
      <c r="G2411" s="126">
        <f t="shared" si="46"/>
        <v>0.65878487905881855</v>
      </c>
      <c r="H2411" s="120"/>
      <c r="I2411" s="120"/>
      <c r="J2411" s="116"/>
      <c r="K2411" s="116"/>
      <c r="L2411" s="116"/>
      <c r="M2411" s="116"/>
      <c r="N2411" s="116"/>
      <c r="O2411" s="116"/>
      <c r="P2411" s="116"/>
    </row>
    <row r="2412" spans="2:16" s="108" customFormat="1" ht="21.75" hidden="1" customHeight="1">
      <c r="B2412" s="109"/>
      <c r="C2412" s="122"/>
      <c r="D2412" s="111" t="s">
        <v>257</v>
      </c>
      <c r="E2412" s="120">
        <f>E2413</f>
        <v>100000000</v>
      </c>
      <c r="F2412" s="125">
        <v>43402635532.330002</v>
      </c>
      <c r="G2412" s="126">
        <f t="shared" si="46"/>
        <v>0.2304007551004856</v>
      </c>
      <c r="H2412" s="120"/>
      <c r="I2412" s="120"/>
      <c r="J2412" s="116"/>
      <c r="K2412" s="116"/>
      <c r="L2412" s="116"/>
      <c r="M2412" s="116"/>
      <c r="N2412" s="116"/>
      <c r="O2412" s="116"/>
      <c r="P2412" s="116"/>
    </row>
    <row r="2413" spans="2:16" s="108" customFormat="1" ht="33" hidden="1" customHeight="1">
      <c r="B2413" s="109"/>
      <c r="C2413" s="122"/>
      <c r="D2413" s="123" t="s">
        <v>1825</v>
      </c>
      <c r="E2413" s="696">
        <v>100000000</v>
      </c>
      <c r="F2413" s="125">
        <v>43402635532.330002</v>
      </c>
      <c r="G2413" s="126">
        <f t="shared" si="46"/>
        <v>0.2304007551004856</v>
      </c>
      <c r="H2413" s="120"/>
      <c r="I2413" s="120"/>
      <c r="J2413" s="116"/>
      <c r="K2413" s="116"/>
      <c r="L2413" s="116"/>
      <c r="M2413" s="116"/>
      <c r="N2413" s="116"/>
      <c r="O2413" s="116"/>
      <c r="P2413" s="116"/>
    </row>
    <row r="2414" spans="2:16" s="108" customFormat="1" ht="21.75" hidden="1" customHeight="1">
      <c r="B2414" s="109"/>
      <c r="C2414" s="122"/>
      <c r="D2414" s="111" t="s">
        <v>1635</v>
      </c>
      <c r="E2414" s="120">
        <f>SUM(E2415:E2416)</f>
        <v>250000000</v>
      </c>
      <c r="F2414" s="125">
        <v>43402635532.330002</v>
      </c>
      <c r="G2414" s="126">
        <f t="shared" si="46"/>
        <v>0.57600188775121408</v>
      </c>
      <c r="H2414" s="120"/>
      <c r="I2414" s="120"/>
      <c r="J2414" s="116"/>
      <c r="K2414" s="116"/>
      <c r="L2414" s="116"/>
      <c r="M2414" s="116"/>
      <c r="N2414" s="116"/>
      <c r="O2414" s="116"/>
      <c r="P2414" s="116"/>
    </row>
    <row r="2415" spans="2:16" s="108" customFormat="1" ht="33" hidden="1" customHeight="1">
      <c r="B2415" s="109"/>
      <c r="C2415" s="122"/>
      <c r="D2415" s="123" t="s">
        <v>1636</v>
      </c>
      <c r="E2415" s="696">
        <v>100000000</v>
      </c>
      <c r="F2415" s="125">
        <v>43402635532.330002</v>
      </c>
      <c r="G2415" s="126">
        <f t="shared" si="46"/>
        <v>0.2304007551004856</v>
      </c>
      <c r="H2415" s="120"/>
      <c r="I2415" s="120"/>
      <c r="J2415" s="116"/>
      <c r="K2415" s="116"/>
      <c r="L2415" s="116"/>
      <c r="M2415" s="116"/>
      <c r="N2415" s="116"/>
      <c r="O2415" s="116"/>
      <c r="P2415" s="116"/>
    </row>
    <row r="2416" spans="2:16" s="108" customFormat="1" ht="36.75" hidden="1" customHeight="1">
      <c r="B2416" s="109"/>
      <c r="C2416" s="122"/>
      <c r="D2416" s="123" t="s">
        <v>1826</v>
      </c>
      <c r="E2416" s="696">
        <v>150000000</v>
      </c>
      <c r="F2416" s="125">
        <v>43402635532.330002</v>
      </c>
      <c r="G2416" s="126">
        <f t="shared" si="46"/>
        <v>0.34560113265072845</v>
      </c>
      <c r="H2416" s="120"/>
      <c r="I2416" s="120"/>
      <c r="J2416" s="116"/>
      <c r="K2416" s="116"/>
      <c r="L2416" s="116"/>
      <c r="M2416" s="116"/>
      <c r="N2416" s="116"/>
      <c r="O2416" s="116"/>
      <c r="P2416" s="116"/>
    </row>
    <row r="2417" spans="2:16" s="108" customFormat="1" ht="21.75" hidden="1" customHeight="1">
      <c r="B2417" s="109"/>
      <c r="C2417" s="122"/>
      <c r="D2417" s="111" t="s">
        <v>1738</v>
      </c>
      <c r="E2417" s="120">
        <f>E2418</f>
        <v>121500000</v>
      </c>
      <c r="F2417" s="125">
        <v>43402635532.330002</v>
      </c>
      <c r="G2417" s="126">
        <f t="shared" si="46"/>
        <v>0.27993691744709004</v>
      </c>
      <c r="H2417" s="120"/>
      <c r="I2417" s="120"/>
      <c r="J2417" s="116"/>
      <c r="K2417" s="116"/>
      <c r="L2417" s="116"/>
      <c r="M2417" s="116"/>
      <c r="N2417" s="116"/>
      <c r="O2417" s="116"/>
      <c r="P2417" s="116"/>
    </row>
    <row r="2418" spans="2:16" s="108" customFormat="1" ht="33.75" hidden="1" customHeight="1">
      <c r="B2418" s="109"/>
      <c r="C2418" s="122"/>
      <c r="D2418" s="123" t="s">
        <v>1827</v>
      </c>
      <c r="E2418" s="696">
        <v>121500000</v>
      </c>
      <c r="F2418" s="125">
        <v>43402635532.330002</v>
      </c>
      <c r="G2418" s="126">
        <f t="shared" si="46"/>
        <v>0.27993691744709004</v>
      </c>
      <c r="H2418" s="120"/>
      <c r="I2418" s="120"/>
      <c r="J2418" s="116"/>
      <c r="K2418" s="116"/>
      <c r="L2418" s="116"/>
      <c r="M2418" s="116"/>
      <c r="N2418" s="116"/>
      <c r="O2418" s="116"/>
      <c r="P2418" s="116"/>
    </row>
    <row r="2419" spans="2:16" s="108" customFormat="1" ht="15" hidden="1" customHeight="1">
      <c r="B2419" s="109"/>
      <c r="C2419" s="122"/>
      <c r="D2419" s="111"/>
      <c r="E2419" s="120"/>
      <c r="F2419" s="125">
        <v>43402635532.330002</v>
      </c>
      <c r="G2419" s="126">
        <f t="shared" si="46"/>
        <v>0</v>
      </c>
      <c r="H2419" s="120"/>
      <c r="I2419" s="120"/>
      <c r="J2419" s="116"/>
      <c r="K2419" s="116"/>
      <c r="L2419" s="116"/>
      <c r="M2419" s="116"/>
      <c r="N2419" s="116"/>
      <c r="O2419" s="116"/>
      <c r="P2419" s="116"/>
    </row>
    <row r="2420" spans="2:16" s="108" customFormat="1" ht="21.75" hidden="1" customHeight="1">
      <c r="B2420" s="109"/>
      <c r="C2420" s="122"/>
      <c r="D2420" s="111" t="s">
        <v>1828</v>
      </c>
      <c r="E2420" s="120">
        <f>E2421</f>
        <v>342460000</v>
      </c>
      <c r="F2420" s="125">
        <v>43402635532.330002</v>
      </c>
      <c r="G2420" s="126">
        <f t="shared" si="46"/>
        <v>0.78903042591712302</v>
      </c>
      <c r="H2420" s="120"/>
      <c r="I2420" s="120"/>
      <c r="J2420" s="116"/>
      <c r="K2420" s="116"/>
      <c r="L2420" s="116"/>
      <c r="M2420" s="116"/>
      <c r="N2420" s="116"/>
      <c r="O2420" s="116"/>
      <c r="P2420" s="116"/>
    </row>
    <row r="2421" spans="2:16" s="108" customFormat="1" ht="21.75" hidden="1" customHeight="1">
      <c r="B2421" s="109"/>
      <c r="C2421" s="122"/>
      <c r="D2421" s="111" t="s">
        <v>1205</v>
      </c>
      <c r="E2421" s="120">
        <f>E2422</f>
        <v>342460000</v>
      </c>
      <c r="F2421" s="125">
        <v>43402635532.330002</v>
      </c>
      <c r="G2421" s="126">
        <f t="shared" si="46"/>
        <v>0.78903042591712302</v>
      </c>
      <c r="H2421" s="120"/>
      <c r="I2421" s="120"/>
      <c r="J2421" s="116"/>
      <c r="K2421" s="116"/>
      <c r="L2421" s="116"/>
      <c r="M2421" s="116"/>
      <c r="N2421" s="116"/>
      <c r="O2421" s="116"/>
      <c r="P2421" s="116"/>
    </row>
    <row r="2422" spans="2:16" s="108" customFormat="1" ht="21.75" hidden="1" customHeight="1">
      <c r="B2422" s="109"/>
      <c r="C2422" s="122"/>
      <c r="D2422" s="123" t="s">
        <v>1829</v>
      </c>
      <c r="E2422" s="696">
        <v>342460000</v>
      </c>
      <c r="F2422" s="125">
        <v>43402635532.330002</v>
      </c>
      <c r="G2422" s="126">
        <f t="shared" si="46"/>
        <v>0.78903042591712302</v>
      </c>
      <c r="H2422" s="120"/>
      <c r="I2422" s="120"/>
      <c r="J2422" s="116"/>
      <c r="K2422" s="116"/>
      <c r="L2422" s="116"/>
      <c r="M2422" s="116"/>
      <c r="N2422" s="116"/>
      <c r="O2422" s="116"/>
      <c r="P2422" s="116"/>
    </row>
    <row r="2423" spans="2:16" s="108" customFormat="1" ht="15" hidden="1" customHeight="1">
      <c r="B2423" s="109"/>
      <c r="C2423" s="122"/>
      <c r="D2423" s="111"/>
      <c r="E2423" s="120"/>
      <c r="F2423" s="125">
        <v>43402635532.330002</v>
      </c>
      <c r="G2423" s="126">
        <f t="shared" si="46"/>
        <v>0</v>
      </c>
      <c r="H2423" s="120"/>
      <c r="I2423" s="120"/>
      <c r="J2423" s="116"/>
      <c r="K2423" s="116"/>
      <c r="L2423" s="116"/>
      <c r="M2423" s="116"/>
      <c r="N2423" s="116"/>
      <c r="O2423" s="116"/>
      <c r="P2423" s="116"/>
    </row>
    <row r="2424" spans="2:16" s="108" customFormat="1" ht="21.75" hidden="1" customHeight="1">
      <c r="B2424" s="109"/>
      <c r="C2424" s="122"/>
      <c r="D2424" s="111" t="s">
        <v>518</v>
      </c>
      <c r="E2424" s="120">
        <f>E2425</f>
        <v>1813700000</v>
      </c>
      <c r="F2424" s="125">
        <v>43402635532.330002</v>
      </c>
      <c r="G2424" s="126">
        <f t="shared" si="46"/>
        <v>4.1787784952575073</v>
      </c>
      <c r="H2424" s="120"/>
      <c r="I2424" s="120"/>
      <c r="J2424" s="116"/>
      <c r="K2424" s="116"/>
      <c r="L2424" s="116"/>
      <c r="M2424" s="116"/>
      <c r="N2424" s="116"/>
      <c r="O2424" s="116"/>
      <c r="P2424" s="116"/>
    </row>
    <row r="2425" spans="2:16" s="108" customFormat="1" ht="21.75" hidden="1" customHeight="1">
      <c r="B2425" s="109"/>
      <c r="C2425" s="122"/>
      <c r="D2425" s="111" t="s">
        <v>1438</v>
      </c>
      <c r="E2425" s="120">
        <f>E2426</f>
        <v>1813700000</v>
      </c>
      <c r="F2425" s="125">
        <v>43402635532.330002</v>
      </c>
      <c r="G2425" s="126">
        <f t="shared" si="46"/>
        <v>4.1787784952575073</v>
      </c>
      <c r="H2425" s="120"/>
      <c r="I2425" s="120"/>
      <c r="J2425" s="116"/>
      <c r="K2425" s="116"/>
      <c r="L2425" s="116"/>
      <c r="M2425" s="116"/>
      <c r="N2425" s="116"/>
      <c r="O2425" s="116"/>
      <c r="P2425" s="116"/>
    </row>
    <row r="2426" spans="2:16" s="108" customFormat="1" ht="21.75" hidden="1" customHeight="1">
      <c r="B2426" s="109"/>
      <c r="C2426" s="122"/>
      <c r="D2426" s="123" t="s">
        <v>1830</v>
      </c>
      <c r="E2426" s="696">
        <v>1813700000</v>
      </c>
      <c r="F2426" s="125">
        <v>43402635532.330002</v>
      </c>
      <c r="G2426" s="126">
        <f t="shared" si="46"/>
        <v>4.1787784952575073</v>
      </c>
      <c r="H2426" s="120"/>
      <c r="I2426" s="120"/>
      <c r="J2426" s="116"/>
      <c r="K2426" s="116"/>
      <c r="L2426" s="116"/>
      <c r="M2426" s="116"/>
      <c r="N2426" s="116"/>
      <c r="O2426" s="116"/>
      <c r="P2426" s="116"/>
    </row>
    <row r="2427" spans="2:16" s="108" customFormat="1" ht="15" hidden="1" customHeight="1">
      <c r="B2427" s="109"/>
      <c r="C2427" s="122"/>
      <c r="D2427" s="111"/>
      <c r="E2427" s="120"/>
      <c r="F2427" s="125">
        <v>43402635532.330002</v>
      </c>
      <c r="G2427" s="126">
        <f t="shared" si="46"/>
        <v>0</v>
      </c>
      <c r="H2427" s="120"/>
      <c r="I2427" s="120"/>
      <c r="J2427" s="116"/>
      <c r="K2427" s="116"/>
      <c r="L2427" s="116"/>
      <c r="M2427" s="116"/>
      <c r="N2427" s="116"/>
      <c r="O2427" s="116"/>
      <c r="P2427" s="116"/>
    </row>
    <row r="2428" spans="2:16" s="108" customFormat="1" ht="21.75" hidden="1" customHeight="1">
      <c r="B2428" s="109"/>
      <c r="C2428" s="122"/>
      <c r="D2428" s="111" t="s">
        <v>503</v>
      </c>
      <c r="E2428" s="120">
        <f>SUM(E2429,E2435,E2437,E2440)</f>
        <v>2984335000</v>
      </c>
      <c r="F2428" s="125">
        <v>43402635532.330002</v>
      </c>
      <c r="G2428" s="126">
        <f t="shared" si="46"/>
        <v>6.8759303747280773</v>
      </c>
      <c r="H2428" s="120"/>
      <c r="I2428" s="120"/>
      <c r="J2428" s="116"/>
      <c r="K2428" s="116"/>
      <c r="L2428" s="116"/>
      <c r="M2428" s="116"/>
      <c r="N2428" s="116"/>
      <c r="O2428" s="116"/>
      <c r="P2428" s="116"/>
    </row>
    <row r="2429" spans="2:16" s="108" customFormat="1" ht="21.75" hidden="1" customHeight="1">
      <c r="B2429" s="109"/>
      <c r="C2429" s="122"/>
      <c r="D2429" s="111" t="s">
        <v>1831</v>
      </c>
      <c r="E2429" s="120">
        <f>SUM(E2430:E2434)</f>
        <v>1272535000</v>
      </c>
      <c r="F2429" s="125">
        <v>43402635532.330002</v>
      </c>
      <c r="G2429" s="126">
        <f t="shared" ref="G2429:G2489" si="47">+E2429/F2429*100</f>
        <v>2.9319302489179648</v>
      </c>
      <c r="H2429" s="120"/>
      <c r="I2429" s="120"/>
      <c r="J2429" s="116"/>
      <c r="K2429" s="116"/>
      <c r="L2429" s="116"/>
      <c r="M2429" s="116"/>
      <c r="N2429" s="116"/>
      <c r="O2429" s="116"/>
      <c r="P2429" s="116"/>
    </row>
    <row r="2430" spans="2:16" s="108" customFormat="1" ht="21.75" hidden="1" customHeight="1">
      <c r="B2430" s="109"/>
      <c r="C2430" s="122"/>
      <c r="D2430" s="123" t="s">
        <v>1832</v>
      </c>
      <c r="E2430" s="115">
        <v>177750000</v>
      </c>
      <c r="F2430" s="125">
        <v>43402635532.330002</v>
      </c>
      <c r="G2430" s="126">
        <f t="shared" si="47"/>
        <v>0.40953734219111321</v>
      </c>
      <c r="H2430" s="120"/>
      <c r="I2430" s="120"/>
      <c r="J2430" s="116"/>
      <c r="K2430" s="116"/>
      <c r="L2430" s="116"/>
      <c r="M2430" s="116"/>
      <c r="N2430" s="116"/>
      <c r="O2430" s="116"/>
      <c r="P2430" s="116"/>
    </row>
    <row r="2431" spans="2:16" s="108" customFormat="1" ht="21.75" hidden="1" customHeight="1">
      <c r="B2431" s="109"/>
      <c r="C2431" s="122"/>
      <c r="D2431" s="123" t="s">
        <v>1833</v>
      </c>
      <c r="E2431" s="115">
        <v>128795000</v>
      </c>
      <c r="F2431" s="125">
        <v>43402635532.330002</v>
      </c>
      <c r="G2431" s="126">
        <f t="shared" si="47"/>
        <v>0.29674465253167043</v>
      </c>
      <c r="H2431" s="120"/>
      <c r="I2431" s="120"/>
      <c r="J2431" s="116"/>
      <c r="K2431" s="116"/>
      <c r="L2431" s="116"/>
      <c r="M2431" s="116"/>
      <c r="N2431" s="116"/>
      <c r="O2431" s="116"/>
      <c r="P2431" s="116"/>
    </row>
    <row r="2432" spans="2:16" s="108" customFormat="1" ht="21.75" hidden="1" customHeight="1">
      <c r="B2432" s="109"/>
      <c r="C2432" s="122"/>
      <c r="D2432" s="123" t="s">
        <v>1834</v>
      </c>
      <c r="E2432" s="115">
        <v>250000000</v>
      </c>
      <c r="F2432" s="125">
        <v>43402635532.330002</v>
      </c>
      <c r="G2432" s="126">
        <f t="shared" si="47"/>
        <v>0.57600188775121408</v>
      </c>
      <c r="H2432" s="120"/>
      <c r="I2432" s="120"/>
      <c r="J2432" s="116"/>
      <c r="K2432" s="116"/>
      <c r="L2432" s="116"/>
      <c r="M2432" s="116"/>
      <c r="N2432" s="116"/>
      <c r="O2432" s="116"/>
      <c r="P2432" s="116"/>
    </row>
    <row r="2433" spans="2:16" s="108" customFormat="1" ht="48" hidden="1" customHeight="1">
      <c r="B2433" s="109"/>
      <c r="C2433" s="122"/>
      <c r="D2433" s="123" t="s">
        <v>1835</v>
      </c>
      <c r="E2433" s="115">
        <v>465990000</v>
      </c>
      <c r="F2433" s="125">
        <v>43402635532.330002</v>
      </c>
      <c r="G2433" s="126">
        <f t="shared" si="47"/>
        <v>1.073644478692753</v>
      </c>
      <c r="H2433" s="120"/>
      <c r="I2433" s="120"/>
      <c r="J2433" s="116"/>
      <c r="K2433" s="116"/>
      <c r="L2433" s="116"/>
      <c r="M2433" s="116"/>
      <c r="N2433" s="116"/>
      <c r="O2433" s="116"/>
      <c r="P2433" s="116"/>
    </row>
    <row r="2434" spans="2:16" s="108" customFormat="1" ht="33.75" hidden="1" customHeight="1">
      <c r="B2434" s="109"/>
      <c r="C2434" s="122"/>
      <c r="D2434" s="123" t="s">
        <v>1836</v>
      </c>
      <c r="E2434" s="115">
        <v>250000000</v>
      </c>
      <c r="F2434" s="125">
        <v>43402635532.330002</v>
      </c>
      <c r="G2434" s="126">
        <f t="shared" si="47"/>
        <v>0.57600188775121408</v>
      </c>
      <c r="H2434" s="120"/>
      <c r="I2434" s="120"/>
      <c r="J2434" s="116"/>
      <c r="K2434" s="116"/>
      <c r="L2434" s="116"/>
      <c r="M2434" s="116"/>
      <c r="N2434" s="116"/>
      <c r="O2434" s="116"/>
      <c r="P2434" s="116"/>
    </row>
    <row r="2435" spans="2:16" s="108" customFormat="1" ht="21.75" hidden="1" customHeight="1">
      <c r="B2435" s="109"/>
      <c r="C2435" s="122"/>
      <c r="D2435" s="111" t="s">
        <v>286</v>
      </c>
      <c r="E2435" s="120">
        <f>E2436</f>
        <v>250000000</v>
      </c>
      <c r="F2435" s="125">
        <v>43402635532.330002</v>
      </c>
      <c r="G2435" s="126">
        <f t="shared" si="47"/>
        <v>0.57600188775121408</v>
      </c>
      <c r="H2435" s="120"/>
      <c r="I2435" s="120"/>
      <c r="J2435" s="116"/>
      <c r="K2435" s="116"/>
      <c r="L2435" s="116"/>
      <c r="M2435" s="116"/>
      <c r="N2435" s="116"/>
      <c r="O2435" s="116"/>
      <c r="P2435" s="116"/>
    </row>
    <row r="2436" spans="2:16" s="108" customFormat="1" ht="21.75" hidden="1" customHeight="1">
      <c r="B2436" s="109"/>
      <c r="C2436" s="122"/>
      <c r="D2436" s="57" t="s">
        <v>1837</v>
      </c>
      <c r="E2436" s="115">
        <v>250000000</v>
      </c>
      <c r="F2436" s="125">
        <v>43402635532.330002</v>
      </c>
      <c r="G2436" s="126">
        <f t="shared" si="47"/>
        <v>0.57600188775121408</v>
      </c>
      <c r="H2436" s="120"/>
      <c r="I2436" s="120"/>
      <c r="J2436" s="116"/>
      <c r="K2436" s="116"/>
      <c r="L2436" s="116"/>
      <c r="M2436" s="116"/>
      <c r="N2436" s="116"/>
      <c r="O2436" s="116"/>
      <c r="P2436" s="116"/>
    </row>
    <row r="2437" spans="2:16" s="108" customFormat="1" ht="21.75" hidden="1" customHeight="1">
      <c r="B2437" s="109"/>
      <c r="C2437" s="122"/>
      <c r="D2437" s="150" t="s">
        <v>506</v>
      </c>
      <c r="E2437" s="120">
        <f>SUM(E2438:E2439)</f>
        <v>1284800000</v>
      </c>
      <c r="F2437" s="125">
        <v>43402635532.330002</v>
      </c>
      <c r="G2437" s="126">
        <f t="shared" si="47"/>
        <v>2.9601889015310392</v>
      </c>
      <c r="H2437" s="120"/>
      <c r="I2437" s="120"/>
      <c r="J2437" s="116"/>
      <c r="K2437" s="116"/>
      <c r="L2437" s="116"/>
      <c r="M2437" s="116"/>
      <c r="N2437" s="116"/>
      <c r="O2437" s="116"/>
      <c r="P2437" s="116"/>
    </row>
    <row r="2438" spans="2:16" s="108" customFormat="1" ht="21.75" hidden="1" customHeight="1">
      <c r="B2438" s="109"/>
      <c r="C2438" s="122"/>
      <c r="D2438" s="57" t="s">
        <v>981</v>
      </c>
      <c r="E2438" s="115">
        <v>274800000</v>
      </c>
      <c r="F2438" s="125">
        <v>43402635532.330002</v>
      </c>
      <c r="G2438" s="126">
        <f t="shared" si="47"/>
        <v>0.63314127501613449</v>
      </c>
      <c r="H2438" s="120"/>
      <c r="I2438" s="120"/>
      <c r="J2438" s="116"/>
      <c r="K2438" s="116"/>
      <c r="L2438" s="116"/>
      <c r="M2438" s="116"/>
      <c r="N2438" s="116"/>
      <c r="O2438" s="116"/>
      <c r="P2438" s="116"/>
    </row>
    <row r="2439" spans="2:16" s="108" customFormat="1" ht="21.75" hidden="1" customHeight="1">
      <c r="B2439" s="109"/>
      <c r="C2439" s="122"/>
      <c r="D2439" s="57" t="s">
        <v>1838</v>
      </c>
      <c r="E2439" s="115">
        <v>1010000000</v>
      </c>
      <c r="F2439" s="125">
        <v>43402635532.330002</v>
      </c>
      <c r="G2439" s="126">
        <f t="shared" si="47"/>
        <v>2.3270476265149047</v>
      </c>
      <c r="H2439" s="120"/>
      <c r="I2439" s="120"/>
      <c r="J2439" s="116"/>
      <c r="K2439" s="116"/>
      <c r="L2439" s="116"/>
      <c r="M2439" s="116"/>
      <c r="N2439" s="116"/>
      <c r="O2439" s="116"/>
      <c r="P2439" s="116"/>
    </row>
    <row r="2440" spans="2:16" s="108" customFormat="1" ht="21.75" hidden="1" customHeight="1">
      <c r="B2440" s="109"/>
      <c r="C2440" s="122"/>
      <c r="D2440" s="150" t="s">
        <v>1839</v>
      </c>
      <c r="E2440" s="120">
        <f>E2441</f>
        <v>177000000</v>
      </c>
      <c r="F2440" s="125">
        <v>43402635532.330002</v>
      </c>
      <c r="G2440" s="126">
        <f t="shared" si="47"/>
        <v>0.4078093365278595</v>
      </c>
      <c r="H2440" s="120"/>
      <c r="I2440" s="120"/>
      <c r="J2440" s="116"/>
      <c r="K2440" s="116"/>
      <c r="L2440" s="116"/>
      <c r="M2440" s="116"/>
      <c r="N2440" s="116"/>
      <c r="O2440" s="116"/>
      <c r="P2440" s="116"/>
    </row>
    <row r="2441" spans="2:16" s="108" customFormat="1" ht="21.75" hidden="1" customHeight="1">
      <c r="B2441" s="109"/>
      <c r="C2441" s="122"/>
      <c r="D2441" s="57" t="s">
        <v>1840</v>
      </c>
      <c r="E2441" s="115">
        <v>177000000</v>
      </c>
      <c r="F2441" s="125">
        <v>43402635532.330002</v>
      </c>
      <c r="G2441" s="126">
        <f t="shared" si="47"/>
        <v>0.4078093365278595</v>
      </c>
      <c r="H2441" s="120"/>
      <c r="I2441" s="120"/>
      <c r="J2441" s="116"/>
      <c r="K2441" s="116"/>
      <c r="L2441" s="116"/>
      <c r="M2441" s="116"/>
      <c r="N2441" s="116"/>
      <c r="O2441" s="116"/>
      <c r="P2441" s="116"/>
    </row>
    <row r="2442" spans="2:16" s="108" customFormat="1" ht="15" hidden="1" customHeight="1">
      <c r="B2442" s="109"/>
      <c r="C2442" s="122"/>
      <c r="D2442" s="111"/>
      <c r="E2442" s="120"/>
      <c r="F2442" s="125">
        <v>43402635532.330002</v>
      </c>
      <c r="G2442" s="126">
        <f t="shared" si="47"/>
        <v>0</v>
      </c>
      <c r="H2442" s="120"/>
      <c r="I2442" s="120"/>
      <c r="J2442" s="116"/>
      <c r="K2442" s="116"/>
      <c r="L2442" s="116"/>
      <c r="M2442" s="116"/>
      <c r="N2442" s="116"/>
      <c r="O2442" s="116"/>
      <c r="P2442" s="116"/>
    </row>
    <row r="2443" spans="2:16" s="108" customFormat="1" ht="21.75" hidden="1" customHeight="1">
      <c r="B2443" s="109"/>
      <c r="C2443" s="122"/>
      <c r="D2443" s="111" t="s">
        <v>69</v>
      </c>
      <c r="E2443" s="120">
        <f>SUM(E2444,E2446)</f>
        <v>2499999999</v>
      </c>
      <c r="F2443" s="125">
        <v>43402635532.330002</v>
      </c>
      <c r="G2443" s="126">
        <f t="shared" si="47"/>
        <v>5.7600188752081332</v>
      </c>
      <c r="H2443" s="120"/>
      <c r="I2443" s="120"/>
      <c r="J2443" s="116"/>
      <c r="K2443" s="116"/>
      <c r="L2443" s="116"/>
      <c r="M2443" s="116"/>
      <c r="N2443" s="116"/>
      <c r="O2443" s="116"/>
      <c r="P2443" s="116"/>
    </row>
    <row r="2444" spans="2:16" s="108" customFormat="1" ht="21.75" hidden="1" customHeight="1">
      <c r="B2444" s="109"/>
      <c r="C2444" s="122"/>
      <c r="D2444" s="150" t="s">
        <v>1841</v>
      </c>
      <c r="E2444" s="120">
        <f>E2445</f>
        <v>300000000</v>
      </c>
      <c r="F2444" s="125">
        <v>43402635532.330002</v>
      </c>
      <c r="G2444" s="126">
        <f t="shared" si="47"/>
        <v>0.6912022653014569</v>
      </c>
      <c r="H2444" s="120"/>
      <c r="I2444" s="120"/>
      <c r="J2444" s="116"/>
      <c r="K2444" s="116"/>
      <c r="L2444" s="116"/>
      <c r="M2444" s="116"/>
      <c r="N2444" s="116"/>
      <c r="O2444" s="116"/>
      <c r="P2444" s="116"/>
    </row>
    <row r="2445" spans="2:16" s="108" customFormat="1" ht="21.75" hidden="1" customHeight="1">
      <c r="B2445" s="109"/>
      <c r="C2445" s="122"/>
      <c r="D2445" s="57" t="s">
        <v>1842</v>
      </c>
      <c r="E2445" s="115">
        <v>300000000</v>
      </c>
      <c r="F2445" s="125">
        <v>43402635532.330002</v>
      </c>
      <c r="G2445" s="126">
        <f t="shared" si="47"/>
        <v>0.6912022653014569</v>
      </c>
      <c r="H2445" s="120"/>
      <c r="I2445" s="120"/>
      <c r="J2445" s="116"/>
      <c r="K2445" s="116"/>
      <c r="L2445" s="116"/>
      <c r="M2445" s="116"/>
      <c r="N2445" s="116"/>
      <c r="O2445" s="116"/>
      <c r="P2445" s="116"/>
    </row>
    <row r="2446" spans="2:16" s="108" customFormat="1" ht="21.75" hidden="1" customHeight="1">
      <c r="B2446" s="109"/>
      <c r="C2446" s="122"/>
      <c r="D2446" s="150" t="s">
        <v>1843</v>
      </c>
      <c r="E2446" s="120">
        <f>SUM(E2447:E2451)</f>
        <v>2199999999</v>
      </c>
      <c r="F2446" s="125">
        <v>43402635532.330002</v>
      </c>
      <c r="G2446" s="126">
        <f t="shared" si="47"/>
        <v>5.0688166099066763</v>
      </c>
      <c r="H2446" s="120"/>
      <c r="I2446" s="120"/>
      <c r="J2446" s="116"/>
      <c r="K2446" s="116"/>
      <c r="L2446" s="116"/>
      <c r="M2446" s="116"/>
      <c r="N2446" s="116"/>
      <c r="O2446" s="116"/>
      <c r="P2446" s="116"/>
    </row>
    <row r="2447" spans="2:16" s="108" customFormat="1" ht="21.75" hidden="1" customHeight="1">
      <c r="B2447" s="109"/>
      <c r="C2447" s="122"/>
      <c r="D2447" s="123" t="s">
        <v>1844</v>
      </c>
      <c r="E2447" s="696">
        <v>300000000</v>
      </c>
      <c r="F2447" s="125">
        <v>43402635532.330002</v>
      </c>
      <c r="G2447" s="126">
        <f t="shared" si="47"/>
        <v>0.6912022653014569</v>
      </c>
      <c r="H2447" s="120"/>
      <c r="I2447" s="120"/>
      <c r="J2447" s="116"/>
      <c r="K2447" s="116"/>
      <c r="L2447" s="116"/>
      <c r="M2447" s="116"/>
      <c r="N2447" s="116"/>
      <c r="O2447" s="116"/>
      <c r="P2447" s="116"/>
    </row>
    <row r="2448" spans="2:16" s="108" customFormat="1" ht="21.75" hidden="1" customHeight="1">
      <c r="B2448" s="109"/>
      <c r="C2448" s="122"/>
      <c r="D2448" s="123" t="s">
        <v>1845</v>
      </c>
      <c r="E2448" s="696">
        <v>900000000</v>
      </c>
      <c r="F2448" s="125">
        <v>43402635532.330002</v>
      </c>
      <c r="G2448" s="126">
        <f t="shared" si="47"/>
        <v>2.0736067959043707</v>
      </c>
      <c r="H2448" s="120"/>
      <c r="I2448" s="120"/>
      <c r="J2448" s="116"/>
      <c r="K2448" s="116"/>
      <c r="L2448" s="116"/>
      <c r="M2448" s="116"/>
      <c r="N2448" s="116"/>
      <c r="O2448" s="116"/>
      <c r="P2448" s="116"/>
    </row>
    <row r="2449" spans="2:16" s="108" customFormat="1" ht="21.75" hidden="1" customHeight="1">
      <c r="B2449" s="109"/>
      <c r="C2449" s="122"/>
      <c r="D2449" s="123" t="s">
        <v>1846</v>
      </c>
      <c r="E2449" s="696">
        <v>250000000</v>
      </c>
      <c r="F2449" s="125">
        <v>43402635532.330002</v>
      </c>
      <c r="G2449" s="126">
        <f t="shared" si="47"/>
        <v>0.57600188775121408</v>
      </c>
      <c r="H2449" s="120"/>
      <c r="I2449" s="120"/>
      <c r="J2449" s="116"/>
      <c r="K2449" s="116"/>
      <c r="L2449" s="116"/>
      <c r="M2449" s="116"/>
      <c r="N2449" s="116"/>
      <c r="O2449" s="116"/>
      <c r="P2449" s="116"/>
    </row>
    <row r="2450" spans="2:16" s="108" customFormat="1" ht="21.75" hidden="1" customHeight="1">
      <c r="B2450" s="109"/>
      <c r="C2450" s="122"/>
      <c r="D2450" s="123" t="s">
        <v>1847</v>
      </c>
      <c r="E2450" s="696">
        <v>499999999</v>
      </c>
      <c r="F2450" s="125">
        <v>43402635532.330002</v>
      </c>
      <c r="G2450" s="126">
        <f t="shared" si="47"/>
        <v>1.1520037731984205</v>
      </c>
      <c r="H2450" s="120"/>
      <c r="I2450" s="120"/>
      <c r="J2450" s="116"/>
      <c r="K2450" s="116"/>
      <c r="L2450" s="116"/>
      <c r="M2450" s="116"/>
      <c r="N2450" s="116"/>
      <c r="O2450" s="116"/>
      <c r="P2450" s="116"/>
    </row>
    <row r="2451" spans="2:16" s="108" customFormat="1" ht="34.5" hidden="1" customHeight="1">
      <c r="B2451" s="109"/>
      <c r="C2451" s="122"/>
      <c r="D2451" s="123" t="s">
        <v>1848</v>
      </c>
      <c r="E2451" s="696">
        <v>250000000</v>
      </c>
      <c r="F2451" s="125">
        <v>43402635532.330002</v>
      </c>
      <c r="G2451" s="126">
        <f t="shared" si="47"/>
        <v>0.57600188775121408</v>
      </c>
      <c r="H2451" s="120"/>
      <c r="I2451" s="120"/>
      <c r="J2451" s="116"/>
      <c r="K2451" s="116"/>
      <c r="L2451" s="116"/>
      <c r="M2451" s="116"/>
      <c r="N2451" s="116"/>
      <c r="O2451" s="116"/>
      <c r="P2451" s="116"/>
    </row>
    <row r="2452" spans="2:16" s="108" customFormat="1" ht="15" hidden="1" customHeight="1">
      <c r="B2452" s="109"/>
      <c r="C2452" s="122"/>
      <c r="D2452" s="111"/>
      <c r="E2452" s="120"/>
      <c r="F2452" s="125">
        <v>43402635532.330002</v>
      </c>
      <c r="G2452" s="126">
        <f t="shared" si="47"/>
        <v>0</v>
      </c>
      <c r="H2452" s="120"/>
      <c r="I2452" s="120"/>
      <c r="J2452" s="116"/>
      <c r="K2452" s="116"/>
      <c r="L2452" s="116"/>
      <c r="M2452" s="116"/>
      <c r="N2452" s="116"/>
      <c r="O2452" s="116"/>
      <c r="P2452" s="116"/>
    </row>
    <row r="2453" spans="2:16" s="108" customFormat="1" ht="21.75" hidden="1" customHeight="1">
      <c r="B2453" s="109"/>
      <c r="C2453" s="122"/>
      <c r="D2453" s="111" t="s">
        <v>911</v>
      </c>
      <c r="E2453" s="120">
        <f>SUM(E2454,E2460,E2462)</f>
        <v>2000000000</v>
      </c>
      <c r="F2453" s="125">
        <v>43402635532.330002</v>
      </c>
      <c r="G2453" s="126">
        <f t="shared" si="47"/>
        <v>4.6080151020097126</v>
      </c>
      <c r="H2453" s="120"/>
      <c r="I2453" s="120"/>
      <c r="J2453" s="116"/>
      <c r="K2453" s="116"/>
      <c r="L2453" s="116"/>
      <c r="M2453" s="116"/>
      <c r="N2453" s="116"/>
      <c r="O2453" s="116"/>
      <c r="P2453" s="116"/>
    </row>
    <row r="2454" spans="2:16" s="108" customFormat="1" ht="21.75" hidden="1" customHeight="1">
      <c r="B2454" s="109"/>
      <c r="C2454" s="122"/>
      <c r="D2454" s="111" t="s">
        <v>1849</v>
      </c>
      <c r="E2454" s="120">
        <f>SUM(E2455:E2459)</f>
        <v>1452900000</v>
      </c>
      <c r="F2454" s="125">
        <v>43402635532.330002</v>
      </c>
      <c r="G2454" s="126">
        <f t="shared" si="47"/>
        <v>3.3474925708549557</v>
      </c>
      <c r="H2454" s="120"/>
      <c r="I2454" s="120"/>
      <c r="J2454" s="116"/>
      <c r="K2454" s="116"/>
      <c r="L2454" s="116"/>
      <c r="M2454" s="116"/>
      <c r="N2454" s="116"/>
      <c r="O2454" s="116"/>
      <c r="P2454" s="116"/>
    </row>
    <row r="2455" spans="2:16" s="108" customFormat="1" ht="21.75" hidden="1" customHeight="1">
      <c r="B2455" s="109"/>
      <c r="C2455" s="122"/>
      <c r="D2455" s="123" t="s">
        <v>1850</v>
      </c>
      <c r="E2455" s="696">
        <v>418450000</v>
      </c>
      <c r="F2455" s="125">
        <v>43402635532.330002</v>
      </c>
      <c r="G2455" s="126">
        <f t="shared" si="47"/>
        <v>0.96411195971798214</v>
      </c>
      <c r="H2455" s="120"/>
      <c r="I2455" s="120"/>
      <c r="J2455" s="116"/>
      <c r="K2455" s="116"/>
      <c r="L2455" s="116"/>
      <c r="M2455" s="116"/>
      <c r="N2455" s="116"/>
      <c r="O2455" s="116"/>
      <c r="P2455" s="116"/>
    </row>
    <row r="2456" spans="2:16" s="108" customFormat="1" ht="33.75" hidden="1" customHeight="1">
      <c r="B2456" s="109"/>
      <c r="C2456" s="122"/>
      <c r="D2456" s="123" t="s">
        <v>1851</v>
      </c>
      <c r="E2456" s="696">
        <v>261075000</v>
      </c>
      <c r="F2456" s="125">
        <v>43402635532.330002</v>
      </c>
      <c r="G2456" s="126">
        <f t="shared" si="47"/>
        <v>0.60151877137859278</v>
      </c>
      <c r="H2456" s="120"/>
      <c r="I2456" s="120"/>
      <c r="J2456" s="116"/>
      <c r="K2456" s="116"/>
      <c r="L2456" s="116"/>
      <c r="M2456" s="116"/>
      <c r="N2456" s="116"/>
      <c r="O2456" s="116"/>
      <c r="P2456" s="116"/>
    </row>
    <row r="2457" spans="2:16" s="108" customFormat="1" ht="21.75" hidden="1" customHeight="1">
      <c r="B2457" s="109"/>
      <c r="C2457" s="122"/>
      <c r="D2457" s="123" t="s">
        <v>1852</v>
      </c>
      <c r="E2457" s="696">
        <v>150000000</v>
      </c>
      <c r="F2457" s="125">
        <v>43402635532.330002</v>
      </c>
      <c r="G2457" s="126">
        <f t="shared" si="47"/>
        <v>0.34560113265072845</v>
      </c>
      <c r="H2457" s="120"/>
      <c r="I2457" s="120"/>
      <c r="J2457" s="116"/>
      <c r="K2457" s="116"/>
      <c r="L2457" s="116"/>
      <c r="M2457" s="116"/>
      <c r="N2457" s="116"/>
      <c r="O2457" s="116"/>
      <c r="P2457" s="116"/>
    </row>
    <row r="2458" spans="2:16" s="108" customFormat="1" ht="21.75" hidden="1" customHeight="1">
      <c r="B2458" s="109"/>
      <c r="C2458" s="122"/>
      <c r="D2458" s="123" t="s">
        <v>1853</v>
      </c>
      <c r="E2458" s="696">
        <v>171540000</v>
      </c>
      <c r="F2458" s="125">
        <v>43402635532.330002</v>
      </c>
      <c r="G2458" s="126">
        <f t="shared" si="47"/>
        <v>0.39522945529937303</v>
      </c>
      <c r="H2458" s="120"/>
      <c r="I2458" s="120"/>
      <c r="J2458" s="116"/>
      <c r="K2458" s="116"/>
      <c r="L2458" s="116"/>
      <c r="M2458" s="116"/>
      <c r="N2458" s="116"/>
      <c r="O2458" s="116"/>
      <c r="P2458" s="116"/>
    </row>
    <row r="2459" spans="2:16" s="108" customFormat="1" ht="21.75" hidden="1" customHeight="1">
      <c r="B2459" s="109"/>
      <c r="C2459" s="122"/>
      <c r="D2459" s="123" t="s">
        <v>1854</v>
      </c>
      <c r="E2459" s="696">
        <v>451835000</v>
      </c>
      <c r="F2459" s="125">
        <v>43402635532.330002</v>
      </c>
      <c r="G2459" s="126">
        <f t="shared" si="47"/>
        <v>1.0410312518082792</v>
      </c>
      <c r="H2459" s="120"/>
      <c r="I2459" s="120"/>
      <c r="J2459" s="116"/>
      <c r="K2459" s="116"/>
      <c r="L2459" s="116"/>
      <c r="M2459" s="116"/>
      <c r="N2459" s="116"/>
      <c r="O2459" s="116"/>
      <c r="P2459" s="116"/>
    </row>
    <row r="2460" spans="2:16" s="108" customFormat="1" ht="21.75" hidden="1" customHeight="1">
      <c r="B2460" s="109"/>
      <c r="C2460" s="122"/>
      <c r="D2460" s="150" t="s">
        <v>310</v>
      </c>
      <c r="E2460" s="120">
        <f>E2461</f>
        <v>145000000</v>
      </c>
      <c r="F2460" s="125">
        <v>43402635532.330002</v>
      </c>
      <c r="G2460" s="126">
        <f t="shared" si="47"/>
        <v>0.33408109489570414</v>
      </c>
      <c r="H2460" s="120"/>
      <c r="I2460" s="120"/>
      <c r="J2460" s="116"/>
      <c r="K2460" s="116"/>
      <c r="L2460" s="116"/>
      <c r="M2460" s="116"/>
      <c r="N2460" s="116"/>
      <c r="O2460" s="116"/>
      <c r="P2460" s="116"/>
    </row>
    <row r="2461" spans="2:16" s="108" customFormat="1" ht="21.75" hidden="1" customHeight="1">
      <c r="B2461" s="109"/>
      <c r="C2461" s="122"/>
      <c r="D2461" s="123" t="s">
        <v>1573</v>
      </c>
      <c r="E2461" s="696">
        <v>145000000</v>
      </c>
      <c r="F2461" s="125">
        <v>43402635532.330002</v>
      </c>
      <c r="G2461" s="126">
        <f t="shared" si="47"/>
        <v>0.33408109489570414</v>
      </c>
      <c r="H2461" s="120"/>
      <c r="I2461" s="120"/>
      <c r="J2461" s="116"/>
      <c r="K2461" s="116"/>
      <c r="L2461" s="116"/>
      <c r="M2461" s="116"/>
      <c r="N2461" s="116"/>
      <c r="O2461" s="116"/>
      <c r="P2461" s="116"/>
    </row>
    <row r="2462" spans="2:16" s="108" customFormat="1" ht="21.75" hidden="1" customHeight="1">
      <c r="B2462" s="109"/>
      <c r="C2462" s="122"/>
      <c r="D2462" s="150" t="s">
        <v>321</v>
      </c>
      <c r="E2462" s="120">
        <f>SUM(E2463:E2464)</f>
        <v>402100000</v>
      </c>
      <c r="F2462" s="125">
        <v>43402635532.330002</v>
      </c>
      <c r="G2462" s="126">
        <f t="shared" si="47"/>
        <v>0.92644143625905273</v>
      </c>
      <c r="H2462" s="120"/>
      <c r="I2462" s="120"/>
      <c r="J2462" s="116"/>
      <c r="K2462" s="116"/>
      <c r="L2462" s="116"/>
      <c r="M2462" s="116"/>
      <c r="N2462" s="116"/>
      <c r="O2462" s="116"/>
      <c r="P2462" s="116"/>
    </row>
    <row r="2463" spans="2:16" s="108" customFormat="1" ht="21.75" hidden="1" customHeight="1">
      <c r="B2463" s="109"/>
      <c r="C2463" s="122"/>
      <c r="D2463" s="123" t="s">
        <v>1574</v>
      </c>
      <c r="E2463" s="696">
        <v>352100000</v>
      </c>
      <c r="F2463" s="125">
        <v>43402635532.330002</v>
      </c>
      <c r="G2463" s="126">
        <f t="shared" si="47"/>
        <v>0.81124105870880991</v>
      </c>
      <c r="H2463" s="120"/>
      <c r="I2463" s="120"/>
      <c r="J2463" s="116"/>
      <c r="K2463" s="116"/>
      <c r="L2463" s="116"/>
      <c r="M2463" s="116"/>
      <c r="N2463" s="116"/>
      <c r="O2463" s="116"/>
      <c r="P2463" s="116"/>
    </row>
    <row r="2464" spans="2:16" s="108" customFormat="1" ht="21.75" hidden="1" customHeight="1">
      <c r="B2464" s="109"/>
      <c r="C2464" s="122"/>
      <c r="D2464" s="123" t="s">
        <v>1855</v>
      </c>
      <c r="E2464" s="696">
        <v>50000000</v>
      </c>
      <c r="F2464" s="125">
        <v>43402635532.330002</v>
      </c>
      <c r="G2464" s="126">
        <f t="shared" si="47"/>
        <v>0.1152003775502428</v>
      </c>
      <c r="H2464" s="120"/>
      <c r="I2464" s="120"/>
      <c r="J2464" s="116"/>
      <c r="K2464" s="116"/>
      <c r="L2464" s="116"/>
      <c r="M2464" s="116"/>
      <c r="N2464" s="116"/>
      <c r="O2464" s="116"/>
      <c r="P2464" s="116"/>
    </row>
    <row r="2465" spans="2:16" s="108" customFormat="1" ht="15" hidden="1" customHeight="1">
      <c r="B2465" s="109"/>
      <c r="C2465" s="122"/>
      <c r="D2465" s="111"/>
      <c r="E2465" s="120"/>
      <c r="F2465" s="125"/>
      <c r="G2465" s="126"/>
      <c r="H2465" s="120"/>
      <c r="I2465" s="120"/>
      <c r="J2465" s="116"/>
      <c r="K2465" s="116"/>
      <c r="L2465" s="116"/>
      <c r="M2465" s="116"/>
      <c r="N2465" s="116"/>
      <c r="O2465" s="116"/>
      <c r="P2465" s="116"/>
    </row>
    <row r="2466" spans="2:16" s="108" customFormat="1" ht="21.75" hidden="1" customHeight="1">
      <c r="B2466" s="109"/>
      <c r="C2466" s="122"/>
      <c r="D2466" s="111" t="s">
        <v>987</v>
      </c>
      <c r="E2466" s="120">
        <f>E2467</f>
        <v>3000000000</v>
      </c>
      <c r="F2466" s="125">
        <v>43402635532.330002</v>
      </c>
      <c r="G2466" s="126">
        <f t="shared" si="47"/>
        <v>6.9120226530145681</v>
      </c>
      <c r="H2466" s="120"/>
      <c r="I2466" s="120"/>
      <c r="J2466" s="116"/>
      <c r="K2466" s="116"/>
      <c r="L2466" s="116"/>
      <c r="M2466" s="116"/>
      <c r="N2466" s="116"/>
      <c r="O2466" s="116"/>
      <c r="P2466" s="116"/>
    </row>
    <row r="2467" spans="2:16" s="108" customFormat="1" ht="21.75" hidden="1" customHeight="1">
      <c r="B2467" s="109"/>
      <c r="C2467" s="122"/>
      <c r="D2467" s="111" t="s">
        <v>1856</v>
      </c>
      <c r="E2467" s="120">
        <f>E2468</f>
        <v>3000000000</v>
      </c>
      <c r="F2467" s="125">
        <v>43402635532.330002</v>
      </c>
      <c r="G2467" s="126">
        <f t="shared" si="47"/>
        <v>6.9120226530145681</v>
      </c>
      <c r="H2467" s="120"/>
      <c r="I2467" s="120"/>
      <c r="J2467" s="116"/>
      <c r="K2467" s="116"/>
      <c r="L2467" s="116"/>
      <c r="M2467" s="116"/>
      <c r="N2467" s="116"/>
      <c r="O2467" s="116"/>
      <c r="P2467" s="116"/>
    </row>
    <row r="2468" spans="2:16" s="108" customFormat="1" ht="21.75" hidden="1" customHeight="1">
      <c r="B2468" s="109"/>
      <c r="C2468" s="122"/>
      <c r="D2468" s="57" t="s">
        <v>1857</v>
      </c>
      <c r="E2468" s="115">
        <v>3000000000</v>
      </c>
      <c r="F2468" s="125">
        <v>43402635532.330002</v>
      </c>
      <c r="G2468" s="126">
        <f t="shared" si="47"/>
        <v>6.9120226530145681</v>
      </c>
      <c r="H2468" s="120"/>
      <c r="I2468" s="120"/>
      <c r="J2468" s="116"/>
      <c r="K2468" s="116"/>
      <c r="L2468" s="116"/>
      <c r="M2468" s="116"/>
      <c r="N2468" s="116"/>
      <c r="O2468" s="116"/>
      <c r="P2468" s="116"/>
    </row>
    <row r="2469" spans="2:16" s="108" customFormat="1" ht="15" hidden="1" customHeight="1">
      <c r="B2469" s="109"/>
      <c r="C2469" s="122"/>
      <c r="D2469" s="111"/>
      <c r="E2469" s="120"/>
      <c r="F2469" s="125">
        <v>43402635532.330002</v>
      </c>
      <c r="G2469" s="126">
        <f t="shared" si="47"/>
        <v>0</v>
      </c>
      <c r="H2469" s="120"/>
      <c r="I2469" s="120"/>
      <c r="J2469" s="116"/>
      <c r="K2469" s="116"/>
      <c r="L2469" s="116"/>
      <c r="M2469" s="116"/>
      <c r="N2469" s="116"/>
      <c r="O2469" s="116"/>
      <c r="P2469" s="116"/>
    </row>
    <row r="2470" spans="2:16" s="108" customFormat="1" ht="21.75" hidden="1" customHeight="1">
      <c r="B2470" s="109"/>
      <c r="C2470" s="122"/>
      <c r="D2470" s="111" t="s">
        <v>987</v>
      </c>
      <c r="E2470" s="120">
        <f>SUM(E2471,E2473)</f>
        <v>1000000000</v>
      </c>
      <c r="F2470" s="125">
        <v>43402635532.330002</v>
      </c>
      <c r="G2470" s="126">
        <f t="shared" si="47"/>
        <v>2.3040075510048563</v>
      </c>
      <c r="H2470" s="120"/>
      <c r="I2470" s="120"/>
      <c r="J2470" s="116"/>
      <c r="K2470" s="116"/>
      <c r="L2470" s="116"/>
      <c r="M2470" s="116"/>
      <c r="N2470" s="116"/>
      <c r="O2470" s="116"/>
      <c r="P2470" s="116"/>
    </row>
    <row r="2471" spans="2:16" s="108" customFormat="1" ht="21.75" hidden="1" customHeight="1">
      <c r="B2471" s="109"/>
      <c r="C2471" s="122"/>
      <c r="D2471" s="111" t="s">
        <v>1653</v>
      </c>
      <c r="E2471" s="120">
        <f>E2472</f>
        <v>400000000</v>
      </c>
      <c r="F2471" s="125">
        <v>43402635532.330002</v>
      </c>
      <c r="G2471" s="126">
        <f t="shared" si="47"/>
        <v>0.92160302040194242</v>
      </c>
      <c r="H2471" s="120"/>
      <c r="I2471" s="120"/>
      <c r="J2471" s="116"/>
      <c r="K2471" s="116"/>
      <c r="L2471" s="116"/>
      <c r="M2471" s="116"/>
      <c r="N2471" s="116"/>
      <c r="O2471" s="116"/>
      <c r="P2471" s="116"/>
    </row>
    <row r="2472" spans="2:16" s="108" customFormat="1" ht="33.75" hidden="1" customHeight="1">
      <c r="B2472" s="109"/>
      <c r="C2472" s="122"/>
      <c r="D2472" s="123" t="s">
        <v>1858</v>
      </c>
      <c r="E2472" s="115">
        <v>400000000</v>
      </c>
      <c r="F2472" s="125">
        <v>43402635532.330002</v>
      </c>
      <c r="G2472" s="126">
        <f t="shared" si="47"/>
        <v>0.92160302040194242</v>
      </c>
      <c r="H2472" s="120"/>
      <c r="I2472" s="120"/>
      <c r="J2472" s="116"/>
      <c r="K2472" s="116"/>
      <c r="L2472" s="116"/>
      <c r="M2472" s="116"/>
      <c r="N2472" s="116"/>
      <c r="O2472" s="116"/>
      <c r="P2472" s="116"/>
    </row>
    <row r="2473" spans="2:16" s="108" customFormat="1" ht="21.75" hidden="1" customHeight="1">
      <c r="B2473" s="109"/>
      <c r="C2473" s="122"/>
      <c r="D2473" s="111" t="s">
        <v>1859</v>
      </c>
      <c r="E2473" s="120">
        <f>SUM(E2474:E2477)</f>
        <v>600000000</v>
      </c>
      <c r="F2473" s="125">
        <v>43402635532.330002</v>
      </c>
      <c r="G2473" s="126">
        <f t="shared" si="47"/>
        <v>1.3824045306029138</v>
      </c>
      <c r="H2473" s="120"/>
      <c r="I2473" s="120"/>
      <c r="J2473" s="116"/>
      <c r="K2473" s="116"/>
      <c r="L2473" s="116"/>
      <c r="M2473" s="116"/>
      <c r="N2473" s="116"/>
      <c r="O2473" s="116"/>
      <c r="P2473" s="116"/>
    </row>
    <row r="2474" spans="2:16" s="108" customFormat="1" ht="21.75" hidden="1" customHeight="1">
      <c r="B2474" s="109"/>
      <c r="C2474" s="122"/>
      <c r="D2474" s="123" t="s">
        <v>1860</v>
      </c>
      <c r="E2474" s="696">
        <v>141800000</v>
      </c>
      <c r="F2474" s="125">
        <v>43402635532.330002</v>
      </c>
      <c r="G2474" s="126">
        <f t="shared" si="47"/>
        <v>0.32670827073248859</v>
      </c>
      <c r="H2474" s="120"/>
      <c r="I2474" s="120"/>
      <c r="J2474" s="116"/>
      <c r="K2474" s="116"/>
      <c r="L2474" s="116"/>
      <c r="M2474" s="116"/>
      <c r="N2474" s="116"/>
      <c r="O2474" s="116"/>
      <c r="P2474" s="116"/>
    </row>
    <row r="2475" spans="2:16" s="108" customFormat="1" ht="21.75" hidden="1" customHeight="1">
      <c r="B2475" s="109"/>
      <c r="C2475" s="122"/>
      <c r="D2475" s="123" t="s">
        <v>1861</v>
      </c>
      <c r="E2475" s="696">
        <v>142800000</v>
      </c>
      <c r="F2475" s="125">
        <v>43402635532.330002</v>
      </c>
      <c r="G2475" s="126">
        <f t="shared" si="47"/>
        <v>0.3290122782834935</v>
      </c>
      <c r="H2475" s="120"/>
      <c r="I2475" s="120"/>
      <c r="J2475" s="116"/>
      <c r="K2475" s="116"/>
      <c r="L2475" s="116"/>
      <c r="M2475" s="116"/>
      <c r="N2475" s="116"/>
      <c r="O2475" s="116"/>
      <c r="P2475" s="116"/>
    </row>
    <row r="2476" spans="2:16" s="108" customFormat="1" ht="21.75" hidden="1" customHeight="1">
      <c r="B2476" s="109"/>
      <c r="C2476" s="122"/>
      <c r="D2476" s="123" t="s">
        <v>1862</v>
      </c>
      <c r="E2476" s="696">
        <v>115400000</v>
      </c>
      <c r="F2476" s="125">
        <v>43402635532.330002</v>
      </c>
      <c r="G2476" s="126">
        <f t="shared" si="47"/>
        <v>0.26588247138596038</v>
      </c>
      <c r="H2476" s="120"/>
      <c r="I2476" s="120"/>
      <c r="J2476" s="116"/>
      <c r="K2476" s="116"/>
      <c r="L2476" s="116"/>
      <c r="M2476" s="116"/>
      <c r="N2476" s="116"/>
      <c r="O2476" s="116"/>
      <c r="P2476" s="116"/>
    </row>
    <row r="2477" spans="2:16" s="108" customFormat="1" ht="21.75" hidden="1" customHeight="1">
      <c r="B2477" s="109"/>
      <c r="C2477" s="122"/>
      <c r="D2477" s="123" t="s">
        <v>1863</v>
      </c>
      <c r="E2477" s="696">
        <v>200000000</v>
      </c>
      <c r="F2477" s="125">
        <v>43402635532.330002</v>
      </c>
      <c r="G2477" s="126">
        <f t="shared" si="47"/>
        <v>0.46080151020097121</v>
      </c>
      <c r="H2477" s="120"/>
      <c r="I2477" s="120"/>
      <c r="J2477" s="116"/>
      <c r="K2477" s="116"/>
      <c r="L2477" s="116"/>
      <c r="M2477" s="116"/>
      <c r="N2477" s="116"/>
      <c r="O2477" s="116"/>
      <c r="P2477" s="116"/>
    </row>
    <row r="2478" spans="2:16" s="108" customFormat="1" ht="15" hidden="1" customHeight="1">
      <c r="B2478" s="109"/>
      <c r="C2478" s="122"/>
      <c r="D2478" s="111"/>
      <c r="E2478" s="120"/>
      <c r="F2478" s="125">
        <v>43402635532.330002</v>
      </c>
      <c r="G2478" s="126">
        <f t="shared" si="47"/>
        <v>0</v>
      </c>
      <c r="H2478" s="120"/>
      <c r="I2478" s="120"/>
      <c r="J2478" s="116"/>
      <c r="K2478" s="116"/>
      <c r="L2478" s="116"/>
      <c r="M2478" s="116"/>
      <c r="N2478" s="116"/>
      <c r="O2478" s="116"/>
      <c r="P2478" s="116"/>
    </row>
    <row r="2479" spans="2:16" s="108" customFormat="1" ht="21.75" hidden="1" customHeight="1">
      <c r="B2479" s="109"/>
      <c r="C2479" s="122"/>
      <c r="D2479" s="111" t="s">
        <v>898</v>
      </c>
      <c r="E2479" s="120">
        <f>E2480</f>
        <v>300000000</v>
      </c>
      <c r="F2479" s="125">
        <v>43402635532.330002</v>
      </c>
      <c r="G2479" s="126">
        <f t="shared" si="47"/>
        <v>0.6912022653014569</v>
      </c>
      <c r="H2479" s="120"/>
      <c r="I2479" s="120"/>
      <c r="J2479" s="116"/>
      <c r="K2479" s="116"/>
      <c r="L2479" s="116"/>
      <c r="M2479" s="116"/>
      <c r="N2479" s="116"/>
      <c r="O2479" s="116"/>
      <c r="P2479" s="116"/>
    </row>
    <row r="2480" spans="2:16" s="108" customFormat="1" ht="30.75" hidden="1" customHeight="1">
      <c r="B2480" s="109"/>
      <c r="C2480" s="122"/>
      <c r="D2480" s="111" t="s">
        <v>1864</v>
      </c>
      <c r="E2480" s="120">
        <f>E2481</f>
        <v>300000000</v>
      </c>
      <c r="F2480" s="125">
        <v>43402635532.330002</v>
      </c>
      <c r="G2480" s="126">
        <f t="shared" si="47"/>
        <v>0.6912022653014569</v>
      </c>
      <c r="H2480" s="120"/>
      <c r="I2480" s="120"/>
      <c r="J2480" s="116"/>
      <c r="K2480" s="116"/>
      <c r="L2480" s="116"/>
      <c r="M2480" s="116"/>
      <c r="N2480" s="116"/>
      <c r="O2480" s="116"/>
      <c r="P2480" s="116"/>
    </row>
    <row r="2481" spans="2:16" s="108" customFormat="1" ht="47.25" hidden="1" customHeight="1">
      <c r="B2481" s="109"/>
      <c r="C2481" s="122"/>
      <c r="D2481" s="123" t="s">
        <v>900</v>
      </c>
      <c r="E2481" s="115">
        <v>300000000</v>
      </c>
      <c r="F2481" s="125">
        <v>43402635532.330002</v>
      </c>
      <c r="G2481" s="126">
        <f t="shared" si="47"/>
        <v>0.6912022653014569</v>
      </c>
      <c r="H2481" s="120"/>
      <c r="I2481" s="120"/>
      <c r="J2481" s="116"/>
      <c r="K2481" s="116"/>
      <c r="L2481" s="116"/>
      <c r="M2481" s="116"/>
      <c r="N2481" s="116"/>
      <c r="O2481" s="116"/>
      <c r="P2481" s="116"/>
    </row>
    <row r="2482" spans="2:16" s="108" customFormat="1" ht="15" hidden="1" customHeight="1">
      <c r="B2482" s="109"/>
      <c r="C2482" s="122"/>
      <c r="D2482" s="111"/>
      <c r="E2482" s="120"/>
      <c r="F2482" s="125">
        <v>43402635532.330002</v>
      </c>
      <c r="G2482" s="126">
        <f t="shared" si="47"/>
        <v>0</v>
      </c>
      <c r="H2482" s="120"/>
      <c r="I2482" s="120"/>
      <c r="J2482" s="116"/>
      <c r="K2482" s="116"/>
      <c r="L2482" s="116"/>
      <c r="M2482" s="116"/>
      <c r="N2482" s="116"/>
      <c r="O2482" s="116"/>
      <c r="P2482" s="116"/>
    </row>
    <row r="2483" spans="2:16" s="108" customFormat="1" ht="21.75" hidden="1" customHeight="1">
      <c r="B2483" s="109"/>
      <c r="C2483" s="122"/>
      <c r="D2483" s="111" t="s">
        <v>366</v>
      </c>
      <c r="E2483" s="120">
        <f>SUM(E2484,E2487)</f>
        <v>1569352712.3299999</v>
      </c>
      <c r="F2483" s="125">
        <v>43402635532.330002</v>
      </c>
      <c r="G2483" s="126">
        <f t="shared" si="47"/>
        <v>3.6158004993982718</v>
      </c>
      <c r="H2483" s="120"/>
      <c r="I2483" s="120"/>
      <c r="J2483" s="116"/>
      <c r="K2483" s="116"/>
      <c r="L2483" s="116"/>
      <c r="M2483" s="116"/>
      <c r="N2483" s="116"/>
      <c r="O2483" s="116"/>
      <c r="P2483" s="116"/>
    </row>
    <row r="2484" spans="2:16" s="108" customFormat="1" ht="21.75" hidden="1" customHeight="1">
      <c r="B2484" s="109"/>
      <c r="C2484" s="122"/>
      <c r="D2484" s="111" t="s">
        <v>509</v>
      </c>
      <c r="E2484" s="120">
        <f>SUM(E2485:E2486)</f>
        <v>868052712.32999992</v>
      </c>
      <c r="F2484" s="125">
        <v>43402635532.330002</v>
      </c>
      <c r="G2484" s="126">
        <f t="shared" si="47"/>
        <v>2.0000000038785659</v>
      </c>
      <c r="H2484" s="120"/>
      <c r="I2484" s="120"/>
      <c r="J2484" s="116"/>
      <c r="K2484" s="116"/>
      <c r="L2484" s="116"/>
      <c r="M2484" s="116"/>
      <c r="N2484" s="116"/>
      <c r="O2484" s="116"/>
      <c r="P2484" s="116"/>
    </row>
    <row r="2485" spans="2:16" s="108" customFormat="1" ht="40.5" hidden="1" customHeight="1">
      <c r="B2485" s="109"/>
      <c r="C2485" s="122"/>
      <c r="D2485" s="123" t="s">
        <v>1865</v>
      </c>
      <c r="E2485" s="696">
        <v>467038880</v>
      </c>
      <c r="F2485" s="125">
        <v>43402635532.330002</v>
      </c>
      <c r="G2485" s="126">
        <f t="shared" si="47"/>
        <v>1.0760611061328509</v>
      </c>
      <c r="H2485" s="120"/>
      <c r="I2485" s="120"/>
      <c r="J2485" s="116"/>
      <c r="K2485" s="116"/>
      <c r="L2485" s="116"/>
      <c r="M2485" s="116"/>
      <c r="N2485" s="116"/>
      <c r="O2485" s="116"/>
      <c r="P2485" s="116"/>
    </row>
    <row r="2486" spans="2:16" s="108" customFormat="1" ht="50.25" hidden="1" customHeight="1">
      <c r="B2486" s="109"/>
      <c r="C2486" s="122"/>
      <c r="D2486" s="123" t="s">
        <v>1866</v>
      </c>
      <c r="E2486" s="696">
        <v>401013832.32999998</v>
      </c>
      <c r="F2486" s="125">
        <v>43402635532.330002</v>
      </c>
      <c r="G2486" s="126">
        <f t="shared" si="47"/>
        <v>0.92393889774571525</v>
      </c>
      <c r="H2486" s="120"/>
      <c r="I2486" s="120"/>
      <c r="J2486" s="116"/>
      <c r="K2486" s="116"/>
      <c r="L2486" s="116"/>
      <c r="M2486" s="116"/>
      <c r="N2486" s="116"/>
      <c r="O2486" s="116"/>
      <c r="P2486" s="116"/>
    </row>
    <row r="2487" spans="2:16" s="108" customFormat="1" ht="21.75" hidden="1" customHeight="1">
      <c r="B2487" s="109"/>
      <c r="C2487" s="122"/>
      <c r="D2487" s="111" t="s">
        <v>1745</v>
      </c>
      <c r="E2487" s="120">
        <f>SUM(E2488:E2489)</f>
        <v>701300000</v>
      </c>
      <c r="F2487" s="125">
        <v>43402635532.330002</v>
      </c>
      <c r="G2487" s="126">
        <f t="shared" si="47"/>
        <v>1.6158004955197056</v>
      </c>
      <c r="H2487" s="120"/>
      <c r="I2487" s="120"/>
      <c r="J2487" s="116"/>
      <c r="K2487" s="116"/>
      <c r="L2487" s="116"/>
      <c r="M2487" s="116"/>
      <c r="N2487" s="116"/>
      <c r="O2487" s="116"/>
      <c r="P2487" s="116"/>
    </row>
    <row r="2488" spans="2:16" s="108" customFormat="1" ht="40.5" hidden="1" customHeight="1">
      <c r="B2488" s="109"/>
      <c r="C2488" s="122"/>
      <c r="D2488" s="123" t="s">
        <v>1867</v>
      </c>
      <c r="E2488" s="696">
        <v>462800000</v>
      </c>
      <c r="F2488" s="125">
        <v>43402635532.330002</v>
      </c>
      <c r="G2488" s="126">
        <f t="shared" si="47"/>
        <v>1.0662946946050473</v>
      </c>
      <c r="H2488" s="120"/>
      <c r="I2488" s="120"/>
      <c r="J2488" s="116"/>
      <c r="K2488" s="116"/>
      <c r="L2488" s="116"/>
      <c r="M2488" s="116"/>
      <c r="N2488" s="116"/>
      <c r="O2488" s="116"/>
      <c r="P2488" s="116"/>
    </row>
    <row r="2489" spans="2:16" s="108" customFormat="1" ht="52.5" hidden="1" customHeight="1">
      <c r="B2489" s="109"/>
      <c r="C2489" s="122"/>
      <c r="D2489" s="123" t="s">
        <v>1868</v>
      </c>
      <c r="E2489" s="696">
        <v>238500000</v>
      </c>
      <c r="F2489" s="125">
        <v>43402635532.330002</v>
      </c>
      <c r="G2489" s="126">
        <f t="shared" si="47"/>
        <v>0.54950580091465817</v>
      </c>
      <c r="H2489" s="120"/>
      <c r="I2489" s="120"/>
      <c r="J2489" s="116"/>
      <c r="K2489" s="116"/>
      <c r="L2489" s="116"/>
      <c r="M2489" s="116"/>
      <c r="N2489" s="116"/>
      <c r="O2489" s="116"/>
      <c r="P2489" s="116"/>
    </row>
    <row r="2490" spans="2:16" s="108" customFormat="1" ht="15" hidden="1" customHeight="1">
      <c r="B2490" s="109"/>
      <c r="C2490" s="122"/>
      <c r="D2490" s="123"/>
      <c r="E2490" s="125"/>
      <c r="F2490" s="113"/>
      <c r="G2490" s="126"/>
      <c r="H2490" s="120"/>
      <c r="I2490" s="120"/>
      <c r="J2490" s="116"/>
      <c r="K2490" s="116"/>
      <c r="L2490" s="116"/>
      <c r="M2490" s="116"/>
      <c r="N2490" s="116"/>
      <c r="O2490" s="116"/>
      <c r="P2490" s="116"/>
    </row>
    <row r="2491" spans="2:16" s="108" customFormat="1" ht="21.75" hidden="1" customHeight="1">
      <c r="B2491" s="109"/>
      <c r="C2491" s="122" t="s">
        <v>1869</v>
      </c>
      <c r="D2491" s="150" t="s">
        <v>1870</v>
      </c>
      <c r="E2491" s="781">
        <f>+E2492+E2503+E2519+E2527+E2535+E2539+E2550+E2559+E2563+E2567+E2572+E2580+E2584+E2588+E2592</f>
        <v>59066221758.909996</v>
      </c>
      <c r="F2491" s="113">
        <v>1557405258400.0002</v>
      </c>
      <c r="G2491" s="126">
        <f>+E2491/F2491*100</f>
        <v>3.7926044900857505</v>
      </c>
      <c r="H2491" s="47"/>
      <c r="I2491" s="120"/>
      <c r="J2491" s="116"/>
      <c r="K2491" s="116"/>
      <c r="L2491" s="116"/>
      <c r="M2491" s="116"/>
      <c r="N2491" s="116"/>
      <c r="O2491" s="116"/>
      <c r="P2491" s="116"/>
    </row>
    <row r="2492" spans="2:16" s="108" customFormat="1" ht="21.75" hidden="1" customHeight="1">
      <c r="B2492" s="109"/>
      <c r="C2492" s="122"/>
      <c r="D2492" s="237" t="s">
        <v>64</v>
      </c>
      <c r="E2492" s="781">
        <f>+E2493+E2498</f>
        <v>17719866527.669998</v>
      </c>
      <c r="F2492" s="134">
        <v>59066221758.909996</v>
      </c>
      <c r="G2492" s="126">
        <f>+E2492/F2492*100</f>
        <v>29.99999999999492</v>
      </c>
      <c r="H2492" s="120"/>
      <c r="I2492" s="120"/>
      <c r="J2492" s="116"/>
      <c r="K2492" s="116"/>
      <c r="L2492" s="116"/>
      <c r="M2492" s="116"/>
      <c r="N2492" s="116"/>
      <c r="O2492" s="116"/>
      <c r="P2492" s="116"/>
    </row>
    <row r="2493" spans="2:16" s="108" customFormat="1" ht="21.75" hidden="1" customHeight="1">
      <c r="B2493" s="109"/>
      <c r="C2493" s="122"/>
      <c r="D2493" s="237" t="s">
        <v>1212</v>
      </c>
      <c r="E2493" s="710">
        <f>SUM(E2494:E2497)</f>
        <v>14819445562.25</v>
      </c>
      <c r="F2493" s="134">
        <v>59066221758.909996</v>
      </c>
      <c r="G2493" s="126">
        <f t="shared" ref="G2493:G2555" si="48">+E2493/F2493*100</f>
        <v>25.089543771291794</v>
      </c>
      <c r="H2493" s="120"/>
      <c r="I2493" s="120"/>
      <c r="J2493" s="116"/>
      <c r="K2493" s="116"/>
      <c r="L2493" s="116"/>
      <c r="M2493" s="116"/>
      <c r="N2493" s="116"/>
      <c r="O2493" s="116"/>
      <c r="P2493" s="116"/>
    </row>
    <row r="2494" spans="2:16" s="108" customFormat="1" ht="21.75" hidden="1" customHeight="1">
      <c r="B2494" s="109"/>
      <c r="C2494" s="122"/>
      <c r="D2494" s="238" t="s">
        <v>1871</v>
      </c>
      <c r="E2494" s="711">
        <v>2000000052</v>
      </c>
      <c r="F2494" s="134">
        <v>59066221758.909996</v>
      </c>
      <c r="G2494" s="126">
        <f t="shared" si="48"/>
        <v>3.3860301072978398</v>
      </c>
      <c r="H2494" s="120"/>
      <c r="I2494" s="120"/>
      <c r="J2494" s="116"/>
      <c r="K2494" s="116"/>
      <c r="L2494" s="116"/>
      <c r="M2494" s="116"/>
      <c r="N2494" s="116"/>
      <c r="O2494" s="116"/>
      <c r="P2494" s="116"/>
    </row>
    <row r="2495" spans="2:16" s="108" customFormat="1" ht="39" hidden="1" customHeight="1">
      <c r="B2495" s="109"/>
      <c r="C2495" s="122"/>
      <c r="D2495" s="238" t="s">
        <v>2765</v>
      </c>
      <c r="E2495" s="711">
        <v>1033344000</v>
      </c>
      <c r="F2495" s="134">
        <v>59066221758.909996</v>
      </c>
      <c r="G2495" s="126">
        <f t="shared" si="48"/>
        <v>1.7494669021116498</v>
      </c>
      <c r="H2495" s="120"/>
      <c r="I2495" s="120"/>
      <c r="J2495" s="116"/>
      <c r="K2495" s="116"/>
      <c r="L2495" s="116"/>
      <c r="M2495" s="116"/>
      <c r="N2495" s="116"/>
      <c r="O2495" s="116"/>
      <c r="P2495" s="116"/>
    </row>
    <row r="2496" spans="2:16" s="108" customFormat="1" ht="40.5" hidden="1" customHeight="1">
      <c r="B2496" s="109"/>
      <c r="C2496" s="122"/>
      <c r="D2496" s="238" t="s">
        <v>1874</v>
      </c>
      <c r="E2496" s="711">
        <v>262500000</v>
      </c>
      <c r="F2496" s="134">
        <v>59066221758.909996</v>
      </c>
      <c r="G2496" s="126">
        <f t="shared" si="48"/>
        <v>0.444416440028014</v>
      </c>
      <c r="H2496" s="120"/>
      <c r="I2496" s="120"/>
      <c r="J2496" s="116"/>
      <c r="K2496" s="116"/>
      <c r="L2496" s="116"/>
      <c r="M2496" s="116"/>
      <c r="N2496" s="116"/>
      <c r="O2496" s="116"/>
      <c r="P2496" s="116"/>
    </row>
    <row r="2497" spans="2:16" s="108" customFormat="1" ht="21.75" hidden="1" customHeight="1">
      <c r="B2497" s="109"/>
      <c r="C2497" s="122"/>
      <c r="D2497" s="238" t="s">
        <v>1875</v>
      </c>
      <c r="E2497" s="711">
        <v>11523601510.25</v>
      </c>
      <c r="F2497" s="134">
        <v>59066221758.909996</v>
      </c>
      <c r="G2497" s="126">
        <f t="shared" si="48"/>
        <v>19.509630321854289</v>
      </c>
      <c r="H2497" s="120"/>
      <c r="I2497" s="120"/>
      <c r="J2497" s="116"/>
      <c r="K2497" s="116"/>
      <c r="L2497" s="116"/>
      <c r="M2497" s="116"/>
      <c r="N2497" s="116"/>
      <c r="O2497" s="116"/>
      <c r="P2497" s="116"/>
    </row>
    <row r="2498" spans="2:16" s="108" customFormat="1" ht="21.75" hidden="1" customHeight="1">
      <c r="B2498" s="109"/>
      <c r="C2498" s="122"/>
      <c r="D2498" s="237" t="s">
        <v>1876</v>
      </c>
      <c r="E2498" s="710">
        <f>SUM(E2499:E2501)</f>
        <v>2900420965.4200001</v>
      </c>
      <c r="F2498" s="134">
        <v>59066221758.909996</v>
      </c>
      <c r="G2498" s="126">
        <f t="shared" si="48"/>
        <v>4.910456228703131</v>
      </c>
      <c r="H2498" s="120"/>
      <c r="I2498" s="120"/>
      <c r="J2498" s="116"/>
      <c r="K2498" s="116"/>
      <c r="L2498" s="116"/>
      <c r="M2498" s="116"/>
      <c r="N2498" s="116"/>
      <c r="O2498" s="116"/>
      <c r="P2498" s="116"/>
    </row>
    <row r="2499" spans="2:16" s="108" customFormat="1" ht="21.75" hidden="1" customHeight="1">
      <c r="B2499" s="109"/>
      <c r="C2499" s="122"/>
      <c r="D2499" s="238" t="s">
        <v>1871</v>
      </c>
      <c r="E2499" s="711">
        <v>870426000</v>
      </c>
      <c r="F2499" s="134">
        <v>59066221758.909996</v>
      </c>
      <c r="G2499" s="126">
        <f t="shared" si="48"/>
        <v>1.4736442827726632</v>
      </c>
      <c r="H2499" s="120"/>
      <c r="I2499" s="120"/>
      <c r="J2499" s="116"/>
      <c r="K2499" s="116"/>
      <c r="L2499" s="116"/>
      <c r="M2499" s="116"/>
      <c r="N2499" s="116"/>
      <c r="O2499" s="116"/>
      <c r="P2499" s="116"/>
    </row>
    <row r="2500" spans="2:16" s="108" customFormat="1" ht="21.75" hidden="1" customHeight="1">
      <c r="B2500" s="109"/>
      <c r="C2500" s="122"/>
      <c r="D2500" s="238" t="s">
        <v>1877</v>
      </c>
      <c r="E2500" s="711">
        <v>1099994053</v>
      </c>
      <c r="F2500" s="134">
        <v>59066221758.909996</v>
      </c>
      <c r="G2500" s="126">
        <f t="shared" si="48"/>
        <v>1.8623064422333202</v>
      </c>
      <c r="H2500" s="120"/>
      <c r="I2500" s="120"/>
      <c r="J2500" s="116"/>
      <c r="K2500" s="116"/>
      <c r="L2500" s="116"/>
      <c r="M2500" s="116"/>
      <c r="N2500" s="116"/>
      <c r="O2500" s="116"/>
      <c r="P2500" s="116"/>
    </row>
    <row r="2501" spans="2:16" s="108" customFormat="1" ht="21.75" hidden="1" customHeight="1">
      <c r="B2501" s="109"/>
      <c r="C2501" s="122"/>
      <c r="D2501" s="238" t="s">
        <v>1875</v>
      </c>
      <c r="E2501" s="711">
        <v>930000912.41999996</v>
      </c>
      <c r="F2501" s="134">
        <v>59066221758.909996</v>
      </c>
      <c r="G2501" s="126">
        <f t="shared" si="48"/>
        <v>1.5745055036971476</v>
      </c>
      <c r="H2501" s="120"/>
      <c r="I2501" s="120"/>
      <c r="J2501" s="116"/>
      <c r="K2501" s="116"/>
      <c r="L2501" s="116"/>
      <c r="M2501" s="116"/>
      <c r="N2501" s="116"/>
      <c r="O2501" s="116"/>
      <c r="P2501" s="116"/>
    </row>
    <row r="2502" spans="2:16" s="108" customFormat="1" ht="21.75" hidden="1" customHeight="1">
      <c r="B2502" s="109"/>
      <c r="C2502" s="122"/>
      <c r="D2502" s="238"/>
      <c r="E2502" s="711"/>
      <c r="F2502" s="134"/>
      <c r="G2502" s="126"/>
      <c r="H2502" s="120"/>
      <c r="I2502" s="120"/>
      <c r="J2502" s="116"/>
      <c r="K2502" s="116"/>
      <c r="L2502" s="116"/>
      <c r="M2502" s="116"/>
      <c r="N2502" s="116"/>
      <c r="O2502" s="116"/>
      <c r="P2502" s="116"/>
    </row>
    <row r="2503" spans="2:16" s="108" customFormat="1" ht="21.75" hidden="1" customHeight="1">
      <c r="B2503" s="109"/>
      <c r="C2503" s="122"/>
      <c r="D2503" s="237" t="s">
        <v>65</v>
      </c>
      <c r="E2503" s="710">
        <f>+E2504+E2506+E2508+E2514+E2516</f>
        <v>8859933263.8400002</v>
      </c>
      <c r="F2503" s="134">
        <v>59066221758.909996</v>
      </c>
      <c r="G2503" s="126">
        <f t="shared" si="48"/>
        <v>15.000000000005928</v>
      </c>
      <c r="H2503" s="120"/>
      <c r="I2503" s="120"/>
      <c r="J2503" s="116"/>
      <c r="K2503" s="116"/>
      <c r="L2503" s="116"/>
      <c r="M2503" s="116"/>
      <c r="N2503" s="116"/>
      <c r="O2503" s="116"/>
      <c r="P2503" s="116"/>
    </row>
    <row r="2504" spans="2:16" s="108" customFormat="1" ht="21.75" hidden="1" customHeight="1">
      <c r="B2504" s="109"/>
      <c r="C2504" s="122"/>
      <c r="D2504" s="237" t="s">
        <v>1878</v>
      </c>
      <c r="E2504" s="710">
        <f>E2505</f>
        <v>1000000000</v>
      </c>
      <c r="F2504" s="134">
        <v>59066221758.909996</v>
      </c>
      <c r="G2504" s="126">
        <f t="shared" si="48"/>
        <v>1.6930150096305294</v>
      </c>
      <c r="H2504" s="120"/>
      <c r="I2504" s="120"/>
      <c r="J2504" s="116"/>
      <c r="K2504" s="116"/>
      <c r="L2504" s="116"/>
      <c r="M2504" s="116"/>
      <c r="N2504" s="116"/>
      <c r="O2504" s="116"/>
      <c r="P2504" s="116"/>
    </row>
    <row r="2505" spans="2:16" s="108" customFormat="1" ht="21.75" hidden="1" customHeight="1">
      <c r="B2505" s="109"/>
      <c r="C2505" s="122"/>
      <c r="D2505" s="238" t="s">
        <v>1879</v>
      </c>
      <c r="E2505" s="711">
        <v>1000000000</v>
      </c>
      <c r="F2505" s="134">
        <v>59066221758.909996</v>
      </c>
      <c r="G2505" s="126">
        <f t="shared" si="48"/>
        <v>1.6930150096305294</v>
      </c>
      <c r="H2505" s="120"/>
      <c r="I2505" s="120"/>
      <c r="J2505" s="116"/>
      <c r="K2505" s="116"/>
      <c r="L2505" s="116"/>
      <c r="M2505" s="116"/>
      <c r="N2505" s="116"/>
      <c r="O2505" s="116"/>
      <c r="P2505" s="116"/>
    </row>
    <row r="2506" spans="2:16" s="108" customFormat="1" ht="21.75" hidden="1" customHeight="1">
      <c r="B2506" s="109"/>
      <c r="C2506" s="122"/>
      <c r="D2506" s="237" t="s">
        <v>1171</v>
      </c>
      <c r="E2506" s="710">
        <f>E2507</f>
        <v>3540000000</v>
      </c>
      <c r="F2506" s="134">
        <v>59066221758.909996</v>
      </c>
      <c r="G2506" s="126">
        <f t="shared" si="48"/>
        <v>5.9932731340920746</v>
      </c>
      <c r="H2506" s="120"/>
      <c r="I2506" s="120"/>
      <c r="J2506" s="116"/>
      <c r="K2506" s="116"/>
      <c r="L2506" s="116"/>
      <c r="M2506" s="116"/>
      <c r="N2506" s="116"/>
      <c r="O2506" s="116"/>
      <c r="P2506" s="116"/>
    </row>
    <row r="2507" spans="2:16" s="108" customFormat="1" ht="21.75" hidden="1" customHeight="1">
      <c r="B2507" s="109"/>
      <c r="C2507" s="122"/>
      <c r="D2507" s="238" t="s">
        <v>1496</v>
      </c>
      <c r="E2507" s="711">
        <v>3540000000</v>
      </c>
      <c r="F2507" s="134">
        <v>59066221758.909996</v>
      </c>
      <c r="G2507" s="126">
        <f t="shared" si="48"/>
        <v>5.9932731340920746</v>
      </c>
      <c r="H2507" s="120"/>
      <c r="I2507" s="120"/>
      <c r="J2507" s="116"/>
      <c r="K2507" s="116"/>
      <c r="L2507" s="116"/>
      <c r="M2507" s="116"/>
      <c r="N2507" s="116"/>
      <c r="O2507" s="116"/>
      <c r="P2507" s="116"/>
    </row>
    <row r="2508" spans="2:16" s="108" customFormat="1" ht="21.75" hidden="1" customHeight="1">
      <c r="B2508" s="109"/>
      <c r="C2508" s="122"/>
      <c r="D2508" s="237" t="s">
        <v>196</v>
      </c>
      <c r="E2508" s="710">
        <f>SUM(E2509:E2513)</f>
        <v>1773030000</v>
      </c>
      <c r="F2508" s="134">
        <v>59066221758.909996</v>
      </c>
      <c r="G2508" s="126">
        <f t="shared" si="48"/>
        <v>3.001766402525218</v>
      </c>
      <c r="H2508" s="120"/>
      <c r="I2508" s="120"/>
      <c r="J2508" s="116"/>
      <c r="K2508" s="116"/>
      <c r="L2508" s="116"/>
      <c r="M2508" s="116"/>
      <c r="N2508" s="116"/>
      <c r="O2508" s="116"/>
      <c r="P2508" s="116"/>
    </row>
    <row r="2509" spans="2:16" s="108" customFormat="1" ht="21.75" hidden="1" customHeight="1">
      <c r="B2509" s="109"/>
      <c r="C2509" s="122"/>
      <c r="D2509" s="238" t="s">
        <v>1880</v>
      </c>
      <c r="E2509" s="711">
        <v>300000000</v>
      </c>
      <c r="F2509" s="134">
        <v>59066221758.909996</v>
      </c>
      <c r="G2509" s="126">
        <f t="shared" si="48"/>
        <v>0.50790450288915889</v>
      </c>
      <c r="H2509" s="120"/>
      <c r="I2509" s="120"/>
      <c r="J2509" s="116"/>
      <c r="K2509" s="116"/>
      <c r="L2509" s="116"/>
      <c r="M2509" s="116"/>
      <c r="N2509" s="116"/>
      <c r="O2509" s="116"/>
      <c r="P2509" s="116"/>
    </row>
    <row r="2510" spans="2:16" s="108" customFormat="1" ht="21.75" hidden="1" customHeight="1">
      <c r="B2510" s="109"/>
      <c r="C2510" s="122"/>
      <c r="D2510" s="238" t="s">
        <v>1881</v>
      </c>
      <c r="E2510" s="711">
        <v>415000000</v>
      </c>
      <c r="F2510" s="134">
        <v>59066221758.909996</v>
      </c>
      <c r="G2510" s="126">
        <f t="shared" si="48"/>
        <v>0.70260122899666977</v>
      </c>
      <c r="H2510" s="120"/>
      <c r="I2510" s="120"/>
      <c r="J2510" s="116"/>
      <c r="K2510" s="116"/>
      <c r="L2510" s="116"/>
      <c r="M2510" s="116"/>
      <c r="N2510" s="116"/>
      <c r="O2510" s="116"/>
      <c r="P2510" s="116"/>
    </row>
    <row r="2511" spans="2:16" s="108" customFormat="1" ht="21.75" hidden="1" customHeight="1">
      <c r="B2511" s="109"/>
      <c r="C2511" s="122"/>
      <c r="D2511" s="238" t="s">
        <v>1882</v>
      </c>
      <c r="E2511" s="711">
        <v>276000000</v>
      </c>
      <c r="F2511" s="134">
        <v>59066221758.909996</v>
      </c>
      <c r="G2511" s="126">
        <f t="shared" si="48"/>
        <v>0.46727214265802619</v>
      </c>
      <c r="H2511" s="120"/>
      <c r="I2511" s="120"/>
      <c r="J2511" s="116"/>
      <c r="K2511" s="116"/>
      <c r="L2511" s="116"/>
      <c r="M2511" s="116"/>
      <c r="N2511" s="116"/>
      <c r="O2511" s="116"/>
      <c r="P2511" s="116"/>
    </row>
    <row r="2512" spans="2:16" s="108" customFormat="1" ht="21.75" hidden="1" customHeight="1">
      <c r="B2512" s="109"/>
      <c r="C2512" s="122"/>
      <c r="D2512" s="238" t="s">
        <v>1883</v>
      </c>
      <c r="E2512" s="711">
        <v>500020000</v>
      </c>
      <c r="F2512" s="134">
        <v>59066221758.909996</v>
      </c>
      <c r="G2512" s="126">
        <f t="shared" si="48"/>
        <v>0.84654136511545741</v>
      </c>
      <c r="H2512" s="120"/>
      <c r="I2512" s="120"/>
      <c r="J2512" s="116"/>
      <c r="K2512" s="116"/>
      <c r="L2512" s="116"/>
      <c r="M2512" s="116"/>
      <c r="N2512" s="116"/>
      <c r="O2512" s="116"/>
      <c r="P2512" s="116"/>
    </row>
    <row r="2513" spans="2:16" s="108" customFormat="1" ht="21.75" hidden="1" customHeight="1">
      <c r="B2513" s="109"/>
      <c r="C2513" s="122"/>
      <c r="D2513" s="238" t="s">
        <v>1884</v>
      </c>
      <c r="E2513" s="711">
        <v>282010000</v>
      </c>
      <c r="F2513" s="134">
        <v>59066221758.909996</v>
      </c>
      <c r="G2513" s="126">
        <f t="shared" si="48"/>
        <v>0.47744716286590561</v>
      </c>
      <c r="H2513" s="120"/>
      <c r="I2513" s="120"/>
      <c r="J2513" s="116"/>
      <c r="K2513" s="116"/>
      <c r="L2513" s="116"/>
      <c r="M2513" s="116"/>
      <c r="N2513" s="116"/>
      <c r="O2513" s="116"/>
      <c r="P2513" s="116"/>
    </row>
    <row r="2514" spans="2:16" s="108" customFormat="1" ht="21.75" hidden="1" customHeight="1">
      <c r="B2514" s="109"/>
      <c r="C2514" s="122"/>
      <c r="D2514" s="237" t="s">
        <v>190</v>
      </c>
      <c r="E2514" s="710">
        <f>E2515</f>
        <v>1550550000</v>
      </c>
      <c r="F2514" s="134">
        <v>59066221758.909996</v>
      </c>
      <c r="G2514" s="126">
        <f t="shared" si="48"/>
        <v>2.6251044231826173</v>
      </c>
      <c r="H2514" s="120"/>
      <c r="I2514" s="120"/>
      <c r="J2514" s="116"/>
      <c r="K2514" s="116"/>
      <c r="L2514" s="116"/>
      <c r="M2514" s="116"/>
      <c r="N2514" s="116"/>
      <c r="O2514" s="116"/>
      <c r="P2514" s="116"/>
    </row>
    <row r="2515" spans="2:16" s="108" customFormat="1" ht="21.75" hidden="1" customHeight="1">
      <c r="B2515" s="109"/>
      <c r="C2515" s="122"/>
      <c r="D2515" s="238" t="s">
        <v>684</v>
      </c>
      <c r="E2515" s="711">
        <v>1550550000</v>
      </c>
      <c r="F2515" s="134">
        <v>59066221758.909996</v>
      </c>
      <c r="G2515" s="126">
        <f t="shared" si="48"/>
        <v>2.6251044231826173</v>
      </c>
      <c r="H2515" s="120"/>
      <c r="I2515" s="120"/>
      <c r="J2515" s="116"/>
      <c r="K2515" s="116"/>
      <c r="L2515" s="116"/>
      <c r="M2515" s="116"/>
      <c r="N2515" s="116"/>
      <c r="O2515" s="116"/>
      <c r="P2515" s="116"/>
    </row>
    <row r="2516" spans="2:16" s="108" customFormat="1" ht="40.5" hidden="1" customHeight="1">
      <c r="B2516" s="109"/>
      <c r="C2516" s="122"/>
      <c r="D2516" s="237" t="s">
        <v>1885</v>
      </c>
      <c r="E2516" s="710">
        <f>E2517</f>
        <v>996353263.84000003</v>
      </c>
      <c r="F2516" s="134">
        <v>59066221758.909996</v>
      </c>
      <c r="G2516" s="126">
        <f t="shared" si="48"/>
        <v>1.6868410305754873</v>
      </c>
      <c r="H2516" s="120"/>
      <c r="I2516" s="120"/>
      <c r="J2516" s="116"/>
      <c r="K2516" s="116"/>
      <c r="L2516" s="116"/>
      <c r="M2516" s="116"/>
      <c r="N2516" s="116"/>
      <c r="O2516" s="116"/>
      <c r="P2516" s="116"/>
    </row>
    <row r="2517" spans="2:16" s="108" customFormat="1" ht="21.75" hidden="1" customHeight="1">
      <c r="B2517" s="109"/>
      <c r="C2517" s="122"/>
      <c r="D2517" s="238" t="s">
        <v>1886</v>
      </c>
      <c r="E2517" s="711">
        <v>996353263.84000003</v>
      </c>
      <c r="F2517" s="134">
        <v>59066221758.909996</v>
      </c>
      <c r="G2517" s="126">
        <f t="shared" si="48"/>
        <v>1.6868410305754873</v>
      </c>
      <c r="H2517" s="120"/>
      <c r="I2517" s="120"/>
      <c r="J2517" s="116"/>
      <c r="K2517" s="116"/>
      <c r="L2517" s="116"/>
      <c r="M2517" s="116"/>
      <c r="N2517" s="116"/>
      <c r="O2517" s="116"/>
      <c r="P2517" s="116"/>
    </row>
    <row r="2518" spans="2:16" s="108" customFormat="1" ht="21.75" hidden="1" customHeight="1">
      <c r="B2518" s="109"/>
      <c r="C2518" s="122"/>
      <c r="D2518" s="238"/>
      <c r="E2518" s="711"/>
      <c r="F2518" s="134"/>
      <c r="G2518" s="126"/>
      <c r="H2518" s="120"/>
      <c r="I2518" s="120"/>
      <c r="J2518" s="116"/>
      <c r="K2518" s="116"/>
      <c r="L2518" s="116"/>
      <c r="M2518" s="116"/>
      <c r="N2518" s="116"/>
      <c r="O2518" s="116"/>
      <c r="P2518" s="116"/>
    </row>
    <row r="2519" spans="2:16" s="108" customFormat="1" ht="21.75" hidden="1" customHeight="1">
      <c r="B2519" s="109"/>
      <c r="C2519" s="122"/>
      <c r="D2519" s="237" t="s">
        <v>1887</v>
      </c>
      <c r="E2519" s="710">
        <f>+E2520+E2523</f>
        <v>2850382058.6100001</v>
      </c>
      <c r="F2519" s="134">
        <v>59066221758.909996</v>
      </c>
      <c r="G2519" s="126">
        <f t="shared" si="48"/>
        <v>4.8257396084082975</v>
      </c>
      <c r="H2519" s="120"/>
      <c r="I2519" s="120"/>
      <c r="J2519" s="116"/>
      <c r="K2519" s="116"/>
      <c r="L2519" s="116"/>
      <c r="M2519" s="116"/>
      <c r="N2519" s="116"/>
      <c r="O2519" s="116"/>
      <c r="P2519" s="116"/>
    </row>
    <row r="2520" spans="2:16" s="108" customFormat="1" ht="21.75" hidden="1" customHeight="1">
      <c r="B2520" s="109"/>
      <c r="C2520" s="122"/>
      <c r="D2520" s="237" t="s">
        <v>1814</v>
      </c>
      <c r="E2520" s="710">
        <f>+E2521+E2522</f>
        <v>1593832058.6100001</v>
      </c>
      <c r="F2520" s="134">
        <v>59066221758.909996</v>
      </c>
      <c r="G2520" s="126">
        <f t="shared" si="48"/>
        <v>2.6983815980570558</v>
      </c>
      <c r="H2520" s="120"/>
      <c r="I2520" s="120"/>
      <c r="J2520" s="116"/>
      <c r="K2520" s="116"/>
      <c r="L2520" s="116"/>
      <c r="M2520" s="116"/>
      <c r="N2520" s="116"/>
      <c r="O2520" s="116"/>
      <c r="P2520" s="116"/>
    </row>
    <row r="2521" spans="2:16" s="108" customFormat="1" ht="21.75" hidden="1" customHeight="1">
      <c r="B2521" s="109"/>
      <c r="C2521" s="122"/>
      <c r="D2521" s="238" t="s">
        <v>1888</v>
      </c>
      <c r="E2521" s="711">
        <v>868352058.61000001</v>
      </c>
      <c r="F2521" s="134">
        <v>59066221758.909996</v>
      </c>
      <c r="G2521" s="126">
        <f t="shared" si="48"/>
        <v>1.4701330688702992</v>
      </c>
      <c r="H2521" s="120"/>
      <c r="I2521" s="120"/>
      <c r="J2521" s="116"/>
      <c r="K2521" s="116"/>
      <c r="L2521" s="116"/>
      <c r="M2521" s="116"/>
      <c r="N2521" s="116"/>
      <c r="O2521" s="116"/>
      <c r="P2521" s="116"/>
    </row>
    <row r="2522" spans="2:16" s="108" customFormat="1" ht="21.75" hidden="1" customHeight="1">
      <c r="B2522" s="109"/>
      <c r="C2522" s="122"/>
      <c r="D2522" s="238" t="s">
        <v>1889</v>
      </c>
      <c r="E2522" s="711">
        <v>725480000</v>
      </c>
      <c r="F2522" s="134">
        <v>59066221758.909996</v>
      </c>
      <c r="G2522" s="126">
        <f t="shared" si="48"/>
        <v>1.2282485291867566</v>
      </c>
      <c r="H2522" s="120"/>
      <c r="I2522" s="120"/>
      <c r="J2522" s="116"/>
      <c r="K2522" s="116"/>
      <c r="L2522" s="116"/>
      <c r="M2522" s="116"/>
      <c r="N2522" s="116"/>
      <c r="O2522" s="116"/>
      <c r="P2522" s="116"/>
    </row>
    <row r="2523" spans="2:16" s="108" customFormat="1" ht="21.75" hidden="1" customHeight="1">
      <c r="B2523" s="109"/>
      <c r="C2523" s="122"/>
      <c r="D2523" s="237" t="s">
        <v>1433</v>
      </c>
      <c r="E2523" s="710">
        <f>SUM(E2524:E2525)</f>
        <v>1256550000</v>
      </c>
      <c r="F2523" s="134">
        <v>59066221758.909996</v>
      </c>
      <c r="G2523" s="126">
        <f t="shared" si="48"/>
        <v>2.1273580103512417</v>
      </c>
      <c r="H2523" s="120"/>
      <c r="I2523" s="120"/>
      <c r="J2523" s="116"/>
      <c r="K2523" s="116"/>
      <c r="L2523" s="116"/>
      <c r="M2523" s="116"/>
      <c r="N2523" s="116"/>
      <c r="O2523" s="116"/>
      <c r="P2523" s="116"/>
    </row>
    <row r="2524" spans="2:16" s="108" customFormat="1" ht="40.5" hidden="1" customHeight="1">
      <c r="B2524" s="109"/>
      <c r="C2524" s="122"/>
      <c r="D2524" s="238" t="s">
        <v>1890</v>
      </c>
      <c r="E2524" s="711">
        <v>463750000</v>
      </c>
      <c r="F2524" s="134">
        <v>59066221758.909996</v>
      </c>
      <c r="G2524" s="126">
        <f t="shared" si="48"/>
        <v>0.78513571071615817</v>
      </c>
      <c r="H2524" s="120"/>
      <c r="I2524" s="120"/>
      <c r="J2524" s="116"/>
      <c r="K2524" s="116"/>
      <c r="L2524" s="116"/>
      <c r="M2524" s="116"/>
      <c r="N2524" s="116"/>
      <c r="O2524" s="116"/>
      <c r="P2524" s="116"/>
    </row>
    <row r="2525" spans="2:16" s="108" customFormat="1" ht="21.75" hidden="1" customHeight="1">
      <c r="B2525" s="109"/>
      <c r="C2525" s="122"/>
      <c r="D2525" s="238" t="s">
        <v>1891</v>
      </c>
      <c r="E2525" s="711">
        <v>792800000</v>
      </c>
      <c r="F2525" s="134">
        <v>59066221758.909996</v>
      </c>
      <c r="G2525" s="126">
        <f t="shared" si="48"/>
        <v>1.3422222996350839</v>
      </c>
      <c r="H2525" s="120"/>
      <c r="I2525" s="120"/>
      <c r="J2525" s="116"/>
      <c r="K2525" s="116"/>
      <c r="L2525" s="116"/>
      <c r="M2525" s="116"/>
      <c r="N2525" s="116"/>
      <c r="O2525" s="116"/>
      <c r="P2525" s="116"/>
    </row>
    <row r="2526" spans="2:16" s="108" customFormat="1" ht="21.75" hidden="1" customHeight="1">
      <c r="B2526" s="109"/>
      <c r="C2526" s="122"/>
      <c r="D2526" s="238"/>
      <c r="E2526" s="711"/>
      <c r="F2526" s="134">
        <v>59066221758.909996</v>
      </c>
      <c r="G2526" s="126">
        <f t="shared" si="48"/>
        <v>0</v>
      </c>
      <c r="H2526" s="120"/>
      <c r="I2526" s="120"/>
      <c r="J2526" s="116"/>
      <c r="K2526" s="116"/>
      <c r="L2526" s="116"/>
      <c r="M2526" s="116"/>
      <c r="N2526" s="116"/>
      <c r="O2526" s="116"/>
      <c r="P2526" s="116"/>
    </row>
    <row r="2527" spans="2:16" s="108" customFormat="1" ht="21.75" hidden="1" customHeight="1">
      <c r="B2527" s="109"/>
      <c r="C2527" s="122"/>
      <c r="D2527" s="237" t="s">
        <v>822</v>
      </c>
      <c r="E2527" s="710">
        <f>+E2528+E2530+E2532</f>
        <v>2850580000</v>
      </c>
      <c r="F2527" s="134">
        <v>59066221758.909996</v>
      </c>
      <c r="G2527" s="126">
        <f t="shared" si="48"/>
        <v>4.8260747261525943</v>
      </c>
      <c r="H2527" s="120"/>
      <c r="I2527" s="120"/>
      <c r="J2527" s="116"/>
      <c r="K2527" s="116"/>
      <c r="L2527" s="116"/>
      <c r="M2527" s="116"/>
      <c r="N2527" s="116"/>
      <c r="O2527" s="116"/>
      <c r="P2527" s="116"/>
    </row>
    <row r="2528" spans="2:16" s="108" customFormat="1" ht="21.75" hidden="1" customHeight="1">
      <c r="B2528" s="109"/>
      <c r="C2528" s="122"/>
      <c r="D2528" s="237" t="s">
        <v>1420</v>
      </c>
      <c r="E2528" s="710">
        <f>E2529</f>
        <v>779005000</v>
      </c>
      <c r="F2528" s="134">
        <v>59066221758.909996</v>
      </c>
      <c r="G2528" s="126">
        <f t="shared" si="48"/>
        <v>1.3188671575772308</v>
      </c>
      <c r="H2528" s="120"/>
      <c r="I2528" s="120"/>
      <c r="J2528" s="116"/>
      <c r="K2528" s="116"/>
      <c r="L2528" s="116"/>
      <c r="M2528" s="116"/>
      <c r="N2528" s="116"/>
      <c r="O2528" s="116"/>
      <c r="P2528" s="116"/>
    </row>
    <row r="2529" spans="2:16" s="108" customFormat="1" ht="21.75" hidden="1" customHeight="1">
      <c r="B2529" s="109"/>
      <c r="C2529" s="122"/>
      <c r="D2529" s="238" t="s">
        <v>1421</v>
      </c>
      <c r="E2529" s="711">
        <v>779005000</v>
      </c>
      <c r="F2529" s="134">
        <v>59066221758.909996</v>
      </c>
      <c r="G2529" s="126">
        <f t="shared" si="48"/>
        <v>1.3188671575772308</v>
      </c>
      <c r="H2529" s="120"/>
      <c r="I2529" s="120"/>
      <c r="J2529" s="116"/>
      <c r="K2529" s="116"/>
      <c r="L2529" s="116"/>
      <c r="M2529" s="116"/>
      <c r="N2529" s="116"/>
      <c r="O2529" s="116"/>
      <c r="P2529" s="116"/>
    </row>
    <row r="2530" spans="2:16" s="108" customFormat="1" ht="21.75" hidden="1" customHeight="1">
      <c r="B2530" s="109"/>
      <c r="C2530" s="122"/>
      <c r="D2530" s="237" t="s">
        <v>1192</v>
      </c>
      <c r="E2530" s="710">
        <f>E2531</f>
        <v>1022050000</v>
      </c>
      <c r="F2530" s="134">
        <v>59066221758.909996</v>
      </c>
      <c r="G2530" s="126">
        <f t="shared" si="48"/>
        <v>1.7303459905928829</v>
      </c>
      <c r="H2530" s="120"/>
      <c r="I2530" s="120"/>
      <c r="J2530" s="116"/>
      <c r="K2530" s="116"/>
      <c r="L2530" s="116"/>
      <c r="M2530" s="116"/>
      <c r="N2530" s="116"/>
      <c r="O2530" s="116"/>
      <c r="P2530" s="116"/>
    </row>
    <row r="2531" spans="2:16" s="108" customFormat="1" ht="21.75" hidden="1" customHeight="1">
      <c r="B2531" s="109"/>
      <c r="C2531" s="122"/>
      <c r="D2531" s="238" t="s">
        <v>1892</v>
      </c>
      <c r="E2531" s="711">
        <v>1022050000</v>
      </c>
      <c r="F2531" s="134">
        <v>59066221758.909996</v>
      </c>
      <c r="G2531" s="126">
        <f t="shared" si="48"/>
        <v>1.7303459905928829</v>
      </c>
      <c r="H2531" s="120"/>
      <c r="I2531" s="120"/>
      <c r="J2531" s="116"/>
      <c r="K2531" s="116"/>
      <c r="L2531" s="116"/>
      <c r="M2531" s="116"/>
      <c r="N2531" s="116"/>
      <c r="O2531" s="116"/>
      <c r="P2531" s="116"/>
    </row>
    <row r="2532" spans="2:16" s="108" customFormat="1" ht="21.75" hidden="1" customHeight="1">
      <c r="B2532" s="109"/>
      <c r="C2532" s="122"/>
      <c r="D2532" s="237" t="s">
        <v>471</v>
      </c>
      <c r="E2532" s="710">
        <f>E2533</f>
        <v>1049525000</v>
      </c>
      <c r="F2532" s="134">
        <v>59066221758.909996</v>
      </c>
      <c r="G2532" s="126">
        <f t="shared" si="48"/>
        <v>1.7768615779824815</v>
      </c>
      <c r="H2532" s="120"/>
      <c r="I2532" s="120"/>
      <c r="J2532" s="116"/>
      <c r="K2532" s="116"/>
      <c r="L2532" s="116"/>
      <c r="M2532" s="116"/>
      <c r="N2532" s="116"/>
      <c r="O2532" s="116"/>
      <c r="P2532" s="116"/>
    </row>
    <row r="2533" spans="2:16" s="108" customFormat="1" ht="21.75" hidden="1" customHeight="1">
      <c r="B2533" s="109"/>
      <c r="C2533" s="122"/>
      <c r="D2533" s="238" t="s">
        <v>472</v>
      </c>
      <c r="E2533" s="711">
        <v>1049525000</v>
      </c>
      <c r="F2533" s="134">
        <v>59066221758.909996</v>
      </c>
      <c r="G2533" s="126">
        <f t="shared" si="48"/>
        <v>1.7768615779824815</v>
      </c>
      <c r="H2533" s="120"/>
      <c r="I2533" s="120"/>
      <c r="J2533" s="116"/>
      <c r="K2533" s="116"/>
      <c r="L2533" s="116"/>
      <c r="M2533" s="116"/>
      <c r="N2533" s="116"/>
      <c r="O2533" s="116"/>
      <c r="P2533" s="116"/>
    </row>
    <row r="2534" spans="2:16" s="108" customFormat="1" ht="21.75" hidden="1" customHeight="1">
      <c r="B2534" s="109"/>
      <c r="C2534" s="122"/>
      <c r="D2534" s="238"/>
      <c r="E2534" s="711"/>
      <c r="F2534" s="134">
        <v>59066221758.909996</v>
      </c>
      <c r="G2534" s="126">
        <f t="shared" si="48"/>
        <v>0</v>
      </c>
      <c r="H2534" s="120"/>
      <c r="I2534" s="120"/>
      <c r="J2534" s="116"/>
      <c r="K2534" s="116"/>
      <c r="L2534" s="116"/>
      <c r="M2534" s="116"/>
      <c r="N2534" s="116"/>
      <c r="O2534" s="116"/>
      <c r="P2534" s="116"/>
    </row>
    <row r="2535" spans="2:16" s="108" customFormat="1" ht="21.75" hidden="1" customHeight="1">
      <c r="B2535" s="109"/>
      <c r="C2535" s="122"/>
      <c r="D2535" s="237" t="s">
        <v>1359</v>
      </c>
      <c r="E2535" s="710">
        <f>E2536</f>
        <v>2850000000</v>
      </c>
      <c r="F2535" s="134">
        <v>59066221758.909996</v>
      </c>
      <c r="G2535" s="126">
        <f t="shared" si="48"/>
        <v>4.8250927774470087</v>
      </c>
      <c r="H2535" s="120"/>
      <c r="I2535" s="120"/>
      <c r="J2535" s="116"/>
      <c r="K2535" s="116"/>
      <c r="L2535" s="116"/>
      <c r="M2535" s="116"/>
      <c r="N2535" s="116"/>
      <c r="O2535" s="116"/>
      <c r="P2535" s="116"/>
    </row>
    <row r="2536" spans="2:16" s="108" customFormat="1" ht="21.75" hidden="1" customHeight="1">
      <c r="B2536" s="109"/>
      <c r="C2536" s="122"/>
      <c r="D2536" s="237" t="s">
        <v>904</v>
      </c>
      <c r="E2536" s="710">
        <f>E2537</f>
        <v>2850000000</v>
      </c>
      <c r="F2536" s="134">
        <v>59066221758.909996</v>
      </c>
      <c r="G2536" s="126">
        <f t="shared" si="48"/>
        <v>4.8250927774470087</v>
      </c>
      <c r="H2536" s="120"/>
      <c r="I2536" s="120"/>
      <c r="J2536" s="116"/>
      <c r="K2536" s="116"/>
      <c r="L2536" s="116"/>
      <c r="M2536" s="116"/>
      <c r="N2536" s="116"/>
      <c r="O2536" s="116"/>
      <c r="P2536" s="116"/>
    </row>
    <row r="2537" spans="2:16" s="108" customFormat="1" ht="21.75" hidden="1" customHeight="1">
      <c r="B2537" s="109"/>
      <c r="C2537" s="122"/>
      <c r="D2537" s="238" t="s">
        <v>712</v>
      </c>
      <c r="E2537" s="711">
        <v>2850000000</v>
      </c>
      <c r="F2537" s="134">
        <v>59066221758.909996</v>
      </c>
      <c r="G2537" s="126">
        <f t="shared" si="48"/>
        <v>4.8250927774470087</v>
      </c>
      <c r="H2537" s="120"/>
      <c r="I2537" s="120"/>
      <c r="J2537" s="116"/>
      <c r="K2537" s="116"/>
      <c r="L2537" s="116"/>
      <c r="M2537" s="116"/>
      <c r="N2537" s="116"/>
      <c r="O2537" s="116"/>
      <c r="P2537" s="116"/>
    </row>
    <row r="2538" spans="2:16" s="108" customFormat="1" ht="21.75" hidden="1" customHeight="1">
      <c r="B2538" s="109"/>
      <c r="C2538" s="122"/>
      <c r="D2538" s="238"/>
      <c r="E2538" s="711"/>
      <c r="F2538" s="134">
        <v>59066221758.909996</v>
      </c>
      <c r="G2538" s="126">
        <f t="shared" si="48"/>
        <v>0</v>
      </c>
      <c r="H2538" s="120"/>
      <c r="I2538" s="120"/>
      <c r="J2538" s="116"/>
      <c r="K2538" s="116"/>
      <c r="L2538" s="116"/>
      <c r="M2538" s="116"/>
      <c r="N2538" s="116"/>
      <c r="O2538" s="116"/>
      <c r="P2538" s="116"/>
    </row>
    <row r="2539" spans="2:16" s="108" customFormat="1" ht="21.75" hidden="1" customHeight="1">
      <c r="B2539" s="109"/>
      <c r="C2539" s="122"/>
      <c r="D2539" s="237" t="s">
        <v>1186</v>
      </c>
      <c r="E2539" s="710">
        <f>+E2540+E2542+E2544+E2547</f>
        <v>2850411088</v>
      </c>
      <c r="F2539" s="134">
        <v>59066221758.909996</v>
      </c>
      <c r="G2539" s="126">
        <f t="shared" si="48"/>
        <v>4.8257887556012884</v>
      </c>
      <c r="H2539" s="120"/>
      <c r="I2539" s="120"/>
      <c r="J2539" s="116"/>
      <c r="K2539" s="116"/>
      <c r="L2539" s="116"/>
      <c r="M2539" s="116"/>
      <c r="N2539" s="116"/>
      <c r="O2539" s="116"/>
      <c r="P2539" s="116"/>
    </row>
    <row r="2540" spans="2:16" s="108" customFormat="1" ht="21.75" hidden="1" customHeight="1">
      <c r="B2540" s="109"/>
      <c r="C2540" s="122"/>
      <c r="D2540" s="237" t="s">
        <v>980</v>
      </c>
      <c r="E2540" s="710">
        <f>E2541</f>
        <v>114350000</v>
      </c>
      <c r="F2540" s="134">
        <v>59066221758.909996</v>
      </c>
      <c r="G2540" s="126">
        <f t="shared" si="48"/>
        <v>0.19359626635125107</v>
      </c>
      <c r="H2540" s="120"/>
      <c r="I2540" s="120"/>
      <c r="J2540" s="116"/>
      <c r="K2540" s="116"/>
      <c r="L2540" s="116"/>
      <c r="M2540" s="116"/>
      <c r="N2540" s="116"/>
      <c r="O2540" s="116"/>
      <c r="P2540" s="116"/>
    </row>
    <row r="2541" spans="2:16" s="108" customFormat="1" ht="21.75" hidden="1" customHeight="1">
      <c r="B2541" s="109"/>
      <c r="C2541" s="122"/>
      <c r="D2541" s="238" t="s">
        <v>1893</v>
      </c>
      <c r="E2541" s="711">
        <v>114350000</v>
      </c>
      <c r="F2541" s="134">
        <v>59066221758.909996</v>
      </c>
      <c r="G2541" s="126">
        <f t="shared" si="48"/>
        <v>0.19359626635125107</v>
      </c>
      <c r="H2541" s="120"/>
      <c r="I2541" s="120"/>
      <c r="J2541" s="116"/>
      <c r="K2541" s="116"/>
      <c r="L2541" s="116"/>
      <c r="M2541" s="116"/>
      <c r="N2541" s="116"/>
      <c r="O2541" s="116"/>
      <c r="P2541" s="116"/>
    </row>
    <row r="2542" spans="2:16" s="108" customFormat="1" ht="21.75" hidden="1" customHeight="1">
      <c r="B2542" s="109"/>
      <c r="C2542" s="122"/>
      <c r="D2542" s="237" t="s">
        <v>1894</v>
      </c>
      <c r="E2542" s="710">
        <f>E2543</f>
        <v>213500000</v>
      </c>
      <c r="F2542" s="134">
        <v>59066221758.909996</v>
      </c>
      <c r="G2542" s="126">
        <f t="shared" si="48"/>
        <v>0.36145870455611806</v>
      </c>
      <c r="H2542" s="120"/>
      <c r="I2542" s="120"/>
      <c r="J2542" s="116"/>
      <c r="K2542" s="116"/>
      <c r="L2542" s="116"/>
      <c r="M2542" s="116"/>
      <c r="N2542" s="116"/>
      <c r="O2542" s="116"/>
      <c r="P2542" s="116"/>
    </row>
    <row r="2543" spans="2:16" s="108" customFormat="1" ht="21.75" hidden="1" customHeight="1">
      <c r="B2543" s="109"/>
      <c r="C2543" s="122"/>
      <c r="D2543" s="238" t="s">
        <v>708</v>
      </c>
      <c r="E2543" s="711">
        <v>213500000</v>
      </c>
      <c r="F2543" s="134">
        <v>59066221758.909996</v>
      </c>
      <c r="G2543" s="126">
        <f t="shared" si="48"/>
        <v>0.36145870455611806</v>
      </c>
      <c r="H2543" s="120"/>
      <c r="I2543" s="120"/>
      <c r="J2543" s="116"/>
      <c r="K2543" s="116"/>
      <c r="L2543" s="116"/>
      <c r="M2543" s="116"/>
      <c r="N2543" s="116"/>
      <c r="O2543" s="116"/>
      <c r="P2543" s="116"/>
    </row>
    <row r="2544" spans="2:16" s="108" customFormat="1" ht="21.75" hidden="1" customHeight="1">
      <c r="B2544" s="109"/>
      <c r="C2544" s="122"/>
      <c r="D2544" s="237" t="s">
        <v>1428</v>
      </c>
      <c r="E2544" s="710">
        <f>+E2545+E2546</f>
        <v>500061088</v>
      </c>
      <c r="F2544" s="134">
        <v>59066221758.909996</v>
      </c>
      <c r="G2544" s="126">
        <f t="shared" si="48"/>
        <v>0.84661092771617308</v>
      </c>
      <c r="H2544" s="120"/>
      <c r="I2544" s="120"/>
      <c r="J2544" s="116"/>
      <c r="K2544" s="116"/>
      <c r="L2544" s="116"/>
      <c r="M2544" s="116"/>
      <c r="N2544" s="116"/>
      <c r="O2544" s="116"/>
      <c r="P2544" s="116"/>
    </row>
    <row r="2545" spans="2:16" s="108" customFormat="1" ht="21.75" hidden="1" customHeight="1">
      <c r="B2545" s="109"/>
      <c r="C2545" s="122"/>
      <c r="D2545" s="238" t="s">
        <v>1514</v>
      </c>
      <c r="E2545" s="711">
        <v>396211088</v>
      </c>
      <c r="F2545" s="134">
        <v>59066221758.909996</v>
      </c>
      <c r="G2545" s="126">
        <f t="shared" si="48"/>
        <v>0.6707913189660426</v>
      </c>
      <c r="H2545" s="120"/>
      <c r="I2545" s="120"/>
      <c r="J2545" s="116"/>
      <c r="K2545" s="116"/>
      <c r="L2545" s="116"/>
      <c r="M2545" s="116"/>
      <c r="N2545" s="116"/>
      <c r="O2545" s="116"/>
      <c r="P2545" s="116"/>
    </row>
    <row r="2546" spans="2:16" s="108" customFormat="1" ht="21.75" hidden="1" customHeight="1">
      <c r="B2546" s="109"/>
      <c r="C2546" s="122"/>
      <c r="D2546" s="238" t="s">
        <v>710</v>
      </c>
      <c r="E2546" s="711">
        <v>103850000</v>
      </c>
      <c r="F2546" s="134">
        <v>59066221758.909996</v>
      </c>
      <c r="G2546" s="126">
        <f t="shared" si="48"/>
        <v>0.17581960875013047</v>
      </c>
      <c r="H2546" s="120"/>
      <c r="I2546" s="120"/>
      <c r="J2546" s="116"/>
      <c r="K2546" s="116"/>
      <c r="L2546" s="116"/>
      <c r="M2546" s="116"/>
      <c r="N2546" s="116"/>
      <c r="O2546" s="116"/>
      <c r="P2546" s="116"/>
    </row>
    <row r="2547" spans="2:16" s="108" customFormat="1" ht="21.75" hidden="1" customHeight="1">
      <c r="B2547" s="109"/>
      <c r="C2547" s="122"/>
      <c r="D2547" s="237" t="s">
        <v>1430</v>
      </c>
      <c r="E2547" s="710">
        <f>E2548</f>
        <v>2022500000</v>
      </c>
      <c r="F2547" s="134">
        <v>59066221758.909996</v>
      </c>
      <c r="G2547" s="126">
        <f t="shared" si="48"/>
        <v>3.4241228569777462</v>
      </c>
      <c r="H2547" s="120"/>
      <c r="I2547" s="120"/>
      <c r="J2547" s="116"/>
      <c r="K2547" s="116"/>
      <c r="L2547" s="116"/>
      <c r="M2547" s="116"/>
      <c r="N2547" s="116"/>
      <c r="O2547" s="116"/>
      <c r="P2547" s="116"/>
    </row>
    <row r="2548" spans="2:16" s="108" customFormat="1" ht="21.75" hidden="1" customHeight="1">
      <c r="B2548" s="109"/>
      <c r="C2548" s="122"/>
      <c r="D2548" s="238" t="s">
        <v>1895</v>
      </c>
      <c r="E2548" s="711">
        <v>2022500000</v>
      </c>
      <c r="F2548" s="134">
        <v>59066221758.909996</v>
      </c>
      <c r="G2548" s="126">
        <f t="shared" si="48"/>
        <v>3.4241228569777462</v>
      </c>
      <c r="H2548" s="120"/>
      <c r="I2548" s="120"/>
      <c r="J2548" s="116"/>
      <c r="K2548" s="116"/>
      <c r="L2548" s="116"/>
      <c r="M2548" s="116"/>
      <c r="N2548" s="116"/>
      <c r="O2548" s="116"/>
      <c r="P2548" s="116"/>
    </row>
    <row r="2549" spans="2:16" s="108" customFormat="1" ht="21.75" hidden="1" customHeight="1">
      <c r="B2549" s="109"/>
      <c r="C2549" s="122"/>
      <c r="D2549" s="238"/>
      <c r="E2549" s="711"/>
      <c r="F2549" s="134">
        <v>59066221758.909996</v>
      </c>
      <c r="G2549" s="126">
        <f t="shared" si="48"/>
        <v>0</v>
      </c>
      <c r="H2549" s="120"/>
      <c r="I2549" s="120"/>
      <c r="J2549" s="116"/>
      <c r="K2549" s="116"/>
      <c r="L2549" s="116"/>
      <c r="M2549" s="116"/>
      <c r="N2549" s="116"/>
      <c r="O2549" s="116"/>
      <c r="P2549" s="116"/>
    </row>
    <row r="2550" spans="2:16" s="108" customFormat="1" ht="21.75" hidden="1" customHeight="1">
      <c r="B2550" s="109"/>
      <c r="C2550" s="122"/>
      <c r="D2550" s="237" t="s">
        <v>1159</v>
      </c>
      <c r="E2550" s="710">
        <f>+E2551+E2553</f>
        <v>2939117000</v>
      </c>
      <c r="F2550" s="134">
        <v>59066221758.909996</v>
      </c>
      <c r="G2550" s="126">
        <f t="shared" si="48"/>
        <v>4.9759691960602526</v>
      </c>
      <c r="H2550" s="120"/>
      <c r="I2550" s="120"/>
      <c r="J2550" s="116"/>
      <c r="K2550" s="116"/>
      <c r="L2550" s="116"/>
      <c r="M2550" s="116"/>
      <c r="N2550" s="116"/>
      <c r="O2550" s="116"/>
      <c r="P2550" s="116"/>
    </row>
    <row r="2551" spans="2:16" s="108" customFormat="1" ht="21.75" hidden="1" customHeight="1">
      <c r="B2551" s="109"/>
      <c r="C2551" s="122"/>
      <c r="D2551" s="237" t="s">
        <v>1896</v>
      </c>
      <c r="E2551" s="710">
        <f>E2552</f>
        <v>610235000</v>
      </c>
      <c r="F2551" s="134">
        <v>59066221758.909996</v>
      </c>
      <c r="G2551" s="126">
        <f t="shared" si="48"/>
        <v>1.0331370144018863</v>
      </c>
      <c r="H2551" s="120"/>
      <c r="I2551" s="120"/>
      <c r="J2551" s="116"/>
      <c r="K2551" s="116"/>
      <c r="L2551" s="116"/>
      <c r="M2551" s="116"/>
      <c r="N2551" s="116"/>
      <c r="O2551" s="116"/>
      <c r="P2551" s="116"/>
    </row>
    <row r="2552" spans="2:16" s="108" customFormat="1" ht="21.75" hidden="1" customHeight="1">
      <c r="B2552" s="109"/>
      <c r="C2552" s="122"/>
      <c r="D2552" s="238" t="s">
        <v>1897</v>
      </c>
      <c r="E2552" s="711">
        <v>610235000</v>
      </c>
      <c r="F2552" s="134">
        <v>59066221758.909996</v>
      </c>
      <c r="G2552" s="126">
        <f t="shared" si="48"/>
        <v>1.0331370144018863</v>
      </c>
      <c r="H2552" s="120"/>
      <c r="I2552" s="120"/>
      <c r="J2552" s="116"/>
      <c r="K2552" s="116"/>
      <c r="L2552" s="116"/>
      <c r="M2552" s="116"/>
      <c r="N2552" s="116"/>
      <c r="O2552" s="116"/>
      <c r="P2552" s="116"/>
    </row>
    <row r="2553" spans="2:16" s="108" customFormat="1" ht="21.75" hidden="1" customHeight="1">
      <c r="B2553" s="109"/>
      <c r="C2553" s="122"/>
      <c r="D2553" s="237" t="s">
        <v>1423</v>
      </c>
      <c r="E2553" s="710">
        <f>E2554+E2555+E2556+E2557</f>
        <v>2328882000</v>
      </c>
      <c r="F2553" s="134">
        <v>59066221758.909996</v>
      </c>
      <c r="G2553" s="126">
        <f t="shared" si="48"/>
        <v>3.9428321816583671</v>
      </c>
      <c r="H2553" s="120"/>
      <c r="I2553" s="120"/>
      <c r="J2553" s="116"/>
      <c r="K2553" s="116"/>
      <c r="L2553" s="116"/>
      <c r="M2553" s="116"/>
      <c r="N2553" s="116"/>
      <c r="O2553" s="116"/>
      <c r="P2553" s="116"/>
    </row>
    <row r="2554" spans="2:16" s="108" customFormat="1" ht="21.75" hidden="1" customHeight="1">
      <c r="B2554" s="109"/>
      <c r="C2554" s="122"/>
      <c r="D2554" s="238" t="s">
        <v>703</v>
      </c>
      <c r="E2554" s="711">
        <v>606710000</v>
      </c>
      <c r="F2554" s="134">
        <v>59066221758.909996</v>
      </c>
      <c r="G2554" s="126">
        <f t="shared" si="48"/>
        <v>1.0271691364929387</v>
      </c>
      <c r="H2554" s="120"/>
      <c r="I2554" s="120"/>
      <c r="J2554" s="116"/>
      <c r="K2554" s="116"/>
      <c r="L2554" s="116"/>
      <c r="M2554" s="116"/>
      <c r="N2554" s="116"/>
      <c r="O2554" s="116"/>
      <c r="P2554" s="116"/>
    </row>
    <row r="2555" spans="2:16" s="108" customFormat="1" ht="40.5" hidden="1" customHeight="1">
      <c r="B2555" s="109"/>
      <c r="C2555" s="122"/>
      <c r="D2555" s="238" t="s">
        <v>704</v>
      </c>
      <c r="E2555" s="711">
        <v>535260000</v>
      </c>
      <c r="F2555" s="134">
        <v>59066221758.909996</v>
      </c>
      <c r="G2555" s="126">
        <f t="shared" si="48"/>
        <v>0.90620321405483728</v>
      </c>
      <c r="H2555" s="120"/>
      <c r="I2555" s="120"/>
      <c r="J2555" s="116"/>
      <c r="K2555" s="116"/>
      <c r="L2555" s="116"/>
      <c r="M2555" s="116"/>
      <c r="N2555" s="116"/>
      <c r="O2555" s="116"/>
      <c r="P2555" s="116"/>
    </row>
    <row r="2556" spans="2:16" s="108" customFormat="1" ht="40.5" hidden="1" customHeight="1">
      <c r="B2556" s="109"/>
      <c r="C2556" s="122"/>
      <c r="D2556" s="238" t="s">
        <v>705</v>
      </c>
      <c r="E2556" s="711">
        <v>563862000</v>
      </c>
      <c r="F2556" s="134">
        <v>59066221758.909996</v>
      </c>
      <c r="G2556" s="126">
        <f t="shared" ref="G2556:G2601" si="49">+E2556/F2556*100</f>
        <v>0.95462682936028953</v>
      </c>
      <c r="H2556" s="120"/>
      <c r="I2556" s="120"/>
      <c r="J2556" s="116"/>
      <c r="K2556" s="116"/>
      <c r="L2556" s="116"/>
      <c r="M2556" s="116"/>
      <c r="N2556" s="116"/>
      <c r="O2556" s="116"/>
      <c r="P2556" s="116"/>
    </row>
    <row r="2557" spans="2:16" s="108" customFormat="1" ht="35.25" hidden="1" customHeight="1">
      <c r="B2557" s="109"/>
      <c r="C2557" s="122"/>
      <c r="D2557" s="238" t="s">
        <v>1898</v>
      </c>
      <c r="E2557" s="711">
        <v>623050000</v>
      </c>
      <c r="F2557" s="134">
        <v>59066221758.909996</v>
      </c>
      <c r="G2557" s="126">
        <f t="shared" si="49"/>
        <v>1.0548330017503014</v>
      </c>
      <c r="H2557" s="120"/>
      <c r="I2557" s="120"/>
      <c r="J2557" s="116"/>
      <c r="K2557" s="116"/>
      <c r="L2557" s="116"/>
      <c r="M2557" s="116"/>
      <c r="N2557" s="116"/>
      <c r="O2557" s="116"/>
      <c r="P2557" s="116"/>
    </row>
    <row r="2558" spans="2:16" s="108" customFormat="1" ht="21.75" hidden="1" customHeight="1">
      <c r="B2558" s="109"/>
      <c r="C2558" s="122"/>
      <c r="D2558" s="238"/>
      <c r="E2558" s="711"/>
      <c r="F2558" s="134">
        <v>59066221758.909996</v>
      </c>
      <c r="G2558" s="126">
        <f t="shared" si="49"/>
        <v>0</v>
      </c>
      <c r="H2558" s="120"/>
      <c r="I2558" s="120"/>
      <c r="J2558" s="116"/>
      <c r="K2558" s="116"/>
      <c r="L2558" s="116"/>
      <c r="M2558" s="116"/>
      <c r="N2558" s="116"/>
      <c r="O2558" s="116"/>
      <c r="P2558" s="116"/>
    </row>
    <row r="2559" spans="2:16" s="108" customFormat="1" ht="21.75" hidden="1" customHeight="1">
      <c r="B2559" s="109"/>
      <c r="C2559" s="122"/>
      <c r="D2559" s="237" t="s">
        <v>1899</v>
      </c>
      <c r="E2559" s="710">
        <f>E2560</f>
        <v>3938248117.7800002</v>
      </c>
      <c r="F2559" s="134">
        <v>59066221758.909996</v>
      </c>
      <c r="G2559" s="126">
        <f t="shared" si="49"/>
        <v>6.6675131750507228</v>
      </c>
      <c r="H2559" s="120"/>
      <c r="I2559" s="120"/>
      <c r="J2559" s="116"/>
      <c r="K2559" s="116"/>
      <c r="L2559" s="116"/>
      <c r="M2559" s="116"/>
      <c r="N2559" s="116"/>
      <c r="O2559" s="116"/>
      <c r="P2559" s="116"/>
    </row>
    <row r="2560" spans="2:16" s="108" customFormat="1" ht="21.75" hidden="1" customHeight="1">
      <c r="B2560" s="109"/>
      <c r="C2560" s="122"/>
      <c r="D2560" s="237" t="s">
        <v>498</v>
      </c>
      <c r="E2560" s="710">
        <f>E2561</f>
        <v>3938248117.7800002</v>
      </c>
      <c r="F2560" s="134">
        <v>59066221758.909996</v>
      </c>
      <c r="G2560" s="126">
        <f t="shared" si="49"/>
        <v>6.6675131750507228</v>
      </c>
      <c r="H2560" s="120"/>
      <c r="I2560" s="120"/>
      <c r="J2560" s="116"/>
      <c r="K2560" s="116"/>
      <c r="L2560" s="116"/>
      <c r="M2560" s="116"/>
      <c r="N2560" s="116"/>
      <c r="O2560" s="116"/>
      <c r="P2560" s="116"/>
    </row>
    <row r="2561" spans="2:16" s="108" customFormat="1" ht="21.75" hidden="1" customHeight="1">
      <c r="B2561" s="109"/>
      <c r="C2561" s="122"/>
      <c r="D2561" s="238" t="s">
        <v>1900</v>
      </c>
      <c r="E2561" s="711">
        <v>3938248117.7800002</v>
      </c>
      <c r="F2561" s="134">
        <v>59066221758.909996</v>
      </c>
      <c r="G2561" s="126">
        <f t="shared" si="49"/>
        <v>6.6675131750507228</v>
      </c>
      <c r="H2561" s="120"/>
      <c r="I2561" s="120"/>
      <c r="J2561" s="116"/>
      <c r="K2561" s="116"/>
      <c r="L2561" s="116"/>
      <c r="M2561" s="116"/>
      <c r="N2561" s="116"/>
      <c r="O2561" s="116"/>
      <c r="P2561" s="116"/>
    </row>
    <row r="2562" spans="2:16" s="108" customFormat="1" ht="21.75" hidden="1" customHeight="1">
      <c r="B2562" s="109"/>
      <c r="C2562" s="122"/>
      <c r="D2562" s="238"/>
      <c r="E2562" s="711"/>
      <c r="F2562" s="134">
        <v>59066221758.909996</v>
      </c>
      <c r="G2562" s="126">
        <f t="shared" si="49"/>
        <v>0</v>
      </c>
      <c r="H2562" s="120"/>
      <c r="I2562" s="120"/>
      <c r="J2562" s="116"/>
      <c r="K2562" s="116"/>
      <c r="L2562" s="116"/>
      <c r="M2562" s="116"/>
      <c r="N2562" s="116"/>
      <c r="O2562" s="116"/>
      <c r="P2562" s="116"/>
    </row>
    <row r="2563" spans="2:16" s="108" customFormat="1" ht="21.75" hidden="1" customHeight="1">
      <c r="B2563" s="109"/>
      <c r="C2563" s="122"/>
      <c r="D2563" s="237" t="s">
        <v>610</v>
      </c>
      <c r="E2563" s="710">
        <f>E2564</f>
        <v>3941248117</v>
      </c>
      <c r="F2563" s="134">
        <v>59066221758.909996</v>
      </c>
      <c r="G2563" s="126">
        <f t="shared" si="49"/>
        <v>6.6725922187590614</v>
      </c>
      <c r="H2563" s="120"/>
      <c r="I2563" s="120"/>
      <c r="J2563" s="116"/>
      <c r="K2563" s="116"/>
      <c r="L2563" s="116"/>
      <c r="M2563" s="116"/>
      <c r="N2563" s="116"/>
      <c r="O2563" s="116"/>
      <c r="P2563" s="116"/>
    </row>
    <row r="2564" spans="2:16" s="108" customFormat="1" ht="21.75" hidden="1" customHeight="1">
      <c r="B2564" s="109"/>
      <c r="C2564" s="122"/>
      <c r="D2564" s="237" t="s">
        <v>1525</v>
      </c>
      <c r="E2564" s="710">
        <f>E2565</f>
        <v>3941248117</v>
      </c>
      <c r="F2564" s="134">
        <v>59066221758.909996</v>
      </c>
      <c r="G2564" s="126">
        <f t="shared" si="49"/>
        <v>6.6725922187590614</v>
      </c>
      <c r="H2564" s="120"/>
      <c r="I2564" s="120"/>
      <c r="J2564" s="116"/>
      <c r="K2564" s="116"/>
      <c r="L2564" s="116"/>
      <c r="M2564" s="116"/>
      <c r="N2564" s="116"/>
      <c r="O2564" s="116"/>
      <c r="P2564" s="116"/>
    </row>
    <row r="2565" spans="2:16" s="108" customFormat="1" ht="21.75" hidden="1" customHeight="1">
      <c r="B2565" s="109"/>
      <c r="C2565" s="122"/>
      <c r="D2565" s="238" t="s">
        <v>1901</v>
      </c>
      <c r="E2565" s="711">
        <v>3941248117</v>
      </c>
      <c r="F2565" s="134">
        <v>59066221758.909996</v>
      </c>
      <c r="G2565" s="126">
        <f t="shared" si="49"/>
        <v>6.6725922187590614</v>
      </c>
      <c r="H2565" s="120"/>
      <c r="I2565" s="120"/>
      <c r="J2565" s="116"/>
      <c r="K2565" s="116"/>
      <c r="L2565" s="116"/>
      <c r="M2565" s="116"/>
      <c r="N2565" s="116"/>
      <c r="O2565" s="116"/>
      <c r="P2565" s="116"/>
    </row>
    <row r="2566" spans="2:16" s="108" customFormat="1" ht="21.75" hidden="1" customHeight="1">
      <c r="B2566" s="109"/>
      <c r="C2566" s="122"/>
      <c r="D2566" s="238"/>
      <c r="E2566" s="711"/>
      <c r="F2566" s="134">
        <v>59066221758.909996</v>
      </c>
      <c r="G2566" s="126">
        <f t="shared" si="49"/>
        <v>0</v>
      </c>
      <c r="H2566" s="120"/>
      <c r="I2566" s="120"/>
      <c r="J2566" s="116"/>
      <c r="K2566" s="116"/>
      <c r="L2566" s="116"/>
      <c r="M2566" s="116"/>
      <c r="N2566" s="116"/>
      <c r="O2566" s="116"/>
      <c r="P2566" s="116"/>
    </row>
    <row r="2567" spans="2:16" s="108" customFormat="1" ht="21.75" hidden="1" customHeight="1">
      <c r="B2567" s="109"/>
      <c r="C2567" s="122"/>
      <c r="D2567" s="237" t="s">
        <v>1347</v>
      </c>
      <c r="E2567" s="710">
        <f>E2568</f>
        <v>3933748117</v>
      </c>
      <c r="F2567" s="134">
        <v>59066221758.909996</v>
      </c>
      <c r="G2567" s="126">
        <f t="shared" si="49"/>
        <v>6.6598946061868318</v>
      </c>
      <c r="H2567" s="120"/>
      <c r="I2567" s="120"/>
      <c r="J2567" s="116"/>
      <c r="K2567" s="116"/>
      <c r="L2567" s="116"/>
      <c r="M2567" s="116"/>
      <c r="N2567" s="116"/>
      <c r="O2567" s="116"/>
      <c r="P2567" s="116"/>
    </row>
    <row r="2568" spans="2:16" s="108" customFormat="1" ht="21.75" hidden="1" customHeight="1">
      <c r="B2568" s="109"/>
      <c r="C2568" s="122"/>
      <c r="D2568" s="237" t="s">
        <v>1438</v>
      </c>
      <c r="E2568" s="710">
        <f>+E2569+E2570</f>
        <v>3933748117</v>
      </c>
      <c r="F2568" s="134">
        <v>59066221758.909996</v>
      </c>
      <c r="G2568" s="126">
        <f t="shared" si="49"/>
        <v>6.6598946061868318</v>
      </c>
      <c r="H2568" s="120"/>
      <c r="I2568" s="120"/>
      <c r="J2568" s="116"/>
      <c r="K2568" s="116"/>
      <c r="L2568" s="116"/>
      <c r="M2568" s="116"/>
      <c r="N2568" s="116"/>
      <c r="O2568" s="116"/>
      <c r="P2568" s="116"/>
    </row>
    <row r="2569" spans="2:16" s="108" customFormat="1" ht="21.75" hidden="1" customHeight="1">
      <c r="B2569" s="109"/>
      <c r="C2569" s="122"/>
      <c r="D2569" s="238" t="s">
        <v>729</v>
      </c>
      <c r="E2569" s="711">
        <v>1160000000</v>
      </c>
      <c r="F2569" s="134">
        <v>59066221758.909996</v>
      </c>
      <c r="G2569" s="126">
        <f t="shared" si="49"/>
        <v>1.963897411171414</v>
      </c>
      <c r="H2569" s="120"/>
      <c r="I2569" s="120"/>
      <c r="J2569" s="116"/>
      <c r="K2569" s="116"/>
      <c r="L2569" s="116"/>
      <c r="M2569" s="116"/>
      <c r="N2569" s="116"/>
      <c r="O2569" s="116"/>
      <c r="P2569" s="116"/>
    </row>
    <row r="2570" spans="2:16" s="108" customFormat="1" ht="21.75" hidden="1" customHeight="1">
      <c r="B2570" s="109"/>
      <c r="C2570" s="122"/>
      <c r="D2570" s="238" t="s">
        <v>1902</v>
      </c>
      <c r="E2570" s="711">
        <v>2773748117</v>
      </c>
      <c r="F2570" s="134">
        <v>59066221758.909996</v>
      </c>
      <c r="G2570" s="126">
        <f t="shared" si="49"/>
        <v>4.6959971950154182</v>
      </c>
      <c r="H2570" s="120"/>
      <c r="I2570" s="120"/>
      <c r="J2570" s="116"/>
      <c r="K2570" s="116"/>
      <c r="L2570" s="116"/>
      <c r="M2570" s="116"/>
      <c r="N2570" s="116"/>
      <c r="O2570" s="116"/>
      <c r="P2570" s="116"/>
    </row>
    <row r="2571" spans="2:16" s="108" customFormat="1" ht="21.75" hidden="1" customHeight="1">
      <c r="B2571" s="109"/>
      <c r="C2571" s="122"/>
      <c r="D2571" s="238"/>
      <c r="E2571" s="711"/>
      <c r="F2571" s="134">
        <v>59066221758.909996</v>
      </c>
      <c r="G2571" s="126">
        <f t="shared" si="49"/>
        <v>0</v>
      </c>
      <c r="H2571" s="120"/>
      <c r="I2571" s="120"/>
      <c r="J2571" s="116"/>
      <c r="K2571" s="116"/>
      <c r="L2571" s="116"/>
      <c r="M2571" s="116"/>
      <c r="N2571" s="116"/>
      <c r="O2571" s="116"/>
      <c r="P2571" s="116"/>
    </row>
    <row r="2572" spans="2:16" s="108" customFormat="1" ht="40.5" hidden="1" customHeight="1">
      <c r="B2572" s="109"/>
      <c r="C2572" s="122"/>
      <c r="D2572" s="237" t="s">
        <v>1281</v>
      </c>
      <c r="E2572" s="710">
        <f>+E2573+E2575+E2577</f>
        <v>1732138000</v>
      </c>
      <c r="F2572" s="134">
        <v>59066221758.909996</v>
      </c>
      <c r="G2572" s="126">
        <f t="shared" si="49"/>
        <v>2.9325356327514061</v>
      </c>
      <c r="H2572" s="120"/>
      <c r="I2572" s="120"/>
      <c r="J2572" s="116"/>
      <c r="K2572" s="116"/>
      <c r="L2572" s="116"/>
      <c r="M2572" s="116"/>
      <c r="N2572" s="116"/>
      <c r="O2572" s="116"/>
      <c r="P2572" s="116"/>
    </row>
    <row r="2573" spans="2:16" s="108" customFormat="1" ht="21.75" hidden="1" customHeight="1">
      <c r="B2573" s="109"/>
      <c r="C2573" s="122"/>
      <c r="D2573" s="237" t="s">
        <v>1903</v>
      </c>
      <c r="E2573" s="710">
        <f>E2574</f>
        <v>663494000</v>
      </c>
      <c r="F2573" s="134">
        <v>59066221758.909996</v>
      </c>
      <c r="G2573" s="126">
        <f t="shared" si="49"/>
        <v>1.1233053007997986</v>
      </c>
      <c r="H2573" s="120"/>
      <c r="I2573" s="120"/>
      <c r="J2573" s="116"/>
      <c r="K2573" s="116"/>
      <c r="L2573" s="116"/>
      <c r="M2573" s="116"/>
      <c r="N2573" s="116"/>
      <c r="O2573" s="116"/>
      <c r="P2573" s="116"/>
    </row>
    <row r="2574" spans="2:16" s="108" customFormat="1" ht="40.5" hidden="1" customHeight="1">
      <c r="B2574" s="109"/>
      <c r="C2574" s="122"/>
      <c r="D2574" s="238" t="s">
        <v>1904</v>
      </c>
      <c r="E2574" s="711">
        <v>663494000</v>
      </c>
      <c r="F2574" s="134">
        <v>59066221758.909996</v>
      </c>
      <c r="G2574" s="126">
        <f t="shared" si="49"/>
        <v>1.1233053007997986</v>
      </c>
      <c r="H2574" s="120"/>
      <c r="I2574" s="120"/>
      <c r="J2574" s="116"/>
      <c r="K2574" s="116"/>
      <c r="L2574" s="116"/>
      <c r="M2574" s="116"/>
      <c r="N2574" s="116"/>
      <c r="O2574" s="116"/>
      <c r="P2574" s="116"/>
    </row>
    <row r="2575" spans="2:16" s="108" customFormat="1" ht="21.75" hidden="1" customHeight="1">
      <c r="B2575" s="109"/>
      <c r="C2575" s="122"/>
      <c r="D2575" s="237" t="s">
        <v>1905</v>
      </c>
      <c r="E2575" s="710">
        <f>E2576</f>
        <v>423150000</v>
      </c>
      <c r="F2575" s="134">
        <v>59066221758.909996</v>
      </c>
      <c r="G2575" s="126">
        <f t="shared" si="49"/>
        <v>0.71639930132515861</v>
      </c>
      <c r="H2575" s="120"/>
      <c r="I2575" s="120"/>
      <c r="J2575" s="116"/>
      <c r="K2575" s="116"/>
      <c r="L2575" s="116"/>
      <c r="M2575" s="116"/>
      <c r="N2575" s="116"/>
      <c r="O2575" s="116"/>
      <c r="P2575" s="116"/>
    </row>
    <row r="2576" spans="2:16" s="108" customFormat="1" ht="21.75" hidden="1" customHeight="1">
      <c r="B2576" s="109"/>
      <c r="C2576" s="122"/>
      <c r="D2576" s="238" t="s">
        <v>1906</v>
      </c>
      <c r="E2576" s="711">
        <v>423150000</v>
      </c>
      <c r="F2576" s="134">
        <v>59066221758.909996</v>
      </c>
      <c r="G2576" s="126">
        <f t="shared" si="49"/>
        <v>0.71639930132515861</v>
      </c>
      <c r="H2576" s="120"/>
      <c r="I2576" s="120"/>
      <c r="J2576" s="116"/>
      <c r="K2576" s="116"/>
      <c r="L2576" s="116"/>
      <c r="M2576" s="116"/>
      <c r="N2576" s="116"/>
      <c r="O2576" s="116"/>
      <c r="P2576" s="116"/>
    </row>
    <row r="2577" spans="2:16" s="108" customFormat="1" ht="21.75" hidden="1" customHeight="1">
      <c r="B2577" s="109"/>
      <c r="C2577" s="122"/>
      <c r="D2577" s="237" t="s">
        <v>973</v>
      </c>
      <c r="E2577" s="710">
        <f>E2578</f>
        <v>645494000</v>
      </c>
      <c r="F2577" s="134">
        <v>59066221758.909996</v>
      </c>
      <c r="G2577" s="126">
        <f t="shared" si="49"/>
        <v>1.092831030626449</v>
      </c>
      <c r="H2577" s="120"/>
      <c r="I2577" s="120"/>
      <c r="J2577" s="116"/>
      <c r="K2577" s="116"/>
      <c r="L2577" s="116"/>
      <c r="M2577" s="116"/>
      <c r="N2577" s="116"/>
      <c r="O2577" s="116"/>
      <c r="P2577" s="116"/>
    </row>
    <row r="2578" spans="2:16" s="108" customFormat="1" ht="21.75" hidden="1" customHeight="1">
      <c r="B2578" s="109"/>
      <c r="C2578" s="122"/>
      <c r="D2578" s="238" t="s">
        <v>1907</v>
      </c>
      <c r="E2578" s="711">
        <v>645494000</v>
      </c>
      <c r="F2578" s="134">
        <v>59066221758.909996</v>
      </c>
      <c r="G2578" s="126">
        <f t="shared" si="49"/>
        <v>1.092831030626449</v>
      </c>
      <c r="H2578" s="120"/>
      <c r="I2578" s="120"/>
      <c r="J2578" s="116"/>
      <c r="K2578" s="116"/>
      <c r="L2578" s="116"/>
      <c r="M2578" s="116"/>
      <c r="N2578" s="116"/>
      <c r="O2578" s="116"/>
      <c r="P2578" s="116"/>
    </row>
    <row r="2579" spans="2:16" s="108" customFormat="1" ht="21.75" hidden="1" customHeight="1">
      <c r="B2579" s="109"/>
      <c r="C2579" s="122"/>
      <c r="D2579" s="238"/>
      <c r="E2579" s="711"/>
      <c r="F2579" s="134">
        <v>59066221758.909996</v>
      </c>
      <c r="G2579" s="126">
        <f t="shared" si="49"/>
        <v>0</v>
      </c>
      <c r="H2579" s="120"/>
      <c r="I2579" s="120"/>
      <c r="J2579" s="116"/>
      <c r="K2579" s="116"/>
      <c r="L2579" s="116"/>
      <c r="M2579" s="116"/>
      <c r="N2579" s="116"/>
      <c r="O2579" s="116"/>
      <c r="P2579" s="116"/>
    </row>
    <row r="2580" spans="2:16" s="108" customFormat="1" ht="21.75" hidden="1" customHeight="1">
      <c r="B2580" s="109"/>
      <c r="C2580" s="122"/>
      <c r="D2580" s="237" t="s">
        <v>1908</v>
      </c>
      <c r="E2580" s="710">
        <f>E2581</f>
        <v>826535485.17999995</v>
      </c>
      <c r="F2580" s="134">
        <v>59066221758.909996</v>
      </c>
      <c r="G2580" s="126">
        <f t="shared" si="49"/>
        <v>1.3993369824019921</v>
      </c>
      <c r="H2580" s="120"/>
      <c r="I2580" s="120"/>
      <c r="J2580" s="116"/>
      <c r="K2580" s="116"/>
      <c r="L2580" s="116"/>
      <c r="M2580" s="116"/>
      <c r="N2580" s="116"/>
      <c r="O2580" s="116"/>
      <c r="P2580" s="116"/>
    </row>
    <row r="2581" spans="2:16" s="108" customFormat="1" ht="21.75" hidden="1" customHeight="1">
      <c r="B2581" s="109"/>
      <c r="C2581" s="122"/>
      <c r="D2581" s="237" t="s">
        <v>1460</v>
      </c>
      <c r="E2581" s="710">
        <f>E2582</f>
        <v>826535485.17999995</v>
      </c>
      <c r="F2581" s="134">
        <v>59066221758.909996</v>
      </c>
      <c r="G2581" s="126">
        <f t="shared" si="49"/>
        <v>1.3993369824019921</v>
      </c>
      <c r="H2581" s="120"/>
      <c r="I2581" s="120"/>
      <c r="J2581" s="116"/>
      <c r="K2581" s="116"/>
      <c r="L2581" s="116"/>
      <c r="M2581" s="116"/>
      <c r="N2581" s="116"/>
      <c r="O2581" s="116"/>
      <c r="P2581" s="116"/>
    </row>
    <row r="2582" spans="2:16" s="108" customFormat="1" ht="40.5" hidden="1" customHeight="1">
      <c r="B2582" s="109"/>
      <c r="C2582" s="122"/>
      <c r="D2582" s="238" t="s">
        <v>1537</v>
      </c>
      <c r="E2582" s="711">
        <v>826535485.17999995</v>
      </c>
      <c r="F2582" s="134">
        <v>59066221758.909996</v>
      </c>
      <c r="G2582" s="126">
        <f t="shared" si="49"/>
        <v>1.3993369824019921</v>
      </c>
      <c r="H2582" s="120"/>
      <c r="I2582" s="120"/>
      <c r="J2582" s="116"/>
      <c r="K2582" s="116"/>
      <c r="L2582" s="116"/>
      <c r="M2582" s="116"/>
      <c r="N2582" s="116"/>
      <c r="O2582" s="116"/>
      <c r="P2582" s="116"/>
    </row>
    <row r="2583" spans="2:16" s="108" customFormat="1" ht="21.75" hidden="1" customHeight="1">
      <c r="B2583" s="109"/>
      <c r="C2583" s="122"/>
      <c r="D2583" s="238"/>
      <c r="E2583" s="711"/>
      <c r="F2583" s="134">
        <v>59066221758.909996</v>
      </c>
      <c r="G2583" s="126">
        <f t="shared" si="49"/>
        <v>0</v>
      </c>
      <c r="H2583" s="120"/>
      <c r="I2583" s="120"/>
      <c r="J2583" s="116"/>
      <c r="K2583" s="116"/>
      <c r="L2583" s="116"/>
      <c r="M2583" s="116"/>
      <c r="N2583" s="116"/>
      <c r="O2583" s="116"/>
      <c r="P2583" s="116"/>
    </row>
    <row r="2584" spans="2:16" s="108" customFormat="1" ht="21.75" hidden="1" customHeight="1">
      <c r="B2584" s="109"/>
      <c r="C2584" s="122"/>
      <c r="D2584" s="237" t="s">
        <v>648</v>
      </c>
      <c r="E2584" s="710">
        <f>E2585</f>
        <v>841239836</v>
      </c>
      <c r="F2584" s="134">
        <v>59066221758.909996</v>
      </c>
      <c r="G2584" s="126">
        <f t="shared" si="49"/>
        <v>1.4242316690471251</v>
      </c>
      <c r="H2584" s="120"/>
      <c r="I2584" s="120"/>
      <c r="J2584" s="116"/>
      <c r="K2584" s="116"/>
      <c r="L2584" s="116"/>
      <c r="M2584" s="116"/>
      <c r="N2584" s="116"/>
      <c r="O2584" s="116"/>
      <c r="P2584" s="116"/>
    </row>
    <row r="2585" spans="2:16" s="108" customFormat="1" ht="21.75" hidden="1" customHeight="1">
      <c r="B2585" s="109"/>
      <c r="C2585" s="122"/>
      <c r="D2585" s="237" t="s">
        <v>1466</v>
      </c>
      <c r="E2585" s="710">
        <f>E2586</f>
        <v>841239836</v>
      </c>
      <c r="F2585" s="134">
        <v>59066221758.909996</v>
      </c>
      <c r="G2585" s="126">
        <f t="shared" si="49"/>
        <v>1.4242316690471251</v>
      </c>
      <c r="H2585" s="120"/>
      <c r="I2585" s="120"/>
      <c r="J2585" s="116"/>
      <c r="K2585" s="116"/>
      <c r="L2585" s="116"/>
      <c r="M2585" s="116"/>
      <c r="N2585" s="116"/>
      <c r="O2585" s="116"/>
      <c r="P2585" s="116"/>
    </row>
    <row r="2586" spans="2:16" s="108" customFormat="1" ht="54" hidden="1" customHeight="1">
      <c r="B2586" s="109"/>
      <c r="C2586" s="122"/>
      <c r="D2586" s="238" t="s">
        <v>1664</v>
      </c>
      <c r="E2586" s="711">
        <v>841239836</v>
      </c>
      <c r="F2586" s="134">
        <v>59066221758.909996</v>
      </c>
      <c r="G2586" s="126">
        <f t="shared" si="49"/>
        <v>1.4242316690471251</v>
      </c>
      <c r="H2586" s="120"/>
      <c r="I2586" s="120"/>
      <c r="J2586" s="116"/>
      <c r="K2586" s="116"/>
      <c r="L2586" s="116"/>
      <c r="M2586" s="116"/>
      <c r="N2586" s="116"/>
      <c r="O2586" s="116"/>
      <c r="P2586" s="116"/>
    </row>
    <row r="2587" spans="2:16" s="108" customFormat="1" ht="21.75" hidden="1" customHeight="1">
      <c r="B2587" s="109"/>
      <c r="C2587" s="122"/>
      <c r="D2587" s="238"/>
      <c r="E2587" s="711"/>
      <c r="F2587" s="134">
        <v>59066221758.909996</v>
      </c>
      <c r="G2587" s="126">
        <f t="shared" si="49"/>
        <v>0</v>
      </c>
      <c r="H2587" s="120"/>
      <c r="I2587" s="120"/>
      <c r="J2587" s="116"/>
      <c r="K2587" s="116"/>
      <c r="L2587" s="116"/>
      <c r="M2587" s="116"/>
      <c r="N2587" s="116"/>
      <c r="O2587" s="116"/>
      <c r="P2587" s="116"/>
    </row>
    <row r="2588" spans="2:16" s="108" customFormat="1" ht="21.75" hidden="1" customHeight="1">
      <c r="B2588" s="109"/>
      <c r="C2588" s="122"/>
      <c r="D2588" s="237" t="s">
        <v>1909</v>
      </c>
      <c r="E2588" s="710">
        <f>E2589</f>
        <v>529275000</v>
      </c>
      <c r="F2588" s="134">
        <v>59066221758.909996</v>
      </c>
      <c r="G2588" s="126">
        <f t="shared" si="49"/>
        <v>0.8960705192221986</v>
      </c>
      <c r="H2588" s="120"/>
      <c r="I2588" s="120"/>
      <c r="J2588" s="116"/>
      <c r="K2588" s="116"/>
      <c r="L2588" s="116"/>
      <c r="M2588" s="116"/>
      <c r="N2588" s="116"/>
      <c r="O2588" s="116"/>
      <c r="P2588" s="116"/>
    </row>
    <row r="2589" spans="2:16" s="108" customFormat="1" ht="21.75" hidden="1" customHeight="1">
      <c r="B2589" s="109"/>
      <c r="C2589" s="122"/>
      <c r="D2589" s="237" t="s">
        <v>1910</v>
      </c>
      <c r="E2589" s="710">
        <f>E2590</f>
        <v>529275000</v>
      </c>
      <c r="F2589" s="134">
        <v>59066221758.909996</v>
      </c>
      <c r="G2589" s="126">
        <f t="shared" si="49"/>
        <v>0.8960705192221986</v>
      </c>
      <c r="H2589" s="120"/>
      <c r="I2589" s="120"/>
      <c r="J2589" s="116"/>
      <c r="K2589" s="116"/>
      <c r="L2589" s="116"/>
      <c r="M2589" s="116"/>
      <c r="N2589" s="116"/>
      <c r="O2589" s="116"/>
      <c r="P2589" s="116"/>
    </row>
    <row r="2590" spans="2:16" s="108" customFormat="1" ht="37.5" hidden="1" customHeight="1">
      <c r="B2590" s="109"/>
      <c r="C2590" s="122"/>
      <c r="D2590" s="238" t="s">
        <v>1911</v>
      </c>
      <c r="E2590" s="711">
        <v>529275000</v>
      </c>
      <c r="F2590" s="134">
        <v>59066221758.909996</v>
      </c>
      <c r="G2590" s="126">
        <f t="shared" si="49"/>
        <v>0.8960705192221986</v>
      </c>
      <c r="H2590" s="120"/>
      <c r="I2590" s="120"/>
      <c r="J2590" s="116"/>
      <c r="K2590" s="116"/>
      <c r="L2590" s="116"/>
      <c r="M2590" s="116"/>
      <c r="N2590" s="116"/>
      <c r="O2590" s="116"/>
      <c r="P2590" s="116"/>
    </row>
    <row r="2591" spans="2:16" s="108" customFormat="1" ht="21.75" hidden="1" customHeight="1">
      <c r="B2591" s="109"/>
      <c r="C2591" s="122"/>
      <c r="D2591" s="238"/>
      <c r="E2591" s="711"/>
      <c r="F2591" s="134">
        <v>59066221758.909996</v>
      </c>
      <c r="G2591" s="126">
        <f t="shared" si="49"/>
        <v>0</v>
      </c>
      <c r="H2591" s="120"/>
      <c r="I2591" s="120"/>
      <c r="J2591" s="116"/>
      <c r="K2591" s="116"/>
      <c r="L2591" s="116"/>
      <c r="M2591" s="116"/>
      <c r="N2591" s="116"/>
      <c r="O2591" s="116"/>
      <c r="P2591" s="116"/>
    </row>
    <row r="2592" spans="2:16" s="108" customFormat="1" ht="21.75" hidden="1" customHeight="1">
      <c r="B2592" s="109"/>
      <c r="C2592" s="122"/>
      <c r="D2592" s="237" t="s">
        <v>1912</v>
      </c>
      <c r="E2592" s="710">
        <f>+E2593+E2595+E2598+E2600</f>
        <v>2403499147.8299999</v>
      </c>
      <c r="F2592" s="134">
        <v>59066221758.909996</v>
      </c>
      <c r="G2592" s="126">
        <f t="shared" si="49"/>
        <v>4.0691601329103761</v>
      </c>
      <c r="H2592" s="120"/>
      <c r="I2592" s="120"/>
      <c r="J2592" s="116"/>
      <c r="K2592" s="116"/>
      <c r="L2592" s="116"/>
      <c r="M2592" s="116"/>
      <c r="N2592" s="116"/>
      <c r="O2592" s="116"/>
      <c r="P2592" s="116"/>
    </row>
    <row r="2593" spans="2:16" s="108" customFormat="1" ht="21.75" hidden="1" customHeight="1">
      <c r="B2593" s="109"/>
      <c r="C2593" s="122"/>
      <c r="D2593" s="237" t="s">
        <v>1205</v>
      </c>
      <c r="E2593" s="710">
        <f>E2594</f>
        <v>651630000</v>
      </c>
      <c r="F2593" s="134">
        <v>59066221758.909996</v>
      </c>
      <c r="G2593" s="126">
        <f t="shared" si="49"/>
        <v>1.103219370725542</v>
      </c>
      <c r="H2593" s="120"/>
      <c r="I2593" s="120"/>
      <c r="J2593" s="116"/>
      <c r="K2593" s="116"/>
      <c r="L2593" s="116"/>
      <c r="M2593" s="116"/>
      <c r="N2593" s="116"/>
      <c r="O2593" s="116"/>
      <c r="P2593" s="116"/>
    </row>
    <row r="2594" spans="2:16" s="108" customFormat="1" ht="21.75" hidden="1" customHeight="1">
      <c r="B2594" s="109"/>
      <c r="C2594" s="122"/>
      <c r="D2594" s="238" t="s">
        <v>1913</v>
      </c>
      <c r="E2594" s="711">
        <v>651630000</v>
      </c>
      <c r="F2594" s="134">
        <v>59066221758.909996</v>
      </c>
      <c r="G2594" s="126">
        <f t="shared" si="49"/>
        <v>1.103219370725542</v>
      </c>
      <c r="H2594" s="120"/>
      <c r="I2594" s="120"/>
      <c r="J2594" s="116"/>
      <c r="K2594" s="116"/>
      <c r="L2594" s="116"/>
      <c r="M2594" s="116"/>
      <c r="N2594" s="116"/>
      <c r="O2594" s="116"/>
      <c r="P2594" s="116"/>
    </row>
    <row r="2595" spans="2:16" s="108" customFormat="1" ht="46.5" hidden="1" customHeight="1">
      <c r="B2595" s="109"/>
      <c r="C2595" s="122"/>
      <c r="D2595" s="237" t="s">
        <v>890</v>
      </c>
      <c r="E2595" s="710">
        <f>+E2596+E2597</f>
        <v>1011800000</v>
      </c>
      <c r="F2595" s="134">
        <v>59066221758.909996</v>
      </c>
      <c r="G2595" s="126">
        <f t="shared" si="49"/>
        <v>1.71299258674417</v>
      </c>
      <c r="H2595" s="120"/>
      <c r="I2595" s="120"/>
      <c r="J2595" s="116"/>
      <c r="K2595" s="116"/>
      <c r="L2595" s="116"/>
      <c r="M2595" s="116"/>
      <c r="N2595" s="116"/>
      <c r="O2595" s="116"/>
      <c r="P2595" s="116"/>
    </row>
    <row r="2596" spans="2:16" s="108" customFormat="1" ht="40.5" hidden="1" customHeight="1">
      <c r="B2596" s="109"/>
      <c r="C2596" s="122"/>
      <c r="D2596" s="238" t="s">
        <v>1914</v>
      </c>
      <c r="E2596" s="711">
        <v>807500000</v>
      </c>
      <c r="F2596" s="134">
        <v>59066221758.909996</v>
      </c>
      <c r="G2596" s="126">
        <f t="shared" si="49"/>
        <v>1.3671096202766526</v>
      </c>
      <c r="H2596" s="120"/>
      <c r="I2596" s="120"/>
      <c r="J2596" s="116"/>
      <c r="K2596" s="116"/>
      <c r="L2596" s="116"/>
      <c r="M2596" s="116"/>
      <c r="N2596" s="116"/>
      <c r="O2596" s="116"/>
      <c r="P2596" s="116"/>
    </row>
    <row r="2597" spans="2:16" s="108" customFormat="1" ht="21.75" hidden="1" customHeight="1">
      <c r="B2597" s="109"/>
      <c r="C2597" s="122"/>
      <c r="D2597" s="238" t="s">
        <v>1915</v>
      </c>
      <c r="E2597" s="711">
        <v>204300000</v>
      </c>
      <c r="F2597" s="134">
        <v>59066221758.909996</v>
      </c>
      <c r="G2597" s="126">
        <f t="shared" si="49"/>
        <v>0.34588296646751715</v>
      </c>
      <c r="H2597" s="120"/>
      <c r="I2597" s="120"/>
      <c r="J2597" s="116"/>
      <c r="K2597" s="116"/>
      <c r="L2597" s="116"/>
      <c r="M2597" s="116"/>
      <c r="N2597" s="116"/>
      <c r="O2597" s="116"/>
      <c r="P2597" s="116"/>
    </row>
    <row r="2598" spans="2:16" s="108" customFormat="1" ht="21.75" hidden="1" customHeight="1">
      <c r="B2598" s="109"/>
      <c r="C2598" s="122"/>
      <c r="D2598" s="237" t="s">
        <v>1474</v>
      </c>
      <c r="E2598" s="710">
        <f>E2599</f>
        <v>217319147.83000001</v>
      </c>
      <c r="F2598" s="134">
        <v>59066221758.909996</v>
      </c>
      <c r="G2598" s="126">
        <f t="shared" si="49"/>
        <v>0.36792457915630594</v>
      </c>
      <c r="H2598" s="120"/>
      <c r="I2598" s="120"/>
      <c r="J2598" s="116"/>
      <c r="K2598" s="116"/>
      <c r="L2598" s="116"/>
      <c r="M2598" s="116"/>
      <c r="N2598" s="116"/>
      <c r="O2598" s="116"/>
      <c r="P2598" s="116"/>
    </row>
    <row r="2599" spans="2:16" s="108" customFormat="1" ht="21.75" hidden="1" customHeight="1">
      <c r="B2599" s="109"/>
      <c r="C2599" s="122"/>
      <c r="D2599" s="238" t="s">
        <v>1916</v>
      </c>
      <c r="E2599" s="711">
        <v>217319147.83000001</v>
      </c>
      <c r="F2599" s="134">
        <v>59066221758.909996</v>
      </c>
      <c r="G2599" s="126">
        <f t="shared" si="49"/>
        <v>0.36792457915630594</v>
      </c>
      <c r="H2599" s="120"/>
      <c r="I2599" s="120"/>
      <c r="J2599" s="116"/>
      <c r="K2599" s="116"/>
      <c r="L2599" s="116"/>
      <c r="M2599" s="116"/>
      <c r="N2599" s="116"/>
      <c r="O2599" s="116"/>
      <c r="P2599" s="116"/>
    </row>
    <row r="2600" spans="2:16" s="108" customFormat="1" ht="21.75" hidden="1" customHeight="1">
      <c r="B2600" s="109"/>
      <c r="C2600" s="122"/>
      <c r="D2600" s="237" t="s">
        <v>536</v>
      </c>
      <c r="E2600" s="710">
        <f>E2601</f>
        <v>522750000</v>
      </c>
      <c r="F2600" s="134">
        <v>59066221758.909996</v>
      </c>
      <c r="G2600" s="126">
        <f t="shared" si="49"/>
        <v>0.88502359628435923</v>
      </c>
      <c r="H2600" s="120"/>
      <c r="I2600" s="120"/>
      <c r="J2600" s="116"/>
      <c r="K2600" s="116"/>
      <c r="L2600" s="116"/>
      <c r="M2600" s="116"/>
      <c r="N2600" s="116"/>
      <c r="O2600" s="116"/>
      <c r="P2600" s="116"/>
    </row>
    <row r="2601" spans="2:16" s="108" customFormat="1" ht="21.75" hidden="1" customHeight="1">
      <c r="B2601" s="109"/>
      <c r="C2601" s="122"/>
      <c r="D2601" s="238" t="s">
        <v>1917</v>
      </c>
      <c r="E2601" s="711">
        <v>522750000</v>
      </c>
      <c r="F2601" s="134">
        <v>59066221758.909996</v>
      </c>
      <c r="G2601" s="126">
        <f t="shared" si="49"/>
        <v>0.88502359628435923</v>
      </c>
      <c r="H2601" s="120"/>
      <c r="I2601" s="120"/>
      <c r="J2601" s="116"/>
      <c r="K2601" s="116"/>
      <c r="L2601" s="116"/>
      <c r="M2601" s="116"/>
      <c r="N2601" s="116"/>
      <c r="O2601" s="116"/>
      <c r="P2601" s="116"/>
    </row>
    <row r="2602" spans="2:16" s="108" customFormat="1" ht="21.75" hidden="1" customHeight="1">
      <c r="B2602" s="109"/>
      <c r="C2602" s="122"/>
      <c r="D2602" s="123"/>
      <c r="E2602" s="125"/>
      <c r="F2602" s="113"/>
      <c r="G2602" s="126"/>
      <c r="H2602" s="120"/>
      <c r="I2602" s="120"/>
      <c r="J2602" s="116"/>
      <c r="K2602" s="116"/>
      <c r="L2602" s="116"/>
      <c r="M2602" s="116"/>
      <c r="N2602" s="116"/>
      <c r="O2602" s="116"/>
      <c r="P2602" s="116"/>
    </row>
    <row r="2603" spans="2:16" s="117" customFormat="1" ht="21.75" hidden="1" customHeight="1">
      <c r="B2603" s="118"/>
      <c r="C2603" s="110" t="s">
        <v>1918</v>
      </c>
      <c r="D2603" s="111" t="s">
        <v>1919</v>
      </c>
      <c r="E2603" s="129">
        <f>+E2604+E2615+E2639+E2646+E2656+E2660+E2664+E2670+E2678+E2687+E2696</f>
        <v>62185842294.05999</v>
      </c>
      <c r="F2603" s="129">
        <v>1557405258400.0002</v>
      </c>
      <c r="G2603" s="127">
        <f>+E2603/F2603*100</f>
        <v>3.9929133383013355</v>
      </c>
      <c r="H2603" s="47"/>
      <c r="I2603" s="120"/>
      <c r="J2603" s="121"/>
      <c r="K2603" s="121"/>
      <c r="L2603" s="121"/>
      <c r="M2603" s="121"/>
      <c r="N2603" s="121"/>
      <c r="O2603" s="121"/>
      <c r="P2603" s="121"/>
    </row>
    <row r="2604" spans="2:16" s="108" customFormat="1" ht="21.75" hidden="1" customHeight="1">
      <c r="B2604" s="109"/>
      <c r="C2604" s="122"/>
      <c r="D2604" s="111" t="s">
        <v>1920</v>
      </c>
      <c r="E2604" s="135">
        <f>E2605+E2608</f>
        <v>18655752692</v>
      </c>
      <c r="F2604" s="134">
        <v>62185842294.059998</v>
      </c>
      <c r="G2604" s="126">
        <f>+E2604/F2604*100</f>
        <v>30.000000006081773</v>
      </c>
      <c r="H2604" s="120"/>
      <c r="I2604" s="120"/>
      <c r="J2604" s="116"/>
      <c r="K2604" s="116"/>
      <c r="L2604" s="116"/>
      <c r="M2604" s="116"/>
      <c r="N2604" s="116"/>
      <c r="O2604" s="116"/>
      <c r="P2604" s="116"/>
    </row>
    <row r="2605" spans="2:16" s="108" customFormat="1" ht="21.75" hidden="1" customHeight="1">
      <c r="B2605" s="109"/>
      <c r="C2605" s="122"/>
      <c r="D2605" s="111" t="s">
        <v>388</v>
      </c>
      <c r="E2605" s="135">
        <f>SUM(E2606:E2607)</f>
        <v>578800000</v>
      </c>
      <c r="F2605" s="134">
        <v>62185842294.059998</v>
      </c>
      <c r="G2605" s="126">
        <f t="shared" ref="G2605:G2668" si="50">+E2605/F2605*100</f>
        <v>0.93075847917764243</v>
      </c>
      <c r="H2605" s="120"/>
      <c r="I2605" s="120"/>
      <c r="J2605" s="116"/>
      <c r="K2605" s="116"/>
      <c r="L2605" s="116"/>
      <c r="M2605" s="116"/>
      <c r="N2605" s="116"/>
      <c r="O2605" s="116"/>
      <c r="P2605" s="116"/>
    </row>
    <row r="2606" spans="2:16" s="108" customFormat="1" ht="21.75" hidden="1" customHeight="1">
      <c r="B2606" s="109"/>
      <c r="C2606" s="122"/>
      <c r="D2606" s="123" t="s">
        <v>1921</v>
      </c>
      <c r="E2606" s="136">
        <v>300000000</v>
      </c>
      <c r="F2606" s="134">
        <v>62185842294.059998</v>
      </c>
      <c r="G2606" s="126">
        <f t="shared" si="50"/>
        <v>0.48242492009898541</v>
      </c>
      <c r="H2606" s="120"/>
      <c r="I2606" s="120"/>
      <c r="J2606" s="116"/>
      <c r="K2606" s="116"/>
      <c r="L2606" s="116"/>
      <c r="M2606" s="116"/>
      <c r="N2606" s="116"/>
      <c r="O2606" s="116"/>
      <c r="P2606" s="116"/>
    </row>
    <row r="2607" spans="2:16" s="108" customFormat="1" ht="21.75" hidden="1" customHeight="1">
      <c r="B2607" s="109"/>
      <c r="C2607" s="122"/>
      <c r="D2607" s="123" t="s">
        <v>1922</v>
      </c>
      <c r="E2607" s="136">
        <v>278800000</v>
      </c>
      <c r="F2607" s="134">
        <v>62185842294.059998</v>
      </c>
      <c r="G2607" s="126">
        <f t="shared" si="50"/>
        <v>0.44833355907865702</v>
      </c>
      <c r="H2607" s="120"/>
      <c r="I2607" s="120"/>
      <c r="J2607" s="116"/>
      <c r="K2607" s="116"/>
      <c r="L2607" s="116"/>
      <c r="M2607" s="116"/>
      <c r="N2607" s="116"/>
      <c r="O2607" s="116"/>
      <c r="P2607" s="116"/>
    </row>
    <row r="2608" spans="2:16" s="108" customFormat="1" ht="21.75" hidden="1" customHeight="1">
      <c r="B2608" s="109"/>
      <c r="C2608" s="122"/>
      <c r="D2608" s="111" t="s">
        <v>394</v>
      </c>
      <c r="E2608" s="135">
        <f>SUM(E2609:E2613)</f>
        <v>18076952692</v>
      </c>
      <c r="F2608" s="134">
        <v>62185842294.059998</v>
      </c>
      <c r="G2608" s="126">
        <f t="shared" si="50"/>
        <v>29.069241526904126</v>
      </c>
      <c r="H2608" s="120"/>
      <c r="I2608" s="120"/>
      <c r="J2608" s="116"/>
      <c r="K2608" s="116"/>
      <c r="L2608" s="116"/>
      <c r="M2608" s="116"/>
      <c r="N2608" s="116"/>
      <c r="O2608" s="116"/>
      <c r="P2608" s="116"/>
    </row>
    <row r="2609" spans="2:16" s="108" customFormat="1" ht="21.75" hidden="1" customHeight="1">
      <c r="B2609" s="109"/>
      <c r="C2609" s="122"/>
      <c r="D2609" s="123" t="s">
        <v>1923</v>
      </c>
      <c r="E2609" s="136">
        <v>2215908492</v>
      </c>
      <c r="F2609" s="134">
        <v>62185842294.059998</v>
      </c>
      <c r="G2609" s="126">
        <f t="shared" si="50"/>
        <v>3.5633649239992105</v>
      </c>
      <c r="H2609" s="120"/>
      <c r="I2609" s="120"/>
      <c r="J2609" s="116"/>
      <c r="K2609" s="116"/>
      <c r="L2609" s="116"/>
      <c r="M2609" s="116"/>
      <c r="N2609" s="116"/>
      <c r="O2609" s="116"/>
      <c r="P2609" s="116"/>
    </row>
    <row r="2610" spans="2:16" s="108" customFormat="1" ht="32.25" hidden="1" customHeight="1">
      <c r="B2610" s="109"/>
      <c r="C2610" s="122"/>
      <c r="D2610" s="123" t="s">
        <v>1924</v>
      </c>
      <c r="E2610" s="136">
        <v>467940000</v>
      </c>
      <c r="F2610" s="134">
        <v>62185842294.059998</v>
      </c>
      <c r="G2610" s="126">
        <f t="shared" si="50"/>
        <v>0.75248639037039744</v>
      </c>
      <c r="H2610" s="120"/>
      <c r="I2610" s="120"/>
      <c r="J2610" s="116"/>
      <c r="K2610" s="116"/>
      <c r="L2610" s="116"/>
      <c r="M2610" s="116"/>
      <c r="N2610" s="116"/>
      <c r="O2610" s="116"/>
      <c r="P2610" s="116"/>
    </row>
    <row r="2611" spans="2:16" s="108" customFormat="1" ht="32.25" hidden="1" customHeight="1">
      <c r="B2611" s="109"/>
      <c r="C2611" s="122"/>
      <c r="D2611" s="123" t="s">
        <v>1925</v>
      </c>
      <c r="E2611" s="136">
        <v>757900000</v>
      </c>
      <c r="F2611" s="134">
        <v>62185842294.059998</v>
      </c>
      <c r="G2611" s="126">
        <f t="shared" si="50"/>
        <v>1.2187661564767367</v>
      </c>
      <c r="H2611" s="120"/>
      <c r="I2611" s="120"/>
      <c r="J2611" s="116"/>
      <c r="K2611" s="116"/>
      <c r="L2611" s="116"/>
      <c r="M2611" s="116"/>
      <c r="N2611" s="116"/>
      <c r="O2611" s="116"/>
      <c r="P2611" s="116"/>
    </row>
    <row r="2612" spans="2:16" s="108" customFormat="1" ht="21.75" hidden="1" customHeight="1">
      <c r="B2612" s="109"/>
      <c r="C2612" s="122"/>
      <c r="D2612" s="123" t="s">
        <v>1926</v>
      </c>
      <c r="E2612" s="136">
        <v>8013600000</v>
      </c>
      <c r="F2612" s="134">
        <v>62185842294.059998</v>
      </c>
      <c r="G2612" s="126">
        <f t="shared" si="50"/>
        <v>12.886534465684097</v>
      </c>
      <c r="H2612" s="120"/>
      <c r="I2612" s="120"/>
      <c r="J2612" s="116"/>
      <c r="K2612" s="116"/>
      <c r="L2612" s="116"/>
      <c r="M2612" s="116"/>
      <c r="N2612" s="116"/>
      <c r="O2612" s="116"/>
      <c r="P2612" s="116"/>
    </row>
    <row r="2613" spans="2:16" s="108" customFormat="1" ht="21.75" hidden="1" customHeight="1">
      <c r="B2613" s="109"/>
      <c r="C2613" s="122"/>
      <c r="D2613" s="123" t="s">
        <v>1927</v>
      </c>
      <c r="E2613" s="136">
        <v>6621604200</v>
      </c>
      <c r="F2613" s="134">
        <v>62185842294.059998</v>
      </c>
      <c r="G2613" s="126">
        <f t="shared" si="50"/>
        <v>10.648089590373687</v>
      </c>
      <c r="H2613" s="120"/>
      <c r="I2613" s="120"/>
      <c r="J2613" s="116"/>
      <c r="K2613" s="116"/>
      <c r="L2613" s="116"/>
      <c r="M2613" s="116"/>
      <c r="N2613" s="116"/>
      <c r="O2613" s="116"/>
      <c r="P2613" s="116"/>
    </row>
    <row r="2614" spans="2:16" s="108" customFormat="1" ht="21.75" hidden="1" customHeight="1">
      <c r="B2614" s="109"/>
      <c r="C2614" s="122"/>
      <c r="D2614" s="57"/>
      <c r="E2614" s="136"/>
      <c r="F2614" s="134"/>
      <c r="G2614" s="126"/>
      <c r="H2614" s="120"/>
      <c r="I2614" s="120"/>
      <c r="J2614" s="116"/>
      <c r="K2614" s="116"/>
      <c r="L2614" s="116"/>
      <c r="M2614" s="116"/>
      <c r="N2614" s="116"/>
      <c r="O2614" s="116"/>
      <c r="P2614" s="116"/>
    </row>
    <row r="2615" spans="2:16" s="108" customFormat="1" ht="21.75" hidden="1" customHeight="1">
      <c r="B2615" s="109"/>
      <c r="C2615" s="122"/>
      <c r="D2615" s="150" t="s">
        <v>161</v>
      </c>
      <c r="E2615" s="135">
        <f>E2616+E2618+E2621+E2623+E2625+E2630+E2635</f>
        <v>9327876344.4799995</v>
      </c>
      <c r="F2615" s="134">
        <v>62185842294.059998</v>
      </c>
      <c r="G2615" s="126">
        <f t="shared" si="50"/>
        <v>15.0000000005966</v>
      </c>
      <c r="H2615" s="120"/>
      <c r="I2615" s="120"/>
      <c r="J2615" s="116"/>
      <c r="K2615" s="116"/>
      <c r="L2615" s="116"/>
      <c r="M2615" s="116"/>
      <c r="N2615" s="116"/>
      <c r="O2615" s="116"/>
      <c r="P2615" s="116"/>
    </row>
    <row r="2616" spans="2:16" s="108" customFormat="1" ht="21.75" hidden="1" customHeight="1">
      <c r="B2616" s="109"/>
      <c r="C2616" s="122"/>
      <c r="D2616" s="150" t="s">
        <v>162</v>
      </c>
      <c r="E2616" s="135">
        <f>SUM(E2617)</f>
        <v>778531316.48000002</v>
      </c>
      <c r="F2616" s="134">
        <v>62185842294.059998</v>
      </c>
      <c r="G2616" s="126">
        <f t="shared" si="50"/>
        <v>1.2519430271580729</v>
      </c>
      <c r="H2616" s="120"/>
      <c r="I2616" s="120"/>
      <c r="J2616" s="116"/>
      <c r="K2616" s="116"/>
      <c r="L2616" s="116"/>
      <c r="M2616" s="116"/>
      <c r="N2616" s="116"/>
      <c r="O2616" s="116"/>
      <c r="P2616" s="116"/>
    </row>
    <row r="2617" spans="2:16" s="108" customFormat="1" ht="21.75" hidden="1" customHeight="1">
      <c r="B2617" s="109"/>
      <c r="C2617" s="122"/>
      <c r="D2617" s="123" t="s">
        <v>1928</v>
      </c>
      <c r="E2617" s="136">
        <v>778531316.48000002</v>
      </c>
      <c r="F2617" s="134">
        <v>62185842294.059998</v>
      </c>
      <c r="G2617" s="126">
        <f t="shared" si="50"/>
        <v>1.2519430271580729</v>
      </c>
      <c r="H2617" s="120"/>
      <c r="I2617" s="120"/>
      <c r="J2617" s="116"/>
      <c r="K2617" s="116"/>
      <c r="L2617" s="116"/>
      <c r="M2617" s="116"/>
      <c r="N2617" s="116"/>
      <c r="O2617" s="116"/>
      <c r="P2617" s="116"/>
    </row>
    <row r="2618" spans="2:16" s="108" customFormat="1" ht="21.75" hidden="1" customHeight="1">
      <c r="B2618" s="109"/>
      <c r="C2618" s="122"/>
      <c r="D2618" s="111" t="s">
        <v>190</v>
      </c>
      <c r="E2618" s="170">
        <f>E2619+E2620</f>
        <v>1402208000</v>
      </c>
      <c r="F2618" s="134">
        <v>62185842294.059998</v>
      </c>
      <c r="G2618" s="126">
        <f t="shared" si="50"/>
        <v>2.2548669412071938</v>
      </c>
      <c r="H2618" s="120"/>
      <c r="I2618" s="120"/>
      <c r="J2618" s="116"/>
      <c r="K2618" s="116"/>
      <c r="L2618" s="116"/>
      <c r="M2618" s="116"/>
      <c r="N2618" s="116"/>
      <c r="O2618" s="116"/>
      <c r="P2618" s="116"/>
    </row>
    <row r="2619" spans="2:16" s="108" customFormat="1" ht="21.75" hidden="1" customHeight="1">
      <c r="B2619" s="109"/>
      <c r="C2619" s="122"/>
      <c r="D2619" s="123" t="s">
        <v>1929</v>
      </c>
      <c r="E2619" s="136">
        <v>802208000</v>
      </c>
      <c r="F2619" s="134">
        <v>62185842294.059998</v>
      </c>
      <c r="G2619" s="126">
        <f t="shared" si="50"/>
        <v>1.290017101009223</v>
      </c>
      <c r="H2619" s="120"/>
      <c r="I2619" s="120"/>
      <c r="J2619" s="116"/>
      <c r="K2619" s="116"/>
      <c r="L2619" s="116"/>
      <c r="M2619" s="116"/>
      <c r="N2619" s="116"/>
      <c r="O2619" s="116"/>
      <c r="P2619" s="116"/>
    </row>
    <row r="2620" spans="2:16" s="108" customFormat="1" ht="21.75" hidden="1" customHeight="1">
      <c r="B2620" s="109"/>
      <c r="C2620" s="122"/>
      <c r="D2620" s="123" t="s">
        <v>1930</v>
      </c>
      <c r="E2620" s="136">
        <v>600000000</v>
      </c>
      <c r="F2620" s="134">
        <v>62185842294.059998</v>
      </c>
      <c r="G2620" s="126">
        <f t="shared" si="50"/>
        <v>0.96484984019797082</v>
      </c>
      <c r="H2620" s="120"/>
      <c r="I2620" s="120"/>
      <c r="J2620" s="116"/>
      <c r="K2620" s="116"/>
      <c r="L2620" s="116"/>
      <c r="M2620" s="116"/>
      <c r="N2620" s="116"/>
      <c r="O2620" s="116"/>
      <c r="P2620" s="116"/>
    </row>
    <row r="2621" spans="2:16" s="108" customFormat="1" ht="21.75" hidden="1" customHeight="1">
      <c r="B2621" s="109"/>
      <c r="C2621" s="122"/>
      <c r="D2621" s="150" t="s">
        <v>196</v>
      </c>
      <c r="E2621" s="135">
        <f>SUM(E2622)</f>
        <v>801968000</v>
      </c>
      <c r="F2621" s="134">
        <v>62185842294.059998</v>
      </c>
      <c r="G2621" s="126">
        <f t="shared" si="50"/>
        <v>1.2896311610731437</v>
      </c>
      <c r="H2621" s="120"/>
      <c r="I2621" s="120"/>
      <c r="J2621" s="116"/>
      <c r="K2621" s="116"/>
      <c r="L2621" s="116"/>
      <c r="M2621" s="116"/>
      <c r="N2621" s="116"/>
      <c r="O2621" s="116"/>
      <c r="P2621" s="116"/>
    </row>
    <row r="2622" spans="2:16" s="108" customFormat="1" ht="21.75" hidden="1" customHeight="1">
      <c r="B2622" s="109"/>
      <c r="C2622" s="122"/>
      <c r="D2622" s="123" t="s">
        <v>1931</v>
      </c>
      <c r="E2622" s="136">
        <v>801968000</v>
      </c>
      <c r="F2622" s="134">
        <v>62185842294.059998</v>
      </c>
      <c r="G2622" s="126">
        <f t="shared" si="50"/>
        <v>1.2896311610731437</v>
      </c>
      <c r="H2622" s="120"/>
      <c r="I2622" s="120"/>
      <c r="J2622" s="116"/>
      <c r="K2622" s="116"/>
      <c r="L2622" s="116"/>
      <c r="M2622" s="116"/>
      <c r="N2622" s="116"/>
      <c r="O2622" s="116"/>
      <c r="P2622" s="116"/>
    </row>
    <row r="2623" spans="2:16" s="108" customFormat="1" ht="36" hidden="1" customHeight="1">
      <c r="B2623" s="109"/>
      <c r="C2623" s="122"/>
      <c r="D2623" s="111" t="s">
        <v>1932</v>
      </c>
      <c r="E2623" s="135">
        <f>E2624</f>
        <v>266250000</v>
      </c>
      <c r="F2623" s="134">
        <v>62185842294.059998</v>
      </c>
      <c r="G2623" s="126">
        <f t="shared" si="50"/>
        <v>0.42815211658784946</v>
      </c>
      <c r="H2623" s="120"/>
      <c r="I2623" s="120"/>
      <c r="J2623" s="116"/>
      <c r="K2623" s="116"/>
      <c r="L2623" s="116"/>
      <c r="M2623" s="116"/>
      <c r="N2623" s="116"/>
      <c r="O2623" s="116"/>
      <c r="P2623" s="116"/>
    </row>
    <row r="2624" spans="2:16" s="108" customFormat="1" ht="37.5" hidden="1" customHeight="1">
      <c r="B2624" s="109"/>
      <c r="C2624" s="122"/>
      <c r="D2624" s="123" t="s">
        <v>1933</v>
      </c>
      <c r="E2624" s="136">
        <v>266250000</v>
      </c>
      <c r="F2624" s="134">
        <v>62185842294.059998</v>
      </c>
      <c r="G2624" s="126">
        <f t="shared" si="50"/>
        <v>0.42815211658784946</v>
      </c>
      <c r="H2624" s="120"/>
      <c r="I2624" s="120"/>
      <c r="J2624" s="116"/>
      <c r="K2624" s="116"/>
      <c r="L2624" s="116"/>
      <c r="M2624" s="116"/>
      <c r="N2624" s="116"/>
      <c r="O2624" s="116"/>
      <c r="P2624" s="116"/>
    </row>
    <row r="2625" spans="2:16" s="108" customFormat="1" ht="33" hidden="1" customHeight="1">
      <c r="B2625" s="109"/>
      <c r="C2625" s="122"/>
      <c r="D2625" s="111" t="s">
        <v>1414</v>
      </c>
      <c r="E2625" s="170">
        <f>SUM(E2626:E2629)</f>
        <v>2896371028</v>
      </c>
      <c r="F2625" s="134">
        <v>62185842294.059998</v>
      </c>
      <c r="G2625" s="126">
        <f t="shared" si="50"/>
        <v>4.6576052058663873</v>
      </c>
      <c r="H2625" s="120"/>
      <c r="I2625" s="120"/>
      <c r="J2625" s="116"/>
      <c r="K2625" s="116"/>
      <c r="L2625" s="116"/>
      <c r="M2625" s="116"/>
      <c r="N2625" s="116"/>
      <c r="O2625" s="116"/>
      <c r="P2625" s="116"/>
    </row>
    <row r="2626" spans="2:16" s="108" customFormat="1" ht="21.75" hidden="1" customHeight="1">
      <c r="B2626" s="109"/>
      <c r="C2626" s="122"/>
      <c r="D2626" s="123" t="s">
        <v>1934</v>
      </c>
      <c r="E2626" s="136">
        <v>1003174888</v>
      </c>
      <c r="F2626" s="134">
        <v>62185842294.059998</v>
      </c>
      <c r="G2626" s="126">
        <f t="shared" si="50"/>
        <v>1.6131885506290287</v>
      </c>
      <c r="H2626" s="120"/>
      <c r="I2626" s="120"/>
      <c r="J2626" s="116"/>
      <c r="K2626" s="116"/>
      <c r="L2626" s="116"/>
      <c r="M2626" s="116"/>
      <c r="N2626" s="116"/>
      <c r="O2626" s="116"/>
      <c r="P2626" s="116"/>
    </row>
    <row r="2627" spans="2:16" s="108" customFormat="1" ht="21.75" hidden="1" customHeight="1">
      <c r="B2627" s="109"/>
      <c r="C2627" s="122"/>
      <c r="D2627" s="123" t="s">
        <v>1935</v>
      </c>
      <c r="E2627" s="136">
        <v>506196140</v>
      </c>
      <c r="F2627" s="134">
        <v>62185842294.059998</v>
      </c>
      <c r="G2627" s="126">
        <f t="shared" si="50"/>
        <v>0.81400544131304942</v>
      </c>
      <c r="H2627" s="120"/>
      <c r="I2627" s="120"/>
      <c r="J2627" s="116"/>
      <c r="K2627" s="116"/>
      <c r="L2627" s="116"/>
      <c r="M2627" s="116"/>
      <c r="N2627" s="116"/>
      <c r="O2627" s="116"/>
      <c r="P2627" s="116"/>
    </row>
    <row r="2628" spans="2:16" s="108" customFormat="1" ht="21.75" hidden="1" customHeight="1">
      <c r="B2628" s="109"/>
      <c r="C2628" s="122"/>
      <c r="D2628" s="123" t="s">
        <v>1936</v>
      </c>
      <c r="E2628" s="136">
        <v>657000000</v>
      </c>
      <c r="F2628" s="134">
        <v>62185842294.059998</v>
      </c>
      <c r="G2628" s="126">
        <f t="shared" si="50"/>
        <v>1.056510575016778</v>
      </c>
      <c r="H2628" s="120"/>
      <c r="I2628" s="120"/>
      <c r="J2628" s="116"/>
      <c r="K2628" s="116"/>
      <c r="L2628" s="116"/>
      <c r="M2628" s="116"/>
      <c r="N2628" s="116"/>
      <c r="O2628" s="116"/>
      <c r="P2628" s="116"/>
    </row>
    <row r="2629" spans="2:16" s="108" customFormat="1" ht="21.75" hidden="1" customHeight="1">
      <c r="B2629" s="109"/>
      <c r="C2629" s="122"/>
      <c r="D2629" s="123" t="s">
        <v>1937</v>
      </c>
      <c r="E2629" s="136">
        <v>730000000</v>
      </c>
      <c r="F2629" s="134">
        <v>62185842294.059998</v>
      </c>
      <c r="G2629" s="126">
        <f t="shared" si="50"/>
        <v>1.1739006389075313</v>
      </c>
      <c r="H2629" s="120"/>
      <c r="I2629" s="120"/>
      <c r="J2629" s="116"/>
      <c r="K2629" s="116"/>
      <c r="L2629" s="116"/>
      <c r="M2629" s="116"/>
      <c r="N2629" s="116"/>
      <c r="O2629" s="116"/>
      <c r="P2629" s="116"/>
    </row>
    <row r="2630" spans="2:16" s="108" customFormat="1" ht="21.75" hidden="1" customHeight="1">
      <c r="B2630" s="109"/>
      <c r="C2630" s="122"/>
      <c r="D2630" s="111" t="s">
        <v>221</v>
      </c>
      <c r="E2630" s="170">
        <f>SUM(E2631:E2634)</f>
        <v>961980000</v>
      </c>
      <c r="F2630" s="134">
        <v>62185842294.059998</v>
      </c>
      <c r="G2630" s="126">
        <f t="shared" si="50"/>
        <v>1.5469437487894064</v>
      </c>
      <c r="H2630" s="120"/>
      <c r="I2630" s="120"/>
      <c r="J2630" s="116"/>
      <c r="K2630" s="116"/>
      <c r="L2630" s="116"/>
      <c r="M2630" s="116"/>
      <c r="N2630" s="116"/>
      <c r="O2630" s="116"/>
      <c r="P2630" s="116"/>
    </row>
    <row r="2631" spans="2:16" s="108" customFormat="1" ht="38.25" hidden="1" customHeight="1">
      <c r="B2631" s="109"/>
      <c r="C2631" s="122"/>
      <c r="D2631" s="123" t="s">
        <v>1938</v>
      </c>
      <c r="E2631" s="136">
        <v>200000000</v>
      </c>
      <c r="F2631" s="134">
        <v>62185842294.059998</v>
      </c>
      <c r="G2631" s="126">
        <f t="shared" si="50"/>
        <v>0.32161661339932357</v>
      </c>
      <c r="H2631" s="120"/>
      <c r="I2631" s="120"/>
      <c r="J2631" s="116"/>
      <c r="K2631" s="116"/>
      <c r="L2631" s="116"/>
      <c r="M2631" s="116"/>
      <c r="N2631" s="116"/>
      <c r="O2631" s="116"/>
      <c r="P2631" s="116"/>
    </row>
    <row r="2632" spans="2:16" s="108" customFormat="1" ht="21.75" hidden="1" customHeight="1">
      <c r="B2632" s="109"/>
      <c r="C2632" s="122"/>
      <c r="D2632" s="123" t="s">
        <v>1939</v>
      </c>
      <c r="E2632" s="136">
        <v>252180000</v>
      </c>
      <c r="F2632" s="134">
        <v>62185842294.059998</v>
      </c>
      <c r="G2632" s="126">
        <f t="shared" si="50"/>
        <v>0.40552638783520706</v>
      </c>
      <c r="H2632" s="120"/>
      <c r="I2632" s="120"/>
      <c r="J2632" s="116"/>
      <c r="K2632" s="116"/>
      <c r="L2632" s="116"/>
      <c r="M2632" s="116"/>
      <c r="N2632" s="116"/>
      <c r="O2632" s="116"/>
      <c r="P2632" s="116"/>
    </row>
    <row r="2633" spans="2:16" s="108" customFormat="1" ht="21.75" hidden="1" customHeight="1">
      <c r="B2633" s="109"/>
      <c r="C2633" s="122"/>
      <c r="D2633" s="123" t="s">
        <v>1940</v>
      </c>
      <c r="E2633" s="136">
        <v>321800000</v>
      </c>
      <c r="F2633" s="134">
        <v>62185842294.059998</v>
      </c>
      <c r="G2633" s="126">
        <f t="shared" si="50"/>
        <v>0.51748113095951165</v>
      </c>
      <c r="H2633" s="120"/>
      <c r="I2633" s="120"/>
      <c r="J2633" s="116"/>
      <c r="K2633" s="116"/>
      <c r="L2633" s="116"/>
      <c r="M2633" s="116"/>
      <c r="N2633" s="116"/>
      <c r="O2633" s="116"/>
      <c r="P2633" s="116"/>
    </row>
    <row r="2634" spans="2:16" s="108" customFormat="1" ht="21.75" hidden="1" customHeight="1">
      <c r="B2634" s="109"/>
      <c r="C2634" s="122"/>
      <c r="D2634" s="123" t="s">
        <v>1941</v>
      </c>
      <c r="E2634" s="136">
        <v>188000000</v>
      </c>
      <c r="F2634" s="134">
        <v>62185842294.059998</v>
      </c>
      <c r="G2634" s="126">
        <f t="shared" si="50"/>
        <v>0.30231961659536416</v>
      </c>
      <c r="H2634" s="120"/>
      <c r="I2634" s="120"/>
      <c r="J2634" s="116"/>
      <c r="K2634" s="116"/>
      <c r="L2634" s="116"/>
      <c r="M2634" s="116"/>
      <c r="N2634" s="116"/>
      <c r="O2634" s="116"/>
      <c r="P2634" s="116"/>
    </row>
    <row r="2635" spans="2:16" s="108" customFormat="1" ht="21.75" hidden="1" customHeight="1">
      <c r="B2635" s="109"/>
      <c r="C2635" s="122"/>
      <c r="D2635" s="111" t="s">
        <v>1501</v>
      </c>
      <c r="E2635" s="170">
        <f>E2636+E2637</f>
        <v>2220568000</v>
      </c>
      <c r="F2635" s="134">
        <v>62185842294.059998</v>
      </c>
      <c r="G2635" s="126">
        <f t="shared" si="50"/>
        <v>3.5708577999145459</v>
      </c>
      <c r="H2635" s="120"/>
      <c r="I2635" s="120"/>
      <c r="J2635" s="116"/>
      <c r="K2635" s="116"/>
      <c r="L2635" s="116"/>
      <c r="M2635" s="116"/>
      <c r="N2635" s="116"/>
      <c r="O2635" s="116"/>
      <c r="P2635" s="116"/>
    </row>
    <row r="2636" spans="2:16" s="108" customFormat="1" ht="21.75" hidden="1" customHeight="1">
      <c r="B2636" s="109"/>
      <c r="C2636" s="122"/>
      <c r="D2636" s="123" t="s">
        <v>1942</v>
      </c>
      <c r="E2636" s="239">
        <v>1205000000</v>
      </c>
      <c r="F2636" s="134">
        <v>62185842294.059998</v>
      </c>
      <c r="G2636" s="126">
        <f t="shared" si="50"/>
        <v>1.9377400957309245</v>
      </c>
      <c r="H2636" s="120"/>
      <c r="I2636" s="120"/>
      <c r="J2636" s="116"/>
      <c r="K2636" s="116"/>
      <c r="L2636" s="116"/>
      <c r="M2636" s="116"/>
      <c r="N2636" s="116"/>
      <c r="O2636" s="116"/>
      <c r="P2636" s="116"/>
    </row>
    <row r="2637" spans="2:16" s="108" customFormat="1" ht="32.25" hidden="1" customHeight="1">
      <c r="B2637" s="109"/>
      <c r="C2637" s="122"/>
      <c r="D2637" s="123" t="s">
        <v>1943</v>
      </c>
      <c r="E2637" s="239">
        <v>1015568000</v>
      </c>
      <c r="F2637" s="134">
        <v>62185842294.059998</v>
      </c>
      <c r="G2637" s="126">
        <f t="shared" si="50"/>
        <v>1.6331177041836213</v>
      </c>
      <c r="H2637" s="120"/>
      <c r="I2637" s="120"/>
      <c r="J2637" s="116"/>
      <c r="K2637" s="116"/>
      <c r="L2637" s="116"/>
      <c r="M2637" s="116"/>
      <c r="N2637" s="116"/>
      <c r="O2637" s="116"/>
      <c r="P2637" s="116"/>
    </row>
    <row r="2638" spans="2:16" s="108" customFormat="1" ht="21.75" hidden="1" customHeight="1">
      <c r="B2638" s="109"/>
      <c r="C2638" s="122"/>
      <c r="D2638" s="150"/>
      <c r="E2638" s="136"/>
      <c r="F2638" s="134"/>
      <c r="G2638" s="126"/>
      <c r="H2638" s="120"/>
      <c r="I2638" s="120"/>
      <c r="J2638" s="116"/>
      <c r="K2638" s="116"/>
      <c r="L2638" s="116"/>
      <c r="M2638" s="116"/>
      <c r="N2638" s="116"/>
      <c r="O2638" s="116"/>
      <c r="P2638" s="116"/>
    </row>
    <row r="2639" spans="2:16" s="108" customFormat="1" ht="21.75" hidden="1" customHeight="1">
      <c r="B2639" s="109"/>
      <c r="C2639" s="122"/>
      <c r="D2639" s="111" t="s">
        <v>1944</v>
      </c>
      <c r="E2639" s="135">
        <f>E2640+E2643</f>
        <v>11212017078</v>
      </c>
      <c r="F2639" s="134">
        <v>62185842294.059998</v>
      </c>
      <c r="G2639" s="126">
        <f t="shared" si="50"/>
        <v>18.0298548100087</v>
      </c>
      <c r="H2639" s="120"/>
      <c r="I2639" s="120"/>
      <c r="J2639" s="116"/>
      <c r="K2639" s="116"/>
      <c r="L2639" s="116"/>
      <c r="M2639" s="116"/>
      <c r="N2639" s="116"/>
      <c r="O2639" s="116"/>
      <c r="P2639" s="116"/>
    </row>
    <row r="2640" spans="2:16" s="108" customFormat="1" ht="21.75" hidden="1" customHeight="1">
      <c r="B2640" s="109"/>
      <c r="C2640" s="122"/>
      <c r="D2640" s="150" t="s">
        <v>1945</v>
      </c>
      <c r="E2640" s="135">
        <f>SUM(E2641:E2642)</f>
        <v>9436746888</v>
      </c>
      <c r="F2640" s="134">
        <v>62185842294.059998</v>
      </c>
      <c r="G2640" s="126">
        <f t="shared" si="50"/>
        <v>15.175072878125832</v>
      </c>
      <c r="H2640" s="120"/>
      <c r="I2640" s="120"/>
      <c r="J2640" s="116"/>
      <c r="K2640" s="116"/>
      <c r="L2640" s="116"/>
      <c r="M2640" s="116"/>
      <c r="N2640" s="116"/>
      <c r="O2640" s="116"/>
      <c r="P2640" s="116"/>
    </row>
    <row r="2641" spans="2:16" s="108" customFormat="1" ht="21.75" hidden="1" customHeight="1">
      <c r="B2641" s="109"/>
      <c r="C2641" s="122"/>
      <c r="D2641" s="123" t="s">
        <v>1946</v>
      </c>
      <c r="E2641" s="136">
        <v>1351469888</v>
      </c>
      <c r="F2641" s="134">
        <v>62185842294.059998</v>
      </c>
      <c r="G2641" s="126">
        <f t="shared" si="50"/>
        <v>2.1732758424486156</v>
      </c>
      <c r="H2641" s="120"/>
      <c r="I2641" s="120"/>
      <c r="J2641" s="116"/>
      <c r="K2641" s="116"/>
      <c r="L2641" s="116"/>
      <c r="M2641" s="116"/>
      <c r="N2641" s="116"/>
      <c r="O2641" s="116"/>
      <c r="P2641" s="116"/>
    </row>
    <row r="2642" spans="2:16" s="108" customFormat="1" ht="21.75" hidden="1" customHeight="1">
      <c r="B2642" s="109"/>
      <c r="C2642" s="122"/>
      <c r="D2642" s="123" t="s">
        <v>1947</v>
      </c>
      <c r="E2642" s="136">
        <v>8085277000</v>
      </c>
      <c r="F2642" s="134">
        <v>62185842294.059998</v>
      </c>
      <c r="G2642" s="126">
        <f t="shared" si="50"/>
        <v>13.001797035677216</v>
      </c>
      <c r="H2642" s="120"/>
      <c r="I2642" s="120"/>
      <c r="J2642" s="116"/>
      <c r="K2642" s="116"/>
      <c r="L2642" s="116"/>
      <c r="M2642" s="116"/>
      <c r="N2642" s="116"/>
      <c r="O2642" s="116"/>
      <c r="P2642" s="116"/>
    </row>
    <row r="2643" spans="2:16" s="108" customFormat="1" ht="21.75" hidden="1" customHeight="1">
      <c r="B2643" s="109"/>
      <c r="C2643" s="122"/>
      <c r="D2643" s="150" t="s">
        <v>498</v>
      </c>
      <c r="E2643" s="135">
        <f>SUM(E2644)</f>
        <v>1775270190</v>
      </c>
      <c r="F2643" s="134">
        <v>62185842294.059998</v>
      </c>
      <c r="G2643" s="126">
        <f t="shared" si="50"/>
        <v>2.8547819318828687</v>
      </c>
      <c r="H2643" s="120"/>
      <c r="I2643" s="120"/>
      <c r="J2643" s="116"/>
      <c r="K2643" s="116"/>
      <c r="L2643" s="116"/>
      <c r="M2643" s="116"/>
      <c r="N2643" s="116"/>
      <c r="O2643" s="116"/>
      <c r="P2643" s="116"/>
    </row>
    <row r="2644" spans="2:16" s="108" customFormat="1" ht="21.75" hidden="1" customHeight="1">
      <c r="B2644" s="109"/>
      <c r="C2644" s="122"/>
      <c r="D2644" s="57" t="s">
        <v>1948</v>
      </c>
      <c r="E2644" s="136">
        <v>1775270190</v>
      </c>
      <c r="F2644" s="134">
        <v>62185842294.059998</v>
      </c>
      <c r="G2644" s="126">
        <f t="shared" si="50"/>
        <v>2.8547819318828687</v>
      </c>
      <c r="H2644" s="120"/>
      <c r="I2644" s="120"/>
      <c r="J2644" s="116"/>
      <c r="K2644" s="116"/>
      <c r="L2644" s="116"/>
      <c r="M2644" s="116"/>
      <c r="N2644" s="116"/>
      <c r="O2644" s="116"/>
      <c r="P2644" s="116"/>
    </row>
    <row r="2645" spans="2:16" s="108" customFormat="1" ht="21.75" hidden="1" customHeight="1">
      <c r="B2645" s="109"/>
      <c r="C2645" s="122"/>
      <c r="D2645" s="57"/>
      <c r="E2645" s="136"/>
      <c r="F2645" s="134"/>
      <c r="G2645" s="126"/>
      <c r="H2645" s="120"/>
      <c r="I2645" s="120"/>
      <c r="J2645" s="116"/>
      <c r="K2645" s="116"/>
      <c r="L2645" s="116"/>
      <c r="M2645" s="116"/>
      <c r="N2645" s="116"/>
      <c r="O2645" s="116"/>
      <c r="P2645" s="116"/>
    </row>
    <row r="2646" spans="2:16" s="108" customFormat="1" ht="21.75" hidden="1" customHeight="1">
      <c r="B2646" s="109"/>
      <c r="C2646" s="122"/>
      <c r="D2646" s="240" t="s">
        <v>1949</v>
      </c>
      <c r="E2646" s="135">
        <f>E2647+E2649+E2651+E2653</f>
        <v>5216184362</v>
      </c>
      <c r="F2646" s="134">
        <v>62185842294.059998</v>
      </c>
      <c r="G2646" s="126">
        <f t="shared" si="50"/>
        <v>8.3880577468647566</v>
      </c>
      <c r="H2646" s="120"/>
      <c r="I2646" s="120"/>
      <c r="J2646" s="116"/>
      <c r="K2646" s="116"/>
      <c r="L2646" s="116"/>
      <c r="M2646" s="116"/>
      <c r="N2646" s="116"/>
      <c r="O2646" s="116"/>
      <c r="P2646" s="116"/>
    </row>
    <row r="2647" spans="2:16" s="108" customFormat="1" ht="21.75" hidden="1" customHeight="1">
      <c r="B2647" s="109"/>
      <c r="C2647" s="122"/>
      <c r="D2647" s="240" t="s">
        <v>1188</v>
      </c>
      <c r="E2647" s="135">
        <f>E2648</f>
        <v>2023692085</v>
      </c>
      <c r="F2647" s="134">
        <v>62185842294.059998</v>
      </c>
      <c r="G2647" s="126">
        <f t="shared" si="50"/>
        <v>3.2542649747035801</v>
      </c>
      <c r="H2647" s="120"/>
      <c r="I2647" s="120"/>
      <c r="J2647" s="116"/>
      <c r="K2647" s="116"/>
      <c r="L2647" s="116"/>
      <c r="M2647" s="116"/>
      <c r="N2647" s="116"/>
      <c r="O2647" s="116"/>
      <c r="P2647" s="116"/>
    </row>
    <row r="2648" spans="2:16" s="108" customFormat="1" ht="21.75" hidden="1" customHeight="1">
      <c r="B2648" s="109"/>
      <c r="C2648" s="122"/>
      <c r="D2648" s="123" t="s">
        <v>1950</v>
      </c>
      <c r="E2648" s="136">
        <v>2023692085</v>
      </c>
      <c r="F2648" s="134">
        <v>62185842294.059998</v>
      </c>
      <c r="G2648" s="126">
        <f t="shared" si="50"/>
        <v>3.2542649747035801</v>
      </c>
      <c r="H2648" s="120"/>
      <c r="I2648" s="120"/>
      <c r="J2648" s="116"/>
      <c r="K2648" s="116"/>
      <c r="L2648" s="116"/>
      <c r="M2648" s="116"/>
      <c r="N2648" s="116"/>
      <c r="O2648" s="116"/>
      <c r="P2648" s="116"/>
    </row>
    <row r="2649" spans="2:16" s="108" customFormat="1" ht="31.5" hidden="1" customHeight="1">
      <c r="B2649" s="109"/>
      <c r="C2649" s="122"/>
      <c r="D2649" s="240" t="s">
        <v>1951</v>
      </c>
      <c r="E2649" s="135">
        <f>E2650</f>
        <v>650497006</v>
      </c>
      <c r="F2649" s="134">
        <v>62185842294.059998</v>
      </c>
      <c r="G2649" s="126">
        <f t="shared" si="50"/>
        <v>1.0460532204805975</v>
      </c>
      <c r="H2649" s="120"/>
      <c r="I2649" s="120"/>
      <c r="J2649" s="116"/>
      <c r="K2649" s="116"/>
      <c r="L2649" s="116"/>
      <c r="M2649" s="116"/>
      <c r="N2649" s="116"/>
      <c r="O2649" s="116"/>
      <c r="P2649" s="116"/>
    </row>
    <row r="2650" spans="2:16" s="108" customFormat="1" ht="21.75" hidden="1" customHeight="1">
      <c r="B2650" s="109"/>
      <c r="C2650" s="122"/>
      <c r="D2650" s="123" t="s">
        <v>1952</v>
      </c>
      <c r="E2650" s="239">
        <v>650497006</v>
      </c>
      <c r="F2650" s="134">
        <v>62185842294.059998</v>
      </c>
      <c r="G2650" s="126">
        <f t="shared" si="50"/>
        <v>1.0460532204805975</v>
      </c>
      <c r="H2650" s="120"/>
      <c r="I2650" s="120"/>
      <c r="J2650" s="116"/>
      <c r="K2650" s="116"/>
      <c r="L2650" s="116"/>
      <c r="M2650" s="116"/>
      <c r="N2650" s="116"/>
      <c r="O2650" s="116"/>
      <c r="P2650" s="116"/>
    </row>
    <row r="2651" spans="2:16" s="108" customFormat="1" ht="21.75" hidden="1" customHeight="1">
      <c r="B2651" s="109"/>
      <c r="C2651" s="122"/>
      <c r="D2651" s="111" t="s">
        <v>1953</v>
      </c>
      <c r="E2651" s="170">
        <f>E2652</f>
        <v>1946617531</v>
      </c>
      <c r="F2651" s="134">
        <v>62185842294.059998</v>
      </c>
      <c r="G2651" s="126">
        <f t="shared" si="50"/>
        <v>3.1303226895198639</v>
      </c>
      <c r="H2651" s="120"/>
      <c r="I2651" s="120"/>
      <c r="J2651" s="116"/>
      <c r="K2651" s="116"/>
      <c r="L2651" s="116"/>
      <c r="M2651" s="116"/>
      <c r="N2651" s="116"/>
      <c r="O2651" s="116"/>
      <c r="P2651" s="116"/>
    </row>
    <row r="2652" spans="2:16" s="108" customFormat="1" ht="32.25" hidden="1" customHeight="1">
      <c r="B2652" s="109"/>
      <c r="C2652" s="122"/>
      <c r="D2652" s="123" t="s">
        <v>1954</v>
      </c>
      <c r="E2652" s="239">
        <v>1946617531</v>
      </c>
      <c r="F2652" s="134">
        <v>62185842294.059998</v>
      </c>
      <c r="G2652" s="126">
        <f t="shared" si="50"/>
        <v>3.1303226895198639</v>
      </c>
      <c r="H2652" s="120"/>
      <c r="I2652" s="120"/>
      <c r="J2652" s="116"/>
      <c r="K2652" s="116"/>
      <c r="L2652" s="116"/>
      <c r="M2652" s="116"/>
      <c r="N2652" s="116"/>
      <c r="O2652" s="116"/>
      <c r="P2652" s="116"/>
    </row>
    <row r="2653" spans="2:16" s="108" customFormat="1" ht="21.75" hidden="1" customHeight="1">
      <c r="B2653" s="109"/>
      <c r="C2653" s="122"/>
      <c r="D2653" s="111" t="s">
        <v>1202</v>
      </c>
      <c r="E2653" s="170">
        <f>E2654</f>
        <v>595377740</v>
      </c>
      <c r="F2653" s="134">
        <v>62185842294.059998</v>
      </c>
      <c r="G2653" s="126">
        <f t="shared" si="50"/>
        <v>0.95741686216071509</v>
      </c>
      <c r="H2653" s="120"/>
      <c r="I2653" s="120"/>
      <c r="J2653" s="116"/>
      <c r="K2653" s="116"/>
      <c r="L2653" s="116"/>
      <c r="M2653" s="116"/>
      <c r="N2653" s="116"/>
      <c r="O2653" s="116"/>
      <c r="P2653" s="116"/>
    </row>
    <row r="2654" spans="2:16" s="108" customFormat="1" ht="21.75" hidden="1" customHeight="1">
      <c r="B2654" s="109"/>
      <c r="C2654" s="122"/>
      <c r="D2654" s="123" t="s">
        <v>1955</v>
      </c>
      <c r="E2654" s="136">
        <v>595377740</v>
      </c>
      <c r="F2654" s="134">
        <v>62185842294.059998</v>
      </c>
      <c r="G2654" s="126">
        <f t="shared" si="50"/>
        <v>0.95741686216071509</v>
      </c>
      <c r="H2654" s="120"/>
      <c r="I2654" s="120"/>
      <c r="J2654" s="116"/>
      <c r="K2654" s="116"/>
      <c r="L2654" s="116"/>
      <c r="M2654" s="116"/>
      <c r="N2654" s="116"/>
      <c r="O2654" s="116"/>
      <c r="P2654" s="116"/>
    </row>
    <row r="2655" spans="2:16" s="108" customFormat="1" ht="21.75" hidden="1" customHeight="1">
      <c r="B2655" s="109"/>
      <c r="C2655" s="122"/>
      <c r="D2655" s="217"/>
      <c r="E2655" s="136"/>
      <c r="F2655" s="134"/>
      <c r="G2655" s="126"/>
      <c r="H2655" s="120"/>
      <c r="I2655" s="120"/>
      <c r="J2655" s="116"/>
      <c r="K2655" s="116"/>
      <c r="L2655" s="116"/>
      <c r="M2655" s="116"/>
      <c r="N2655" s="116"/>
      <c r="O2655" s="116"/>
      <c r="P2655" s="116"/>
    </row>
    <row r="2656" spans="2:16" s="108" customFormat="1" ht="21.75" hidden="1" customHeight="1">
      <c r="B2656" s="109"/>
      <c r="C2656" s="122"/>
      <c r="D2656" s="111" t="s">
        <v>518</v>
      </c>
      <c r="E2656" s="135">
        <f>E2657</f>
        <v>1225151380</v>
      </c>
      <c r="F2656" s="134">
        <v>62185842294.059998</v>
      </c>
      <c r="G2656" s="126">
        <f t="shared" si="50"/>
        <v>1.970145188685539</v>
      </c>
      <c r="H2656" s="120"/>
      <c r="I2656" s="120"/>
      <c r="J2656" s="116"/>
      <c r="K2656" s="116"/>
      <c r="L2656" s="116"/>
      <c r="M2656" s="116"/>
      <c r="N2656" s="116"/>
      <c r="O2656" s="116"/>
      <c r="P2656" s="116"/>
    </row>
    <row r="2657" spans="2:16" s="108" customFormat="1" ht="21.75" hidden="1" customHeight="1">
      <c r="B2657" s="109"/>
      <c r="C2657" s="122"/>
      <c r="D2657" s="111" t="s">
        <v>1956</v>
      </c>
      <c r="E2657" s="135">
        <f>SUM(E2658:E2658)</f>
        <v>1225151380</v>
      </c>
      <c r="F2657" s="134">
        <v>62185842294.059998</v>
      </c>
      <c r="G2657" s="126">
        <f t="shared" si="50"/>
        <v>1.970145188685539</v>
      </c>
      <c r="H2657" s="120"/>
      <c r="I2657" s="120"/>
      <c r="J2657" s="116"/>
      <c r="K2657" s="116"/>
      <c r="L2657" s="116"/>
      <c r="M2657" s="116"/>
      <c r="N2657" s="116"/>
      <c r="O2657" s="116"/>
      <c r="P2657" s="116"/>
    </row>
    <row r="2658" spans="2:16" s="108" customFormat="1" ht="21.75" hidden="1" customHeight="1">
      <c r="B2658" s="109"/>
      <c r="C2658" s="122"/>
      <c r="D2658" s="123" t="s">
        <v>1957</v>
      </c>
      <c r="E2658" s="239">
        <v>1225151380</v>
      </c>
      <c r="F2658" s="134">
        <v>62185842294.059998</v>
      </c>
      <c r="G2658" s="126">
        <f t="shared" si="50"/>
        <v>1.970145188685539</v>
      </c>
      <c r="H2658" s="120"/>
      <c r="I2658" s="120"/>
      <c r="J2658" s="116"/>
      <c r="K2658" s="116"/>
      <c r="L2658" s="116"/>
      <c r="M2658" s="116"/>
      <c r="N2658" s="116"/>
      <c r="O2658" s="116"/>
      <c r="P2658" s="116"/>
    </row>
    <row r="2659" spans="2:16" s="108" customFormat="1" ht="21.75" hidden="1" customHeight="1">
      <c r="B2659" s="109"/>
      <c r="C2659" s="122"/>
      <c r="D2659" s="123"/>
      <c r="E2659" s="136"/>
      <c r="F2659" s="134"/>
      <c r="G2659" s="126"/>
      <c r="H2659" s="120"/>
      <c r="I2659" s="120"/>
      <c r="J2659" s="116"/>
      <c r="K2659" s="116"/>
      <c r="L2659" s="116"/>
      <c r="M2659" s="116"/>
      <c r="N2659" s="116"/>
      <c r="O2659" s="116"/>
      <c r="P2659" s="116"/>
    </row>
    <row r="2660" spans="2:16" s="108" customFormat="1" ht="21.75" hidden="1" customHeight="1">
      <c r="B2660" s="109"/>
      <c r="C2660" s="122"/>
      <c r="D2660" s="111" t="s">
        <v>758</v>
      </c>
      <c r="E2660" s="135">
        <f>E2661</f>
        <v>593219839.88</v>
      </c>
      <c r="F2660" s="134">
        <v>62185842294.059998</v>
      </c>
      <c r="G2660" s="126">
        <f t="shared" si="50"/>
        <v>0.95394677951747298</v>
      </c>
      <c r="H2660" s="120"/>
      <c r="I2660" s="120"/>
      <c r="J2660" s="116"/>
      <c r="K2660" s="116"/>
      <c r="L2660" s="116"/>
      <c r="M2660" s="116"/>
      <c r="N2660" s="116"/>
      <c r="O2660" s="116"/>
      <c r="P2660" s="116"/>
    </row>
    <row r="2661" spans="2:16" s="108" customFormat="1" ht="21.75" hidden="1" customHeight="1">
      <c r="B2661" s="109"/>
      <c r="C2661" s="122"/>
      <c r="D2661" s="111" t="s">
        <v>1205</v>
      </c>
      <c r="E2661" s="135">
        <f>E2662</f>
        <v>593219839.88</v>
      </c>
      <c r="F2661" s="134">
        <v>62185842294.059998</v>
      </c>
      <c r="G2661" s="126">
        <f t="shared" si="50"/>
        <v>0.95394677951747298</v>
      </c>
      <c r="H2661" s="120"/>
      <c r="I2661" s="120"/>
      <c r="J2661" s="116"/>
      <c r="K2661" s="116"/>
      <c r="L2661" s="116"/>
      <c r="M2661" s="116"/>
      <c r="N2661" s="116"/>
      <c r="O2661" s="116"/>
      <c r="P2661" s="116"/>
    </row>
    <row r="2662" spans="2:16" s="108" customFormat="1" ht="21.75" hidden="1" customHeight="1">
      <c r="B2662" s="109"/>
      <c r="C2662" s="122"/>
      <c r="D2662" s="57" t="s">
        <v>1958</v>
      </c>
      <c r="E2662" s="136">
        <v>593219839.88</v>
      </c>
      <c r="F2662" s="134">
        <v>62185842294.059998</v>
      </c>
      <c r="G2662" s="126">
        <f t="shared" si="50"/>
        <v>0.95394677951747298</v>
      </c>
      <c r="H2662" s="120"/>
      <c r="I2662" s="120"/>
      <c r="J2662" s="116"/>
      <c r="K2662" s="116"/>
      <c r="L2662" s="116"/>
      <c r="M2662" s="116"/>
      <c r="N2662" s="116"/>
      <c r="O2662" s="116"/>
      <c r="P2662" s="116"/>
    </row>
    <row r="2663" spans="2:16" s="108" customFormat="1" ht="21.75" hidden="1" customHeight="1">
      <c r="B2663" s="109"/>
      <c r="C2663" s="122"/>
      <c r="D2663" s="123"/>
      <c r="E2663" s="136"/>
      <c r="F2663" s="134"/>
      <c r="G2663" s="126"/>
      <c r="H2663" s="120"/>
      <c r="I2663" s="120"/>
      <c r="J2663" s="116"/>
      <c r="K2663" s="116"/>
      <c r="L2663" s="116"/>
      <c r="M2663" s="116"/>
      <c r="N2663" s="116"/>
      <c r="O2663" s="116"/>
      <c r="P2663" s="116"/>
    </row>
    <row r="2664" spans="2:16" s="117" customFormat="1" ht="21.75" hidden="1" customHeight="1">
      <c r="B2664" s="118"/>
      <c r="C2664" s="110"/>
      <c r="D2664" s="111" t="s">
        <v>1959</v>
      </c>
      <c r="E2664" s="135">
        <f>E2665+E2667</f>
        <v>1189155265</v>
      </c>
      <c r="F2664" s="114">
        <v>62185842294.059998</v>
      </c>
      <c r="G2664" s="127">
        <f t="shared" si="50"/>
        <v>1.9122604456763761</v>
      </c>
      <c r="H2664" s="120"/>
      <c r="I2664" s="120"/>
      <c r="J2664" s="121"/>
      <c r="K2664" s="121"/>
      <c r="L2664" s="121"/>
      <c r="M2664" s="121"/>
      <c r="N2664" s="121"/>
      <c r="O2664" s="121"/>
      <c r="P2664" s="121"/>
    </row>
    <row r="2665" spans="2:16" s="117" customFormat="1" ht="21.75" hidden="1" customHeight="1">
      <c r="B2665" s="118"/>
      <c r="C2665" s="110"/>
      <c r="D2665" s="111" t="s">
        <v>257</v>
      </c>
      <c r="E2665" s="135">
        <f>E2666</f>
        <v>682540000</v>
      </c>
      <c r="F2665" s="114">
        <v>62185842294.059998</v>
      </c>
      <c r="G2665" s="127">
        <f t="shared" si="50"/>
        <v>1.0975810165478717</v>
      </c>
      <c r="H2665" s="120"/>
      <c r="I2665" s="120"/>
      <c r="J2665" s="121"/>
      <c r="K2665" s="121"/>
      <c r="L2665" s="121"/>
      <c r="M2665" s="121"/>
      <c r="N2665" s="121"/>
      <c r="O2665" s="121"/>
      <c r="P2665" s="121"/>
    </row>
    <row r="2666" spans="2:16" s="108" customFormat="1" ht="21.75" hidden="1" customHeight="1">
      <c r="B2666" s="109"/>
      <c r="C2666" s="122"/>
      <c r="D2666" s="123" t="s">
        <v>739</v>
      </c>
      <c r="E2666" s="136">
        <v>682540000</v>
      </c>
      <c r="F2666" s="134">
        <v>62185842294.059998</v>
      </c>
      <c r="G2666" s="126">
        <f t="shared" si="50"/>
        <v>1.0975810165478717</v>
      </c>
      <c r="H2666" s="120"/>
      <c r="I2666" s="120"/>
      <c r="J2666" s="116"/>
      <c r="K2666" s="116"/>
      <c r="L2666" s="116"/>
      <c r="M2666" s="116"/>
      <c r="N2666" s="116"/>
      <c r="O2666" s="116"/>
      <c r="P2666" s="116"/>
    </row>
    <row r="2667" spans="2:16" s="117" customFormat="1" ht="21.75" hidden="1" customHeight="1">
      <c r="B2667" s="118"/>
      <c r="C2667" s="110"/>
      <c r="D2667" s="111" t="s">
        <v>259</v>
      </c>
      <c r="E2667" s="135">
        <f>E2668</f>
        <v>506615265</v>
      </c>
      <c r="F2667" s="114">
        <v>62185842294.059998</v>
      </c>
      <c r="G2667" s="127">
        <f t="shared" si="50"/>
        <v>0.81467942912850433</v>
      </c>
      <c r="H2667" s="120"/>
      <c r="I2667" s="120"/>
      <c r="J2667" s="121"/>
      <c r="K2667" s="121"/>
      <c r="L2667" s="121"/>
      <c r="M2667" s="121"/>
      <c r="N2667" s="121"/>
      <c r="O2667" s="121"/>
      <c r="P2667" s="121"/>
    </row>
    <row r="2668" spans="2:16" s="108" customFormat="1" ht="21.75" hidden="1" customHeight="1">
      <c r="B2668" s="109"/>
      <c r="C2668" s="122"/>
      <c r="D2668" s="123" t="s">
        <v>1960</v>
      </c>
      <c r="E2668" s="136">
        <v>506615265</v>
      </c>
      <c r="F2668" s="134">
        <v>62185842294.059998</v>
      </c>
      <c r="G2668" s="126">
        <f t="shared" si="50"/>
        <v>0.81467942912850433</v>
      </c>
      <c r="H2668" s="120"/>
      <c r="I2668" s="120"/>
      <c r="J2668" s="116"/>
      <c r="K2668" s="116"/>
      <c r="L2668" s="116"/>
      <c r="M2668" s="116"/>
      <c r="N2668" s="116"/>
      <c r="O2668" s="116"/>
      <c r="P2668" s="116"/>
    </row>
    <row r="2669" spans="2:16" s="108" customFormat="1" ht="21.75" hidden="1" customHeight="1">
      <c r="B2669" s="109"/>
      <c r="C2669" s="122"/>
      <c r="D2669" s="217"/>
      <c r="E2669" s="136"/>
      <c r="F2669" s="134"/>
      <c r="G2669" s="126"/>
      <c r="H2669" s="120"/>
      <c r="I2669" s="120"/>
      <c r="J2669" s="116"/>
      <c r="K2669" s="116"/>
      <c r="L2669" s="116"/>
      <c r="M2669" s="116"/>
      <c r="N2669" s="116"/>
      <c r="O2669" s="116"/>
      <c r="P2669" s="116"/>
    </row>
    <row r="2670" spans="2:16" s="117" customFormat="1" ht="21.75" hidden="1" customHeight="1">
      <c r="B2670" s="118"/>
      <c r="C2670" s="110"/>
      <c r="D2670" s="111" t="s">
        <v>1961</v>
      </c>
      <c r="E2670" s="135">
        <f>E2673+E2675+E2671</f>
        <v>6598782015</v>
      </c>
      <c r="F2670" s="114">
        <v>62185842294.059998</v>
      </c>
      <c r="G2670" s="127">
        <f t="shared" ref="G2670:G2699" si="51">+E2670/F2670*100</f>
        <v>10.611389621123323</v>
      </c>
      <c r="H2670" s="120"/>
      <c r="I2670" s="120"/>
      <c r="J2670" s="121"/>
      <c r="K2670" s="121"/>
      <c r="L2670" s="121"/>
      <c r="M2670" s="121"/>
      <c r="N2670" s="121"/>
      <c r="O2670" s="121"/>
      <c r="P2670" s="121"/>
    </row>
    <row r="2671" spans="2:16" s="117" customFormat="1" ht="21.75" hidden="1" customHeight="1">
      <c r="B2671" s="118"/>
      <c r="C2671" s="110"/>
      <c r="D2671" s="111" t="s">
        <v>1962</v>
      </c>
      <c r="E2671" s="135">
        <f>E2672</f>
        <v>1400022015</v>
      </c>
      <c r="F2671" s="114">
        <v>62185842294.059998</v>
      </c>
      <c r="G2671" s="127">
        <f t="shared" si="51"/>
        <v>2.2513516957439852</v>
      </c>
      <c r="H2671" s="120"/>
      <c r="I2671" s="120"/>
      <c r="J2671" s="121"/>
      <c r="K2671" s="121"/>
      <c r="L2671" s="121"/>
      <c r="M2671" s="121"/>
      <c r="N2671" s="121"/>
      <c r="O2671" s="121"/>
      <c r="P2671" s="121"/>
    </row>
    <row r="2672" spans="2:16" s="108" customFormat="1" ht="33.75" hidden="1" customHeight="1">
      <c r="B2672" s="109"/>
      <c r="C2672" s="122"/>
      <c r="D2672" s="217" t="s">
        <v>1963</v>
      </c>
      <c r="E2672" s="136">
        <v>1400022015</v>
      </c>
      <c r="F2672" s="134">
        <v>62185842294.059998</v>
      </c>
      <c r="G2672" s="126">
        <f t="shared" si="51"/>
        <v>2.2513516957439852</v>
      </c>
      <c r="H2672" s="120"/>
      <c r="I2672" s="120"/>
      <c r="J2672" s="116"/>
      <c r="K2672" s="116"/>
      <c r="L2672" s="116"/>
      <c r="M2672" s="116"/>
      <c r="N2672" s="116"/>
      <c r="O2672" s="116"/>
      <c r="P2672" s="116"/>
    </row>
    <row r="2673" spans="2:16" s="108" customFormat="1" ht="21.75" hidden="1" customHeight="1">
      <c r="B2673" s="109"/>
      <c r="C2673" s="122"/>
      <c r="D2673" s="111" t="s">
        <v>1964</v>
      </c>
      <c r="E2673" s="135">
        <f>E2674</f>
        <v>2638260000</v>
      </c>
      <c r="F2673" s="134">
        <v>62185842294.059998</v>
      </c>
      <c r="G2673" s="126">
        <f t="shared" si="51"/>
        <v>4.2425412323344975</v>
      </c>
      <c r="H2673" s="120"/>
      <c r="I2673" s="120"/>
      <c r="J2673" s="116"/>
      <c r="K2673" s="116"/>
      <c r="L2673" s="116"/>
      <c r="M2673" s="116"/>
      <c r="N2673" s="116"/>
      <c r="O2673" s="116"/>
      <c r="P2673" s="116"/>
    </row>
    <row r="2674" spans="2:16" s="108" customFormat="1" ht="21.75" hidden="1" customHeight="1">
      <c r="B2674" s="109"/>
      <c r="C2674" s="122"/>
      <c r="D2674" s="123" t="s">
        <v>1965</v>
      </c>
      <c r="E2674" s="136">
        <v>2638260000</v>
      </c>
      <c r="F2674" s="134">
        <v>62185842294.059998</v>
      </c>
      <c r="G2674" s="126">
        <f t="shared" si="51"/>
        <v>4.2425412323344975</v>
      </c>
      <c r="H2674" s="120"/>
      <c r="I2674" s="120"/>
      <c r="J2674" s="116"/>
      <c r="K2674" s="116"/>
      <c r="L2674" s="116"/>
      <c r="M2674" s="116"/>
      <c r="N2674" s="116"/>
      <c r="O2674" s="116"/>
      <c r="P2674" s="116"/>
    </row>
    <row r="2675" spans="2:16" s="108" customFormat="1" ht="21.75" hidden="1" customHeight="1">
      <c r="B2675" s="109"/>
      <c r="C2675" s="122"/>
      <c r="D2675" s="111" t="s">
        <v>1966</v>
      </c>
      <c r="E2675" s="135">
        <f>E2676</f>
        <v>2560500000</v>
      </c>
      <c r="F2675" s="134">
        <v>62185842294.059998</v>
      </c>
      <c r="G2675" s="126">
        <f t="shared" si="51"/>
        <v>4.1174966930448402</v>
      </c>
      <c r="H2675" s="120"/>
      <c r="I2675" s="120"/>
      <c r="J2675" s="116"/>
      <c r="K2675" s="116"/>
      <c r="L2675" s="116"/>
      <c r="M2675" s="116"/>
      <c r="N2675" s="116"/>
      <c r="O2675" s="116"/>
      <c r="P2675" s="116"/>
    </row>
    <row r="2676" spans="2:16" s="108" customFormat="1" ht="21.75" hidden="1" customHeight="1">
      <c r="B2676" s="109"/>
      <c r="C2676" s="122"/>
      <c r="D2676" s="123" t="s">
        <v>1967</v>
      </c>
      <c r="E2676" s="136">
        <v>2560500000</v>
      </c>
      <c r="F2676" s="134">
        <v>62185842294.059998</v>
      </c>
      <c r="G2676" s="126">
        <f t="shared" si="51"/>
        <v>4.1174966930448402</v>
      </c>
      <c r="H2676" s="120"/>
      <c r="I2676" s="120"/>
      <c r="J2676" s="116"/>
      <c r="K2676" s="116"/>
      <c r="L2676" s="116"/>
      <c r="M2676" s="116"/>
      <c r="N2676" s="116"/>
      <c r="O2676" s="116"/>
      <c r="P2676" s="116"/>
    </row>
    <row r="2677" spans="2:16" s="108" customFormat="1" ht="21.75" hidden="1" customHeight="1">
      <c r="B2677" s="109"/>
      <c r="C2677" s="122"/>
      <c r="D2677" s="123"/>
      <c r="E2677" s="136"/>
      <c r="F2677" s="134">
        <v>62185842294.059998</v>
      </c>
      <c r="G2677" s="126">
        <f t="shared" si="51"/>
        <v>0</v>
      </c>
      <c r="H2677" s="120"/>
      <c r="I2677" s="120"/>
      <c r="J2677" s="116"/>
      <c r="K2677" s="116"/>
      <c r="L2677" s="116"/>
      <c r="M2677" s="116"/>
      <c r="N2677" s="116"/>
      <c r="O2677" s="116"/>
      <c r="P2677" s="116"/>
    </row>
    <row r="2678" spans="2:16" s="108" customFormat="1" ht="21.75" hidden="1" customHeight="1">
      <c r="B2678" s="109"/>
      <c r="C2678" s="122"/>
      <c r="D2678" s="111" t="s">
        <v>503</v>
      </c>
      <c r="E2678" s="135">
        <f>E2679+E2682+E2684</f>
        <v>2921027095.8499999</v>
      </c>
      <c r="F2678" s="134">
        <v>62185842294.059998</v>
      </c>
      <c r="G2678" s="126">
        <f t="shared" si="51"/>
        <v>4.697254211074692</v>
      </c>
      <c r="H2678" s="120"/>
      <c r="I2678" s="120"/>
      <c r="J2678" s="116"/>
      <c r="K2678" s="116"/>
      <c r="L2678" s="116"/>
      <c r="M2678" s="116"/>
      <c r="N2678" s="116"/>
      <c r="O2678" s="116"/>
      <c r="P2678" s="116"/>
    </row>
    <row r="2679" spans="2:16" s="108" customFormat="1" ht="21.75" hidden="1" customHeight="1">
      <c r="B2679" s="109"/>
      <c r="C2679" s="122"/>
      <c r="D2679" s="111" t="s">
        <v>1968</v>
      </c>
      <c r="E2679" s="135">
        <f>E2680+E2681</f>
        <v>1721027095.8499999</v>
      </c>
      <c r="F2679" s="134">
        <v>62185842294.059998</v>
      </c>
      <c r="G2679" s="126">
        <f t="shared" si="51"/>
        <v>2.7675545306787499</v>
      </c>
      <c r="H2679" s="120"/>
      <c r="I2679" s="120"/>
      <c r="J2679" s="116"/>
      <c r="K2679" s="116"/>
      <c r="L2679" s="116"/>
      <c r="M2679" s="116"/>
      <c r="N2679" s="116"/>
      <c r="O2679" s="116"/>
      <c r="P2679" s="116"/>
    </row>
    <row r="2680" spans="2:16" s="108" customFormat="1" ht="21.75" hidden="1" customHeight="1">
      <c r="B2680" s="109"/>
      <c r="C2680" s="122"/>
      <c r="D2680" s="123" t="s">
        <v>1514</v>
      </c>
      <c r="E2680" s="136">
        <v>1000000000</v>
      </c>
      <c r="F2680" s="134">
        <v>62185842294.059998</v>
      </c>
      <c r="G2680" s="126">
        <f t="shared" si="51"/>
        <v>1.608083066996618</v>
      </c>
      <c r="H2680" s="120"/>
      <c r="I2680" s="120"/>
      <c r="J2680" s="116"/>
      <c r="K2680" s="116"/>
      <c r="L2680" s="116"/>
      <c r="M2680" s="116"/>
      <c r="N2680" s="116"/>
      <c r="O2680" s="116"/>
      <c r="P2680" s="116"/>
    </row>
    <row r="2681" spans="2:16" s="108" customFormat="1" ht="21.75" hidden="1" customHeight="1">
      <c r="B2681" s="109"/>
      <c r="C2681" s="122"/>
      <c r="D2681" s="123" t="s">
        <v>504</v>
      </c>
      <c r="E2681" s="136">
        <v>721027095.85000002</v>
      </c>
      <c r="F2681" s="134">
        <v>62185842294.059998</v>
      </c>
      <c r="G2681" s="126">
        <f t="shared" si="51"/>
        <v>1.1594714636821324</v>
      </c>
      <c r="H2681" s="120"/>
      <c r="I2681" s="120"/>
      <c r="J2681" s="116"/>
      <c r="K2681" s="116"/>
      <c r="L2681" s="116"/>
      <c r="M2681" s="116"/>
      <c r="N2681" s="116"/>
      <c r="O2681" s="116"/>
      <c r="P2681" s="116"/>
    </row>
    <row r="2682" spans="2:16" s="108" customFormat="1" ht="21.75" hidden="1" customHeight="1">
      <c r="B2682" s="109"/>
      <c r="C2682" s="122"/>
      <c r="D2682" s="111" t="s">
        <v>980</v>
      </c>
      <c r="E2682" s="135">
        <f>E2683</f>
        <v>300000000</v>
      </c>
      <c r="F2682" s="134">
        <v>62185842294.059998</v>
      </c>
      <c r="G2682" s="126">
        <f t="shared" si="51"/>
        <v>0.48242492009898541</v>
      </c>
      <c r="H2682" s="120"/>
      <c r="I2682" s="120"/>
      <c r="J2682" s="116"/>
      <c r="K2682" s="116"/>
      <c r="L2682" s="116"/>
      <c r="M2682" s="116"/>
      <c r="N2682" s="116"/>
      <c r="O2682" s="116"/>
      <c r="P2682" s="116"/>
    </row>
    <row r="2683" spans="2:16" s="108" customFormat="1" ht="21.75" hidden="1" customHeight="1">
      <c r="B2683" s="109"/>
      <c r="C2683" s="122"/>
      <c r="D2683" s="123" t="s">
        <v>707</v>
      </c>
      <c r="E2683" s="239">
        <v>300000000</v>
      </c>
      <c r="F2683" s="134">
        <v>62185842294.059998</v>
      </c>
      <c r="G2683" s="126">
        <f t="shared" si="51"/>
        <v>0.48242492009898541</v>
      </c>
      <c r="H2683" s="120"/>
      <c r="I2683" s="120"/>
      <c r="J2683" s="116"/>
      <c r="K2683" s="116"/>
      <c r="L2683" s="116"/>
      <c r="M2683" s="116"/>
      <c r="N2683" s="116"/>
      <c r="O2683" s="116"/>
      <c r="P2683" s="116"/>
    </row>
    <row r="2684" spans="2:16" s="108" customFormat="1" ht="21.75" hidden="1" customHeight="1">
      <c r="B2684" s="109"/>
      <c r="C2684" s="122"/>
      <c r="D2684" s="111" t="s">
        <v>1430</v>
      </c>
      <c r="E2684" s="135">
        <f>E2685</f>
        <v>900000000</v>
      </c>
      <c r="F2684" s="134">
        <v>62185842294.059998</v>
      </c>
      <c r="G2684" s="126">
        <f t="shared" si="51"/>
        <v>1.447274760296956</v>
      </c>
      <c r="H2684" s="120"/>
      <c r="I2684" s="120"/>
      <c r="J2684" s="116"/>
      <c r="K2684" s="116"/>
      <c r="L2684" s="116"/>
      <c r="M2684" s="116"/>
      <c r="N2684" s="116"/>
      <c r="O2684" s="116"/>
      <c r="P2684" s="116"/>
    </row>
    <row r="2685" spans="2:16" s="108" customFormat="1" ht="38.25" hidden="1" customHeight="1">
      <c r="B2685" s="109"/>
      <c r="C2685" s="122"/>
      <c r="D2685" s="123" t="s">
        <v>1969</v>
      </c>
      <c r="E2685" s="239">
        <v>900000000</v>
      </c>
      <c r="F2685" s="134">
        <v>62185842294.059998</v>
      </c>
      <c r="G2685" s="126">
        <f t="shared" si="51"/>
        <v>1.447274760296956</v>
      </c>
      <c r="H2685" s="120"/>
      <c r="I2685" s="120"/>
      <c r="J2685" s="116"/>
      <c r="K2685" s="116"/>
      <c r="L2685" s="116"/>
      <c r="M2685" s="116"/>
      <c r="N2685" s="116"/>
      <c r="O2685" s="116"/>
      <c r="P2685" s="116"/>
    </row>
    <row r="2686" spans="2:16" s="108" customFormat="1" ht="21.75" hidden="1" customHeight="1">
      <c r="B2686" s="109"/>
      <c r="C2686" s="122"/>
      <c r="D2686" s="217"/>
      <c r="E2686" s="136"/>
      <c r="F2686" s="134"/>
      <c r="G2686" s="126"/>
      <c r="H2686" s="120"/>
      <c r="I2686" s="120"/>
      <c r="J2686" s="116"/>
      <c r="K2686" s="116"/>
      <c r="L2686" s="116"/>
      <c r="M2686" s="116"/>
      <c r="N2686" s="116"/>
      <c r="O2686" s="116"/>
      <c r="P2686" s="116"/>
    </row>
    <row r="2687" spans="2:16" s="108" customFormat="1" ht="21.75" hidden="1" customHeight="1">
      <c r="B2687" s="109"/>
      <c r="C2687" s="122"/>
      <c r="D2687" s="111" t="s">
        <v>1970</v>
      </c>
      <c r="E2687" s="135">
        <f>E2688+E2690+E2693</f>
        <v>4002959376.8499999</v>
      </c>
      <c r="F2687" s="134">
        <v>62185842294.059998</v>
      </c>
      <c r="G2687" s="126">
        <f t="shared" si="51"/>
        <v>6.4370911917878182</v>
      </c>
      <c r="H2687" s="120"/>
      <c r="I2687" s="120"/>
      <c r="J2687" s="116"/>
      <c r="K2687" s="116"/>
      <c r="L2687" s="116"/>
      <c r="M2687" s="116"/>
      <c r="N2687" s="116"/>
      <c r="O2687" s="116"/>
      <c r="P2687" s="116"/>
    </row>
    <row r="2688" spans="2:16" s="108" customFormat="1" ht="31.5" hidden="1" customHeight="1">
      <c r="B2688" s="109"/>
      <c r="C2688" s="122"/>
      <c r="D2688" s="111" t="s">
        <v>546</v>
      </c>
      <c r="E2688" s="135">
        <f>E2689</f>
        <v>1632492976.8499999</v>
      </c>
      <c r="F2688" s="134">
        <v>62185842294.059998</v>
      </c>
      <c r="G2688" s="126">
        <f t="shared" si="51"/>
        <v>2.6251843130633867</v>
      </c>
      <c r="H2688" s="120"/>
      <c r="I2688" s="120"/>
      <c r="J2688" s="116"/>
      <c r="K2688" s="116"/>
      <c r="L2688" s="116"/>
      <c r="M2688" s="116"/>
      <c r="N2688" s="116"/>
      <c r="O2688" s="116"/>
      <c r="P2688" s="116"/>
    </row>
    <row r="2689" spans="2:16" s="108" customFormat="1" ht="21.75" hidden="1" customHeight="1">
      <c r="B2689" s="109"/>
      <c r="C2689" s="122"/>
      <c r="D2689" s="123" t="s">
        <v>614</v>
      </c>
      <c r="E2689" s="136">
        <v>1632492976.8499999</v>
      </c>
      <c r="F2689" s="134">
        <v>62185842294.059998</v>
      </c>
      <c r="G2689" s="126">
        <f t="shared" si="51"/>
        <v>2.6251843130633867</v>
      </c>
      <c r="H2689" s="115"/>
      <c r="I2689" s="115"/>
      <c r="J2689" s="116"/>
      <c r="K2689" s="116"/>
      <c r="L2689" s="116"/>
      <c r="M2689" s="116"/>
      <c r="N2689" s="116"/>
      <c r="O2689" s="116"/>
      <c r="P2689" s="116"/>
    </row>
    <row r="2690" spans="2:16" s="108" customFormat="1" ht="21.75" hidden="1" customHeight="1">
      <c r="B2690" s="109"/>
      <c r="C2690" s="122"/>
      <c r="D2690" s="111" t="s">
        <v>1577</v>
      </c>
      <c r="E2690" s="170">
        <f>E2691+E2692</f>
        <v>1384766400</v>
      </c>
      <c r="F2690" s="134">
        <v>62185842294.059998</v>
      </c>
      <c r="G2690" s="126">
        <f t="shared" si="51"/>
        <v>2.2268193995858656</v>
      </c>
      <c r="H2690" s="120"/>
      <c r="I2690" s="120"/>
      <c r="J2690" s="116"/>
      <c r="K2690" s="116"/>
      <c r="L2690" s="116"/>
      <c r="M2690" s="116"/>
      <c r="N2690" s="116"/>
      <c r="O2690" s="116"/>
      <c r="P2690" s="116"/>
    </row>
    <row r="2691" spans="2:16" s="108" customFormat="1" ht="21.75" hidden="1" customHeight="1">
      <c r="B2691" s="109"/>
      <c r="C2691" s="122"/>
      <c r="D2691" s="123" t="s">
        <v>1971</v>
      </c>
      <c r="E2691" s="136">
        <v>525000000</v>
      </c>
      <c r="F2691" s="134">
        <v>62185842294.059998</v>
      </c>
      <c r="G2691" s="126">
        <f t="shared" si="51"/>
        <v>0.84424361017322436</v>
      </c>
      <c r="H2691" s="120"/>
      <c r="I2691" s="120"/>
      <c r="J2691" s="116"/>
      <c r="K2691" s="116"/>
      <c r="L2691" s="116"/>
      <c r="M2691" s="116"/>
      <c r="N2691" s="116"/>
      <c r="O2691" s="116"/>
      <c r="P2691" s="116"/>
    </row>
    <row r="2692" spans="2:16" s="108" customFormat="1" ht="38.25" hidden="1" customHeight="1">
      <c r="B2692" s="109"/>
      <c r="C2692" s="122"/>
      <c r="D2692" s="123" t="s">
        <v>1972</v>
      </c>
      <c r="E2692" s="136">
        <v>859766400</v>
      </c>
      <c r="F2692" s="134">
        <v>62185842294.059998</v>
      </c>
      <c r="G2692" s="126">
        <f t="shared" si="51"/>
        <v>1.3825757894126409</v>
      </c>
      <c r="H2692" s="120"/>
      <c r="I2692" s="120"/>
      <c r="J2692" s="116"/>
      <c r="K2692" s="116"/>
      <c r="L2692" s="116"/>
      <c r="M2692" s="116"/>
      <c r="N2692" s="116"/>
      <c r="O2692" s="116"/>
      <c r="P2692" s="116"/>
    </row>
    <row r="2693" spans="2:16" s="117" customFormat="1" ht="21.75" hidden="1" customHeight="1">
      <c r="B2693" s="118"/>
      <c r="C2693" s="110"/>
      <c r="D2693" s="111" t="s">
        <v>1433</v>
      </c>
      <c r="E2693" s="170">
        <f>SUM(E2694:E2694)</f>
        <v>985700000</v>
      </c>
      <c r="F2693" s="114">
        <v>62185842294.059998</v>
      </c>
      <c r="G2693" s="127">
        <f t="shared" si="51"/>
        <v>1.5850874791385663</v>
      </c>
      <c r="H2693" s="120"/>
      <c r="I2693" s="120"/>
      <c r="J2693" s="121"/>
      <c r="K2693" s="121"/>
      <c r="L2693" s="121"/>
      <c r="M2693" s="121"/>
      <c r="N2693" s="121"/>
      <c r="O2693" s="121"/>
      <c r="P2693" s="121"/>
    </row>
    <row r="2694" spans="2:16" s="108" customFormat="1" ht="38.25" hidden="1" customHeight="1">
      <c r="B2694" s="109"/>
      <c r="C2694" s="122"/>
      <c r="D2694" s="123" t="s">
        <v>1973</v>
      </c>
      <c r="E2694" s="239">
        <v>985700000</v>
      </c>
      <c r="F2694" s="134">
        <v>62185842294.059998</v>
      </c>
      <c r="G2694" s="126">
        <f t="shared" si="51"/>
        <v>1.5850874791385663</v>
      </c>
      <c r="H2694" s="120"/>
      <c r="I2694" s="120"/>
      <c r="J2694" s="116"/>
      <c r="K2694" s="116"/>
      <c r="L2694" s="116"/>
      <c r="M2694" s="116"/>
      <c r="N2694" s="116"/>
      <c r="O2694" s="116"/>
      <c r="P2694" s="116"/>
    </row>
    <row r="2695" spans="2:16" s="108" customFormat="1" ht="21.75" hidden="1" customHeight="1">
      <c r="B2695" s="109"/>
      <c r="C2695" s="122"/>
      <c r="D2695" s="217"/>
      <c r="E2695" s="136"/>
      <c r="F2695" s="134"/>
      <c r="G2695" s="126"/>
      <c r="H2695" s="120"/>
      <c r="I2695" s="120"/>
      <c r="J2695" s="116"/>
      <c r="K2695" s="116"/>
      <c r="L2695" s="116"/>
      <c r="M2695" s="116"/>
      <c r="N2695" s="116"/>
      <c r="O2695" s="116"/>
      <c r="P2695" s="116"/>
    </row>
    <row r="2696" spans="2:16" s="117" customFormat="1" ht="21.75" hidden="1" customHeight="1">
      <c r="B2696" s="118"/>
      <c r="C2696" s="110"/>
      <c r="D2696" s="111" t="s">
        <v>1974</v>
      </c>
      <c r="E2696" s="135">
        <f>E2697</f>
        <v>1243716845</v>
      </c>
      <c r="F2696" s="114">
        <v>62185842294.059998</v>
      </c>
      <c r="G2696" s="127">
        <f t="shared" si="51"/>
        <v>1.9999999985829571</v>
      </c>
      <c r="H2696" s="120"/>
      <c r="I2696" s="120"/>
      <c r="J2696" s="121"/>
      <c r="K2696" s="121"/>
      <c r="L2696" s="121"/>
      <c r="M2696" s="121"/>
      <c r="N2696" s="121"/>
      <c r="O2696" s="121"/>
      <c r="P2696" s="121"/>
    </row>
    <row r="2697" spans="2:16" s="117" customFormat="1" ht="21.75" hidden="1" customHeight="1">
      <c r="B2697" s="118"/>
      <c r="C2697" s="110"/>
      <c r="D2697" s="111" t="s">
        <v>509</v>
      </c>
      <c r="E2697" s="135">
        <f>SUM(E2698:E2699)</f>
        <v>1243716845</v>
      </c>
      <c r="F2697" s="114">
        <v>62185842294.059998</v>
      </c>
      <c r="G2697" s="127">
        <f t="shared" si="51"/>
        <v>1.9999999985829571</v>
      </c>
      <c r="H2697" s="120"/>
      <c r="I2697" s="120"/>
      <c r="J2697" s="121"/>
      <c r="K2697" s="121"/>
      <c r="L2697" s="121"/>
      <c r="M2697" s="121"/>
      <c r="N2697" s="121"/>
      <c r="O2697" s="121"/>
      <c r="P2697" s="121"/>
    </row>
    <row r="2698" spans="2:16" s="108" customFormat="1" ht="21.75" hidden="1" customHeight="1">
      <c r="B2698" s="109"/>
      <c r="C2698" s="122"/>
      <c r="D2698" s="123" t="s">
        <v>1975</v>
      </c>
      <c r="E2698" s="136">
        <v>463600990</v>
      </c>
      <c r="F2698" s="134">
        <v>62185842294.059998</v>
      </c>
      <c r="G2698" s="126">
        <f t="shared" si="51"/>
        <v>0.74550890186186836</v>
      </c>
      <c r="H2698" s="120"/>
      <c r="I2698" s="120"/>
      <c r="J2698" s="116"/>
      <c r="K2698" s="116"/>
      <c r="L2698" s="116"/>
      <c r="M2698" s="116"/>
      <c r="N2698" s="116"/>
      <c r="O2698" s="116"/>
      <c r="P2698" s="116"/>
    </row>
    <row r="2699" spans="2:16" s="108" customFormat="1" ht="21.75" hidden="1" customHeight="1">
      <c r="B2699" s="109"/>
      <c r="C2699" s="122"/>
      <c r="D2699" s="123" t="s">
        <v>1976</v>
      </c>
      <c r="E2699" s="136">
        <v>780115855</v>
      </c>
      <c r="F2699" s="134">
        <v>62185842294.059998</v>
      </c>
      <c r="G2699" s="126">
        <f t="shared" si="51"/>
        <v>1.2544910967210889</v>
      </c>
      <c r="H2699" s="120"/>
      <c r="I2699" s="120"/>
      <c r="J2699" s="116"/>
      <c r="K2699" s="116"/>
      <c r="L2699" s="116"/>
      <c r="M2699" s="116"/>
      <c r="N2699" s="116"/>
      <c r="O2699" s="116"/>
      <c r="P2699" s="116"/>
    </row>
    <row r="2700" spans="2:16" s="108" customFormat="1" ht="21.75" hidden="1" customHeight="1">
      <c r="B2700" s="109"/>
      <c r="C2700" s="122"/>
      <c r="D2700" s="123"/>
      <c r="E2700" s="125"/>
      <c r="F2700" s="113"/>
      <c r="G2700" s="126"/>
      <c r="H2700" s="120"/>
      <c r="I2700" s="120"/>
      <c r="J2700" s="116"/>
      <c r="K2700" s="116"/>
      <c r="L2700" s="116"/>
      <c r="M2700" s="116"/>
      <c r="N2700" s="116"/>
      <c r="O2700" s="116"/>
      <c r="P2700" s="116"/>
    </row>
    <row r="2701" spans="2:16" s="117" customFormat="1" ht="21.75" hidden="1" customHeight="1">
      <c r="B2701" s="118"/>
      <c r="C2701" s="110" t="s">
        <v>1977</v>
      </c>
      <c r="D2701" s="111" t="s">
        <v>1978</v>
      </c>
      <c r="E2701" s="129">
        <f>+E2702+E2728+E2740+E2745+E2749+E2753+E2757+E2761+E2765</f>
        <v>65793806208.360001</v>
      </c>
      <c r="F2701" s="131">
        <v>1557405258400.0002</v>
      </c>
      <c r="G2701" s="127">
        <f>+E2701/F2701*100</f>
        <v>4.2245784039507646</v>
      </c>
      <c r="H2701" s="47"/>
      <c r="I2701" s="120"/>
      <c r="J2701" s="121"/>
      <c r="K2701" s="121"/>
      <c r="L2701" s="121"/>
      <c r="M2701" s="121"/>
      <c r="N2701" s="121"/>
      <c r="O2701" s="121"/>
      <c r="P2701" s="121"/>
    </row>
    <row r="2702" spans="2:16" s="117" customFormat="1" ht="21.75" hidden="1" customHeight="1">
      <c r="B2702" s="118"/>
      <c r="C2702" s="110"/>
      <c r="D2702" s="111" t="s">
        <v>444</v>
      </c>
      <c r="E2702" s="247">
        <f>E2703+E2705+E2719+E2721</f>
        <v>19746690084.360001</v>
      </c>
      <c r="F2702" s="129">
        <v>65793806208</v>
      </c>
      <c r="G2702" s="127">
        <f>+E2702/F2702*100</f>
        <v>30.012992441770241</v>
      </c>
      <c r="H2702" s="120"/>
      <c r="I2702" s="120"/>
      <c r="J2702" s="121"/>
      <c r="K2702" s="121"/>
      <c r="L2702" s="121"/>
      <c r="M2702" s="121"/>
      <c r="N2702" s="121"/>
      <c r="O2702" s="121"/>
      <c r="P2702" s="121"/>
    </row>
    <row r="2703" spans="2:16" s="117" customFormat="1" ht="21.75" hidden="1" customHeight="1">
      <c r="B2703" s="118"/>
      <c r="C2703" s="110"/>
      <c r="D2703" s="111" t="s">
        <v>388</v>
      </c>
      <c r="E2703" s="247">
        <f>E2704</f>
        <v>204586000</v>
      </c>
      <c r="F2703" s="129">
        <v>65793806208</v>
      </c>
      <c r="G2703" s="127">
        <f t="shared" ref="G2703:G2766" si="52">+E2703/F2703*100</f>
        <v>0.31095024257028614</v>
      </c>
      <c r="H2703" s="120"/>
      <c r="I2703" s="120"/>
      <c r="J2703" s="121"/>
      <c r="K2703" s="121"/>
      <c r="L2703" s="121"/>
      <c r="M2703" s="121"/>
      <c r="N2703" s="121"/>
      <c r="O2703" s="121"/>
      <c r="P2703" s="121"/>
    </row>
    <row r="2704" spans="2:16" s="108" customFormat="1" ht="21.75" hidden="1" customHeight="1">
      <c r="B2704" s="109"/>
      <c r="C2704" s="122"/>
      <c r="D2704" s="123" t="s">
        <v>1979</v>
      </c>
      <c r="E2704" s="248">
        <v>204586000</v>
      </c>
      <c r="F2704" s="125">
        <v>65793806208</v>
      </c>
      <c r="G2704" s="126">
        <f t="shared" si="52"/>
        <v>0.31095024257028614</v>
      </c>
      <c r="H2704" s="120"/>
      <c r="I2704" s="120"/>
      <c r="J2704" s="116"/>
      <c r="K2704" s="116"/>
      <c r="L2704" s="116"/>
      <c r="M2704" s="116"/>
      <c r="N2704" s="116"/>
      <c r="O2704" s="116"/>
      <c r="P2704" s="116"/>
    </row>
    <row r="2705" spans="2:16" s="117" customFormat="1" ht="21.75" hidden="1" customHeight="1">
      <c r="B2705" s="118"/>
      <c r="C2705" s="110"/>
      <c r="D2705" s="111" t="s">
        <v>394</v>
      </c>
      <c r="E2705" s="247">
        <f>SUM(E2706:E2718)</f>
        <v>13381334084.360001</v>
      </c>
      <c r="F2705" s="129">
        <v>65793806208</v>
      </c>
      <c r="G2705" s="127">
        <f t="shared" si="52"/>
        <v>20.338288443225736</v>
      </c>
      <c r="H2705" s="120"/>
      <c r="I2705" s="120"/>
      <c r="J2705" s="121"/>
      <c r="K2705" s="121"/>
      <c r="L2705" s="121"/>
      <c r="M2705" s="121"/>
      <c r="N2705" s="121"/>
      <c r="O2705" s="121"/>
      <c r="P2705" s="121"/>
    </row>
    <row r="2706" spans="2:16" s="108" customFormat="1" ht="21.75" hidden="1" customHeight="1">
      <c r="B2706" s="109"/>
      <c r="C2706" s="122"/>
      <c r="D2706" s="123" t="s">
        <v>1980</v>
      </c>
      <c r="E2706" s="248">
        <v>1499980000</v>
      </c>
      <c r="F2706" s="125">
        <v>65793806208</v>
      </c>
      <c r="G2706" s="126">
        <f t="shared" si="52"/>
        <v>2.2798194639446385</v>
      </c>
      <c r="H2706" s="120"/>
      <c r="I2706" s="120"/>
      <c r="J2706" s="116"/>
      <c r="K2706" s="116"/>
      <c r="L2706" s="116"/>
      <c r="M2706" s="116"/>
      <c r="N2706" s="116"/>
      <c r="O2706" s="116"/>
      <c r="P2706" s="116"/>
    </row>
    <row r="2707" spans="2:16" s="108" customFormat="1" ht="21.75" hidden="1" customHeight="1">
      <c r="B2707" s="109"/>
      <c r="C2707" s="122"/>
      <c r="D2707" s="123" t="s">
        <v>1981</v>
      </c>
      <c r="E2707" s="248">
        <v>250000000</v>
      </c>
      <c r="F2707" s="125">
        <v>65793806208</v>
      </c>
      <c r="G2707" s="126">
        <f t="shared" si="52"/>
        <v>0.37997497699046634</v>
      </c>
      <c r="H2707" s="120"/>
      <c r="I2707" s="120"/>
      <c r="J2707" s="116"/>
      <c r="K2707" s="116"/>
      <c r="L2707" s="116"/>
      <c r="M2707" s="116"/>
      <c r="N2707" s="116"/>
      <c r="O2707" s="116"/>
      <c r="P2707" s="116"/>
    </row>
    <row r="2708" spans="2:16" s="108" customFormat="1" ht="21.75" hidden="1" customHeight="1">
      <c r="B2708" s="109"/>
      <c r="C2708" s="122"/>
      <c r="D2708" s="123" t="s">
        <v>1400</v>
      </c>
      <c r="E2708" s="248">
        <v>967760000.36000001</v>
      </c>
      <c r="F2708" s="125">
        <v>65793806208</v>
      </c>
      <c r="G2708" s="126">
        <f t="shared" si="52"/>
        <v>1.4708983354763387</v>
      </c>
      <c r="H2708" s="120"/>
      <c r="I2708" s="120"/>
      <c r="J2708" s="116"/>
      <c r="K2708" s="116"/>
      <c r="L2708" s="116"/>
      <c r="M2708" s="116"/>
      <c r="N2708" s="116"/>
      <c r="O2708" s="116"/>
      <c r="P2708" s="116"/>
    </row>
    <row r="2709" spans="2:16" s="108" customFormat="1" ht="21.75" hidden="1" customHeight="1">
      <c r="B2709" s="109"/>
      <c r="C2709" s="122"/>
      <c r="D2709" s="123" t="s">
        <v>1982</v>
      </c>
      <c r="E2709" s="248">
        <v>480000000</v>
      </c>
      <c r="F2709" s="125">
        <v>65793806208</v>
      </c>
      <c r="G2709" s="126">
        <f t="shared" si="52"/>
        <v>0.7295519558216953</v>
      </c>
      <c r="H2709" s="120"/>
      <c r="I2709" s="120"/>
      <c r="J2709" s="116"/>
      <c r="K2709" s="116"/>
      <c r="L2709" s="116"/>
      <c r="M2709" s="116"/>
      <c r="N2709" s="116"/>
      <c r="O2709" s="116"/>
      <c r="P2709" s="116"/>
    </row>
    <row r="2710" spans="2:16" s="108" customFormat="1" ht="21.75" hidden="1" customHeight="1">
      <c r="B2710" s="109"/>
      <c r="C2710" s="122"/>
      <c r="D2710" s="123" t="s">
        <v>1983</v>
      </c>
      <c r="E2710" s="248">
        <v>682814640</v>
      </c>
      <c r="F2710" s="125">
        <v>65793806208</v>
      </c>
      <c r="G2710" s="126">
        <f t="shared" si="52"/>
        <v>1.0378099084910142</v>
      </c>
      <c r="H2710" s="120"/>
      <c r="I2710" s="120"/>
      <c r="J2710" s="116"/>
      <c r="K2710" s="116"/>
      <c r="L2710" s="116"/>
      <c r="M2710" s="116"/>
      <c r="N2710" s="116"/>
      <c r="O2710" s="116"/>
      <c r="P2710" s="116"/>
    </row>
    <row r="2711" spans="2:16" s="108" customFormat="1" ht="21.75" hidden="1" customHeight="1">
      <c r="B2711" s="109"/>
      <c r="C2711" s="122"/>
      <c r="D2711" s="123" t="s">
        <v>1984</v>
      </c>
      <c r="E2711" s="248">
        <v>319181000</v>
      </c>
      <c r="F2711" s="125">
        <v>65793806208</v>
      </c>
      <c r="G2711" s="126">
        <f t="shared" si="52"/>
        <v>0.4851231725231761</v>
      </c>
      <c r="H2711" s="120"/>
      <c r="I2711" s="120"/>
      <c r="J2711" s="116"/>
      <c r="K2711" s="116"/>
      <c r="L2711" s="116"/>
      <c r="M2711" s="116"/>
      <c r="N2711" s="116"/>
      <c r="O2711" s="116"/>
      <c r="P2711" s="116"/>
    </row>
    <row r="2712" spans="2:16" s="108" customFormat="1" ht="21.75" hidden="1" customHeight="1">
      <c r="B2712" s="109"/>
      <c r="C2712" s="122"/>
      <c r="D2712" s="123" t="s">
        <v>1985</v>
      </c>
      <c r="E2712" s="248">
        <v>177700000</v>
      </c>
      <c r="F2712" s="125">
        <v>65793806208</v>
      </c>
      <c r="G2712" s="126">
        <f t="shared" si="52"/>
        <v>0.27008621364482349</v>
      </c>
      <c r="H2712" s="120"/>
      <c r="I2712" s="120"/>
      <c r="J2712" s="116"/>
      <c r="K2712" s="116"/>
      <c r="L2712" s="116"/>
      <c r="M2712" s="116"/>
      <c r="N2712" s="116"/>
      <c r="O2712" s="116"/>
      <c r="P2712" s="116"/>
    </row>
    <row r="2713" spans="2:16" s="108" customFormat="1" ht="21.75" hidden="1" customHeight="1">
      <c r="B2713" s="109"/>
      <c r="C2713" s="122"/>
      <c r="D2713" s="123" t="s">
        <v>1986</v>
      </c>
      <c r="E2713" s="248">
        <v>1860000444</v>
      </c>
      <c r="F2713" s="125">
        <v>65793806208</v>
      </c>
      <c r="G2713" s="126">
        <f t="shared" si="52"/>
        <v>2.8270145036446288</v>
      </c>
      <c r="H2713" s="120"/>
      <c r="I2713" s="120"/>
      <c r="J2713" s="116"/>
      <c r="K2713" s="116"/>
      <c r="L2713" s="116"/>
      <c r="M2713" s="116"/>
      <c r="N2713" s="116"/>
      <c r="O2713" s="116"/>
      <c r="P2713" s="116"/>
    </row>
    <row r="2714" spans="2:16" s="108" customFormat="1" ht="33" hidden="1" customHeight="1">
      <c r="B2714" s="109"/>
      <c r="C2714" s="122"/>
      <c r="D2714" s="123" t="s">
        <v>1987</v>
      </c>
      <c r="E2714" s="248">
        <v>200000000</v>
      </c>
      <c r="F2714" s="125">
        <v>65793806208</v>
      </c>
      <c r="G2714" s="126">
        <f t="shared" si="52"/>
        <v>0.30397998159237305</v>
      </c>
      <c r="H2714" s="120"/>
      <c r="I2714" s="120"/>
      <c r="J2714" s="116"/>
      <c r="K2714" s="116"/>
      <c r="L2714" s="116"/>
      <c r="M2714" s="116"/>
      <c r="N2714" s="116"/>
      <c r="O2714" s="116"/>
      <c r="P2714" s="116"/>
    </row>
    <row r="2715" spans="2:16" s="108" customFormat="1" ht="21.75" hidden="1" customHeight="1">
      <c r="B2715" s="109"/>
      <c r="C2715" s="122"/>
      <c r="D2715" s="123" t="s">
        <v>1988</v>
      </c>
      <c r="E2715" s="248">
        <v>2876160000</v>
      </c>
      <c r="F2715" s="125">
        <v>65793806208</v>
      </c>
      <c r="G2715" s="126">
        <f t="shared" si="52"/>
        <v>4.3714753192835989</v>
      </c>
      <c r="H2715" s="120"/>
      <c r="I2715" s="120"/>
      <c r="J2715" s="116"/>
      <c r="K2715" s="116"/>
      <c r="L2715" s="116"/>
      <c r="M2715" s="116"/>
      <c r="N2715" s="116"/>
      <c r="O2715" s="116"/>
      <c r="P2715" s="116"/>
    </row>
    <row r="2716" spans="2:16" s="108" customFormat="1" ht="33" hidden="1" customHeight="1">
      <c r="B2716" s="109"/>
      <c r="C2716" s="122"/>
      <c r="D2716" s="123" t="s">
        <v>1989</v>
      </c>
      <c r="E2716" s="248">
        <v>2700000000</v>
      </c>
      <c r="F2716" s="125">
        <v>65793806208</v>
      </c>
      <c r="G2716" s="126">
        <f t="shared" si="52"/>
        <v>4.1037297514970366</v>
      </c>
      <c r="H2716" s="120"/>
      <c r="I2716" s="120"/>
      <c r="J2716" s="116"/>
      <c r="K2716" s="116"/>
      <c r="L2716" s="116"/>
      <c r="M2716" s="116"/>
      <c r="N2716" s="116"/>
      <c r="O2716" s="116"/>
      <c r="P2716" s="116"/>
    </row>
    <row r="2717" spans="2:16" s="108" customFormat="1" ht="33" hidden="1" customHeight="1">
      <c r="B2717" s="109"/>
      <c r="C2717" s="122"/>
      <c r="D2717" s="123" t="s">
        <v>1990</v>
      </c>
      <c r="E2717" s="248">
        <v>1111988000</v>
      </c>
      <c r="F2717" s="125">
        <v>65793806208</v>
      </c>
      <c r="G2717" s="126">
        <f t="shared" si="52"/>
        <v>1.6901104588546985</v>
      </c>
      <c r="H2717" s="120"/>
      <c r="I2717" s="120"/>
      <c r="J2717" s="116"/>
      <c r="K2717" s="116"/>
      <c r="L2717" s="116"/>
      <c r="M2717" s="116"/>
      <c r="N2717" s="116"/>
      <c r="O2717" s="116"/>
      <c r="P2717" s="116"/>
    </row>
    <row r="2718" spans="2:16" s="108" customFormat="1" ht="21.75" hidden="1" customHeight="1">
      <c r="B2718" s="109"/>
      <c r="C2718" s="122"/>
      <c r="D2718" s="123" t="s">
        <v>1991</v>
      </c>
      <c r="E2718" s="248">
        <v>255750000</v>
      </c>
      <c r="F2718" s="125">
        <v>65793806208</v>
      </c>
      <c r="G2718" s="126">
        <f t="shared" si="52"/>
        <v>0.38871440146124703</v>
      </c>
      <c r="H2718" s="120"/>
      <c r="I2718" s="120"/>
      <c r="J2718" s="116"/>
      <c r="K2718" s="116"/>
      <c r="L2718" s="116"/>
      <c r="M2718" s="116"/>
      <c r="N2718" s="116"/>
      <c r="O2718" s="116"/>
      <c r="P2718" s="116"/>
    </row>
    <row r="2719" spans="2:16" s="117" customFormat="1" ht="21.75" hidden="1" customHeight="1">
      <c r="B2719" s="118"/>
      <c r="C2719" s="110"/>
      <c r="D2719" s="111" t="s">
        <v>404</v>
      </c>
      <c r="E2719" s="247">
        <f>E2720</f>
        <v>270765000</v>
      </c>
      <c r="F2719" s="129">
        <v>65793806208</v>
      </c>
      <c r="G2719" s="127">
        <f t="shared" si="52"/>
        <v>0.41153569857929445</v>
      </c>
      <c r="H2719" s="120"/>
      <c r="I2719" s="120"/>
      <c r="J2719" s="121"/>
      <c r="K2719" s="121"/>
      <c r="L2719" s="121"/>
      <c r="M2719" s="121"/>
      <c r="N2719" s="121"/>
      <c r="O2719" s="121"/>
      <c r="P2719" s="121"/>
    </row>
    <row r="2720" spans="2:16" s="108" customFormat="1" ht="21.75" hidden="1" customHeight="1">
      <c r="B2720" s="109"/>
      <c r="C2720" s="122"/>
      <c r="D2720" s="123" t="s">
        <v>1403</v>
      </c>
      <c r="E2720" s="248">
        <v>270765000</v>
      </c>
      <c r="F2720" s="125">
        <v>65793806208</v>
      </c>
      <c r="G2720" s="126">
        <f t="shared" si="52"/>
        <v>0.41153569857929445</v>
      </c>
      <c r="H2720" s="120"/>
      <c r="I2720" s="120"/>
      <c r="J2720" s="116"/>
      <c r="K2720" s="116"/>
      <c r="L2720" s="116"/>
      <c r="M2720" s="116"/>
      <c r="N2720" s="116"/>
      <c r="O2720" s="116"/>
      <c r="P2720" s="116"/>
    </row>
    <row r="2721" spans="2:16" s="117" customFormat="1" ht="21.75" hidden="1" customHeight="1">
      <c r="B2721" s="118"/>
      <c r="C2721" s="110"/>
      <c r="D2721" s="111" t="s">
        <v>108</v>
      </c>
      <c r="E2721" s="247">
        <f>SUM(E2722:E2726)</f>
        <v>5890005000</v>
      </c>
      <c r="F2721" s="129">
        <v>65793806208</v>
      </c>
      <c r="G2721" s="127">
        <f t="shared" si="52"/>
        <v>8.9522180573949264</v>
      </c>
      <c r="H2721" s="120"/>
      <c r="I2721" s="120"/>
      <c r="J2721" s="121"/>
      <c r="K2721" s="121"/>
      <c r="L2721" s="121"/>
      <c r="M2721" s="121"/>
      <c r="N2721" s="121"/>
      <c r="O2721" s="121"/>
      <c r="P2721" s="121"/>
    </row>
    <row r="2722" spans="2:16" s="108" customFormat="1" ht="21.75" hidden="1" customHeight="1">
      <c r="B2722" s="109"/>
      <c r="C2722" s="122"/>
      <c r="D2722" s="123" t="s">
        <v>1992</v>
      </c>
      <c r="E2722" s="248">
        <v>1890000000</v>
      </c>
      <c r="F2722" s="125">
        <v>65793806208</v>
      </c>
      <c r="G2722" s="126">
        <f t="shared" si="52"/>
        <v>2.8726108260479255</v>
      </c>
      <c r="H2722" s="120"/>
      <c r="I2722" s="120"/>
      <c r="J2722" s="116"/>
      <c r="K2722" s="116"/>
      <c r="L2722" s="116"/>
      <c r="M2722" s="116"/>
      <c r="N2722" s="116"/>
      <c r="O2722" s="116"/>
      <c r="P2722" s="116"/>
    </row>
    <row r="2723" spans="2:16" s="108" customFormat="1" ht="37.5" hidden="1" customHeight="1">
      <c r="B2723" s="109"/>
      <c r="C2723" s="122"/>
      <c r="D2723" s="123" t="s">
        <v>1993</v>
      </c>
      <c r="E2723" s="248">
        <v>598005000</v>
      </c>
      <c r="F2723" s="125">
        <v>65793806208</v>
      </c>
      <c r="G2723" s="126">
        <f t="shared" si="52"/>
        <v>0.90890774446073519</v>
      </c>
      <c r="H2723" s="120"/>
      <c r="I2723" s="120"/>
      <c r="J2723" s="116"/>
      <c r="K2723" s="116"/>
      <c r="L2723" s="116"/>
      <c r="M2723" s="116"/>
      <c r="N2723" s="116"/>
      <c r="O2723" s="116"/>
      <c r="P2723" s="116"/>
    </row>
    <row r="2724" spans="2:16" s="108" customFormat="1" ht="37.5" hidden="1" customHeight="1">
      <c r="B2724" s="109"/>
      <c r="C2724" s="122"/>
      <c r="D2724" s="123" t="s">
        <v>1994</v>
      </c>
      <c r="E2724" s="248">
        <v>204000000</v>
      </c>
      <c r="F2724" s="125">
        <v>65793806208</v>
      </c>
      <c r="G2724" s="126">
        <f t="shared" si="52"/>
        <v>0.3100595812242205</v>
      </c>
      <c r="H2724" s="120"/>
      <c r="I2724" s="120"/>
      <c r="J2724" s="116"/>
      <c r="K2724" s="116"/>
      <c r="L2724" s="116"/>
      <c r="M2724" s="116"/>
      <c r="N2724" s="116"/>
      <c r="O2724" s="116"/>
      <c r="P2724" s="116"/>
    </row>
    <row r="2725" spans="2:16" s="108" customFormat="1" ht="21.75" hidden="1" customHeight="1">
      <c r="B2725" s="109"/>
      <c r="C2725" s="122"/>
      <c r="D2725" s="123" t="s">
        <v>1995</v>
      </c>
      <c r="E2725" s="248">
        <v>2814000000</v>
      </c>
      <c r="F2725" s="125">
        <v>65793806208</v>
      </c>
      <c r="G2725" s="126">
        <f t="shared" si="52"/>
        <v>4.2769983410046892</v>
      </c>
      <c r="H2725" s="120"/>
      <c r="I2725" s="120"/>
      <c r="J2725" s="116"/>
      <c r="K2725" s="116"/>
      <c r="L2725" s="116"/>
      <c r="M2725" s="116"/>
      <c r="N2725" s="116"/>
      <c r="O2725" s="116"/>
      <c r="P2725" s="116"/>
    </row>
    <row r="2726" spans="2:16" s="108" customFormat="1" ht="21.75" hidden="1" customHeight="1">
      <c r="B2726" s="109"/>
      <c r="C2726" s="122"/>
      <c r="D2726" s="123" t="s">
        <v>1996</v>
      </c>
      <c r="E2726" s="248">
        <v>384000000</v>
      </c>
      <c r="F2726" s="125">
        <v>65793806208</v>
      </c>
      <c r="G2726" s="126">
        <f t="shared" si="52"/>
        <v>0.58364156465735617</v>
      </c>
      <c r="H2726" s="120"/>
      <c r="I2726" s="120"/>
      <c r="J2726" s="116"/>
      <c r="K2726" s="116"/>
      <c r="L2726" s="116"/>
      <c r="M2726" s="116"/>
      <c r="N2726" s="116"/>
      <c r="O2726" s="116"/>
      <c r="P2726" s="116"/>
    </row>
    <row r="2727" spans="2:16" s="108" customFormat="1" ht="21.75" hidden="1" customHeight="1">
      <c r="B2727" s="109"/>
      <c r="C2727" s="122"/>
      <c r="D2727" s="123"/>
      <c r="E2727" s="248"/>
      <c r="F2727" s="125"/>
      <c r="G2727" s="126"/>
      <c r="H2727" s="120"/>
      <c r="I2727" s="120"/>
      <c r="J2727" s="116"/>
      <c r="K2727" s="116"/>
      <c r="L2727" s="116"/>
      <c r="M2727" s="116"/>
      <c r="N2727" s="116"/>
      <c r="O2727" s="116"/>
      <c r="P2727" s="116"/>
    </row>
    <row r="2728" spans="2:16" s="117" customFormat="1" ht="21.75" hidden="1" customHeight="1">
      <c r="B2728" s="118"/>
      <c r="C2728" s="110"/>
      <c r="D2728" s="111" t="s">
        <v>161</v>
      </c>
      <c r="E2728" s="247">
        <f>E2729+E2731+E2733+E2736</f>
        <v>6102000000</v>
      </c>
      <c r="F2728" s="129">
        <v>65793806208</v>
      </c>
      <c r="G2728" s="127">
        <f t="shared" si="52"/>
        <v>9.274429238383302</v>
      </c>
      <c r="H2728" s="120"/>
      <c r="I2728" s="120"/>
      <c r="J2728" s="121"/>
      <c r="K2728" s="121"/>
      <c r="L2728" s="121"/>
      <c r="M2728" s="121"/>
      <c r="N2728" s="121"/>
      <c r="O2728" s="121"/>
      <c r="P2728" s="121"/>
    </row>
    <row r="2729" spans="2:16" s="117" customFormat="1" ht="21.75" hidden="1" customHeight="1">
      <c r="B2729" s="118"/>
      <c r="C2729" s="110"/>
      <c r="D2729" s="111" t="s">
        <v>162</v>
      </c>
      <c r="E2729" s="247">
        <f>E2730</f>
        <v>1600000000</v>
      </c>
      <c r="F2729" s="129">
        <v>65793806208</v>
      </c>
      <c r="G2729" s="127">
        <f t="shared" si="52"/>
        <v>2.4318398527389844</v>
      </c>
      <c r="H2729" s="120"/>
      <c r="I2729" s="120"/>
      <c r="J2729" s="121"/>
      <c r="K2729" s="121"/>
      <c r="L2729" s="121"/>
      <c r="M2729" s="121"/>
      <c r="N2729" s="121"/>
      <c r="O2729" s="121"/>
      <c r="P2729" s="121"/>
    </row>
    <row r="2730" spans="2:16" s="108" customFormat="1" ht="21.75" hidden="1" customHeight="1">
      <c r="B2730" s="109"/>
      <c r="C2730" s="122"/>
      <c r="D2730" s="123" t="s">
        <v>607</v>
      </c>
      <c r="E2730" s="248">
        <v>1600000000</v>
      </c>
      <c r="F2730" s="125">
        <v>65793806208</v>
      </c>
      <c r="G2730" s="126">
        <f t="shared" si="52"/>
        <v>2.4318398527389844</v>
      </c>
      <c r="H2730" s="120"/>
      <c r="I2730" s="120"/>
      <c r="J2730" s="116"/>
      <c r="K2730" s="116"/>
      <c r="L2730" s="116"/>
      <c r="M2730" s="116"/>
      <c r="N2730" s="116"/>
      <c r="O2730" s="116"/>
      <c r="P2730" s="116"/>
    </row>
    <row r="2731" spans="2:16" s="117" customFormat="1" ht="21.75" hidden="1" customHeight="1">
      <c r="B2731" s="118"/>
      <c r="C2731" s="110"/>
      <c r="D2731" s="111" t="s">
        <v>173</v>
      </c>
      <c r="E2731" s="247">
        <f>E2732</f>
        <v>3288000000</v>
      </c>
      <c r="F2731" s="129">
        <v>65793806208</v>
      </c>
      <c r="G2731" s="127">
        <f t="shared" si="52"/>
        <v>4.9974308973786128</v>
      </c>
      <c r="H2731" s="120"/>
      <c r="I2731" s="120"/>
      <c r="J2731" s="121"/>
      <c r="K2731" s="121"/>
      <c r="L2731" s="121"/>
      <c r="M2731" s="121"/>
      <c r="N2731" s="121"/>
      <c r="O2731" s="121"/>
      <c r="P2731" s="121"/>
    </row>
    <row r="2732" spans="2:16" s="108" customFormat="1" ht="21.75" hidden="1" customHeight="1">
      <c r="B2732" s="109"/>
      <c r="C2732" s="122"/>
      <c r="D2732" s="123" t="s">
        <v>414</v>
      </c>
      <c r="E2732" s="248">
        <v>3288000000</v>
      </c>
      <c r="F2732" s="125">
        <v>65793806208</v>
      </c>
      <c r="G2732" s="126">
        <f t="shared" si="52"/>
        <v>4.9974308973786128</v>
      </c>
      <c r="H2732" s="120"/>
      <c r="I2732" s="120"/>
      <c r="J2732" s="116"/>
      <c r="K2732" s="116"/>
      <c r="L2732" s="116"/>
      <c r="M2732" s="116"/>
      <c r="N2732" s="116"/>
      <c r="O2732" s="116"/>
      <c r="P2732" s="116"/>
    </row>
    <row r="2733" spans="2:16" s="117" customFormat="1" ht="21.75" hidden="1" customHeight="1">
      <c r="B2733" s="118"/>
      <c r="C2733" s="110"/>
      <c r="D2733" s="111" t="s">
        <v>190</v>
      </c>
      <c r="E2733" s="247">
        <f>SUM(E2734:E2735)</f>
        <v>632344560</v>
      </c>
      <c r="F2733" s="129">
        <v>65793806208</v>
      </c>
      <c r="G2733" s="127">
        <f t="shared" si="52"/>
        <v>0.96110043854418614</v>
      </c>
      <c r="H2733" s="120"/>
      <c r="I2733" s="120"/>
      <c r="J2733" s="121"/>
      <c r="K2733" s="121"/>
      <c r="L2733" s="121"/>
      <c r="M2733" s="121"/>
      <c r="N2733" s="121"/>
      <c r="O2733" s="121"/>
      <c r="P2733" s="121"/>
    </row>
    <row r="2734" spans="2:16" s="108" customFormat="1" ht="21.75" hidden="1" customHeight="1">
      <c r="B2734" s="109"/>
      <c r="C2734" s="122"/>
      <c r="D2734" s="123" t="s">
        <v>1997</v>
      </c>
      <c r="E2734" s="248">
        <v>203244560</v>
      </c>
      <c r="F2734" s="125">
        <v>65793806208</v>
      </c>
      <c r="G2734" s="126">
        <f t="shared" si="52"/>
        <v>0.30891138803774981</v>
      </c>
      <c r="H2734" s="120"/>
      <c r="I2734" s="120"/>
      <c r="J2734" s="116"/>
      <c r="K2734" s="116"/>
      <c r="L2734" s="116"/>
      <c r="M2734" s="116"/>
      <c r="N2734" s="116"/>
      <c r="O2734" s="116"/>
      <c r="P2734" s="116"/>
    </row>
    <row r="2735" spans="2:16" s="108" customFormat="1" ht="39" hidden="1" customHeight="1">
      <c r="B2735" s="109"/>
      <c r="C2735" s="122"/>
      <c r="D2735" s="123" t="s">
        <v>1998</v>
      </c>
      <c r="E2735" s="248">
        <v>429100000</v>
      </c>
      <c r="F2735" s="125">
        <v>65793806208</v>
      </c>
      <c r="G2735" s="126">
        <f t="shared" si="52"/>
        <v>0.65218905050643639</v>
      </c>
      <c r="H2735" s="120"/>
      <c r="I2735" s="120"/>
      <c r="J2735" s="116"/>
      <c r="K2735" s="116"/>
      <c r="L2735" s="116"/>
      <c r="M2735" s="116"/>
      <c r="N2735" s="116"/>
      <c r="O2735" s="116"/>
      <c r="P2735" s="116"/>
    </row>
    <row r="2736" spans="2:16" s="117" customFormat="1" ht="21.75" hidden="1" customHeight="1">
      <c r="B2736" s="118"/>
      <c r="C2736" s="110"/>
      <c r="D2736" s="111" t="s">
        <v>1999</v>
      </c>
      <c r="E2736" s="247">
        <f>SUM(E2737:E2738)</f>
        <v>581655440</v>
      </c>
      <c r="F2736" s="129">
        <v>65793806208</v>
      </c>
      <c r="G2736" s="127">
        <f t="shared" si="52"/>
        <v>0.88405804972151825</v>
      </c>
      <c r="H2736" s="120"/>
      <c r="I2736" s="120"/>
      <c r="J2736" s="121"/>
      <c r="K2736" s="121"/>
      <c r="L2736" s="121"/>
      <c r="M2736" s="121"/>
      <c r="N2736" s="121"/>
      <c r="O2736" s="121"/>
      <c r="P2736" s="121"/>
    </row>
    <row r="2737" spans="2:16" s="108" customFormat="1" ht="21.75" hidden="1" customHeight="1">
      <c r="B2737" s="109"/>
      <c r="C2737" s="122"/>
      <c r="D2737" s="123" t="s">
        <v>1408</v>
      </c>
      <c r="E2737" s="248">
        <v>254600000</v>
      </c>
      <c r="F2737" s="125">
        <v>65793806208</v>
      </c>
      <c r="G2737" s="126">
        <f t="shared" si="52"/>
        <v>0.38696651656709091</v>
      </c>
      <c r="H2737" s="120"/>
      <c r="I2737" s="120"/>
      <c r="J2737" s="116"/>
      <c r="K2737" s="116"/>
      <c r="L2737" s="116"/>
      <c r="M2737" s="116"/>
      <c r="N2737" s="116"/>
      <c r="O2737" s="116"/>
      <c r="P2737" s="116"/>
    </row>
    <row r="2738" spans="2:16" s="108" customFormat="1" ht="21.75" hidden="1" customHeight="1">
      <c r="B2738" s="109"/>
      <c r="C2738" s="122"/>
      <c r="D2738" s="123" t="s">
        <v>2000</v>
      </c>
      <c r="E2738" s="248">
        <v>327055440</v>
      </c>
      <c r="F2738" s="125">
        <v>65793806208</v>
      </c>
      <c r="G2738" s="126">
        <f t="shared" si="52"/>
        <v>0.49709153315442733</v>
      </c>
      <c r="H2738" s="120"/>
      <c r="I2738" s="120"/>
      <c r="J2738" s="116"/>
      <c r="K2738" s="116"/>
      <c r="L2738" s="116"/>
      <c r="M2738" s="116"/>
      <c r="N2738" s="116"/>
      <c r="O2738" s="116"/>
      <c r="P2738" s="116"/>
    </row>
    <row r="2739" spans="2:16" s="108" customFormat="1" ht="21.75" hidden="1" customHeight="1">
      <c r="B2739" s="109"/>
      <c r="C2739" s="122"/>
      <c r="D2739" s="123"/>
      <c r="E2739" s="248"/>
      <c r="F2739" s="125"/>
      <c r="G2739" s="126"/>
      <c r="H2739" s="120"/>
      <c r="I2739" s="120"/>
      <c r="J2739" s="116"/>
      <c r="K2739" s="116"/>
      <c r="L2739" s="116"/>
      <c r="M2739" s="116"/>
      <c r="N2739" s="116"/>
      <c r="O2739" s="116"/>
      <c r="P2739" s="116"/>
    </row>
    <row r="2740" spans="2:16" s="117" customFormat="1" ht="21.75" hidden="1" customHeight="1">
      <c r="B2740" s="118"/>
      <c r="C2740" s="110"/>
      <c r="D2740" s="111" t="s">
        <v>425</v>
      </c>
      <c r="E2740" s="247">
        <f>E2741</f>
        <v>3568000000</v>
      </c>
      <c r="F2740" s="129">
        <v>65793806208</v>
      </c>
      <c r="G2740" s="127">
        <f t="shared" si="52"/>
        <v>5.4230028716079355</v>
      </c>
      <c r="H2740" s="120"/>
      <c r="I2740" s="120"/>
      <c r="J2740" s="121"/>
      <c r="K2740" s="121"/>
      <c r="L2740" s="121"/>
      <c r="M2740" s="121"/>
      <c r="N2740" s="121"/>
      <c r="O2740" s="121"/>
      <c r="P2740" s="121"/>
    </row>
    <row r="2741" spans="2:16" s="117" customFormat="1" ht="21.75" hidden="1" customHeight="1">
      <c r="B2741" s="118"/>
      <c r="C2741" s="110"/>
      <c r="D2741" s="111" t="s">
        <v>2001</v>
      </c>
      <c r="E2741" s="247">
        <f>SUM(E2742:E2743)</f>
        <v>3568000000</v>
      </c>
      <c r="F2741" s="129">
        <v>65793806208</v>
      </c>
      <c r="G2741" s="127">
        <f t="shared" si="52"/>
        <v>5.4230028716079355</v>
      </c>
      <c r="H2741" s="120"/>
      <c r="I2741" s="120"/>
      <c r="J2741" s="121"/>
      <c r="K2741" s="121"/>
      <c r="L2741" s="121"/>
      <c r="M2741" s="121"/>
      <c r="N2741" s="121"/>
      <c r="O2741" s="121"/>
      <c r="P2741" s="121"/>
    </row>
    <row r="2742" spans="2:16" s="108" customFormat="1" ht="21.75" hidden="1" customHeight="1">
      <c r="B2742" s="109"/>
      <c r="C2742" s="122"/>
      <c r="D2742" s="123" t="s">
        <v>2002</v>
      </c>
      <c r="E2742" s="248">
        <v>1000000000</v>
      </c>
      <c r="F2742" s="125">
        <v>65793806208</v>
      </c>
      <c r="G2742" s="126">
        <f t="shared" si="52"/>
        <v>1.5198999079618654</v>
      </c>
      <c r="H2742" s="120"/>
      <c r="I2742" s="120"/>
      <c r="J2742" s="116"/>
      <c r="K2742" s="116"/>
      <c r="L2742" s="116"/>
      <c r="M2742" s="116"/>
      <c r="N2742" s="116"/>
      <c r="O2742" s="116"/>
      <c r="P2742" s="116"/>
    </row>
    <row r="2743" spans="2:16" s="108" customFormat="1" ht="21.75" hidden="1" customHeight="1">
      <c r="B2743" s="109"/>
      <c r="C2743" s="122"/>
      <c r="D2743" s="123" t="s">
        <v>2003</v>
      </c>
      <c r="E2743" s="248">
        <v>2568000000</v>
      </c>
      <c r="F2743" s="125">
        <v>65793806208</v>
      </c>
      <c r="G2743" s="126">
        <f t="shared" si="52"/>
        <v>3.9031029636460697</v>
      </c>
      <c r="H2743" s="120"/>
      <c r="I2743" s="120"/>
      <c r="J2743" s="116"/>
      <c r="K2743" s="116"/>
      <c r="L2743" s="116"/>
      <c r="M2743" s="116"/>
      <c r="N2743" s="116"/>
      <c r="O2743" s="116"/>
      <c r="P2743" s="116"/>
    </row>
    <row r="2744" spans="2:16" s="108" customFormat="1" ht="21.75" hidden="1" customHeight="1">
      <c r="B2744" s="109"/>
      <c r="C2744" s="122"/>
      <c r="D2744" s="123"/>
      <c r="E2744" s="248"/>
      <c r="F2744" s="125"/>
      <c r="G2744" s="126"/>
      <c r="H2744" s="120"/>
      <c r="I2744" s="120"/>
      <c r="J2744" s="116"/>
      <c r="K2744" s="116"/>
      <c r="L2744" s="116"/>
      <c r="M2744" s="116"/>
      <c r="N2744" s="116"/>
      <c r="O2744" s="116"/>
      <c r="P2744" s="116"/>
    </row>
    <row r="2745" spans="2:16" s="117" customFormat="1" ht="21.75" hidden="1" customHeight="1">
      <c r="B2745" s="118"/>
      <c r="C2745" s="110"/>
      <c r="D2745" s="111" t="s">
        <v>525</v>
      </c>
      <c r="E2745" s="247">
        <f>E2746</f>
        <v>1000000000</v>
      </c>
      <c r="F2745" s="129">
        <v>65793806208</v>
      </c>
      <c r="G2745" s="127">
        <f t="shared" si="52"/>
        <v>1.5198999079618654</v>
      </c>
      <c r="H2745" s="120"/>
      <c r="I2745" s="120"/>
      <c r="J2745" s="121"/>
      <c r="K2745" s="121"/>
      <c r="L2745" s="121"/>
      <c r="M2745" s="121"/>
      <c r="N2745" s="121"/>
      <c r="O2745" s="121"/>
      <c r="P2745" s="121"/>
    </row>
    <row r="2746" spans="2:16" s="117" customFormat="1" ht="30.75" hidden="1" customHeight="1">
      <c r="B2746" s="118"/>
      <c r="C2746" s="110"/>
      <c r="D2746" s="111" t="s">
        <v>2004</v>
      </c>
      <c r="E2746" s="247">
        <f>E2747</f>
        <v>1000000000</v>
      </c>
      <c r="F2746" s="129">
        <v>65793806208</v>
      </c>
      <c r="G2746" s="127">
        <f t="shared" si="52"/>
        <v>1.5198999079618654</v>
      </c>
      <c r="H2746" s="120"/>
      <c r="I2746" s="120"/>
      <c r="J2746" s="121"/>
      <c r="K2746" s="121"/>
      <c r="L2746" s="121"/>
      <c r="M2746" s="121"/>
      <c r="N2746" s="121"/>
      <c r="O2746" s="121"/>
      <c r="P2746" s="121"/>
    </row>
    <row r="2747" spans="2:16" s="108" customFormat="1" ht="34.5" hidden="1" customHeight="1">
      <c r="B2747" s="109"/>
      <c r="C2747" s="122"/>
      <c r="D2747" s="123" t="s">
        <v>2005</v>
      </c>
      <c r="E2747" s="248">
        <v>1000000000</v>
      </c>
      <c r="F2747" s="125">
        <v>65793806208</v>
      </c>
      <c r="G2747" s="126">
        <f t="shared" si="52"/>
        <v>1.5198999079618654</v>
      </c>
      <c r="H2747" s="120"/>
      <c r="I2747" s="120"/>
      <c r="J2747" s="116"/>
      <c r="K2747" s="116"/>
      <c r="L2747" s="116"/>
      <c r="M2747" s="116"/>
      <c r="N2747" s="116"/>
      <c r="O2747" s="116"/>
      <c r="P2747" s="116"/>
    </row>
    <row r="2748" spans="2:16" s="108" customFormat="1" ht="21.75" hidden="1" customHeight="1">
      <c r="B2748" s="109"/>
      <c r="C2748" s="122"/>
      <c r="D2748" s="123"/>
      <c r="E2748" s="248"/>
      <c r="F2748" s="125"/>
      <c r="G2748" s="126"/>
      <c r="H2748" s="120"/>
      <c r="I2748" s="120"/>
      <c r="J2748" s="116"/>
      <c r="K2748" s="116"/>
      <c r="L2748" s="116"/>
      <c r="M2748" s="116"/>
      <c r="N2748" s="116"/>
      <c r="O2748" s="116"/>
      <c r="P2748" s="116"/>
    </row>
    <row r="2749" spans="2:16" s="117" customFormat="1" ht="21.75" hidden="1" customHeight="1">
      <c r="B2749" s="118"/>
      <c r="C2749" s="110"/>
      <c r="D2749" s="111" t="s">
        <v>1531</v>
      </c>
      <c r="E2749" s="247">
        <f>E2750</f>
        <v>550000000</v>
      </c>
      <c r="F2749" s="129">
        <v>65793806208</v>
      </c>
      <c r="G2749" s="127">
        <f t="shared" si="52"/>
        <v>0.83594494937902586</v>
      </c>
      <c r="H2749" s="120"/>
      <c r="I2749" s="120"/>
      <c r="J2749" s="121"/>
      <c r="K2749" s="121"/>
      <c r="L2749" s="121"/>
      <c r="M2749" s="121"/>
      <c r="N2749" s="121"/>
      <c r="O2749" s="121"/>
      <c r="P2749" s="121"/>
    </row>
    <row r="2750" spans="2:16" s="117" customFormat="1" ht="21.75" hidden="1" customHeight="1">
      <c r="B2750" s="118"/>
      <c r="C2750" s="110"/>
      <c r="D2750" s="111" t="s">
        <v>2006</v>
      </c>
      <c r="E2750" s="247">
        <f>E2751</f>
        <v>550000000</v>
      </c>
      <c r="F2750" s="129">
        <v>65793806208</v>
      </c>
      <c r="G2750" s="127">
        <f t="shared" si="52"/>
        <v>0.83594494937902586</v>
      </c>
      <c r="H2750" s="120"/>
      <c r="I2750" s="120"/>
      <c r="J2750" s="121"/>
      <c r="K2750" s="121"/>
      <c r="L2750" s="121"/>
      <c r="M2750" s="121"/>
      <c r="N2750" s="121"/>
      <c r="O2750" s="121"/>
      <c r="P2750" s="121"/>
    </row>
    <row r="2751" spans="2:16" s="108" customFormat="1" ht="21.75" hidden="1" customHeight="1">
      <c r="B2751" s="109"/>
      <c r="C2751" s="122"/>
      <c r="D2751" s="123" t="s">
        <v>2007</v>
      </c>
      <c r="E2751" s="248">
        <v>550000000</v>
      </c>
      <c r="F2751" s="125">
        <v>65793806208</v>
      </c>
      <c r="G2751" s="126">
        <f t="shared" si="52"/>
        <v>0.83594494937902586</v>
      </c>
      <c r="H2751" s="120"/>
      <c r="I2751" s="120"/>
      <c r="J2751" s="116"/>
      <c r="K2751" s="116"/>
      <c r="L2751" s="116"/>
      <c r="M2751" s="116"/>
      <c r="N2751" s="116"/>
      <c r="O2751" s="116"/>
      <c r="P2751" s="116"/>
    </row>
    <row r="2752" spans="2:16" s="108" customFormat="1" ht="21.75" hidden="1" customHeight="1">
      <c r="B2752" s="109"/>
      <c r="C2752" s="122"/>
      <c r="D2752" s="123"/>
      <c r="E2752" s="248"/>
      <c r="F2752" s="125"/>
      <c r="G2752" s="126"/>
      <c r="H2752" s="120"/>
      <c r="I2752" s="120"/>
      <c r="J2752" s="116"/>
      <c r="K2752" s="116"/>
      <c r="L2752" s="116"/>
      <c r="M2752" s="116"/>
      <c r="N2752" s="116"/>
      <c r="O2752" s="116"/>
      <c r="P2752" s="116"/>
    </row>
    <row r="2753" spans="2:16" s="117" customFormat="1" ht="21.75" hidden="1" customHeight="1">
      <c r="B2753" s="118"/>
      <c r="C2753" s="110"/>
      <c r="D2753" s="111" t="s">
        <v>69</v>
      </c>
      <c r="E2753" s="247">
        <f>E2754</f>
        <v>930000000</v>
      </c>
      <c r="F2753" s="129">
        <v>65793806208</v>
      </c>
      <c r="G2753" s="127">
        <f t="shared" si="52"/>
        <v>1.4135069144045347</v>
      </c>
      <c r="H2753" s="120"/>
      <c r="I2753" s="120"/>
      <c r="J2753" s="121"/>
      <c r="K2753" s="121"/>
      <c r="L2753" s="121"/>
      <c r="M2753" s="121"/>
      <c r="N2753" s="121"/>
      <c r="O2753" s="121"/>
      <c r="P2753" s="121"/>
    </row>
    <row r="2754" spans="2:16" s="117" customFormat="1" ht="21.75" hidden="1" customHeight="1">
      <c r="B2754" s="118"/>
      <c r="C2754" s="110"/>
      <c r="D2754" s="111" t="s">
        <v>280</v>
      </c>
      <c r="E2754" s="247">
        <f>E2755</f>
        <v>930000000</v>
      </c>
      <c r="F2754" s="129">
        <v>65793806208</v>
      </c>
      <c r="G2754" s="127">
        <f t="shared" si="52"/>
        <v>1.4135069144045347</v>
      </c>
      <c r="H2754" s="120"/>
      <c r="I2754" s="120"/>
      <c r="J2754" s="121"/>
      <c r="K2754" s="121"/>
      <c r="L2754" s="121"/>
      <c r="M2754" s="121"/>
      <c r="N2754" s="121"/>
      <c r="O2754" s="121"/>
      <c r="P2754" s="121"/>
    </row>
    <row r="2755" spans="2:16" s="108" customFormat="1" ht="21.75" hidden="1" customHeight="1">
      <c r="B2755" s="109"/>
      <c r="C2755" s="122"/>
      <c r="D2755" s="123" t="s">
        <v>2008</v>
      </c>
      <c r="E2755" s="248">
        <v>930000000</v>
      </c>
      <c r="F2755" s="125">
        <v>65793806208</v>
      </c>
      <c r="G2755" s="126">
        <f t="shared" si="52"/>
        <v>1.4135069144045347</v>
      </c>
      <c r="H2755" s="120"/>
      <c r="I2755" s="120"/>
      <c r="J2755" s="116"/>
      <c r="K2755" s="116"/>
      <c r="L2755" s="116"/>
      <c r="M2755" s="116"/>
      <c r="N2755" s="116"/>
      <c r="O2755" s="116"/>
      <c r="P2755" s="116"/>
    </row>
    <row r="2756" spans="2:16" s="108" customFormat="1" ht="21.75" hidden="1" customHeight="1">
      <c r="B2756" s="109"/>
      <c r="C2756" s="122"/>
      <c r="D2756" s="123"/>
      <c r="E2756" s="248"/>
      <c r="F2756" s="125"/>
      <c r="G2756" s="126"/>
      <c r="H2756" s="120"/>
      <c r="I2756" s="120"/>
      <c r="J2756" s="116"/>
      <c r="K2756" s="116"/>
      <c r="L2756" s="116"/>
      <c r="M2756" s="116"/>
      <c r="N2756" s="116"/>
      <c r="O2756" s="116"/>
      <c r="P2756" s="116"/>
    </row>
    <row r="2757" spans="2:16" s="117" customFormat="1" ht="21.75" hidden="1" customHeight="1">
      <c r="B2757" s="118"/>
      <c r="C2757" s="110"/>
      <c r="D2757" s="111" t="s">
        <v>363</v>
      </c>
      <c r="E2757" s="247">
        <f>E2758</f>
        <v>250000000</v>
      </c>
      <c r="F2757" s="129">
        <v>65793806208</v>
      </c>
      <c r="G2757" s="127">
        <f t="shared" si="52"/>
        <v>0.37997497699046634</v>
      </c>
      <c r="H2757" s="120"/>
      <c r="I2757" s="120"/>
      <c r="J2757" s="121"/>
      <c r="K2757" s="121"/>
      <c r="L2757" s="121"/>
      <c r="M2757" s="121"/>
      <c r="N2757" s="121"/>
      <c r="O2757" s="121"/>
      <c r="P2757" s="121"/>
    </row>
    <row r="2758" spans="2:16" s="117" customFormat="1" ht="30.75" hidden="1" customHeight="1">
      <c r="B2758" s="118"/>
      <c r="C2758" s="110"/>
      <c r="D2758" s="111" t="s">
        <v>990</v>
      </c>
      <c r="E2758" s="247">
        <f>E2759</f>
        <v>250000000</v>
      </c>
      <c r="F2758" s="129">
        <v>65793806208</v>
      </c>
      <c r="G2758" s="127">
        <f t="shared" si="52"/>
        <v>0.37997497699046634</v>
      </c>
      <c r="H2758" s="120"/>
      <c r="I2758" s="120"/>
      <c r="J2758" s="121"/>
      <c r="K2758" s="121"/>
      <c r="L2758" s="121"/>
      <c r="M2758" s="121"/>
      <c r="N2758" s="121"/>
      <c r="O2758" s="121"/>
      <c r="P2758" s="121"/>
    </row>
    <row r="2759" spans="2:16" s="108" customFormat="1" ht="21.75" hidden="1" customHeight="1">
      <c r="B2759" s="109"/>
      <c r="C2759" s="122"/>
      <c r="D2759" s="123" t="s">
        <v>2009</v>
      </c>
      <c r="E2759" s="248">
        <v>250000000</v>
      </c>
      <c r="F2759" s="125">
        <v>65793806208</v>
      </c>
      <c r="G2759" s="126">
        <f t="shared" si="52"/>
        <v>0.37997497699046634</v>
      </c>
      <c r="H2759" s="120"/>
      <c r="I2759" s="120"/>
      <c r="J2759" s="116"/>
      <c r="K2759" s="116"/>
      <c r="L2759" s="116"/>
      <c r="M2759" s="116"/>
      <c r="N2759" s="116"/>
      <c r="O2759" s="116"/>
      <c r="P2759" s="116"/>
    </row>
    <row r="2760" spans="2:16" s="108" customFormat="1" ht="21.75" hidden="1" customHeight="1">
      <c r="B2760" s="109"/>
      <c r="C2760" s="122"/>
      <c r="D2760" s="123"/>
      <c r="E2760" s="248"/>
      <c r="F2760" s="125"/>
      <c r="G2760" s="126"/>
      <c r="H2760" s="120"/>
      <c r="I2760" s="120"/>
      <c r="J2760" s="116"/>
      <c r="K2760" s="116"/>
      <c r="L2760" s="116"/>
      <c r="M2760" s="116"/>
      <c r="N2760" s="116"/>
      <c r="O2760" s="116"/>
      <c r="P2760" s="116"/>
    </row>
    <row r="2761" spans="2:16" s="117" customFormat="1" ht="21.75" hidden="1" customHeight="1">
      <c r="B2761" s="118"/>
      <c r="C2761" s="110"/>
      <c r="D2761" s="111" t="s">
        <v>366</v>
      </c>
      <c r="E2761" s="247">
        <f>E2762</f>
        <v>815876124</v>
      </c>
      <c r="F2761" s="129">
        <v>65793806208</v>
      </c>
      <c r="G2761" s="127">
        <f t="shared" si="52"/>
        <v>1.2400500457758834</v>
      </c>
      <c r="H2761" s="120"/>
      <c r="I2761" s="120"/>
      <c r="J2761" s="121"/>
      <c r="K2761" s="121"/>
      <c r="L2761" s="121"/>
      <c r="M2761" s="121"/>
      <c r="N2761" s="121"/>
      <c r="O2761" s="121"/>
      <c r="P2761" s="121"/>
    </row>
    <row r="2762" spans="2:16" s="117" customFormat="1" ht="21.75" hidden="1" customHeight="1">
      <c r="B2762" s="118"/>
      <c r="C2762" s="110"/>
      <c r="D2762" s="111" t="s">
        <v>509</v>
      </c>
      <c r="E2762" s="247">
        <f>E2763</f>
        <v>815876124</v>
      </c>
      <c r="F2762" s="129">
        <v>65793806208</v>
      </c>
      <c r="G2762" s="127">
        <f t="shared" si="52"/>
        <v>1.2400500457758834</v>
      </c>
      <c r="H2762" s="120"/>
      <c r="I2762" s="120"/>
      <c r="J2762" s="121"/>
      <c r="K2762" s="121"/>
      <c r="L2762" s="121"/>
      <c r="M2762" s="121"/>
      <c r="N2762" s="121"/>
      <c r="O2762" s="121"/>
      <c r="P2762" s="121"/>
    </row>
    <row r="2763" spans="2:16" s="108" customFormat="1" ht="21.75" hidden="1" customHeight="1">
      <c r="B2763" s="109"/>
      <c r="C2763" s="122"/>
      <c r="D2763" s="123" t="s">
        <v>2010</v>
      </c>
      <c r="E2763" s="248">
        <v>815876124</v>
      </c>
      <c r="F2763" s="125">
        <v>65793806208</v>
      </c>
      <c r="G2763" s="126">
        <f t="shared" si="52"/>
        <v>1.2400500457758834</v>
      </c>
      <c r="H2763" s="120"/>
      <c r="I2763" s="120"/>
      <c r="J2763" s="116"/>
      <c r="K2763" s="116"/>
      <c r="L2763" s="116"/>
      <c r="M2763" s="116"/>
      <c r="N2763" s="116"/>
      <c r="O2763" s="116"/>
      <c r="P2763" s="116"/>
    </row>
    <row r="2764" spans="2:16" s="108" customFormat="1" ht="21.75" hidden="1" customHeight="1">
      <c r="B2764" s="109"/>
      <c r="C2764" s="122"/>
      <c r="D2764" s="123"/>
      <c r="E2764" s="248"/>
      <c r="F2764" s="125"/>
      <c r="G2764" s="126"/>
      <c r="H2764" s="120"/>
      <c r="I2764" s="120"/>
      <c r="J2764" s="116"/>
      <c r="K2764" s="116"/>
      <c r="L2764" s="116"/>
      <c r="M2764" s="116"/>
      <c r="N2764" s="116"/>
      <c r="O2764" s="116"/>
      <c r="P2764" s="116"/>
    </row>
    <row r="2765" spans="2:16" s="117" customFormat="1" ht="21.75" hidden="1" customHeight="1">
      <c r="B2765" s="118"/>
      <c r="C2765" s="110"/>
      <c r="D2765" s="111" t="s">
        <v>2011</v>
      </c>
      <c r="E2765" s="247">
        <f>E2766+E2768</f>
        <v>32831240000</v>
      </c>
      <c r="F2765" s="129">
        <v>65793806208</v>
      </c>
      <c r="G2765" s="127">
        <f t="shared" si="52"/>
        <v>49.900198654273908</v>
      </c>
      <c r="H2765" s="120"/>
      <c r="I2765" s="120"/>
      <c r="J2765" s="121"/>
      <c r="K2765" s="121"/>
      <c r="L2765" s="121"/>
      <c r="M2765" s="121"/>
      <c r="N2765" s="121"/>
      <c r="O2765" s="121"/>
      <c r="P2765" s="121"/>
    </row>
    <row r="2766" spans="2:16" s="117" customFormat="1" ht="21.75" hidden="1" customHeight="1">
      <c r="B2766" s="118"/>
      <c r="C2766" s="110"/>
      <c r="D2766" s="111" t="s">
        <v>564</v>
      </c>
      <c r="E2766" s="247">
        <f>E2767</f>
        <v>32581240000</v>
      </c>
      <c r="F2766" s="129">
        <v>65793806208</v>
      </c>
      <c r="G2766" s="127">
        <f t="shared" si="52"/>
        <v>49.52022367728344</v>
      </c>
      <c r="H2766" s="120"/>
      <c r="I2766" s="120"/>
      <c r="J2766" s="121"/>
      <c r="K2766" s="121"/>
      <c r="L2766" s="121"/>
      <c r="M2766" s="121"/>
      <c r="N2766" s="121"/>
      <c r="O2766" s="121"/>
      <c r="P2766" s="121"/>
    </row>
    <row r="2767" spans="2:16" s="108" customFormat="1" ht="21.75" hidden="1" customHeight="1">
      <c r="B2767" s="109"/>
      <c r="C2767" s="122"/>
      <c r="D2767" s="123" t="s">
        <v>564</v>
      </c>
      <c r="E2767" s="248">
        <v>32581240000</v>
      </c>
      <c r="F2767" s="125">
        <v>65793806208</v>
      </c>
      <c r="G2767" s="126">
        <f t="shared" ref="G2767:G2769" si="53">+E2767/F2767*100</f>
        <v>49.52022367728344</v>
      </c>
      <c r="H2767" s="120"/>
      <c r="I2767" s="120"/>
      <c r="J2767" s="116"/>
      <c r="K2767" s="116"/>
      <c r="L2767" s="116"/>
      <c r="M2767" s="116"/>
      <c r="N2767" s="116"/>
      <c r="O2767" s="116"/>
      <c r="P2767" s="116"/>
    </row>
    <row r="2768" spans="2:16" s="117" customFormat="1" ht="29.25" hidden="1" customHeight="1">
      <c r="B2768" s="118"/>
      <c r="C2768" s="110"/>
      <c r="D2768" s="111" t="s">
        <v>2012</v>
      </c>
      <c r="E2768" s="247">
        <f>E2769</f>
        <v>250000000</v>
      </c>
      <c r="F2768" s="129">
        <v>65793806208</v>
      </c>
      <c r="G2768" s="127">
        <f t="shared" si="53"/>
        <v>0.37997497699046634</v>
      </c>
      <c r="H2768" s="120"/>
      <c r="I2768" s="120"/>
      <c r="J2768" s="121"/>
      <c r="K2768" s="121"/>
      <c r="L2768" s="121"/>
      <c r="M2768" s="121"/>
      <c r="N2768" s="121"/>
      <c r="O2768" s="121"/>
      <c r="P2768" s="121"/>
    </row>
    <row r="2769" spans="2:16" s="108" customFormat="1" ht="21.75" hidden="1" customHeight="1">
      <c r="B2769" s="109"/>
      <c r="C2769" s="122"/>
      <c r="D2769" s="123" t="s">
        <v>2013</v>
      </c>
      <c r="E2769" s="248">
        <v>250000000</v>
      </c>
      <c r="F2769" s="125">
        <v>65793806208</v>
      </c>
      <c r="G2769" s="126">
        <f t="shared" si="53"/>
        <v>0.37997497699046634</v>
      </c>
      <c r="H2769" s="120"/>
      <c r="I2769" s="120"/>
      <c r="J2769" s="116"/>
      <c r="K2769" s="116"/>
      <c r="L2769" s="116"/>
      <c r="M2769" s="116"/>
      <c r="N2769" s="116"/>
      <c r="O2769" s="116"/>
      <c r="P2769" s="116"/>
    </row>
    <row r="2770" spans="2:16" s="108" customFormat="1" ht="21.75" hidden="1" customHeight="1">
      <c r="B2770" s="109"/>
      <c r="C2770" s="122"/>
      <c r="D2770" s="123"/>
      <c r="E2770" s="125"/>
      <c r="F2770" s="113"/>
      <c r="G2770" s="126"/>
      <c r="H2770" s="120"/>
      <c r="I2770" s="120"/>
      <c r="J2770" s="116"/>
      <c r="K2770" s="116"/>
      <c r="L2770" s="116"/>
      <c r="M2770" s="116"/>
      <c r="N2770" s="116"/>
      <c r="O2770" s="116"/>
      <c r="P2770" s="116"/>
    </row>
    <row r="2771" spans="2:16" s="117" customFormat="1" ht="21.75" hidden="1" customHeight="1">
      <c r="B2771" s="118"/>
      <c r="C2771" s="110" t="s">
        <v>2014</v>
      </c>
      <c r="D2771" s="111" t="s">
        <v>2015</v>
      </c>
      <c r="E2771" s="129">
        <f>+E2772+E2792+E2796+E2814+E2819+E2824+E2828+E2832+E2837+E2844+E2849+E2867+E2873+E2878</f>
        <v>61543588793.150002</v>
      </c>
      <c r="F2771" s="131">
        <v>1557405258400.0002</v>
      </c>
      <c r="G2771" s="127">
        <f>+E2771/F2771*100</f>
        <v>3.9516746499480031</v>
      </c>
      <c r="H2771" s="47"/>
      <c r="I2771" s="120"/>
      <c r="J2771" s="121"/>
      <c r="K2771" s="121"/>
      <c r="L2771" s="121"/>
      <c r="M2771" s="121"/>
      <c r="N2771" s="121"/>
      <c r="O2771" s="121"/>
      <c r="P2771" s="121"/>
    </row>
    <row r="2772" spans="2:16" s="117" customFormat="1" ht="21.75" hidden="1" customHeight="1">
      <c r="B2772" s="118"/>
      <c r="C2772" s="110"/>
      <c r="D2772" s="241" t="s">
        <v>444</v>
      </c>
      <c r="E2772" s="250">
        <f>+E2773+E2775+E2778+E2781+E2784+E2788</f>
        <v>14717470638.15</v>
      </c>
      <c r="F2772" s="114">
        <v>61543588793.150002</v>
      </c>
      <c r="G2772" s="127">
        <f>+E2772/F2772*100</f>
        <v>23.913897331557791</v>
      </c>
      <c r="H2772" s="120"/>
      <c r="I2772" s="120"/>
      <c r="J2772" s="121"/>
      <c r="K2772" s="121"/>
      <c r="L2772" s="121"/>
      <c r="M2772" s="121"/>
      <c r="N2772" s="121"/>
      <c r="O2772" s="121"/>
      <c r="P2772" s="121"/>
    </row>
    <row r="2773" spans="2:16" s="117" customFormat="1" ht="21.75" hidden="1" customHeight="1">
      <c r="B2773" s="118"/>
      <c r="C2773" s="110"/>
      <c r="D2773" s="150" t="s">
        <v>388</v>
      </c>
      <c r="E2773" s="250">
        <f>SUM(E2774:E2774)</f>
        <v>1224000000</v>
      </c>
      <c r="F2773" s="114">
        <v>61543588793.150002</v>
      </c>
      <c r="G2773" s="127">
        <f t="shared" ref="G2773:G2835" si="54">+E2773/F2773*100</f>
        <v>1.9888342945256308</v>
      </c>
      <c r="H2773" s="120"/>
      <c r="I2773" s="120"/>
      <c r="J2773" s="121"/>
      <c r="K2773" s="121"/>
      <c r="L2773" s="121"/>
      <c r="M2773" s="121"/>
      <c r="N2773" s="121"/>
      <c r="O2773" s="121"/>
      <c r="P2773" s="121"/>
    </row>
    <row r="2774" spans="2:16" s="108" customFormat="1" ht="21.75" hidden="1" customHeight="1">
      <c r="B2774" s="109"/>
      <c r="C2774" s="122"/>
      <c r="D2774" s="242" t="s">
        <v>2016</v>
      </c>
      <c r="E2774" s="696">
        <v>1224000000</v>
      </c>
      <c r="F2774" s="134">
        <v>61543588793.150002</v>
      </c>
      <c r="G2774" s="126">
        <f t="shared" si="54"/>
        <v>1.9888342945256308</v>
      </c>
      <c r="H2774" s="120"/>
      <c r="I2774" s="120"/>
      <c r="J2774" s="116"/>
      <c r="K2774" s="116"/>
      <c r="L2774" s="116"/>
      <c r="M2774" s="116"/>
      <c r="N2774" s="116"/>
      <c r="O2774" s="116"/>
      <c r="P2774" s="116"/>
    </row>
    <row r="2775" spans="2:16" s="117" customFormat="1" ht="21.75" hidden="1" customHeight="1">
      <c r="B2775" s="118"/>
      <c r="C2775" s="110"/>
      <c r="D2775" s="150" t="s">
        <v>2017</v>
      </c>
      <c r="E2775" s="693">
        <f>E2776+E2777</f>
        <v>990161000</v>
      </c>
      <c r="F2775" s="114">
        <v>61543588793.150002</v>
      </c>
      <c r="G2775" s="127">
        <f t="shared" si="54"/>
        <v>1.6088775767171513</v>
      </c>
      <c r="H2775" s="120"/>
      <c r="I2775" s="120"/>
      <c r="J2775" s="121"/>
      <c r="K2775" s="121"/>
      <c r="L2775" s="121"/>
      <c r="M2775" s="121"/>
      <c r="N2775" s="121"/>
      <c r="O2775" s="121"/>
      <c r="P2775" s="121"/>
    </row>
    <row r="2776" spans="2:16" s="108" customFormat="1" ht="34.5" hidden="1" customHeight="1">
      <c r="B2776" s="109"/>
      <c r="C2776" s="122"/>
      <c r="D2776" s="242" t="s">
        <v>2018</v>
      </c>
      <c r="E2776" s="723">
        <v>690161000</v>
      </c>
      <c r="F2776" s="134">
        <v>61543588793.150002</v>
      </c>
      <c r="G2776" s="126">
        <f t="shared" si="54"/>
        <v>1.1214181908040064</v>
      </c>
      <c r="H2776" s="120"/>
      <c r="I2776" s="120"/>
      <c r="J2776" s="116"/>
      <c r="K2776" s="116"/>
      <c r="L2776" s="116"/>
      <c r="M2776" s="116"/>
      <c r="N2776" s="116"/>
      <c r="O2776" s="116"/>
      <c r="P2776" s="116"/>
    </row>
    <row r="2777" spans="2:16" s="117" customFormat="1" ht="21.75" hidden="1" customHeight="1">
      <c r="B2777" s="118"/>
      <c r="C2777" s="110"/>
      <c r="D2777" s="242" t="s">
        <v>1388</v>
      </c>
      <c r="E2777" s="723">
        <v>300000000</v>
      </c>
      <c r="F2777" s="114">
        <v>61543588793.150002</v>
      </c>
      <c r="G2777" s="127">
        <f t="shared" si="54"/>
        <v>0.4874593859131448</v>
      </c>
      <c r="H2777" s="120"/>
      <c r="I2777" s="120"/>
      <c r="J2777" s="121"/>
      <c r="K2777" s="121"/>
      <c r="L2777" s="121"/>
      <c r="M2777" s="121"/>
      <c r="N2777" s="121"/>
      <c r="O2777" s="121"/>
      <c r="P2777" s="121"/>
    </row>
    <row r="2778" spans="2:16" s="117" customFormat="1" ht="21.75" hidden="1" customHeight="1">
      <c r="B2778" s="118"/>
      <c r="C2778" s="110"/>
      <c r="D2778" s="150" t="s">
        <v>2019</v>
      </c>
      <c r="E2778" s="796">
        <f>E2779+E2780</f>
        <v>6271245000</v>
      </c>
      <c r="F2778" s="114">
        <v>61543588793.150002</v>
      </c>
      <c r="G2778" s="127">
        <f t="shared" si="54"/>
        <v>10.189924122036267</v>
      </c>
      <c r="H2778" s="120"/>
      <c r="I2778" s="120"/>
      <c r="J2778" s="121"/>
      <c r="K2778" s="121"/>
      <c r="L2778" s="121"/>
      <c r="M2778" s="121"/>
      <c r="N2778" s="121"/>
      <c r="O2778" s="121"/>
      <c r="P2778" s="121"/>
    </row>
    <row r="2779" spans="2:16" s="117" customFormat="1" ht="35.25" hidden="1" customHeight="1">
      <c r="B2779" s="118"/>
      <c r="C2779" s="110"/>
      <c r="D2779" s="243" t="s">
        <v>2020</v>
      </c>
      <c r="E2779" s="723">
        <v>403245000</v>
      </c>
      <c r="F2779" s="114">
        <v>61543588793.150002</v>
      </c>
      <c r="G2779" s="127">
        <f t="shared" si="54"/>
        <v>0.65521853357515358</v>
      </c>
      <c r="H2779" s="120"/>
      <c r="I2779" s="120"/>
      <c r="J2779" s="121"/>
      <c r="K2779" s="121"/>
      <c r="L2779" s="121"/>
      <c r="M2779" s="121"/>
      <c r="N2779" s="121"/>
      <c r="O2779" s="121"/>
      <c r="P2779" s="121"/>
    </row>
    <row r="2780" spans="2:16" s="108" customFormat="1" ht="21.75" hidden="1" customHeight="1">
      <c r="B2780" s="109"/>
      <c r="C2780" s="122"/>
      <c r="D2780" s="243" t="s">
        <v>2021</v>
      </c>
      <c r="E2780" s="723">
        <v>5868000000</v>
      </c>
      <c r="F2780" s="134">
        <v>61543588793.150002</v>
      </c>
      <c r="G2780" s="126">
        <f t="shared" si="54"/>
        <v>9.5347055884611116</v>
      </c>
      <c r="H2780" s="120"/>
      <c r="I2780" s="120"/>
      <c r="J2780" s="116"/>
      <c r="K2780" s="116"/>
      <c r="L2780" s="116"/>
      <c r="M2780" s="116"/>
      <c r="N2780" s="116"/>
      <c r="O2780" s="116"/>
      <c r="P2780" s="116"/>
    </row>
    <row r="2781" spans="2:16" s="117" customFormat="1" ht="21.75" hidden="1" customHeight="1">
      <c r="B2781" s="118"/>
      <c r="C2781" s="110"/>
      <c r="D2781" s="150" t="s">
        <v>2022</v>
      </c>
      <c r="E2781" s="796">
        <f>E2782+E2783</f>
        <v>1930575638.1500001</v>
      </c>
      <c r="F2781" s="114">
        <v>61543588793.150002</v>
      </c>
      <c r="G2781" s="127">
        <f t="shared" si="54"/>
        <v>3.1369240501049225</v>
      </c>
      <c r="H2781" s="120"/>
      <c r="I2781" s="120"/>
      <c r="J2781" s="121"/>
      <c r="K2781" s="121"/>
      <c r="L2781" s="121"/>
      <c r="M2781" s="121"/>
      <c r="N2781" s="121"/>
      <c r="O2781" s="121"/>
      <c r="P2781" s="121"/>
    </row>
    <row r="2782" spans="2:16" s="108" customFormat="1" ht="21.75" hidden="1" customHeight="1">
      <c r="B2782" s="109"/>
      <c r="C2782" s="122"/>
      <c r="D2782" s="243" t="s">
        <v>2023</v>
      </c>
      <c r="E2782" s="723">
        <v>1327575638.1500001</v>
      </c>
      <c r="F2782" s="134">
        <v>61543588793.150002</v>
      </c>
      <c r="G2782" s="126">
        <f t="shared" si="54"/>
        <v>2.1571306844195011</v>
      </c>
      <c r="H2782" s="120"/>
      <c r="I2782" s="120"/>
      <c r="J2782" s="116"/>
      <c r="K2782" s="116"/>
      <c r="L2782" s="116"/>
      <c r="M2782" s="116"/>
      <c r="N2782" s="116"/>
      <c r="O2782" s="116"/>
      <c r="P2782" s="116"/>
    </row>
    <row r="2783" spans="2:16" s="108" customFormat="1" ht="34.5" hidden="1" customHeight="1">
      <c r="B2783" s="109"/>
      <c r="C2783" s="122"/>
      <c r="D2783" s="243" t="s">
        <v>1874</v>
      </c>
      <c r="E2783" s="723">
        <v>603000000</v>
      </c>
      <c r="F2783" s="134">
        <v>61543588793.150002</v>
      </c>
      <c r="G2783" s="126">
        <f t="shared" si="54"/>
        <v>0.97979336568542097</v>
      </c>
      <c r="H2783" s="120"/>
      <c r="I2783" s="120"/>
      <c r="J2783" s="116"/>
      <c r="K2783" s="116"/>
      <c r="L2783" s="116"/>
      <c r="M2783" s="116"/>
      <c r="N2783" s="116"/>
      <c r="O2783" s="116"/>
      <c r="P2783" s="116"/>
    </row>
    <row r="2784" spans="2:16" s="117" customFormat="1" ht="21.75" hidden="1" customHeight="1">
      <c r="B2784" s="118"/>
      <c r="C2784" s="110"/>
      <c r="D2784" s="150" t="s">
        <v>2024</v>
      </c>
      <c r="E2784" s="693">
        <f>SUM(E2785:E2787)</f>
        <v>2771939000</v>
      </c>
      <c r="F2784" s="114">
        <v>61543588793.150002</v>
      </c>
      <c r="G2784" s="127">
        <f t="shared" si="54"/>
        <v>4.5040256090956552</v>
      </c>
      <c r="H2784" s="120"/>
      <c r="I2784" s="120"/>
      <c r="J2784" s="121"/>
      <c r="K2784" s="121"/>
      <c r="L2784" s="121"/>
      <c r="M2784" s="121"/>
      <c r="N2784" s="121"/>
      <c r="O2784" s="121"/>
      <c r="P2784" s="121"/>
    </row>
    <row r="2785" spans="2:16" s="108" customFormat="1" ht="21.75" hidden="1" customHeight="1">
      <c r="B2785" s="109"/>
      <c r="C2785" s="122"/>
      <c r="D2785" s="242" t="s">
        <v>2025</v>
      </c>
      <c r="E2785" s="696">
        <v>487970000</v>
      </c>
      <c r="F2785" s="134">
        <v>61543588793.150002</v>
      </c>
      <c r="G2785" s="126">
        <f t="shared" si="54"/>
        <v>0.79288518848012413</v>
      </c>
      <c r="H2785" s="120"/>
      <c r="I2785" s="120"/>
      <c r="J2785" s="116"/>
      <c r="K2785" s="116"/>
      <c r="L2785" s="116"/>
      <c r="M2785" s="116"/>
      <c r="N2785" s="116"/>
      <c r="O2785" s="116"/>
      <c r="P2785" s="116"/>
    </row>
    <row r="2786" spans="2:16" s="108" customFormat="1" ht="21.75" hidden="1" customHeight="1">
      <c r="B2786" s="109"/>
      <c r="C2786" s="122"/>
      <c r="D2786" s="242" t="s">
        <v>2026</v>
      </c>
      <c r="E2786" s="696">
        <v>555969000</v>
      </c>
      <c r="F2786" s="134">
        <v>61543588793.150002</v>
      </c>
      <c r="G2786" s="126">
        <f t="shared" si="54"/>
        <v>0.90337435775581731</v>
      </c>
      <c r="H2786" s="120"/>
      <c r="I2786" s="120"/>
      <c r="J2786" s="116"/>
      <c r="K2786" s="116"/>
      <c r="L2786" s="116"/>
      <c r="M2786" s="116"/>
      <c r="N2786" s="116"/>
      <c r="O2786" s="116"/>
      <c r="P2786" s="116"/>
    </row>
    <row r="2787" spans="2:16" s="108" customFormat="1" ht="21.75" hidden="1" customHeight="1">
      <c r="B2787" s="109"/>
      <c r="C2787" s="122"/>
      <c r="D2787" s="242" t="s">
        <v>667</v>
      </c>
      <c r="E2787" s="696">
        <v>1728000000</v>
      </c>
      <c r="F2787" s="134">
        <v>61543588793.150002</v>
      </c>
      <c r="G2787" s="126">
        <f t="shared" si="54"/>
        <v>2.8077660628597139</v>
      </c>
      <c r="H2787" s="120"/>
      <c r="I2787" s="120"/>
      <c r="J2787" s="116"/>
      <c r="K2787" s="116"/>
      <c r="L2787" s="116"/>
      <c r="M2787" s="116"/>
      <c r="N2787" s="116"/>
      <c r="O2787" s="116"/>
      <c r="P2787" s="116"/>
    </row>
    <row r="2788" spans="2:16" s="117" customFormat="1" ht="21.75" hidden="1" customHeight="1">
      <c r="B2788" s="118"/>
      <c r="C2788" s="110"/>
      <c r="D2788" s="244" t="s">
        <v>2027</v>
      </c>
      <c r="E2788" s="693">
        <f>SUM(E2789:E2790)</f>
        <v>1529550000</v>
      </c>
      <c r="F2788" s="114">
        <v>61543588793.150002</v>
      </c>
      <c r="G2788" s="127">
        <f t="shared" si="54"/>
        <v>2.4853116790781686</v>
      </c>
      <c r="H2788" s="120"/>
      <c r="I2788" s="120"/>
      <c r="J2788" s="121"/>
      <c r="K2788" s="121"/>
      <c r="L2788" s="121"/>
      <c r="M2788" s="121"/>
      <c r="N2788" s="121"/>
      <c r="O2788" s="121"/>
      <c r="P2788" s="121"/>
    </row>
    <row r="2789" spans="2:16" s="108" customFormat="1" ht="21.75" hidden="1" customHeight="1">
      <c r="B2789" s="109"/>
      <c r="C2789" s="122"/>
      <c r="D2789" s="242" t="s">
        <v>2028</v>
      </c>
      <c r="E2789" s="723">
        <v>125550000</v>
      </c>
      <c r="F2789" s="134">
        <v>61543588793.150002</v>
      </c>
      <c r="G2789" s="126">
        <f t="shared" si="54"/>
        <v>0.20400175300465109</v>
      </c>
      <c r="H2789" s="120"/>
      <c r="I2789" s="120"/>
      <c r="J2789" s="116"/>
      <c r="K2789" s="116"/>
      <c r="L2789" s="116"/>
      <c r="M2789" s="116"/>
      <c r="N2789" s="116"/>
      <c r="O2789" s="116"/>
      <c r="P2789" s="116"/>
    </row>
    <row r="2790" spans="2:16" s="108" customFormat="1" ht="21.75" hidden="1" customHeight="1">
      <c r="B2790" s="109"/>
      <c r="C2790" s="122"/>
      <c r="D2790" s="242" t="s">
        <v>667</v>
      </c>
      <c r="E2790" s="723">
        <v>1404000000</v>
      </c>
      <c r="F2790" s="134">
        <v>61543588793.150002</v>
      </c>
      <c r="G2790" s="126">
        <f t="shared" si="54"/>
        <v>2.2813099260735177</v>
      </c>
      <c r="H2790" s="120"/>
      <c r="I2790" s="120"/>
      <c r="J2790" s="116"/>
      <c r="K2790" s="116"/>
      <c r="L2790" s="116"/>
      <c r="M2790" s="116"/>
      <c r="N2790" s="116"/>
      <c r="O2790" s="116"/>
      <c r="P2790" s="116"/>
    </row>
    <row r="2791" spans="2:16" s="117" customFormat="1" ht="21.75" hidden="1" customHeight="1">
      <c r="B2791" s="118"/>
      <c r="C2791" s="110"/>
      <c r="D2791" s="242"/>
      <c r="E2791" s="723"/>
      <c r="F2791" s="114"/>
      <c r="G2791" s="127"/>
      <c r="H2791" s="120"/>
      <c r="I2791" s="120"/>
      <c r="J2791" s="121"/>
      <c r="K2791" s="121"/>
      <c r="L2791" s="121"/>
      <c r="M2791" s="121"/>
      <c r="N2791" s="121"/>
      <c r="O2791" s="121"/>
      <c r="P2791" s="121"/>
    </row>
    <row r="2792" spans="2:16" s="117" customFormat="1" ht="21.75" hidden="1" customHeight="1">
      <c r="B2792" s="118"/>
      <c r="C2792" s="110"/>
      <c r="D2792" s="245" t="s">
        <v>563</v>
      </c>
      <c r="E2792" s="724">
        <f>+E2793</f>
        <v>4260000000</v>
      </c>
      <c r="F2792" s="114">
        <v>61543588793.150002</v>
      </c>
      <c r="G2792" s="127">
        <f t="shared" si="54"/>
        <v>6.9219232799666557</v>
      </c>
      <c r="H2792" s="120"/>
      <c r="I2792" s="120"/>
      <c r="J2792" s="121"/>
      <c r="K2792" s="121"/>
      <c r="L2792" s="121"/>
      <c r="M2792" s="121"/>
      <c r="N2792" s="121"/>
      <c r="O2792" s="121"/>
      <c r="P2792" s="121"/>
    </row>
    <row r="2793" spans="2:16" s="117" customFormat="1" ht="21.75" hidden="1" customHeight="1">
      <c r="B2793" s="118"/>
      <c r="C2793" s="110"/>
      <c r="D2793" s="245" t="s">
        <v>2029</v>
      </c>
      <c r="E2793" s="693">
        <f>SUM(E2794:E2794)</f>
        <v>4260000000</v>
      </c>
      <c r="F2793" s="114">
        <v>61543588793.150002</v>
      </c>
      <c r="G2793" s="127">
        <f t="shared" si="54"/>
        <v>6.9219232799666557</v>
      </c>
      <c r="H2793" s="120"/>
      <c r="I2793" s="120"/>
      <c r="J2793" s="121"/>
      <c r="K2793" s="121"/>
      <c r="L2793" s="121"/>
      <c r="M2793" s="121"/>
      <c r="N2793" s="121"/>
      <c r="O2793" s="121"/>
      <c r="P2793" s="121"/>
    </row>
    <row r="2794" spans="2:16" s="117" customFormat="1" ht="21.75" hidden="1" customHeight="1">
      <c r="B2794" s="118"/>
      <c r="C2794" s="110"/>
      <c r="D2794" s="242" t="s">
        <v>2029</v>
      </c>
      <c r="E2794" s="723">
        <v>4260000000</v>
      </c>
      <c r="F2794" s="114">
        <v>61543588793.150002</v>
      </c>
      <c r="G2794" s="127">
        <f t="shared" si="54"/>
        <v>6.9219232799666557</v>
      </c>
      <c r="H2794" s="120"/>
      <c r="I2794" s="120"/>
      <c r="J2794" s="121"/>
      <c r="K2794" s="121"/>
      <c r="L2794" s="121"/>
      <c r="M2794" s="121"/>
      <c r="N2794" s="121"/>
      <c r="O2794" s="121"/>
      <c r="P2794" s="121"/>
    </row>
    <row r="2795" spans="2:16" s="108" customFormat="1" ht="21.75" hidden="1" customHeight="1">
      <c r="B2795" s="109"/>
      <c r="C2795" s="122"/>
      <c r="D2795" s="242"/>
      <c r="E2795" s="723"/>
      <c r="F2795" s="134"/>
      <c r="G2795" s="126"/>
      <c r="H2795" s="120"/>
      <c r="I2795" s="120"/>
      <c r="J2795" s="116"/>
      <c r="K2795" s="116"/>
      <c r="L2795" s="116"/>
      <c r="M2795" s="116"/>
      <c r="N2795" s="116"/>
      <c r="O2795" s="116"/>
      <c r="P2795" s="116"/>
    </row>
    <row r="2796" spans="2:16" s="117" customFormat="1" ht="21.75" hidden="1" customHeight="1">
      <c r="B2796" s="118"/>
      <c r="C2796" s="110"/>
      <c r="D2796" s="245" t="s">
        <v>161</v>
      </c>
      <c r="E2796" s="724">
        <f>+E2797+E2799+E2802+E2804+E2806+E2809+E2811</f>
        <v>10901218000</v>
      </c>
      <c r="F2796" s="114">
        <v>61543588793.150002</v>
      </c>
      <c r="G2796" s="127">
        <f t="shared" si="54"/>
        <v>17.71300343995107</v>
      </c>
      <c r="H2796" s="120"/>
      <c r="I2796" s="120"/>
      <c r="J2796" s="121"/>
      <c r="K2796" s="121"/>
      <c r="L2796" s="121"/>
      <c r="M2796" s="121"/>
      <c r="N2796" s="121"/>
      <c r="O2796" s="121"/>
      <c r="P2796" s="121"/>
    </row>
    <row r="2797" spans="2:16" s="117" customFormat="1" ht="21.75" hidden="1" customHeight="1">
      <c r="B2797" s="118"/>
      <c r="C2797" s="110"/>
      <c r="D2797" s="245" t="s">
        <v>162</v>
      </c>
      <c r="E2797" s="796">
        <f>E2798</f>
        <v>213000000</v>
      </c>
      <c r="F2797" s="114">
        <v>61543588793.150002</v>
      </c>
      <c r="G2797" s="127">
        <f t="shared" si="54"/>
        <v>0.34609616399833276</v>
      </c>
      <c r="H2797" s="120"/>
      <c r="I2797" s="120"/>
      <c r="J2797" s="121"/>
      <c r="K2797" s="121"/>
      <c r="L2797" s="121"/>
      <c r="M2797" s="121"/>
      <c r="N2797" s="121"/>
      <c r="O2797" s="121"/>
      <c r="P2797" s="121"/>
    </row>
    <row r="2798" spans="2:16" s="117" customFormat="1" ht="21.75" hidden="1" customHeight="1">
      <c r="B2798" s="118"/>
      <c r="C2798" s="110"/>
      <c r="D2798" s="242" t="s">
        <v>2030</v>
      </c>
      <c r="E2798" s="723">
        <v>213000000</v>
      </c>
      <c r="F2798" s="114">
        <v>61543588793.150002</v>
      </c>
      <c r="G2798" s="127">
        <f t="shared" si="54"/>
        <v>0.34609616399833276</v>
      </c>
      <c r="H2798" s="120"/>
      <c r="I2798" s="120"/>
      <c r="J2798" s="121"/>
      <c r="K2798" s="121"/>
      <c r="L2798" s="121"/>
      <c r="M2798" s="121"/>
      <c r="N2798" s="121"/>
      <c r="O2798" s="121"/>
      <c r="P2798" s="121"/>
    </row>
    <row r="2799" spans="2:16" s="117" customFormat="1" ht="21.75" hidden="1" customHeight="1">
      <c r="B2799" s="118"/>
      <c r="C2799" s="110"/>
      <c r="D2799" s="245" t="s">
        <v>173</v>
      </c>
      <c r="E2799" s="796">
        <f>SUM(E2800:E2801)</f>
        <v>6851400000</v>
      </c>
      <c r="F2799" s="114">
        <v>61543588793.150002</v>
      </c>
      <c r="G2799" s="127">
        <f t="shared" si="54"/>
        <v>11.132597455484401</v>
      </c>
      <c r="H2799" s="120"/>
      <c r="I2799" s="120"/>
      <c r="J2799" s="121"/>
      <c r="K2799" s="121"/>
      <c r="L2799" s="121"/>
      <c r="M2799" s="121"/>
      <c r="N2799" s="121"/>
      <c r="O2799" s="121"/>
      <c r="P2799" s="121"/>
    </row>
    <row r="2800" spans="2:16" s="108" customFormat="1" ht="21.75" hidden="1" customHeight="1">
      <c r="B2800" s="109"/>
      <c r="C2800" s="122"/>
      <c r="D2800" s="242" t="s">
        <v>2031</v>
      </c>
      <c r="E2800" s="723">
        <v>6800400000</v>
      </c>
      <c r="F2800" s="134">
        <v>61543588793.150002</v>
      </c>
      <c r="G2800" s="126">
        <f t="shared" si="54"/>
        <v>11.049729359879166</v>
      </c>
      <c r="H2800" s="120"/>
      <c r="I2800" s="120"/>
      <c r="J2800" s="116"/>
      <c r="K2800" s="116"/>
      <c r="L2800" s="116"/>
      <c r="M2800" s="116"/>
      <c r="N2800" s="116"/>
      <c r="O2800" s="116"/>
      <c r="P2800" s="116"/>
    </row>
    <row r="2801" spans="2:16" s="108" customFormat="1" ht="34.5" hidden="1" customHeight="1">
      <c r="B2801" s="109"/>
      <c r="C2801" s="122"/>
      <c r="D2801" s="242" t="s">
        <v>2032</v>
      </c>
      <c r="E2801" s="723">
        <v>51000000</v>
      </c>
      <c r="F2801" s="134">
        <v>61543588793.150002</v>
      </c>
      <c r="G2801" s="126">
        <f t="shared" si="54"/>
        <v>8.2868095605234615E-2</v>
      </c>
      <c r="H2801" s="120"/>
      <c r="I2801" s="120"/>
      <c r="J2801" s="116"/>
      <c r="K2801" s="116"/>
      <c r="L2801" s="116"/>
      <c r="M2801" s="116"/>
      <c r="N2801" s="116"/>
      <c r="O2801" s="116"/>
      <c r="P2801" s="116"/>
    </row>
    <row r="2802" spans="2:16" s="117" customFormat="1" ht="21.75" hidden="1" customHeight="1">
      <c r="B2802" s="118"/>
      <c r="C2802" s="110"/>
      <c r="D2802" s="241" t="s">
        <v>1171</v>
      </c>
      <c r="E2802" s="796">
        <f>E2803</f>
        <v>2456400000</v>
      </c>
      <c r="F2802" s="114">
        <v>61543588793.150002</v>
      </c>
      <c r="G2802" s="127">
        <f t="shared" si="54"/>
        <v>3.9913174518568297</v>
      </c>
      <c r="H2802" s="120"/>
      <c r="I2802" s="120"/>
      <c r="J2802" s="121"/>
      <c r="K2802" s="121"/>
      <c r="L2802" s="121"/>
      <c r="M2802" s="121"/>
      <c r="N2802" s="121"/>
      <c r="O2802" s="121"/>
      <c r="P2802" s="121"/>
    </row>
    <row r="2803" spans="2:16" s="117" customFormat="1" ht="21.75" hidden="1" customHeight="1">
      <c r="B2803" s="118"/>
      <c r="C2803" s="110"/>
      <c r="D2803" s="242" t="s">
        <v>1496</v>
      </c>
      <c r="E2803" s="723">
        <v>2456400000</v>
      </c>
      <c r="F2803" s="114">
        <v>61543588793.150002</v>
      </c>
      <c r="G2803" s="127">
        <f t="shared" si="54"/>
        <v>3.9913174518568297</v>
      </c>
      <c r="H2803" s="120"/>
      <c r="I2803" s="120"/>
      <c r="J2803" s="121"/>
      <c r="K2803" s="121"/>
      <c r="L2803" s="121"/>
      <c r="M2803" s="121"/>
      <c r="N2803" s="121"/>
      <c r="O2803" s="121"/>
      <c r="P2803" s="121"/>
    </row>
    <row r="2804" spans="2:16" s="117" customFormat="1" ht="21.75" hidden="1" customHeight="1">
      <c r="B2804" s="118"/>
      <c r="C2804" s="110"/>
      <c r="D2804" s="245" t="s">
        <v>1878</v>
      </c>
      <c r="E2804" s="796">
        <f>E2805</f>
        <v>317280000</v>
      </c>
      <c r="F2804" s="114">
        <v>61543588793.150002</v>
      </c>
      <c r="G2804" s="127">
        <f t="shared" si="54"/>
        <v>0.51553704654174193</v>
      </c>
      <c r="H2804" s="120"/>
      <c r="I2804" s="120"/>
      <c r="J2804" s="121"/>
      <c r="K2804" s="121"/>
      <c r="L2804" s="121"/>
      <c r="M2804" s="121"/>
      <c r="N2804" s="121"/>
      <c r="O2804" s="121"/>
      <c r="P2804" s="121"/>
    </row>
    <row r="2805" spans="2:16" s="117" customFormat="1" ht="21.75" hidden="1" customHeight="1">
      <c r="B2805" s="118"/>
      <c r="C2805" s="110"/>
      <c r="D2805" s="242" t="s">
        <v>1879</v>
      </c>
      <c r="E2805" s="723">
        <v>317280000</v>
      </c>
      <c r="F2805" s="114">
        <v>61543588793.150002</v>
      </c>
      <c r="G2805" s="127">
        <f t="shared" si="54"/>
        <v>0.51553704654174193</v>
      </c>
      <c r="H2805" s="120"/>
      <c r="I2805" s="120"/>
      <c r="J2805" s="121"/>
      <c r="K2805" s="121"/>
      <c r="L2805" s="121"/>
      <c r="M2805" s="121"/>
      <c r="N2805" s="121"/>
      <c r="O2805" s="121"/>
      <c r="P2805" s="121"/>
    </row>
    <row r="2806" spans="2:16" s="117" customFormat="1" ht="21.75" hidden="1" customHeight="1">
      <c r="B2806" s="118"/>
      <c r="C2806" s="110"/>
      <c r="D2806" s="245" t="s">
        <v>2033</v>
      </c>
      <c r="E2806" s="796">
        <f>E2807+E2808</f>
        <v>656306000</v>
      </c>
      <c r="F2806" s="114">
        <v>61543588793.150002</v>
      </c>
      <c r="G2806" s="127">
        <f t="shared" si="54"/>
        <v>1.0664083991037081</v>
      </c>
      <c r="H2806" s="120"/>
      <c r="I2806" s="120"/>
      <c r="J2806" s="121"/>
      <c r="K2806" s="121"/>
      <c r="L2806" s="121"/>
      <c r="M2806" s="121"/>
      <c r="N2806" s="121"/>
      <c r="O2806" s="121"/>
      <c r="P2806" s="121"/>
    </row>
    <row r="2807" spans="2:16" s="108" customFormat="1" ht="37.5" hidden="1" customHeight="1">
      <c r="B2807" s="109"/>
      <c r="C2807" s="122"/>
      <c r="D2807" s="242" t="s">
        <v>2034</v>
      </c>
      <c r="E2807" s="723">
        <v>433306000</v>
      </c>
      <c r="F2807" s="134">
        <v>61543588793.150002</v>
      </c>
      <c r="G2807" s="126">
        <f t="shared" si="54"/>
        <v>0.70406358890827037</v>
      </c>
      <c r="H2807" s="120"/>
      <c r="I2807" s="120"/>
      <c r="J2807" s="116"/>
      <c r="K2807" s="116"/>
      <c r="L2807" s="116"/>
      <c r="M2807" s="116"/>
      <c r="N2807" s="116"/>
      <c r="O2807" s="116"/>
      <c r="P2807" s="116"/>
    </row>
    <row r="2808" spans="2:16" s="108" customFormat="1" ht="34.5" hidden="1" customHeight="1">
      <c r="B2808" s="109"/>
      <c r="C2808" s="122"/>
      <c r="D2808" s="242" t="s">
        <v>2035</v>
      </c>
      <c r="E2808" s="723">
        <v>223000000</v>
      </c>
      <c r="F2808" s="134"/>
      <c r="G2808" s="126"/>
      <c r="H2808" s="120"/>
      <c r="I2808" s="120"/>
      <c r="J2808" s="116"/>
      <c r="K2808" s="116"/>
      <c r="L2808" s="116"/>
      <c r="M2808" s="116"/>
      <c r="N2808" s="116"/>
      <c r="O2808" s="116"/>
      <c r="P2808" s="116"/>
    </row>
    <row r="2809" spans="2:16" s="117" customFormat="1" ht="21.75" hidden="1" customHeight="1">
      <c r="B2809" s="118"/>
      <c r="C2809" s="110"/>
      <c r="D2809" s="245" t="s">
        <v>1501</v>
      </c>
      <c r="E2809" s="796">
        <f>E2810</f>
        <v>260512000</v>
      </c>
      <c r="F2809" s="114">
        <v>61543588793.150002</v>
      </c>
      <c r="G2809" s="127">
        <f t="shared" si="54"/>
        <v>0.42329673181001726</v>
      </c>
      <c r="H2809" s="120"/>
      <c r="I2809" s="120"/>
      <c r="J2809" s="121"/>
      <c r="K2809" s="121"/>
      <c r="L2809" s="121"/>
      <c r="M2809" s="121"/>
      <c r="N2809" s="121"/>
      <c r="O2809" s="121"/>
      <c r="P2809" s="121"/>
    </row>
    <row r="2810" spans="2:16" s="108" customFormat="1" ht="34.5" hidden="1" customHeight="1">
      <c r="B2810" s="109"/>
      <c r="C2810" s="122"/>
      <c r="D2810" s="242" t="s">
        <v>2036</v>
      </c>
      <c r="E2810" s="723">
        <v>260512000</v>
      </c>
      <c r="F2810" s="134">
        <v>61543588793.150002</v>
      </c>
      <c r="G2810" s="126">
        <f t="shared" si="54"/>
        <v>0.42329673181001726</v>
      </c>
      <c r="H2810" s="120"/>
      <c r="I2810" s="120"/>
      <c r="J2810" s="116"/>
      <c r="K2810" s="116"/>
      <c r="L2810" s="116"/>
      <c r="M2810" s="116"/>
      <c r="N2810" s="116"/>
      <c r="O2810" s="116"/>
      <c r="P2810" s="116"/>
    </row>
    <row r="2811" spans="2:16" s="117" customFormat="1" ht="21.75" hidden="1" customHeight="1">
      <c r="B2811" s="118"/>
      <c r="C2811" s="110"/>
      <c r="D2811" s="245" t="s">
        <v>877</v>
      </c>
      <c r="E2811" s="796">
        <f>E2812</f>
        <v>146320000</v>
      </c>
      <c r="F2811" s="114">
        <v>61543588793.150002</v>
      </c>
      <c r="G2811" s="127">
        <f t="shared" si="54"/>
        <v>0.23775019115603782</v>
      </c>
      <c r="H2811" s="120"/>
      <c r="I2811" s="120"/>
      <c r="J2811" s="121"/>
      <c r="K2811" s="121"/>
      <c r="L2811" s="121"/>
      <c r="M2811" s="121"/>
      <c r="N2811" s="121"/>
      <c r="O2811" s="121"/>
      <c r="P2811" s="121"/>
    </row>
    <row r="2812" spans="2:16" s="117" customFormat="1" ht="21.75" hidden="1" customHeight="1">
      <c r="B2812" s="118"/>
      <c r="C2812" s="110"/>
      <c r="D2812" s="242" t="s">
        <v>2037</v>
      </c>
      <c r="E2812" s="797">
        <v>146320000</v>
      </c>
      <c r="F2812" s="114">
        <v>61543588793.150002</v>
      </c>
      <c r="G2812" s="127">
        <f t="shared" si="54"/>
        <v>0.23775019115603782</v>
      </c>
      <c r="H2812" s="120"/>
      <c r="I2812" s="120"/>
      <c r="J2812" s="121"/>
      <c r="K2812" s="121"/>
      <c r="L2812" s="121"/>
      <c r="M2812" s="121"/>
      <c r="N2812" s="121"/>
      <c r="O2812" s="121"/>
      <c r="P2812" s="121"/>
    </row>
    <row r="2813" spans="2:16" s="108" customFormat="1" ht="21.75" hidden="1" customHeight="1">
      <c r="B2813" s="109"/>
      <c r="C2813" s="122"/>
      <c r="D2813" s="242"/>
      <c r="E2813" s="723"/>
      <c r="F2813" s="134"/>
      <c r="G2813" s="126"/>
      <c r="H2813" s="120"/>
      <c r="I2813" s="120"/>
      <c r="J2813" s="116"/>
      <c r="K2813" s="116"/>
      <c r="L2813" s="116"/>
      <c r="M2813" s="116"/>
      <c r="N2813" s="116"/>
      <c r="O2813" s="116"/>
      <c r="P2813" s="116"/>
    </row>
    <row r="2814" spans="2:16" s="117" customFormat="1" ht="21.75" hidden="1" customHeight="1">
      <c r="B2814" s="118"/>
      <c r="C2814" s="110"/>
      <c r="D2814" s="245" t="s">
        <v>2038</v>
      </c>
      <c r="E2814" s="724">
        <f>E2815</f>
        <v>8806648000</v>
      </c>
      <c r="F2814" s="114">
        <v>61543588793.150002</v>
      </c>
      <c r="G2814" s="127">
        <f t="shared" si="54"/>
        <v>14.309610753444083</v>
      </c>
      <c r="H2814" s="120"/>
      <c r="I2814" s="120"/>
      <c r="J2814" s="121"/>
      <c r="K2814" s="121"/>
      <c r="L2814" s="121"/>
      <c r="M2814" s="121"/>
      <c r="N2814" s="121"/>
      <c r="O2814" s="121"/>
      <c r="P2814" s="121"/>
    </row>
    <row r="2815" spans="2:16" s="117" customFormat="1" ht="21.75" hidden="1" customHeight="1">
      <c r="B2815" s="118"/>
      <c r="C2815" s="110"/>
      <c r="D2815" s="245" t="s">
        <v>2039</v>
      </c>
      <c r="E2815" s="796">
        <f>E2816+E2817</f>
        <v>8806648000</v>
      </c>
      <c r="F2815" s="114">
        <v>61543588793.150002</v>
      </c>
      <c r="G2815" s="127">
        <f t="shared" si="54"/>
        <v>14.309610753444083</v>
      </c>
      <c r="H2815" s="120"/>
      <c r="I2815" s="120"/>
      <c r="J2815" s="121"/>
      <c r="K2815" s="121"/>
      <c r="L2815" s="121"/>
      <c r="M2815" s="121"/>
      <c r="N2815" s="121"/>
      <c r="O2815" s="121"/>
      <c r="P2815" s="121"/>
    </row>
    <row r="2816" spans="2:16" s="108" customFormat="1" ht="21.75" hidden="1" customHeight="1">
      <c r="B2816" s="109"/>
      <c r="C2816" s="122"/>
      <c r="D2816" s="242" t="s">
        <v>1946</v>
      </c>
      <c r="E2816" s="723">
        <v>6700000000</v>
      </c>
      <c r="F2816" s="134">
        <v>61543588793.150002</v>
      </c>
      <c r="G2816" s="126">
        <f t="shared" si="54"/>
        <v>10.886592952060234</v>
      </c>
      <c r="H2816" s="120"/>
      <c r="I2816" s="120"/>
      <c r="J2816" s="116"/>
      <c r="K2816" s="116"/>
      <c r="L2816" s="116"/>
      <c r="M2816" s="116"/>
      <c r="N2816" s="116"/>
      <c r="O2816" s="116"/>
      <c r="P2816" s="116"/>
    </row>
    <row r="2817" spans="2:16" s="108" customFormat="1" ht="21.75" hidden="1" customHeight="1">
      <c r="B2817" s="109"/>
      <c r="C2817" s="122"/>
      <c r="D2817" s="242" t="s">
        <v>2040</v>
      </c>
      <c r="E2817" s="723">
        <v>2106648000</v>
      </c>
      <c r="F2817" s="134">
        <v>61543588793.150002</v>
      </c>
      <c r="G2817" s="126">
        <f t="shared" si="54"/>
        <v>3.4230178013838488</v>
      </c>
      <c r="H2817" s="120"/>
      <c r="I2817" s="120"/>
      <c r="J2817" s="116"/>
      <c r="K2817" s="116"/>
      <c r="L2817" s="116"/>
      <c r="M2817" s="116"/>
      <c r="N2817" s="116"/>
      <c r="O2817" s="116"/>
      <c r="P2817" s="116"/>
    </row>
    <row r="2818" spans="2:16" s="117" customFormat="1" ht="21.75" hidden="1" customHeight="1">
      <c r="B2818" s="118"/>
      <c r="C2818" s="110"/>
      <c r="D2818" s="242"/>
      <c r="E2818" s="723"/>
      <c r="F2818" s="114"/>
      <c r="G2818" s="127"/>
      <c r="H2818" s="120"/>
      <c r="I2818" s="120"/>
      <c r="J2818" s="121"/>
      <c r="K2818" s="121"/>
      <c r="L2818" s="121"/>
      <c r="M2818" s="121"/>
      <c r="N2818" s="121"/>
      <c r="O2818" s="121"/>
      <c r="P2818" s="121"/>
    </row>
    <row r="2819" spans="2:16" s="108" customFormat="1" ht="21.75" hidden="1" customHeight="1">
      <c r="B2819" s="109"/>
      <c r="C2819" s="122"/>
      <c r="D2819" s="241" t="s">
        <v>965</v>
      </c>
      <c r="E2819" s="724">
        <f>E2820</f>
        <v>5608717759</v>
      </c>
      <c r="F2819" s="134">
        <v>61543588793.150002</v>
      </c>
      <c r="G2819" s="126">
        <f t="shared" si="54"/>
        <v>9.1134070485409655</v>
      </c>
      <c r="H2819" s="120"/>
      <c r="I2819" s="120"/>
      <c r="J2819" s="116"/>
      <c r="K2819" s="116"/>
      <c r="L2819" s="116"/>
      <c r="M2819" s="116"/>
      <c r="N2819" s="116"/>
      <c r="O2819" s="116"/>
      <c r="P2819" s="116"/>
    </row>
    <row r="2820" spans="2:16" s="117" customFormat="1" ht="21.75" hidden="1" customHeight="1">
      <c r="B2820" s="118"/>
      <c r="C2820" s="110"/>
      <c r="D2820" s="245" t="s">
        <v>498</v>
      </c>
      <c r="E2820" s="796">
        <f>E2821</f>
        <v>5608717759</v>
      </c>
      <c r="F2820" s="114">
        <v>61543588793.150002</v>
      </c>
      <c r="G2820" s="127">
        <f t="shared" si="54"/>
        <v>9.1134070485409655</v>
      </c>
      <c r="H2820" s="120"/>
      <c r="I2820" s="120"/>
      <c r="J2820" s="121"/>
      <c r="K2820" s="121"/>
      <c r="L2820" s="121"/>
      <c r="M2820" s="121"/>
      <c r="N2820" s="121"/>
      <c r="O2820" s="121"/>
      <c r="P2820" s="121"/>
    </row>
    <row r="2821" spans="2:16" s="108" customFormat="1" ht="21.75" hidden="1" customHeight="1">
      <c r="B2821" s="109"/>
      <c r="C2821" s="122"/>
      <c r="D2821" s="242" t="s">
        <v>966</v>
      </c>
      <c r="E2821" s="723">
        <v>5608717759</v>
      </c>
      <c r="F2821" s="134">
        <v>61543588793.150002</v>
      </c>
      <c r="G2821" s="126">
        <f t="shared" si="54"/>
        <v>9.1134070485409655</v>
      </c>
      <c r="H2821" s="120"/>
      <c r="I2821" s="120"/>
      <c r="J2821" s="116"/>
      <c r="K2821" s="116"/>
      <c r="L2821" s="116"/>
      <c r="M2821" s="116"/>
      <c r="N2821" s="116"/>
      <c r="O2821" s="116"/>
      <c r="P2821" s="116"/>
    </row>
    <row r="2822" spans="2:16" s="117" customFormat="1" ht="21.75" hidden="1" customHeight="1">
      <c r="B2822" s="118"/>
      <c r="C2822" s="110"/>
      <c r="D2822" s="242"/>
      <c r="E2822" s="723"/>
      <c r="F2822" s="114">
        <v>61543588793.150002</v>
      </c>
      <c r="G2822" s="127">
        <f t="shared" si="54"/>
        <v>0</v>
      </c>
      <c r="H2822" s="120"/>
      <c r="I2822" s="120"/>
      <c r="J2822" s="121"/>
      <c r="K2822" s="121"/>
      <c r="L2822" s="121"/>
      <c r="M2822" s="121"/>
      <c r="N2822" s="121"/>
      <c r="O2822" s="121"/>
      <c r="P2822" s="121"/>
    </row>
    <row r="2823" spans="2:16" s="117" customFormat="1" ht="21.75" hidden="1" customHeight="1">
      <c r="B2823" s="118"/>
      <c r="C2823" s="110"/>
      <c r="D2823" s="242"/>
      <c r="E2823" s="723"/>
      <c r="F2823" s="114">
        <v>61543588793.150002</v>
      </c>
      <c r="G2823" s="127">
        <f t="shared" si="54"/>
        <v>0</v>
      </c>
      <c r="H2823" s="120"/>
      <c r="I2823" s="120"/>
      <c r="J2823" s="121"/>
      <c r="K2823" s="121"/>
      <c r="L2823" s="121"/>
      <c r="M2823" s="121"/>
      <c r="N2823" s="121"/>
      <c r="O2823" s="121"/>
      <c r="P2823" s="121"/>
    </row>
    <row r="2824" spans="2:16" s="117" customFormat="1" ht="21.75" hidden="1" customHeight="1">
      <c r="B2824" s="118"/>
      <c r="C2824" s="110"/>
      <c r="D2824" s="245" t="s">
        <v>366</v>
      </c>
      <c r="E2824" s="724">
        <f>E2825</f>
        <v>781444000</v>
      </c>
      <c r="F2824" s="114">
        <v>61543588793.150002</v>
      </c>
      <c r="G2824" s="127">
        <f t="shared" si="54"/>
        <v>1.2697407078850385</v>
      </c>
      <c r="H2824" s="120"/>
      <c r="I2824" s="120"/>
      <c r="J2824" s="121"/>
      <c r="K2824" s="121"/>
      <c r="L2824" s="121"/>
      <c r="M2824" s="121"/>
      <c r="N2824" s="121"/>
      <c r="O2824" s="121"/>
      <c r="P2824" s="121"/>
    </row>
    <row r="2825" spans="2:16" s="117" customFormat="1" ht="21.75" hidden="1" customHeight="1">
      <c r="B2825" s="118"/>
      <c r="C2825" s="110"/>
      <c r="D2825" s="245" t="s">
        <v>1460</v>
      </c>
      <c r="E2825" s="796">
        <f>E2826</f>
        <v>781444000</v>
      </c>
      <c r="F2825" s="114">
        <v>61543588793.150002</v>
      </c>
      <c r="G2825" s="127">
        <f t="shared" si="54"/>
        <v>1.2697407078850385</v>
      </c>
      <c r="H2825" s="120"/>
      <c r="I2825" s="120"/>
      <c r="J2825" s="121"/>
      <c r="K2825" s="121"/>
      <c r="L2825" s="121"/>
      <c r="M2825" s="121"/>
      <c r="N2825" s="121"/>
      <c r="O2825" s="121"/>
      <c r="P2825" s="121"/>
    </row>
    <row r="2826" spans="2:16" s="117" customFormat="1" ht="30" hidden="1" customHeight="1">
      <c r="B2826" s="118"/>
      <c r="C2826" s="110"/>
      <c r="D2826" s="242" t="s">
        <v>2041</v>
      </c>
      <c r="E2826" s="723">
        <v>781444000</v>
      </c>
      <c r="F2826" s="114">
        <v>61543588793.150002</v>
      </c>
      <c r="G2826" s="127">
        <f t="shared" si="54"/>
        <v>1.2697407078850385</v>
      </c>
      <c r="H2826" s="120"/>
      <c r="I2826" s="120"/>
      <c r="J2826" s="121"/>
      <c r="K2826" s="121"/>
      <c r="L2826" s="121"/>
      <c r="M2826" s="121"/>
      <c r="N2826" s="121"/>
      <c r="O2826" s="121"/>
      <c r="P2826" s="121"/>
    </row>
    <row r="2827" spans="2:16" s="108" customFormat="1" ht="21.75" hidden="1" customHeight="1">
      <c r="B2827" s="109"/>
      <c r="C2827" s="122"/>
      <c r="D2827" s="242"/>
      <c r="E2827" s="723"/>
      <c r="F2827" s="134"/>
      <c r="G2827" s="126"/>
      <c r="H2827" s="120"/>
      <c r="I2827" s="120"/>
      <c r="J2827" s="116"/>
      <c r="K2827" s="116"/>
      <c r="L2827" s="116"/>
      <c r="M2827" s="116"/>
      <c r="N2827" s="116"/>
      <c r="O2827" s="116"/>
      <c r="P2827" s="116"/>
    </row>
    <row r="2828" spans="2:16" s="117" customFormat="1" ht="21.75" hidden="1" customHeight="1">
      <c r="B2828" s="118"/>
      <c r="C2828" s="110"/>
      <c r="D2828" s="245" t="s">
        <v>363</v>
      </c>
      <c r="E2828" s="724">
        <f>E2829</f>
        <v>449427000</v>
      </c>
      <c r="F2828" s="114">
        <v>61543588793.150002</v>
      </c>
      <c r="G2828" s="127">
        <f t="shared" si="54"/>
        <v>0.73025803144262313</v>
      </c>
      <c r="H2828" s="120"/>
      <c r="I2828" s="120"/>
      <c r="J2828" s="121"/>
      <c r="K2828" s="121"/>
      <c r="L2828" s="121"/>
      <c r="M2828" s="121"/>
      <c r="N2828" s="121"/>
      <c r="O2828" s="121"/>
      <c r="P2828" s="121"/>
    </row>
    <row r="2829" spans="2:16" s="117" customFormat="1" ht="21.75" hidden="1" customHeight="1">
      <c r="B2829" s="118"/>
      <c r="C2829" s="110"/>
      <c r="D2829" s="245" t="s">
        <v>1466</v>
      </c>
      <c r="E2829" s="796">
        <f>E2830</f>
        <v>449427000</v>
      </c>
      <c r="F2829" s="114">
        <v>61543588793.150002</v>
      </c>
      <c r="G2829" s="127">
        <f t="shared" si="54"/>
        <v>0.73025803144262313</v>
      </c>
      <c r="H2829" s="120"/>
      <c r="I2829" s="120"/>
      <c r="J2829" s="121"/>
      <c r="K2829" s="121"/>
      <c r="L2829" s="121"/>
      <c r="M2829" s="121"/>
      <c r="N2829" s="121"/>
      <c r="O2829" s="121"/>
      <c r="P2829" s="121"/>
    </row>
    <row r="2830" spans="2:16" s="108" customFormat="1" ht="47.25" hidden="1" customHeight="1">
      <c r="B2830" s="109"/>
      <c r="C2830" s="122"/>
      <c r="D2830" s="242" t="s">
        <v>2042</v>
      </c>
      <c r="E2830" s="723">
        <v>449427000</v>
      </c>
      <c r="F2830" s="134">
        <v>61543588793.150002</v>
      </c>
      <c r="G2830" s="126">
        <f t="shared" si="54"/>
        <v>0.73025803144262313</v>
      </c>
      <c r="H2830" s="120"/>
      <c r="I2830" s="120"/>
      <c r="J2830" s="116"/>
      <c r="K2830" s="116"/>
      <c r="L2830" s="116"/>
      <c r="M2830" s="116"/>
      <c r="N2830" s="116"/>
      <c r="O2830" s="116"/>
      <c r="P2830" s="116"/>
    </row>
    <row r="2831" spans="2:16" s="108" customFormat="1" ht="21.75" hidden="1" customHeight="1">
      <c r="B2831" s="109"/>
      <c r="C2831" s="122"/>
      <c r="D2831" s="242"/>
      <c r="E2831" s="723"/>
      <c r="F2831" s="134"/>
      <c r="G2831" s="126"/>
      <c r="H2831" s="120"/>
      <c r="I2831" s="120"/>
      <c r="J2831" s="116"/>
      <c r="K2831" s="116"/>
      <c r="L2831" s="116"/>
      <c r="M2831" s="116"/>
      <c r="N2831" s="116"/>
      <c r="O2831" s="116"/>
      <c r="P2831" s="116"/>
    </row>
    <row r="2832" spans="2:16" s="117" customFormat="1" ht="21.75" hidden="1" customHeight="1">
      <c r="B2832" s="118"/>
      <c r="C2832" s="110"/>
      <c r="D2832" s="245" t="s">
        <v>2043</v>
      </c>
      <c r="E2832" s="724">
        <f t="shared" ref="E2832" si="55">E2833</f>
        <v>567295600</v>
      </c>
      <c r="F2832" s="134">
        <v>61543588793.150002</v>
      </c>
      <c r="G2832" s="126">
        <f t="shared" ref="G2832" si="56">+E2832/F2832*100</f>
        <v>0.92177854935743009</v>
      </c>
      <c r="H2832" s="120"/>
      <c r="I2832" s="120"/>
      <c r="J2832" s="121"/>
      <c r="K2832" s="121"/>
      <c r="L2832" s="121"/>
      <c r="M2832" s="121"/>
      <c r="N2832" s="121"/>
      <c r="O2832" s="121"/>
      <c r="P2832" s="121"/>
    </row>
    <row r="2833" spans="2:16" s="117" customFormat="1" ht="21.75" hidden="1" customHeight="1">
      <c r="B2833" s="118"/>
      <c r="C2833" s="110"/>
      <c r="D2833" s="245" t="s">
        <v>536</v>
      </c>
      <c r="E2833" s="796">
        <f>E2834+E2835</f>
        <v>567295600</v>
      </c>
      <c r="F2833" s="114">
        <v>61543588793.150002</v>
      </c>
      <c r="G2833" s="127">
        <f t="shared" si="54"/>
        <v>0.92177854935743009</v>
      </c>
      <c r="H2833" s="120"/>
      <c r="I2833" s="120"/>
      <c r="J2833" s="121"/>
      <c r="K2833" s="121"/>
      <c r="L2833" s="121"/>
      <c r="M2833" s="121"/>
      <c r="N2833" s="121"/>
      <c r="O2833" s="121"/>
      <c r="P2833" s="121"/>
    </row>
    <row r="2834" spans="2:16" s="117" customFormat="1" ht="21.75" hidden="1" customHeight="1">
      <c r="B2834" s="118"/>
      <c r="C2834" s="110"/>
      <c r="D2834" s="242" t="s">
        <v>2044</v>
      </c>
      <c r="E2834" s="723">
        <v>293114000</v>
      </c>
      <c r="F2834" s="114">
        <v>61543588793.150002</v>
      </c>
      <c r="G2834" s="127">
        <f t="shared" si="54"/>
        <v>0.4762705681418184</v>
      </c>
      <c r="H2834" s="120"/>
      <c r="I2834" s="120"/>
      <c r="J2834" s="121"/>
      <c r="K2834" s="121"/>
      <c r="L2834" s="121"/>
      <c r="M2834" s="121"/>
      <c r="N2834" s="121"/>
      <c r="O2834" s="121"/>
      <c r="P2834" s="121"/>
    </row>
    <row r="2835" spans="2:16" s="108" customFormat="1" ht="21.75" hidden="1" customHeight="1">
      <c r="B2835" s="109"/>
      <c r="C2835" s="122"/>
      <c r="D2835" s="242" t="s">
        <v>1476</v>
      </c>
      <c r="E2835" s="723">
        <v>274181600</v>
      </c>
      <c r="F2835" s="134">
        <v>61543588793.150002</v>
      </c>
      <c r="G2835" s="126">
        <f t="shared" si="54"/>
        <v>0.44550798121561164</v>
      </c>
      <c r="H2835" s="120"/>
      <c r="I2835" s="120"/>
      <c r="J2835" s="116"/>
      <c r="K2835" s="116"/>
      <c r="L2835" s="116"/>
      <c r="M2835" s="116"/>
      <c r="N2835" s="116"/>
      <c r="O2835" s="116"/>
      <c r="P2835" s="116"/>
    </row>
    <row r="2836" spans="2:16" s="108" customFormat="1" ht="21.75" hidden="1" customHeight="1">
      <c r="B2836" s="109"/>
      <c r="C2836" s="122"/>
      <c r="D2836" s="242"/>
      <c r="E2836" s="723"/>
      <c r="F2836" s="134"/>
      <c r="G2836" s="126"/>
      <c r="H2836" s="120"/>
      <c r="I2836" s="120"/>
      <c r="J2836" s="116"/>
      <c r="K2836" s="116"/>
      <c r="L2836" s="116"/>
      <c r="M2836" s="116"/>
      <c r="N2836" s="116"/>
      <c r="O2836" s="116"/>
      <c r="P2836" s="116"/>
    </row>
    <row r="2837" spans="2:16" s="117" customFormat="1" ht="21.75" hidden="1" customHeight="1">
      <c r="B2837" s="118"/>
      <c r="C2837" s="110"/>
      <c r="D2837" s="245" t="s">
        <v>2045</v>
      </c>
      <c r="E2837" s="724">
        <f>+E2838+E2841</f>
        <v>704573500</v>
      </c>
      <c r="F2837" s="114">
        <v>61543588793.150002</v>
      </c>
      <c r="G2837" s="127">
        <f t="shared" ref="G2837:G2856" si="57">+E2837/F2837*100</f>
        <v>1.1448365521355837</v>
      </c>
      <c r="H2837" s="120"/>
      <c r="I2837" s="120"/>
      <c r="J2837" s="121"/>
      <c r="K2837" s="121"/>
      <c r="L2837" s="121"/>
      <c r="M2837" s="121"/>
      <c r="N2837" s="121"/>
      <c r="O2837" s="121"/>
      <c r="P2837" s="121"/>
    </row>
    <row r="2838" spans="2:16" s="117" customFormat="1" ht="21.75" hidden="1" customHeight="1">
      <c r="B2838" s="118"/>
      <c r="C2838" s="110"/>
      <c r="D2838" s="246" t="s">
        <v>1635</v>
      </c>
      <c r="E2838" s="724">
        <f>+E2839+E2840</f>
        <v>449829000</v>
      </c>
      <c r="F2838" s="114">
        <v>61543588793.150002</v>
      </c>
      <c r="G2838" s="127">
        <f t="shared" si="57"/>
        <v>0.73091122701974676</v>
      </c>
      <c r="H2838" s="120"/>
      <c r="I2838" s="120"/>
      <c r="J2838" s="121"/>
      <c r="K2838" s="121"/>
      <c r="L2838" s="121"/>
      <c r="M2838" s="121"/>
      <c r="N2838" s="121"/>
      <c r="O2838" s="121"/>
      <c r="P2838" s="121"/>
    </row>
    <row r="2839" spans="2:16" s="117" customFormat="1" ht="21.75" hidden="1" customHeight="1">
      <c r="B2839" s="118"/>
      <c r="C2839" s="110"/>
      <c r="D2839" s="242" t="s">
        <v>741</v>
      </c>
      <c r="E2839" s="723">
        <v>256744500</v>
      </c>
      <c r="F2839" s="114">
        <v>61543588793.150002</v>
      </c>
      <c r="G2839" s="127">
        <f t="shared" si="57"/>
        <v>0.41717505435525798</v>
      </c>
      <c r="H2839" s="120"/>
      <c r="I2839" s="120"/>
      <c r="J2839" s="121"/>
      <c r="K2839" s="121"/>
      <c r="L2839" s="121"/>
      <c r="M2839" s="121"/>
      <c r="N2839" s="121"/>
      <c r="O2839" s="121"/>
      <c r="P2839" s="121"/>
    </row>
    <row r="2840" spans="2:16" s="108" customFormat="1" ht="21.75" hidden="1" customHeight="1">
      <c r="B2840" s="109"/>
      <c r="C2840" s="122"/>
      <c r="D2840" s="242" t="s">
        <v>2046</v>
      </c>
      <c r="E2840" s="723">
        <v>193084500</v>
      </c>
      <c r="F2840" s="134">
        <v>61543588793.150002</v>
      </c>
      <c r="G2840" s="126">
        <f t="shared" si="57"/>
        <v>0.31373617266448872</v>
      </c>
      <c r="H2840" s="120"/>
      <c r="I2840" s="120"/>
      <c r="J2840" s="116"/>
      <c r="K2840" s="116"/>
      <c r="L2840" s="116"/>
      <c r="M2840" s="116"/>
      <c r="N2840" s="116"/>
      <c r="O2840" s="116"/>
      <c r="P2840" s="116"/>
    </row>
    <row r="2841" spans="2:16" s="117" customFormat="1" ht="21.75" hidden="1" customHeight="1">
      <c r="B2841" s="118"/>
      <c r="C2841" s="110"/>
      <c r="D2841" s="244" t="s">
        <v>973</v>
      </c>
      <c r="E2841" s="796">
        <f t="shared" ref="E2841" si="58">E2842</f>
        <v>254744500</v>
      </c>
      <c r="F2841" s="114">
        <v>61543588793.150002</v>
      </c>
      <c r="G2841" s="127">
        <f t="shared" si="57"/>
        <v>0.41392532511583707</v>
      </c>
      <c r="H2841" s="120"/>
      <c r="I2841" s="120"/>
      <c r="J2841" s="121"/>
      <c r="K2841" s="121"/>
      <c r="L2841" s="121"/>
      <c r="M2841" s="121"/>
      <c r="N2841" s="121"/>
      <c r="O2841" s="121"/>
      <c r="P2841" s="121"/>
    </row>
    <row r="2842" spans="2:16" s="108" customFormat="1" ht="21.75" hidden="1" customHeight="1">
      <c r="B2842" s="109"/>
      <c r="C2842" s="122"/>
      <c r="D2842" s="242" t="s">
        <v>2047</v>
      </c>
      <c r="E2842" s="723">
        <v>254744500</v>
      </c>
      <c r="F2842" s="134">
        <v>61543588793.150002</v>
      </c>
      <c r="G2842" s="126">
        <f t="shared" si="57"/>
        <v>0.41392532511583707</v>
      </c>
      <c r="H2842" s="120"/>
      <c r="I2842" s="120"/>
      <c r="J2842" s="116"/>
      <c r="K2842" s="116"/>
      <c r="L2842" s="116"/>
      <c r="M2842" s="116"/>
      <c r="N2842" s="116"/>
      <c r="O2842" s="116"/>
      <c r="P2842" s="116"/>
    </row>
    <row r="2843" spans="2:16" s="108" customFormat="1" ht="21.75" hidden="1" customHeight="1">
      <c r="B2843" s="109"/>
      <c r="C2843" s="122"/>
      <c r="D2843" s="242"/>
      <c r="E2843" s="723"/>
      <c r="F2843" s="134"/>
      <c r="G2843" s="126"/>
      <c r="H2843" s="120"/>
      <c r="I2843" s="120"/>
      <c r="J2843" s="116"/>
      <c r="K2843" s="116"/>
      <c r="L2843" s="116"/>
      <c r="M2843" s="116"/>
      <c r="N2843" s="116"/>
      <c r="O2843" s="116"/>
      <c r="P2843" s="116"/>
    </row>
    <row r="2844" spans="2:16" s="117" customFormat="1" ht="21.75" hidden="1" customHeight="1">
      <c r="B2844" s="118"/>
      <c r="C2844" s="110"/>
      <c r="D2844" s="245" t="s">
        <v>563</v>
      </c>
      <c r="E2844" s="724">
        <f t="shared" ref="E2844" si="59">E2845</f>
        <v>2923261796</v>
      </c>
      <c r="F2844" s="114">
        <v>61543588793.150002</v>
      </c>
      <c r="G2844" s="127">
        <f t="shared" si="57"/>
        <v>4.749904666471723</v>
      </c>
      <c r="H2844" s="120"/>
      <c r="I2844" s="120"/>
      <c r="J2844" s="121"/>
      <c r="K2844" s="121"/>
      <c r="L2844" s="121"/>
      <c r="M2844" s="121"/>
      <c r="N2844" s="121"/>
      <c r="O2844" s="121"/>
      <c r="P2844" s="121"/>
    </row>
    <row r="2845" spans="2:16" s="117" customFormat="1" ht="21.75" hidden="1" customHeight="1">
      <c r="B2845" s="118"/>
      <c r="C2845" s="110"/>
      <c r="D2845" s="245" t="s">
        <v>378</v>
      </c>
      <c r="E2845" s="796">
        <f>E2846+E2847</f>
        <v>2923261796</v>
      </c>
      <c r="F2845" s="114">
        <v>61543588793.150002</v>
      </c>
      <c r="G2845" s="127">
        <f t="shared" si="57"/>
        <v>4.749904666471723</v>
      </c>
      <c r="H2845" s="120"/>
      <c r="I2845" s="120"/>
      <c r="J2845" s="121"/>
      <c r="K2845" s="121"/>
      <c r="L2845" s="121"/>
      <c r="M2845" s="121"/>
      <c r="N2845" s="121"/>
      <c r="O2845" s="121"/>
      <c r="P2845" s="121"/>
    </row>
    <row r="2846" spans="2:16" s="108" customFormat="1" ht="21.75" hidden="1" customHeight="1">
      <c r="B2846" s="109"/>
      <c r="C2846" s="122"/>
      <c r="D2846" s="242" t="s">
        <v>2048</v>
      </c>
      <c r="E2846" s="723">
        <v>750000000</v>
      </c>
      <c r="F2846" s="134">
        <v>61543588793.150002</v>
      </c>
      <c r="G2846" s="126">
        <f t="shared" si="57"/>
        <v>1.2186484647828619</v>
      </c>
      <c r="H2846" s="120"/>
      <c r="I2846" s="120"/>
      <c r="J2846" s="116"/>
      <c r="K2846" s="116"/>
      <c r="L2846" s="116"/>
      <c r="M2846" s="116"/>
      <c r="N2846" s="116"/>
      <c r="O2846" s="116"/>
      <c r="P2846" s="116"/>
    </row>
    <row r="2847" spans="2:16" s="108" customFormat="1" ht="21.75" hidden="1" customHeight="1">
      <c r="B2847" s="109"/>
      <c r="C2847" s="122"/>
      <c r="D2847" s="242" t="s">
        <v>2049</v>
      </c>
      <c r="E2847" s="723">
        <v>2173261796</v>
      </c>
      <c r="F2847" s="134">
        <v>61543588793.150002</v>
      </c>
      <c r="G2847" s="126">
        <f t="shared" si="57"/>
        <v>3.5312562016888607</v>
      </c>
      <c r="H2847" s="120"/>
      <c r="I2847" s="120"/>
      <c r="J2847" s="116"/>
      <c r="K2847" s="116"/>
      <c r="L2847" s="116"/>
      <c r="M2847" s="116"/>
      <c r="N2847" s="116"/>
      <c r="O2847" s="116"/>
      <c r="P2847" s="116"/>
    </row>
    <row r="2848" spans="2:16" s="117" customFormat="1" ht="21.75" hidden="1" customHeight="1">
      <c r="B2848" s="118"/>
      <c r="C2848" s="110"/>
      <c r="D2848" s="242"/>
      <c r="E2848" s="723"/>
      <c r="F2848" s="114"/>
      <c r="G2848" s="127"/>
      <c r="H2848" s="120"/>
      <c r="I2848" s="120"/>
      <c r="J2848" s="121"/>
      <c r="K2848" s="121"/>
      <c r="L2848" s="121"/>
      <c r="M2848" s="121"/>
      <c r="N2848" s="121"/>
      <c r="O2848" s="121"/>
      <c r="P2848" s="121"/>
    </row>
    <row r="2849" spans="2:16" s="117" customFormat="1" ht="21.75" hidden="1" customHeight="1">
      <c r="B2849" s="118"/>
      <c r="C2849" s="110"/>
      <c r="D2849" s="245" t="s">
        <v>2050</v>
      </c>
      <c r="E2849" s="724">
        <f>+E2850+E2854+E2857+E2861+E2863</f>
        <v>5923760000</v>
      </c>
      <c r="F2849" s="114">
        <v>61543588793.150002</v>
      </c>
      <c r="G2849" s="127">
        <f t="shared" si="57"/>
        <v>9.6253080396561685</v>
      </c>
      <c r="H2849" s="120"/>
      <c r="I2849" s="120"/>
      <c r="J2849" s="121"/>
      <c r="K2849" s="121"/>
      <c r="L2849" s="121"/>
      <c r="M2849" s="121"/>
      <c r="N2849" s="121"/>
      <c r="O2849" s="121"/>
      <c r="P2849" s="121"/>
    </row>
    <row r="2850" spans="2:16" s="117" customFormat="1" ht="21.75" hidden="1" customHeight="1">
      <c r="B2850" s="118"/>
      <c r="C2850" s="110"/>
      <c r="D2850" s="246" t="s">
        <v>2051</v>
      </c>
      <c r="E2850" s="796">
        <f>E2851+E2852+E2853</f>
        <v>1263095000</v>
      </c>
      <c r="F2850" s="114">
        <v>61543588793.150002</v>
      </c>
      <c r="G2850" s="127">
        <f t="shared" si="57"/>
        <v>2.0523583768332121</v>
      </c>
      <c r="H2850" s="120"/>
      <c r="I2850" s="120"/>
      <c r="J2850" s="121"/>
      <c r="K2850" s="121"/>
      <c r="L2850" s="121"/>
      <c r="M2850" s="121"/>
      <c r="N2850" s="121"/>
      <c r="O2850" s="121"/>
      <c r="P2850" s="121"/>
    </row>
    <row r="2851" spans="2:16" s="108" customFormat="1" ht="21.75" hidden="1" customHeight="1">
      <c r="B2851" s="109"/>
      <c r="C2851" s="122"/>
      <c r="D2851" s="242" t="s">
        <v>2052</v>
      </c>
      <c r="E2851" s="723">
        <v>321595000</v>
      </c>
      <c r="F2851" s="134">
        <v>61543588793.150002</v>
      </c>
      <c r="G2851" s="126">
        <f t="shared" si="57"/>
        <v>0.52254833737579265</v>
      </c>
      <c r="H2851" s="120"/>
      <c r="I2851" s="120"/>
      <c r="J2851" s="116"/>
      <c r="K2851" s="116"/>
      <c r="L2851" s="116"/>
      <c r="M2851" s="116"/>
      <c r="N2851" s="116"/>
      <c r="O2851" s="116"/>
      <c r="P2851" s="116"/>
    </row>
    <row r="2852" spans="2:16" s="108" customFormat="1" ht="21.75" hidden="1" customHeight="1">
      <c r="B2852" s="109"/>
      <c r="C2852" s="122"/>
      <c r="D2852" s="242" t="s">
        <v>2053</v>
      </c>
      <c r="E2852" s="723">
        <v>690100000</v>
      </c>
      <c r="F2852" s="134">
        <v>61543588793.150002</v>
      </c>
      <c r="G2852" s="126">
        <f t="shared" si="57"/>
        <v>1.1213190740622041</v>
      </c>
      <c r="H2852" s="120"/>
      <c r="I2852" s="120"/>
      <c r="J2852" s="116"/>
      <c r="K2852" s="116"/>
      <c r="L2852" s="116"/>
      <c r="M2852" s="116"/>
      <c r="N2852" s="116"/>
      <c r="O2852" s="116"/>
      <c r="P2852" s="116"/>
    </row>
    <row r="2853" spans="2:16" s="117" customFormat="1" ht="21.75" hidden="1" customHeight="1">
      <c r="B2853" s="118"/>
      <c r="C2853" s="110"/>
      <c r="D2853" s="242" t="s">
        <v>2054</v>
      </c>
      <c r="E2853" s="723">
        <v>251400000</v>
      </c>
      <c r="F2853" s="114">
        <v>61543588793.150002</v>
      </c>
      <c r="G2853" s="127">
        <f t="shared" si="57"/>
        <v>0.40849096539521529</v>
      </c>
      <c r="H2853" s="120"/>
      <c r="I2853" s="120"/>
      <c r="J2853" s="121"/>
      <c r="K2853" s="121"/>
      <c r="L2853" s="121"/>
      <c r="M2853" s="121"/>
      <c r="N2853" s="121"/>
      <c r="O2853" s="121"/>
      <c r="P2853" s="121"/>
    </row>
    <row r="2854" spans="2:16" s="117" customFormat="1" ht="21.75" hidden="1" customHeight="1">
      <c r="B2854" s="118"/>
      <c r="C2854" s="110"/>
      <c r="D2854" s="244" t="s">
        <v>1192</v>
      </c>
      <c r="E2854" s="796">
        <f>E2855+E2856</f>
        <v>1188100000</v>
      </c>
      <c r="F2854" s="114">
        <v>61543588793.150002</v>
      </c>
      <c r="G2854" s="127">
        <f t="shared" si="57"/>
        <v>1.9305016546780245</v>
      </c>
      <c r="H2854" s="120"/>
      <c r="I2854" s="120"/>
      <c r="J2854" s="121"/>
      <c r="K2854" s="121"/>
      <c r="L2854" s="121"/>
      <c r="M2854" s="121"/>
      <c r="N2854" s="121"/>
      <c r="O2854" s="121"/>
      <c r="P2854" s="121"/>
    </row>
    <row r="2855" spans="2:16" s="108" customFormat="1" ht="21.75" hidden="1" customHeight="1">
      <c r="B2855" s="109"/>
      <c r="C2855" s="122"/>
      <c r="D2855" s="242" t="s">
        <v>313</v>
      </c>
      <c r="E2855" s="723">
        <v>450300000</v>
      </c>
      <c r="F2855" s="134">
        <v>61543588793.150002</v>
      </c>
      <c r="G2855" s="126">
        <f t="shared" si="57"/>
        <v>0.73167653825563039</v>
      </c>
      <c r="H2855" s="120"/>
      <c r="I2855" s="120"/>
      <c r="J2855" s="116"/>
      <c r="K2855" s="116"/>
      <c r="L2855" s="116"/>
      <c r="M2855" s="116"/>
      <c r="N2855" s="116"/>
      <c r="O2855" s="116"/>
      <c r="P2855" s="116"/>
    </row>
    <row r="2856" spans="2:16" s="108" customFormat="1" ht="21.75" hidden="1" customHeight="1">
      <c r="B2856" s="109"/>
      <c r="C2856" s="122"/>
      <c r="D2856" s="242" t="s">
        <v>2055</v>
      </c>
      <c r="E2856" s="723">
        <v>737800000</v>
      </c>
      <c r="F2856" s="134">
        <v>61543588793.150002</v>
      </c>
      <c r="G2856" s="126">
        <f t="shared" si="57"/>
        <v>1.1988251164223942</v>
      </c>
      <c r="H2856" s="120"/>
      <c r="I2856" s="120"/>
      <c r="J2856" s="116"/>
      <c r="K2856" s="116"/>
      <c r="L2856" s="116"/>
      <c r="M2856" s="116"/>
      <c r="N2856" s="116"/>
      <c r="O2856" s="116"/>
      <c r="P2856" s="116"/>
    </row>
    <row r="2857" spans="2:16" s="117" customFormat="1" ht="21.75" hidden="1" customHeight="1">
      <c r="B2857" s="118"/>
      <c r="C2857" s="110"/>
      <c r="D2857" s="246" t="s">
        <v>2056</v>
      </c>
      <c r="E2857" s="796">
        <f>E2858+E2859+E2860</f>
        <v>2082060000</v>
      </c>
      <c r="F2857" s="114"/>
      <c r="G2857" s="127"/>
      <c r="H2857" s="120"/>
      <c r="I2857" s="120"/>
      <c r="J2857" s="121"/>
      <c r="K2857" s="121"/>
      <c r="L2857" s="121"/>
      <c r="M2857" s="121"/>
      <c r="N2857" s="121"/>
      <c r="O2857" s="121"/>
      <c r="P2857" s="121"/>
    </row>
    <row r="2858" spans="2:16" s="108" customFormat="1" ht="21.75" hidden="1" customHeight="1">
      <c r="B2858" s="109"/>
      <c r="C2858" s="122"/>
      <c r="D2858" s="242" t="s">
        <v>2057</v>
      </c>
      <c r="E2858" s="723">
        <v>1350780000</v>
      </c>
      <c r="F2858" s="134"/>
      <c r="G2858" s="126"/>
      <c r="H2858" s="120"/>
      <c r="I2858" s="120"/>
      <c r="J2858" s="116"/>
      <c r="K2858" s="116"/>
      <c r="L2858" s="116"/>
      <c r="M2858" s="116"/>
      <c r="N2858" s="116"/>
      <c r="O2858" s="116"/>
      <c r="P2858" s="116"/>
    </row>
    <row r="2859" spans="2:16" s="108" customFormat="1" ht="21.75" hidden="1" customHeight="1">
      <c r="B2859" s="109"/>
      <c r="C2859" s="122"/>
      <c r="D2859" s="242" t="s">
        <v>1191</v>
      </c>
      <c r="E2859" s="723">
        <v>423190000</v>
      </c>
      <c r="F2859" s="134"/>
      <c r="G2859" s="126"/>
      <c r="H2859" s="120"/>
      <c r="I2859" s="120"/>
      <c r="J2859" s="116"/>
      <c r="K2859" s="116"/>
      <c r="L2859" s="116"/>
      <c r="M2859" s="116"/>
      <c r="N2859" s="116"/>
      <c r="O2859" s="116"/>
      <c r="P2859" s="116"/>
    </row>
    <row r="2860" spans="2:16" s="108" customFormat="1" ht="21.75" hidden="1" customHeight="1">
      <c r="B2860" s="109"/>
      <c r="C2860" s="122"/>
      <c r="D2860" s="242" t="s">
        <v>2058</v>
      </c>
      <c r="E2860" s="723">
        <v>308090000</v>
      </c>
      <c r="F2860" s="134"/>
      <c r="G2860" s="126"/>
      <c r="H2860" s="120"/>
      <c r="I2860" s="120"/>
      <c r="J2860" s="116"/>
      <c r="K2860" s="116"/>
      <c r="L2860" s="116"/>
      <c r="M2860" s="116"/>
      <c r="N2860" s="116"/>
      <c r="O2860" s="116"/>
      <c r="P2860" s="116"/>
    </row>
    <row r="2861" spans="2:16" s="117" customFormat="1" ht="21.75" hidden="1" customHeight="1">
      <c r="B2861" s="118"/>
      <c r="C2861" s="110"/>
      <c r="D2861" s="241" t="s">
        <v>2059</v>
      </c>
      <c r="E2861" s="796">
        <f>E2862</f>
        <v>265905000</v>
      </c>
      <c r="F2861" s="134">
        <v>61543588793.150002</v>
      </c>
      <c r="G2861" s="126">
        <f t="shared" ref="G2861:G2882" si="60">+E2861/F2861*100</f>
        <v>0.43205962670411585</v>
      </c>
      <c r="H2861" s="120"/>
      <c r="I2861" s="120"/>
      <c r="J2861" s="121"/>
      <c r="K2861" s="121"/>
      <c r="L2861" s="121"/>
      <c r="M2861" s="121"/>
      <c r="N2861" s="121"/>
      <c r="O2861" s="121"/>
      <c r="P2861" s="121"/>
    </row>
    <row r="2862" spans="2:16" s="108" customFormat="1" ht="21.75" hidden="1" customHeight="1">
      <c r="B2862" s="109"/>
      <c r="C2862" s="122"/>
      <c r="D2862" s="242" t="s">
        <v>2060</v>
      </c>
      <c r="E2862" s="723">
        <v>265905000</v>
      </c>
      <c r="F2862" s="134">
        <v>61543588793.150002</v>
      </c>
      <c r="G2862" s="126">
        <f t="shared" si="60"/>
        <v>0.43205962670411585</v>
      </c>
      <c r="H2862" s="120"/>
      <c r="I2862" s="120"/>
      <c r="J2862" s="116"/>
      <c r="K2862" s="116"/>
      <c r="L2862" s="116"/>
      <c r="M2862" s="116"/>
      <c r="N2862" s="116"/>
      <c r="O2862" s="116"/>
      <c r="P2862" s="116"/>
    </row>
    <row r="2863" spans="2:16" s="117" customFormat="1" ht="21.75" hidden="1" customHeight="1">
      <c r="B2863" s="118"/>
      <c r="C2863" s="110"/>
      <c r="D2863" s="244" t="s">
        <v>471</v>
      </c>
      <c r="E2863" s="796">
        <f>E2864+E2865</f>
        <v>1124600000</v>
      </c>
      <c r="F2863" s="134">
        <v>61543588793.150002</v>
      </c>
      <c r="G2863" s="126">
        <f t="shared" si="60"/>
        <v>1.8273227513264088</v>
      </c>
      <c r="H2863" s="120"/>
      <c r="I2863" s="120"/>
      <c r="J2863" s="121"/>
      <c r="K2863" s="121"/>
      <c r="L2863" s="121"/>
      <c r="M2863" s="121"/>
      <c r="N2863" s="121"/>
      <c r="O2863" s="121"/>
      <c r="P2863" s="121"/>
    </row>
    <row r="2864" spans="2:16" s="108" customFormat="1" ht="21.75" hidden="1" customHeight="1">
      <c r="B2864" s="109"/>
      <c r="C2864" s="122"/>
      <c r="D2864" s="242" t="s">
        <v>473</v>
      </c>
      <c r="E2864" s="723">
        <v>468000000</v>
      </c>
      <c r="F2864" s="134">
        <v>61543588793.150002</v>
      </c>
      <c r="G2864" s="126">
        <f t="shared" si="60"/>
        <v>0.76043664202450589</v>
      </c>
      <c r="H2864" s="120"/>
      <c r="I2864" s="120"/>
      <c r="J2864" s="116"/>
      <c r="K2864" s="116"/>
      <c r="L2864" s="116"/>
      <c r="M2864" s="116"/>
      <c r="N2864" s="116"/>
      <c r="O2864" s="116"/>
      <c r="P2864" s="116"/>
    </row>
    <row r="2865" spans="2:16" s="108" customFormat="1" ht="21.75" hidden="1" customHeight="1">
      <c r="B2865" s="109"/>
      <c r="C2865" s="122"/>
      <c r="D2865" s="242" t="s">
        <v>472</v>
      </c>
      <c r="E2865" s="723">
        <v>656600000</v>
      </c>
      <c r="F2865" s="134">
        <v>61543588793.150002</v>
      </c>
      <c r="G2865" s="126">
        <f t="shared" si="60"/>
        <v>1.0668861093019031</v>
      </c>
      <c r="H2865" s="120"/>
      <c r="I2865" s="120"/>
      <c r="J2865" s="116"/>
      <c r="K2865" s="116"/>
      <c r="L2865" s="116"/>
      <c r="M2865" s="116"/>
      <c r="N2865" s="116"/>
      <c r="O2865" s="116"/>
      <c r="P2865" s="116"/>
    </row>
    <row r="2866" spans="2:16" s="108" customFormat="1" ht="21.75" hidden="1" customHeight="1">
      <c r="B2866" s="109"/>
      <c r="C2866" s="122"/>
      <c r="D2866" s="242"/>
      <c r="E2866" s="723"/>
      <c r="F2866" s="134"/>
      <c r="G2866" s="126"/>
      <c r="H2866" s="120"/>
      <c r="I2866" s="120"/>
      <c r="J2866" s="116"/>
      <c r="K2866" s="116"/>
      <c r="L2866" s="116"/>
      <c r="M2866" s="116"/>
      <c r="N2866" s="116"/>
      <c r="O2866" s="116"/>
      <c r="P2866" s="116"/>
    </row>
    <row r="2867" spans="2:16" s="117" customFormat="1" ht="21.75" hidden="1" customHeight="1">
      <c r="B2867" s="118"/>
      <c r="C2867" s="110"/>
      <c r="D2867" s="245" t="s">
        <v>503</v>
      </c>
      <c r="E2867" s="724">
        <f>+E2868+E2870</f>
        <v>3261900000</v>
      </c>
      <c r="F2867" s="114">
        <v>61543588793.150002</v>
      </c>
      <c r="G2867" s="127">
        <f t="shared" si="60"/>
        <v>5.3001459030336235</v>
      </c>
      <c r="H2867" s="120"/>
      <c r="I2867" s="120"/>
      <c r="J2867" s="121"/>
      <c r="K2867" s="121"/>
      <c r="L2867" s="121"/>
      <c r="M2867" s="121"/>
      <c r="N2867" s="121"/>
      <c r="O2867" s="121"/>
      <c r="P2867" s="121"/>
    </row>
    <row r="2868" spans="2:16" s="117" customFormat="1" ht="21.75" hidden="1" customHeight="1">
      <c r="B2868" s="118"/>
      <c r="C2868" s="110"/>
      <c r="D2868" s="245" t="s">
        <v>1428</v>
      </c>
      <c r="E2868" s="796">
        <f>E2869</f>
        <v>2072500000</v>
      </c>
      <c r="F2868" s="114">
        <v>61543588793.150002</v>
      </c>
      <c r="G2868" s="127">
        <f t="shared" si="60"/>
        <v>3.3675319243499748</v>
      </c>
      <c r="H2868" s="120"/>
      <c r="I2868" s="120"/>
      <c r="J2868" s="121"/>
      <c r="K2868" s="121"/>
      <c r="L2868" s="121"/>
      <c r="M2868" s="121"/>
      <c r="N2868" s="121"/>
      <c r="O2868" s="121"/>
      <c r="P2868" s="121"/>
    </row>
    <row r="2869" spans="2:16" s="108" customFormat="1" ht="21.75" hidden="1" customHeight="1">
      <c r="B2869" s="109"/>
      <c r="C2869" s="122"/>
      <c r="D2869" s="242" t="s">
        <v>1429</v>
      </c>
      <c r="E2869" s="723">
        <v>2072500000</v>
      </c>
      <c r="F2869" s="134">
        <v>61543588793.150002</v>
      </c>
      <c r="G2869" s="126">
        <f t="shared" si="60"/>
        <v>3.3675319243499748</v>
      </c>
      <c r="H2869" s="120"/>
      <c r="I2869" s="120"/>
      <c r="J2869" s="116"/>
      <c r="K2869" s="116"/>
      <c r="L2869" s="116"/>
      <c r="M2869" s="116"/>
      <c r="N2869" s="116"/>
      <c r="O2869" s="116"/>
      <c r="P2869" s="116"/>
    </row>
    <row r="2870" spans="2:16" s="117" customFormat="1" ht="21.75" hidden="1" customHeight="1">
      <c r="B2870" s="118"/>
      <c r="C2870" s="110"/>
      <c r="D2870" s="245" t="s">
        <v>980</v>
      </c>
      <c r="E2870" s="796">
        <f>E2871</f>
        <v>1189400000</v>
      </c>
      <c r="F2870" s="114">
        <v>61543588793.150002</v>
      </c>
      <c r="G2870" s="127">
        <f t="shared" si="60"/>
        <v>1.932613978683648</v>
      </c>
      <c r="H2870" s="120"/>
      <c r="I2870" s="120"/>
      <c r="J2870" s="121"/>
      <c r="K2870" s="121"/>
      <c r="L2870" s="121"/>
      <c r="M2870" s="121"/>
      <c r="N2870" s="121"/>
      <c r="O2870" s="121"/>
      <c r="P2870" s="121"/>
    </row>
    <row r="2871" spans="2:16" s="108" customFormat="1" ht="21.75" hidden="1" customHeight="1">
      <c r="B2871" s="109"/>
      <c r="C2871" s="122"/>
      <c r="D2871" s="242" t="s">
        <v>2061</v>
      </c>
      <c r="E2871" s="723">
        <v>1189400000</v>
      </c>
      <c r="F2871" s="134">
        <v>61543588793.150002</v>
      </c>
      <c r="G2871" s="126">
        <f t="shared" si="60"/>
        <v>1.932613978683648</v>
      </c>
      <c r="H2871" s="120"/>
      <c r="I2871" s="120"/>
      <c r="J2871" s="116"/>
      <c r="K2871" s="116"/>
      <c r="L2871" s="116"/>
      <c r="M2871" s="116"/>
      <c r="N2871" s="116"/>
      <c r="O2871" s="116"/>
      <c r="P2871" s="116"/>
    </row>
    <row r="2872" spans="2:16" s="108" customFormat="1" ht="21.75" hidden="1" customHeight="1">
      <c r="B2872" s="109"/>
      <c r="C2872" s="122"/>
      <c r="D2872" s="242"/>
      <c r="E2872" s="723"/>
      <c r="F2872" s="134"/>
      <c r="G2872" s="126"/>
      <c r="H2872" s="120"/>
      <c r="I2872" s="120"/>
      <c r="J2872" s="116"/>
      <c r="K2872" s="116"/>
      <c r="L2872" s="116"/>
      <c r="M2872" s="116"/>
      <c r="N2872" s="116"/>
      <c r="O2872" s="116"/>
      <c r="P2872" s="116"/>
    </row>
    <row r="2873" spans="2:16" s="108" customFormat="1" ht="21.75" hidden="1" customHeight="1">
      <c r="B2873" s="109"/>
      <c r="C2873" s="122"/>
      <c r="D2873" s="245" t="s">
        <v>987</v>
      </c>
      <c r="E2873" s="724">
        <f>+E2874</f>
        <v>777140000</v>
      </c>
      <c r="F2873" s="134">
        <v>61543588793.150002</v>
      </c>
      <c r="G2873" s="126">
        <f t="shared" si="60"/>
        <v>1.2627472905618045</v>
      </c>
      <c r="H2873" s="120"/>
      <c r="I2873" s="120"/>
      <c r="J2873" s="116"/>
      <c r="K2873" s="116"/>
      <c r="L2873" s="116"/>
      <c r="M2873" s="116"/>
      <c r="N2873" s="116"/>
      <c r="O2873" s="116"/>
      <c r="P2873" s="116"/>
    </row>
    <row r="2874" spans="2:16" s="117" customFormat="1" ht="21.75" hidden="1" customHeight="1">
      <c r="B2874" s="118"/>
      <c r="C2874" s="110"/>
      <c r="D2874" s="245" t="s">
        <v>1896</v>
      </c>
      <c r="E2874" s="796">
        <f>+E2875+E2876</f>
        <v>777140000</v>
      </c>
      <c r="F2874" s="114">
        <v>61543588793.150002</v>
      </c>
      <c r="G2874" s="127">
        <f t="shared" si="60"/>
        <v>1.2627472905618045</v>
      </c>
      <c r="H2874" s="120"/>
      <c r="I2874" s="120"/>
      <c r="J2874" s="121"/>
      <c r="K2874" s="121"/>
      <c r="L2874" s="121"/>
      <c r="M2874" s="121"/>
      <c r="N2874" s="121"/>
      <c r="O2874" s="121"/>
      <c r="P2874" s="121"/>
    </row>
    <row r="2875" spans="2:16" s="108" customFormat="1" ht="21.75" hidden="1" customHeight="1">
      <c r="B2875" s="109"/>
      <c r="C2875" s="122"/>
      <c r="D2875" s="242" t="s">
        <v>2062</v>
      </c>
      <c r="E2875" s="723">
        <v>285330000</v>
      </c>
      <c r="F2875" s="134">
        <v>61543588793.150002</v>
      </c>
      <c r="G2875" s="126">
        <f t="shared" si="60"/>
        <v>0.463622621941992</v>
      </c>
      <c r="H2875" s="120"/>
      <c r="I2875" s="120"/>
      <c r="J2875" s="116"/>
      <c r="K2875" s="116"/>
      <c r="L2875" s="116"/>
      <c r="M2875" s="116"/>
      <c r="N2875" s="116"/>
      <c r="O2875" s="116"/>
      <c r="P2875" s="116"/>
    </row>
    <row r="2876" spans="2:16" s="108" customFormat="1" ht="21.75" hidden="1" customHeight="1">
      <c r="B2876" s="109"/>
      <c r="C2876" s="122"/>
      <c r="D2876" s="242" t="s">
        <v>700</v>
      </c>
      <c r="E2876" s="723">
        <v>491810000</v>
      </c>
      <c r="F2876" s="134">
        <v>61543588793.150002</v>
      </c>
      <c r="G2876" s="126">
        <f t="shared" si="60"/>
        <v>0.79912466861981246</v>
      </c>
      <c r="H2876" s="120"/>
      <c r="I2876" s="120"/>
      <c r="J2876" s="116"/>
      <c r="K2876" s="116"/>
      <c r="L2876" s="116"/>
      <c r="M2876" s="116"/>
      <c r="N2876" s="116"/>
      <c r="O2876" s="116"/>
      <c r="P2876" s="116"/>
    </row>
    <row r="2877" spans="2:16" s="108" customFormat="1" ht="21.75" hidden="1" customHeight="1">
      <c r="B2877" s="109"/>
      <c r="C2877" s="122"/>
      <c r="D2877" s="242"/>
      <c r="E2877" s="723"/>
      <c r="F2877" s="134"/>
      <c r="G2877" s="126"/>
      <c r="H2877" s="120"/>
      <c r="I2877" s="120"/>
      <c r="J2877" s="116"/>
      <c r="K2877" s="116"/>
      <c r="L2877" s="116"/>
      <c r="M2877" s="116"/>
      <c r="N2877" s="116"/>
      <c r="O2877" s="116"/>
      <c r="P2877" s="116"/>
    </row>
    <row r="2878" spans="2:16" s="108" customFormat="1" ht="21.75" hidden="1" customHeight="1">
      <c r="B2878" s="109"/>
      <c r="C2878" s="122"/>
      <c r="D2878" s="245" t="s">
        <v>2063</v>
      </c>
      <c r="E2878" s="724">
        <f>+E2879+E2881</f>
        <v>1860732500</v>
      </c>
      <c r="F2878" s="134">
        <v>61543588793.150002</v>
      </c>
      <c r="G2878" s="126">
        <f t="shared" si="60"/>
        <v>3.0234384059954356</v>
      </c>
      <c r="H2878" s="120"/>
      <c r="I2878" s="120"/>
      <c r="J2878" s="116"/>
      <c r="K2878" s="116"/>
      <c r="L2878" s="116"/>
      <c r="M2878" s="116"/>
      <c r="N2878" s="116"/>
      <c r="O2878" s="116"/>
      <c r="P2878" s="116"/>
    </row>
    <row r="2879" spans="2:16" s="117" customFormat="1" ht="21.75" hidden="1" customHeight="1">
      <c r="B2879" s="118"/>
      <c r="C2879" s="110"/>
      <c r="D2879" s="245" t="s">
        <v>548</v>
      </c>
      <c r="E2879" s="693">
        <f>E2880</f>
        <v>903682500</v>
      </c>
      <c r="F2879" s="114">
        <v>61543588793.150002</v>
      </c>
      <c r="G2879" s="127">
        <f t="shared" si="60"/>
        <v>1.4683617217015184</v>
      </c>
      <c r="H2879" s="120"/>
      <c r="I2879" s="120"/>
      <c r="J2879" s="121"/>
      <c r="K2879" s="121"/>
      <c r="L2879" s="121"/>
      <c r="M2879" s="121"/>
      <c r="N2879" s="121"/>
      <c r="O2879" s="121"/>
      <c r="P2879" s="121"/>
    </row>
    <row r="2880" spans="2:16" s="108" customFormat="1" ht="35.25" hidden="1" customHeight="1">
      <c r="B2880" s="109"/>
      <c r="C2880" s="122"/>
      <c r="D2880" s="242" t="s">
        <v>2064</v>
      </c>
      <c r="E2880" s="723">
        <v>903682500</v>
      </c>
      <c r="F2880" s="134">
        <v>61543588793.150002</v>
      </c>
      <c r="G2880" s="126">
        <f t="shared" si="60"/>
        <v>1.4683617217015184</v>
      </c>
      <c r="H2880" s="120"/>
      <c r="I2880" s="120"/>
      <c r="J2880" s="116"/>
      <c r="K2880" s="116"/>
      <c r="L2880" s="116"/>
      <c r="M2880" s="116"/>
      <c r="N2880" s="116"/>
      <c r="O2880" s="116"/>
      <c r="P2880" s="116"/>
    </row>
    <row r="2881" spans="2:16" s="117" customFormat="1" ht="21.75" hidden="1" customHeight="1">
      <c r="B2881" s="118"/>
      <c r="C2881" s="110"/>
      <c r="D2881" s="241" t="s">
        <v>1433</v>
      </c>
      <c r="E2881" s="796">
        <f>E2882</f>
        <v>957050000</v>
      </c>
      <c r="F2881" s="114">
        <v>61543588793.150002</v>
      </c>
      <c r="G2881" s="127">
        <f t="shared" si="60"/>
        <v>1.5550766842939174</v>
      </c>
      <c r="H2881" s="120"/>
      <c r="I2881" s="120"/>
      <c r="J2881" s="121"/>
      <c r="K2881" s="121"/>
      <c r="L2881" s="121"/>
      <c r="M2881" s="121"/>
      <c r="N2881" s="121"/>
      <c r="O2881" s="121"/>
      <c r="P2881" s="121"/>
    </row>
    <row r="2882" spans="2:16" s="108" customFormat="1" ht="21.75" hidden="1" customHeight="1">
      <c r="B2882" s="109"/>
      <c r="C2882" s="122"/>
      <c r="D2882" s="242" t="s">
        <v>2065</v>
      </c>
      <c r="E2882" s="723">
        <v>957050000</v>
      </c>
      <c r="F2882" s="134">
        <v>61543588793.150002</v>
      </c>
      <c r="G2882" s="126">
        <f t="shared" si="60"/>
        <v>1.5550766842939174</v>
      </c>
      <c r="H2882" s="120"/>
      <c r="I2882" s="120"/>
      <c r="J2882" s="116"/>
      <c r="K2882" s="116"/>
      <c r="L2882" s="116"/>
      <c r="M2882" s="116"/>
      <c r="N2882" s="116"/>
      <c r="O2882" s="116"/>
      <c r="P2882" s="116"/>
    </row>
    <row r="2883" spans="2:16" s="108" customFormat="1" ht="21.75" hidden="1" customHeight="1">
      <c r="B2883" s="109"/>
      <c r="C2883" s="122"/>
      <c r="D2883" s="123"/>
      <c r="E2883" s="125"/>
      <c r="F2883" s="113"/>
      <c r="G2883" s="126"/>
      <c r="H2883" s="120"/>
      <c r="I2883" s="120"/>
      <c r="J2883" s="116"/>
      <c r="K2883" s="116"/>
      <c r="L2883" s="116"/>
      <c r="M2883" s="116"/>
      <c r="N2883" s="116"/>
      <c r="O2883" s="116"/>
      <c r="P2883" s="116"/>
    </row>
    <row r="2884" spans="2:16" s="117" customFormat="1" ht="21.75" hidden="1" customHeight="1">
      <c r="B2884" s="118"/>
      <c r="C2884" s="110" t="s">
        <v>2066</v>
      </c>
      <c r="D2884" s="111" t="s">
        <v>2067</v>
      </c>
      <c r="E2884" s="129">
        <f>+E2885+E2901+E2914+E2918+E2923+E2927+E2931+E2935+E2939+E2944+E2948+E2953+E2957+E2961+E2965+E2969+E2973+E2985+E2989</f>
        <v>61544586915.559998</v>
      </c>
      <c r="F2884" s="131">
        <v>1557405258400.0002</v>
      </c>
      <c r="G2884" s="127">
        <f>+E2884/F2884*100</f>
        <v>3.9517387387524172</v>
      </c>
      <c r="H2884" s="120"/>
      <c r="I2884" s="120"/>
      <c r="J2884" s="121"/>
      <c r="K2884" s="121"/>
      <c r="L2884" s="121"/>
      <c r="M2884" s="121"/>
      <c r="N2884" s="121"/>
      <c r="O2884" s="121"/>
      <c r="P2884" s="121"/>
    </row>
    <row r="2885" spans="2:16" s="108" customFormat="1" ht="21.75" hidden="1" customHeight="1">
      <c r="B2885" s="109"/>
      <c r="C2885" s="122"/>
      <c r="D2885" s="111" t="s">
        <v>64</v>
      </c>
      <c r="E2885" s="247">
        <f>E2886+E2889+E2891+E2894+E2896</f>
        <v>17463376074.669998</v>
      </c>
      <c r="F2885" s="134">
        <v>61544586915.559998</v>
      </c>
      <c r="G2885" s="126">
        <f>+E2885/F2885*100</f>
        <v>28.375161732143862</v>
      </c>
      <c r="H2885" s="120"/>
      <c r="I2885" s="120"/>
      <c r="J2885" s="116"/>
      <c r="K2885" s="116"/>
      <c r="L2885" s="116"/>
      <c r="M2885" s="116"/>
      <c r="N2885" s="116"/>
      <c r="O2885" s="116"/>
      <c r="P2885" s="116"/>
    </row>
    <row r="2886" spans="2:16" s="108" customFormat="1" ht="21.75" hidden="1" customHeight="1">
      <c r="B2886" s="109"/>
      <c r="C2886" s="122"/>
      <c r="D2886" s="148" t="s">
        <v>388</v>
      </c>
      <c r="E2886" s="247">
        <f>E2887+E2888</f>
        <v>586500000</v>
      </c>
      <c r="F2886" s="134">
        <v>61544586915.559998</v>
      </c>
      <c r="G2886" s="126">
        <f t="shared" ref="G2886:G2949" si="61">+E2886/F2886*100</f>
        <v>0.9529676440995305</v>
      </c>
      <c r="H2886" s="120"/>
      <c r="I2886" s="120"/>
      <c r="J2886" s="116"/>
      <c r="K2886" s="116"/>
      <c r="L2886" s="116"/>
      <c r="M2886" s="116"/>
      <c r="N2886" s="116"/>
      <c r="O2886" s="116"/>
      <c r="P2886" s="116"/>
    </row>
    <row r="2887" spans="2:16" s="108" customFormat="1" ht="21.75" hidden="1" customHeight="1">
      <c r="B2887" s="109"/>
      <c r="C2887" s="122"/>
      <c r="D2887" s="123" t="s">
        <v>2068</v>
      </c>
      <c r="E2887" s="248">
        <v>346500000</v>
      </c>
      <c r="F2887" s="134">
        <v>61544586915.559998</v>
      </c>
      <c r="G2887" s="126">
        <f t="shared" si="61"/>
        <v>0.56300645981327757</v>
      </c>
      <c r="H2887" s="120"/>
      <c r="I2887" s="120"/>
      <c r="J2887" s="116"/>
      <c r="K2887" s="116"/>
      <c r="L2887" s="116"/>
      <c r="M2887" s="116"/>
      <c r="N2887" s="116"/>
      <c r="O2887" s="116"/>
      <c r="P2887" s="116"/>
    </row>
    <row r="2888" spans="2:16" s="108" customFormat="1" ht="21.75" hidden="1" customHeight="1">
      <c r="B2888" s="109"/>
      <c r="C2888" s="122"/>
      <c r="D2888" s="123" t="s">
        <v>2069</v>
      </c>
      <c r="E2888" s="248">
        <v>240000000</v>
      </c>
      <c r="F2888" s="134">
        <v>61544586915.559998</v>
      </c>
      <c r="G2888" s="126">
        <f t="shared" si="61"/>
        <v>0.38996118428625287</v>
      </c>
      <c r="H2888" s="120"/>
      <c r="I2888" s="120"/>
      <c r="J2888" s="116"/>
      <c r="K2888" s="116"/>
      <c r="L2888" s="116"/>
      <c r="M2888" s="116"/>
      <c r="N2888" s="116"/>
      <c r="O2888" s="116"/>
      <c r="P2888" s="116"/>
    </row>
    <row r="2889" spans="2:16" s="108" customFormat="1" ht="21.75" hidden="1" customHeight="1">
      <c r="B2889" s="109"/>
      <c r="C2889" s="122"/>
      <c r="D2889" s="148" t="s">
        <v>2070</v>
      </c>
      <c r="E2889" s="247">
        <f>SUM(E2890:E2890)</f>
        <v>1128000000</v>
      </c>
      <c r="F2889" s="134">
        <v>61544586915.559998</v>
      </c>
      <c r="G2889" s="126">
        <f t="shared" si="61"/>
        <v>1.8328175661453887</v>
      </c>
      <c r="H2889" s="120"/>
      <c r="I2889" s="120"/>
      <c r="J2889" s="116"/>
      <c r="K2889" s="116"/>
      <c r="L2889" s="116"/>
      <c r="M2889" s="116"/>
      <c r="N2889" s="116"/>
      <c r="O2889" s="116"/>
      <c r="P2889" s="116"/>
    </row>
    <row r="2890" spans="2:16" s="108" customFormat="1" ht="21.75" hidden="1" customHeight="1">
      <c r="B2890" s="109"/>
      <c r="C2890" s="122"/>
      <c r="D2890" s="123" t="s">
        <v>2071</v>
      </c>
      <c r="E2890" s="248">
        <v>1128000000</v>
      </c>
      <c r="F2890" s="134">
        <v>61544586915.559998</v>
      </c>
      <c r="G2890" s="126">
        <f t="shared" si="61"/>
        <v>1.8328175661453887</v>
      </c>
      <c r="H2890" s="120"/>
      <c r="I2890" s="120"/>
      <c r="J2890" s="116"/>
      <c r="K2890" s="116"/>
      <c r="L2890" s="116"/>
      <c r="M2890" s="116"/>
      <c r="N2890" s="116"/>
      <c r="O2890" s="116"/>
      <c r="P2890" s="116"/>
    </row>
    <row r="2891" spans="2:16" s="108" customFormat="1" ht="21.75" hidden="1" customHeight="1">
      <c r="B2891" s="109"/>
      <c r="C2891" s="122"/>
      <c r="D2891" s="148" t="s">
        <v>2072</v>
      </c>
      <c r="E2891" s="247">
        <f>SUM(E2892:E2893)</f>
        <v>1083300000</v>
      </c>
      <c r="F2891" s="134">
        <v>61544586915.559998</v>
      </c>
      <c r="G2891" s="126">
        <f t="shared" si="61"/>
        <v>1.7601872955720739</v>
      </c>
      <c r="H2891" s="120"/>
      <c r="I2891" s="120"/>
      <c r="J2891" s="116"/>
      <c r="K2891" s="116"/>
      <c r="L2891" s="116"/>
      <c r="M2891" s="116"/>
      <c r="N2891" s="116"/>
      <c r="O2891" s="116"/>
      <c r="P2891" s="116"/>
    </row>
    <row r="2892" spans="2:16" s="108" customFormat="1" ht="21.75" hidden="1" customHeight="1">
      <c r="B2892" s="109"/>
      <c r="C2892" s="122"/>
      <c r="D2892" s="123" t="s">
        <v>2073</v>
      </c>
      <c r="E2892" s="248">
        <v>552000000</v>
      </c>
      <c r="F2892" s="134">
        <v>61544586915.559998</v>
      </c>
      <c r="G2892" s="126">
        <f t="shared" si="61"/>
        <v>0.89691072385838166</v>
      </c>
      <c r="H2892" s="120"/>
      <c r="I2892" s="120"/>
      <c r="J2892" s="116"/>
      <c r="K2892" s="116"/>
      <c r="L2892" s="116"/>
      <c r="M2892" s="116"/>
      <c r="N2892" s="116"/>
      <c r="O2892" s="116"/>
      <c r="P2892" s="116"/>
    </row>
    <row r="2893" spans="2:16" s="108" customFormat="1" ht="21.75" hidden="1" customHeight="1">
      <c r="B2893" s="109"/>
      <c r="C2893" s="122"/>
      <c r="D2893" s="123" t="s">
        <v>2074</v>
      </c>
      <c r="E2893" s="248">
        <v>531300000</v>
      </c>
      <c r="F2893" s="134">
        <v>61544586915.559998</v>
      </c>
      <c r="G2893" s="126">
        <f t="shared" si="61"/>
        <v>0.86327657171369232</v>
      </c>
      <c r="H2893" s="120"/>
      <c r="I2893" s="120"/>
      <c r="J2893" s="116"/>
      <c r="K2893" s="116"/>
      <c r="L2893" s="116"/>
      <c r="M2893" s="116"/>
      <c r="N2893" s="116"/>
      <c r="O2893" s="116"/>
      <c r="P2893" s="116"/>
    </row>
    <row r="2894" spans="2:16" s="108" customFormat="1" ht="21.75" hidden="1" customHeight="1">
      <c r="B2894" s="109"/>
      <c r="C2894" s="122"/>
      <c r="D2894" s="148" t="s">
        <v>2027</v>
      </c>
      <c r="E2894" s="247">
        <f>SUM(E2895:E2895)</f>
        <v>216000000</v>
      </c>
      <c r="F2894" s="134">
        <v>61544586915.559998</v>
      </c>
      <c r="G2894" s="126">
        <f t="shared" si="61"/>
        <v>0.3509650658576276</v>
      </c>
      <c r="H2894" s="120"/>
      <c r="I2894" s="120"/>
      <c r="J2894" s="116"/>
      <c r="K2894" s="116"/>
      <c r="L2894" s="116"/>
      <c r="M2894" s="116"/>
      <c r="N2894" s="116"/>
      <c r="O2894" s="116"/>
      <c r="P2894" s="116"/>
    </row>
    <row r="2895" spans="2:16" s="108" customFormat="1" ht="21.75" hidden="1" customHeight="1">
      <c r="B2895" s="109"/>
      <c r="C2895" s="122"/>
      <c r="D2895" s="123" t="s">
        <v>2073</v>
      </c>
      <c r="E2895" s="248">
        <v>216000000</v>
      </c>
      <c r="F2895" s="134">
        <v>61544586915.559998</v>
      </c>
      <c r="G2895" s="126">
        <f t="shared" si="61"/>
        <v>0.3509650658576276</v>
      </c>
      <c r="H2895" s="120"/>
      <c r="I2895" s="120"/>
      <c r="J2895" s="116"/>
      <c r="K2895" s="116"/>
      <c r="L2895" s="116"/>
      <c r="M2895" s="116"/>
      <c r="N2895" s="116"/>
      <c r="O2895" s="116"/>
      <c r="P2895" s="116"/>
    </row>
    <row r="2896" spans="2:16" s="108" customFormat="1" ht="21.75" hidden="1" customHeight="1">
      <c r="B2896" s="109"/>
      <c r="C2896" s="122"/>
      <c r="D2896" s="148" t="s">
        <v>2075</v>
      </c>
      <c r="E2896" s="247">
        <f>E2897+E2898+E2899</f>
        <v>14449576074.67</v>
      </c>
      <c r="F2896" s="134">
        <v>61544586915.559998</v>
      </c>
      <c r="G2896" s="126">
        <f t="shared" si="61"/>
        <v>23.478224160469242</v>
      </c>
      <c r="H2896" s="120"/>
      <c r="I2896" s="120"/>
      <c r="J2896" s="116"/>
      <c r="K2896" s="116"/>
      <c r="L2896" s="116"/>
      <c r="M2896" s="116"/>
      <c r="N2896" s="116"/>
      <c r="O2896" s="116"/>
      <c r="P2896" s="116"/>
    </row>
    <row r="2897" spans="2:16" s="108" customFormat="1" ht="36.75" hidden="1" customHeight="1">
      <c r="B2897" s="109"/>
      <c r="C2897" s="122"/>
      <c r="D2897" s="123" t="s">
        <v>2076</v>
      </c>
      <c r="E2897" s="248">
        <v>9747535400</v>
      </c>
      <c r="F2897" s="134">
        <v>61544586915.559998</v>
      </c>
      <c r="G2897" s="126">
        <f t="shared" si="61"/>
        <v>15.838168535234058</v>
      </c>
      <c r="H2897" s="120"/>
      <c r="I2897" s="120"/>
      <c r="J2897" s="116"/>
      <c r="K2897" s="116"/>
      <c r="L2897" s="116"/>
      <c r="M2897" s="116"/>
      <c r="N2897" s="116"/>
      <c r="O2897" s="116"/>
      <c r="P2897" s="116"/>
    </row>
    <row r="2898" spans="2:16" s="108" customFormat="1" ht="36.75" hidden="1" customHeight="1">
      <c r="B2898" s="109"/>
      <c r="C2898" s="122"/>
      <c r="D2898" s="123" t="s">
        <v>2077</v>
      </c>
      <c r="E2898" s="248">
        <v>700000000</v>
      </c>
      <c r="F2898" s="134">
        <v>61544586915.559998</v>
      </c>
      <c r="G2898" s="126">
        <f t="shared" si="61"/>
        <v>1.1373867875015709</v>
      </c>
      <c r="H2898" s="120"/>
      <c r="I2898" s="120"/>
      <c r="J2898" s="116"/>
      <c r="K2898" s="116"/>
      <c r="L2898" s="116"/>
      <c r="M2898" s="116"/>
      <c r="N2898" s="116"/>
      <c r="O2898" s="116"/>
      <c r="P2898" s="116"/>
    </row>
    <row r="2899" spans="2:16" s="108" customFormat="1" ht="21.75" hidden="1" customHeight="1">
      <c r="B2899" s="109"/>
      <c r="C2899" s="122"/>
      <c r="D2899" s="123" t="s">
        <v>2078</v>
      </c>
      <c r="E2899" s="248">
        <v>4002040674.6700001</v>
      </c>
      <c r="F2899" s="134">
        <v>61544586915.559998</v>
      </c>
      <c r="G2899" s="126">
        <f t="shared" si="61"/>
        <v>6.5026688377336157</v>
      </c>
      <c r="H2899" s="120"/>
      <c r="I2899" s="120"/>
      <c r="J2899" s="116"/>
      <c r="K2899" s="116"/>
      <c r="L2899" s="116"/>
      <c r="M2899" s="116"/>
      <c r="N2899" s="116"/>
      <c r="O2899" s="116"/>
      <c r="P2899" s="116"/>
    </row>
    <row r="2900" spans="2:16" s="108" customFormat="1" ht="21.75" hidden="1" customHeight="1">
      <c r="B2900" s="109"/>
      <c r="C2900" s="122"/>
      <c r="D2900" s="123"/>
      <c r="E2900" s="248"/>
      <c r="F2900" s="134">
        <v>61544586915.559998</v>
      </c>
      <c r="G2900" s="126">
        <f t="shared" si="61"/>
        <v>0</v>
      </c>
      <c r="H2900" s="120"/>
      <c r="I2900" s="120"/>
      <c r="J2900" s="116"/>
      <c r="K2900" s="116"/>
      <c r="L2900" s="116"/>
      <c r="M2900" s="116"/>
      <c r="N2900" s="116"/>
      <c r="O2900" s="116"/>
      <c r="P2900" s="116"/>
    </row>
    <row r="2901" spans="2:16" s="108" customFormat="1" ht="21.75" hidden="1" customHeight="1">
      <c r="B2901" s="109"/>
      <c r="C2901" s="122"/>
      <c r="D2901" s="148" t="s">
        <v>65</v>
      </c>
      <c r="E2901" s="247">
        <f>E2902+E2904+E2906+E2909+E2911</f>
        <v>9231688037.3299999</v>
      </c>
      <c r="F2901" s="134">
        <v>61544586915.559998</v>
      </c>
      <c r="G2901" s="126">
        <f t="shared" si="61"/>
        <v>14.999999999993502</v>
      </c>
      <c r="H2901" s="120"/>
      <c r="I2901" s="120"/>
      <c r="J2901" s="116"/>
      <c r="K2901" s="116"/>
      <c r="L2901" s="116"/>
      <c r="M2901" s="116"/>
      <c r="N2901" s="116"/>
      <c r="O2901" s="116"/>
      <c r="P2901" s="116"/>
    </row>
    <row r="2902" spans="2:16" s="108" customFormat="1" ht="21.75" hidden="1" customHeight="1">
      <c r="B2902" s="109"/>
      <c r="C2902" s="122"/>
      <c r="D2902" s="148" t="s">
        <v>1878</v>
      </c>
      <c r="E2902" s="247">
        <f>SUM(E2903)</f>
        <v>29500000</v>
      </c>
      <c r="F2902" s="134">
        <v>61544586915.559998</v>
      </c>
      <c r="G2902" s="126">
        <f t="shared" si="61"/>
        <v>4.793272890185192E-2</v>
      </c>
      <c r="H2902" s="120"/>
      <c r="I2902" s="120"/>
      <c r="J2902" s="116"/>
      <c r="K2902" s="116"/>
      <c r="L2902" s="116"/>
      <c r="M2902" s="116"/>
      <c r="N2902" s="116"/>
      <c r="O2902" s="116"/>
      <c r="P2902" s="116"/>
    </row>
    <row r="2903" spans="2:16" s="108" customFormat="1" ht="21.75" hidden="1" customHeight="1">
      <c r="B2903" s="109"/>
      <c r="C2903" s="122"/>
      <c r="D2903" s="123" t="s">
        <v>1879</v>
      </c>
      <c r="E2903" s="248">
        <v>29500000</v>
      </c>
      <c r="F2903" s="134">
        <v>61544586915.559998</v>
      </c>
      <c r="G2903" s="126">
        <f t="shared" si="61"/>
        <v>4.793272890185192E-2</v>
      </c>
      <c r="H2903" s="120"/>
      <c r="I2903" s="120"/>
      <c r="J2903" s="116"/>
      <c r="K2903" s="116"/>
      <c r="L2903" s="116"/>
      <c r="M2903" s="116"/>
      <c r="N2903" s="116"/>
      <c r="O2903" s="116"/>
      <c r="P2903" s="116"/>
    </row>
    <row r="2904" spans="2:16" s="108" customFormat="1" ht="21.75" hidden="1" customHeight="1">
      <c r="B2904" s="109"/>
      <c r="C2904" s="122"/>
      <c r="D2904" s="148" t="s">
        <v>162</v>
      </c>
      <c r="E2904" s="247">
        <f>SUM(E2905:E2905)</f>
        <v>336200000</v>
      </c>
      <c r="F2904" s="134">
        <v>61544586915.559998</v>
      </c>
      <c r="G2904" s="126">
        <f t="shared" si="61"/>
        <v>0.54627062565432594</v>
      </c>
      <c r="H2904" s="120"/>
      <c r="I2904" s="120"/>
      <c r="J2904" s="116"/>
      <c r="K2904" s="116"/>
      <c r="L2904" s="116"/>
      <c r="M2904" s="116"/>
      <c r="N2904" s="116"/>
      <c r="O2904" s="116"/>
      <c r="P2904" s="116"/>
    </row>
    <row r="2905" spans="2:16" s="108" customFormat="1" ht="21.75" hidden="1" customHeight="1">
      <c r="B2905" s="109"/>
      <c r="C2905" s="122"/>
      <c r="D2905" s="123" t="s">
        <v>2030</v>
      </c>
      <c r="E2905" s="248">
        <v>336200000</v>
      </c>
      <c r="F2905" s="134">
        <v>61544586915.559998</v>
      </c>
      <c r="G2905" s="126">
        <f t="shared" si="61"/>
        <v>0.54627062565432594</v>
      </c>
      <c r="H2905" s="120"/>
      <c r="I2905" s="120"/>
      <c r="J2905" s="116"/>
      <c r="K2905" s="116"/>
      <c r="L2905" s="116"/>
      <c r="M2905" s="116"/>
      <c r="N2905" s="116"/>
      <c r="O2905" s="116"/>
      <c r="P2905" s="116"/>
    </row>
    <row r="2906" spans="2:16" s="108" customFormat="1" ht="21.75" hidden="1" customHeight="1">
      <c r="B2906" s="109"/>
      <c r="C2906" s="122"/>
      <c r="D2906" s="148" t="s">
        <v>173</v>
      </c>
      <c r="E2906" s="247">
        <f>E2907+E2908</f>
        <v>4870700000</v>
      </c>
      <c r="F2906" s="134">
        <v>61544586915.559998</v>
      </c>
      <c r="G2906" s="126">
        <f t="shared" si="61"/>
        <v>7.9140997512627171</v>
      </c>
      <c r="H2906" s="120"/>
      <c r="I2906" s="120"/>
      <c r="J2906" s="116"/>
      <c r="K2906" s="116"/>
      <c r="L2906" s="116"/>
      <c r="M2906" s="116"/>
      <c r="N2906" s="116"/>
      <c r="O2906" s="116"/>
      <c r="P2906" s="116"/>
    </row>
    <row r="2907" spans="2:16" s="108" customFormat="1" ht="21.75" hidden="1" customHeight="1">
      <c r="B2907" s="109"/>
      <c r="C2907" s="122"/>
      <c r="D2907" s="123" t="s">
        <v>414</v>
      </c>
      <c r="E2907" s="248">
        <v>1488300000</v>
      </c>
      <c r="F2907" s="134">
        <v>61544586915.559998</v>
      </c>
      <c r="G2907" s="126">
        <f t="shared" si="61"/>
        <v>2.4182467940551255</v>
      </c>
      <c r="H2907" s="120"/>
      <c r="I2907" s="120"/>
      <c r="J2907" s="116"/>
      <c r="K2907" s="116"/>
      <c r="L2907" s="116"/>
      <c r="M2907" s="116"/>
      <c r="N2907" s="116"/>
      <c r="O2907" s="116"/>
      <c r="P2907" s="116"/>
    </row>
    <row r="2908" spans="2:16" s="108" customFormat="1" ht="32.25" hidden="1" customHeight="1">
      <c r="B2908" s="109"/>
      <c r="C2908" s="122"/>
      <c r="D2908" s="123" t="s">
        <v>2079</v>
      </c>
      <c r="E2908" s="248">
        <v>3382400000</v>
      </c>
      <c r="F2908" s="134">
        <v>61544586915.559998</v>
      </c>
      <c r="G2908" s="126">
        <f t="shared" si="61"/>
        <v>5.4958529572075907</v>
      </c>
      <c r="H2908" s="120"/>
      <c r="I2908" s="120"/>
      <c r="J2908" s="116"/>
      <c r="K2908" s="116"/>
      <c r="L2908" s="116"/>
      <c r="M2908" s="116"/>
      <c r="N2908" s="116"/>
      <c r="O2908" s="116"/>
      <c r="P2908" s="116"/>
    </row>
    <row r="2909" spans="2:16" s="108" customFormat="1" ht="21.75" hidden="1" customHeight="1">
      <c r="B2909" s="109"/>
      <c r="C2909" s="122"/>
      <c r="D2909" s="148" t="s">
        <v>2080</v>
      </c>
      <c r="E2909" s="247">
        <f>SUM(E2910:E2910)</f>
        <v>226000000</v>
      </c>
      <c r="F2909" s="134">
        <v>61544586915.559998</v>
      </c>
      <c r="G2909" s="126">
        <f t="shared" si="61"/>
        <v>0.36721344853622145</v>
      </c>
      <c r="H2909" s="120"/>
      <c r="I2909" s="120"/>
      <c r="J2909" s="116"/>
      <c r="K2909" s="116"/>
      <c r="L2909" s="116"/>
      <c r="M2909" s="116"/>
      <c r="N2909" s="116"/>
      <c r="O2909" s="116"/>
      <c r="P2909" s="116"/>
    </row>
    <row r="2910" spans="2:16" s="108" customFormat="1" ht="21.75" hidden="1" customHeight="1">
      <c r="B2910" s="109"/>
      <c r="C2910" s="122"/>
      <c r="D2910" s="123" t="s">
        <v>684</v>
      </c>
      <c r="E2910" s="248">
        <v>226000000</v>
      </c>
      <c r="F2910" s="134">
        <v>61544586915.559998</v>
      </c>
      <c r="G2910" s="126">
        <f t="shared" si="61"/>
        <v>0.36721344853622145</v>
      </c>
      <c r="H2910" s="120"/>
      <c r="I2910" s="120"/>
      <c r="J2910" s="116"/>
      <c r="K2910" s="116"/>
      <c r="L2910" s="116"/>
      <c r="M2910" s="116"/>
      <c r="N2910" s="116"/>
      <c r="O2910" s="116"/>
      <c r="P2910" s="116"/>
    </row>
    <row r="2911" spans="2:16" s="108" customFormat="1" ht="36.75" hidden="1" customHeight="1">
      <c r="B2911" s="109"/>
      <c r="C2911" s="122"/>
      <c r="D2911" s="148" t="s">
        <v>2081</v>
      </c>
      <c r="E2911" s="247">
        <f>SUM(E2912:E2912)</f>
        <v>3769288037.3299999</v>
      </c>
      <c r="F2911" s="134">
        <v>61544586915.559998</v>
      </c>
      <c r="G2911" s="126">
        <f t="shared" si="61"/>
        <v>6.1244834456383854</v>
      </c>
      <c r="H2911" s="120"/>
      <c r="I2911" s="120"/>
      <c r="J2911" s="116"/>
      <c r="K2911" s="116"/>
      <c r="L2911" s="116"/>
      <c r="M2911" s="116"/>
      <c r="N2911" s="116"/>
      <c r="O2911" s="116"/>
      <c r="P2911" s="116"/>
    </row>
    <row r="2912" spans="2:16" s="108" customFormat="1" ht="21.75" hidden="1" customHeight="1">
      <c r="B2912" s="109"/>
      <c r="C2912" s="122"/>
      <c r="D2912" s="123" t="s">
        <v>2082</v>
      </c>
      <c r="E2912" s="248">
        <v>3769288037.3299999</v>
      </c>
      <c r="F2912" s="134">
        <v>61544586915.559998</v>
      </c>
      <c r="G2912" s="126">
        <f t="shared" si="61"/>
        <v>6.1244834456383854</v>
      </c>
      <c r="H2912" s="120"/>
      <c r="I2912" s="120"/>
      <c r="J2912" s="116"/>
      <c r="K2912" s="116"/>
      <c r="L2912" s="116"/>
      <c r="M2912" s="116"/>
      <c r="N2912" s="116"/>
      <c r="O2912" s="116"/>
      <c r="P2912" s="116"/>
    </row>
    <row r="2913" spans="2:16" s="108" customFormat="1" ht="21.75" hidden="1" customHeight="1">
      <c r="B2913" s="109"/>
      <c r="C2913" s="122"/>
      <c r="D2913" s="123"/>
      <c r="E2913" s="248"/>
      <c r="F2913" s="134">
        <v>61544586915.559998</v>
      </c>
      <c r="G2913" s="126">
        <f t="shared" si="61"/>
        <v>0</v>
      </c>
      <c r="H2913" s="120"/>
      <c r="I2913" s="120"/>
      <c r="J2913" s="116"/>
      <c r="K2913" s="116"/>
      <c r="L2913" s="116"/>
      <c r="M2913" s="116"/>
      <c r="N2913" s="116"/>
      <c r="O2913" s="116"/>
      <c r="P2913" s="116"/>
    </row>
    <row r="2914" spans="2:16" s="108" customFormat="1" ht="21.75" hidden="1" customHeight="1">
      <c r="B2914" s="109"/>
      <c r="C2914" s="122"/>
      <c r="D2914" s="148" t="s">
        <v>2083</v>
      </c>
      <c r="E2914" s="247">
        <f>E2915</f>
        <v>1735350430</v>
      </c>
      <c r="F2914" s="134">
        <v>61544586915.559998</v>
      </c>
      <c r="G2914" s="126">
        <f t="shared" si="61"/>
        <v>2.8196637868102425</v>
      </c>
      <c r="H2914" s="120"/>
      <c r="I2914" s="120"/>
      <c r="J2914" s="116"/>
      <c r="K2914" s="116"/>
      <c r="L2914" s="116"/>
      <c r="M2914" s="116"/>
      <c r="N2914" s="116"/>
      <c r="O2914" s="116"/>
      <c r="P2914" s="116"/>
    </row>
    <row r="2915" spans="2:16" s="108" customFormat="1" ht="21.75" hidden="1" customHeight="1">
      <c r="B2915" s="109"/>
      <c r="C2915" s="122"/>
      <c r="D2915" s="148" t="s">
        <v>498</v>
      </c>
      <c r="E2915" s="247">
        <f>SUM(E2916)</f>
        <v>1735350430</v>
      </c>
      <c r="F2915" s="134">
        <v>61544586915.559998</v>
      </c>
      <c r="G2915" s="126">
        <f t="shared" si="61"/>
        <v>2.8196637868102425</v>
      </c>
      <c r="H2915" s="120"/>
      <c r="I2915" s="120"/>
      <c r="J2915" s="116"/>
      <c r="K2915" s="116"/>
      <c r="L2915" s="116"/>
      <c r="M2915" s="116"/>
      <c r="N2915" s="116"/>
      <c r="O2915" s="116"/>
      <c r="P2915" s="116"/>
    </row>
    <row r="2916" spans="2:16" s="108" customFormat="1" ht="21.75" hidden="1" customHeight="1">
      <c r="B2916" s="109"/>
      <c r="C2916" s="122"/>
      <c r="D2916" s="123" t="s">
        <v>1900</v>
      </c>
      <c r="E2916" s="248">
        <v>1735350430</v>
      </c>
      <c r="F2916" s="134">
        <v>61544586915.559998</v>
      </c>
      <c r="G2916" s="126">
        <f t="shared" si="61"/>
        <v>2.8196637868102425</v>
      </c>
      <c r="H2916" s="120"/>
      <c r="I2916" s="120"/>
      <c r="J2916" s="116"/>
      <c r="K2916" s="116"/>
      <c r="L2916" s="116"/>
      <c r="M2916" s="116"/>
      <c r="N2916" s="116"/>
      <c r="O2916" s="116"/>
      <c r="P2916" s="116"/>
    </row>
    <row r="2917" spans="2:16" s="108" customFormat="1" ht="21.75" hidden="1" customHeight="1">
      <c r="B2917" s="109"/>
      <c r="C2917" s="122"/>
      <c r="D2917" s="123"/>
      <c r="E2917" s="248"/>
      <c r="F2917" s="134">
        <v>61544586915.559998</v>
      </c>
      <c r="G2917" s="126">
        <f t="shared" si="61"/>
        <v>0</v>
      </c>
      <c r="H2917" s="120"/>
      <c r="I2917" s="120"/>
      <c r="J2917" s="116"/>
      <c r="K2917" s="116"/>
      <c r="L2917" s="116"/>
      <c r="M2917" s="116"/>
      <c r="N2917" s="116"/>
      <c r="O2917" s="116"/>
      <c r="P2917" s="116"/>
    </row>
    <row r="2918" spans="2:16" s="108" customFormat="1" ht="32.25" hidden="1" customHeight="1">
      <c r="B2918" s="109"/>
      <c r="C2918" s="122"/>
      <c r="D2918" s="148" t="s">
        <v>2084</v>
      </c>
      <c r="E2918" s="247">
        <f>E2919+E2921</f>
        <v>783648964.77999997</v>
      </c>
      <c r="F2918" s="134">
        <v>61544586915.559998</v>
      </c>
      <c r="G2918" s="126">
        <f t="shared" si="61"/>
        <v>1.2733028265429369</v>
      </c>
      <c r="H2918" s="120"/>
      <c r="I2918" s="120"/>
      <c r="J2918" s="116"/>
      <c r="K2918" s="116"/>
      <c r="L2918" s="116"/>
      <c r="M2918" s="116"/>
      <c r="N2918" s="116"/>
      <c r="O2918" s="116"/>
      <c r="P2918" s="116"/>
    </row>
    <row r="2919" spans="2:16" s="108" customFormat="1" ht="21.75" hidden="1" customHeight="1">
      <c r="B2919" s="109"/>
      <c r="C2919" s="122"/>
      <c r="D2919" s="148" t="s">
        <v>2085</v>
      </c>
      <c r="E2919" s="247">
        <f>SUM(E2920)</f>
        <v>435445040</v>
      </c>
      <c r="F2919" s="134">
        <v>61544586915.559998</v>
      </c>
      <c r="G2919" s="126">
        <f t="shared" si="61"/>
        <v>0.70752776454156141</v>
      </c>
      <c r="H2919" s="120"/>
      <c r="I2919" s="120"/>
      <c r="J2919" s="116"/>
      <c r="K2919" s="116"/>
      <c r="L2919" s="116"/>
      <c r="M2919" s="116"/>
      <c r="N2919" s="116"/>
      <c r="O2919" s="116"/>
      <c r="P2919" s="116"/>
    </row>
    <row r="2920" spans="2:16" s="108" customFormat="1" ht="47.25" hidden="1" customHeight="1">
      <c r="B2920" s="109"/>
      <c r="C2920" s="122"/>
      <c r="D2920" s="123" t="s">
        <v>1537</v>
      </c>
      <c r="E2920" s="248">
        <v>435445040</v>
      </c>
      <c r="F2920" s="134">
        <v>61544586915.559998</v>
      </c>
      <c r="G2920" s="126">
        <f t="shared" si="61"/>
        <v>0.70752776454156141</v>
      </c>
      <c r="H2920" s="120"/>
      <c r="I2920" s="120"/>
      <c r="J2920" s="116"/>
      <c r="K2920" s="116"/>
      <c r="L2920" s="116"/>
      <c r="M2920" s="116"/>
      <c r="N2920" s="116"/>
      <c r="O2920" s="116"/>
      <c r="P2920" s="116"/>
    </row>
    <row r="2921" spans="2:16" s="108" customFormat="1" ht="21.75" hidden="1" customHeight="1">
      <c r="B2921" s="109"/>
      <c r="C2921" s="122"/>
      <c r="D2921" s="148" t="s">
        <v>2086</v>
      </c>
      <c r="E2921" s="247">
        <f>SUM(E2922)</f>
        <v>348203924.77999997</v>
      </c>
      <c r="F2921" s="134">
        <v>61544586915.559998</v>
      </c>
      <c r="G2921" s="126">
        <f t="shared" si="61"/>
        <v>0.5657750620013754</v>
      </c>
      <c r="H2921" s="120"/>
      <c r="I2921" s="120"/>
      <c r="J2921" s="116"/>
      <c r="K2921" s="116"/>
      <c r="L2921" s="116"/>
      <c r="M2921" s="116"/>
      <c r="N2921" s="116"/>
      <c r="O2921" s="116"/>
      <c r="P2921" s="116"/>
    </row>
    <row r="2922" spans="2:16" s="108" customFormat="1" ht="47.25" hidden="1" customHeight="1">
      <c r="B2922" s="109"/>
      <c r="C2922" s="122"/>
      <c r="D2922" s="123" t="s">
        <v>2087</v>
      </c>
      <c r="E2922" s="248">
        <v>348203924.77999997</v>
      </c>
      <c r="F2922" s="134">
        <v>61544586915.559998</v>
      </c>
      <c r="G2922" s="126">
        <f t="shared" si="61"/>
        <v>0.5657750620013754</v>
      </c>
      <c r="H2922" s="120"/>
      <c r="I2922" s="120"/>
      <c r="J2922" s="116"/>
      <c r="K2922" s="116"/>
      <c r="L2922" s="116"/>
      <c r="M2922" s="116"/>
      <c r="N2922" s="116"/>
      <c r="O2922" s="116"/>
      <c r="P2922" s="116"/>
    </row>
    <row r="2923" spans="2:16" s="108" customFormat="1" ht="21.75" hidden="1" customHeight="1">
      <c r="B2923" s="109"/>
      <c r="C2923" s="122"/>
      <c r="D2923" s="148" t="s">
        <v>1347</v>
      </c>
      <c r="E2923" s="247">
        <f>E2924</f>
        <v>1000000000</v>
      </c>
      <c r="F2923" s="134">
        <v>61544586915.559998</v>
      </c>
      <c r="G2923" s="126">
        <f t="shared" si="61"/>
        <v>1.6248382678593871</v>
      </c>
      <c r="H2923" s="120"/>
      <c r="I2923" s="120"/>
      <c r="J2923" s="116"/>
      <c r="K2923" s="116"/>
      <c r="L2923" s="116"/>
      <c r="M2923" s="116"/>
      <c r="N2923" s="116"/>
      <c r="O2923" s="116"/>
      <c r="P2923" s="116"/>
    </row>
    <row r="2924" spans="2:16" s="108" customFormat="1" ht="21.75" hidden="1" customHeight="1">
      <c r="B2924" s="109"/>
      <c r="C2924" s="122"/>
      <c r="D2924" s="148" t="s">
        <v>1438</v>
      </c>
      <c r="E2924" s="247">
        <f>SUM(E2925)</f>
        <v>1000000000</v>
      </c>
      <c r="F2924" s="134">
        <v>61544586915.559998</v>
      </c>
      <c r="G2924" s="126">
        <f t="shared" si="61"/>
        <v>1.6248382678593871</v>
      </c>
      <c r="H2924" s="120"/>
      <c r="I2924" s="120"/>
      <c r="J2924" s="116"/>
      <c r="K2924" s="116"/>
      <c r="L2924" s="116"/>
      <c r="M2924" s="116"/>
      <c r="N2924" s="116"/>
      <c r="O2924" s="116"/>
      <c r="P2924" s="116"/>
    </row>
    <row r="2925" spans="2:16" s="108" customFormat="1" ht="21.75" hidden="1" customHeight="1">
      <c r="B2925" s="109"/>
      <c r="C2925" s="122"/>
      <c r="D2925" s="123" t="s">
        <v>2088</v>
      </c>
      <c r="E2925" s="248">
        <v>1000000000</v>
      </c>
      <c r="F2925" s="134">
        <v>61544586915.559998</v>
      </c>
      <c r="G2925" s="126">
        <f t="shared" si="61"/>
        <v>1.6248382678593871</v>
      </c>
      <c r="H2925" s="120"/>
      <c r="I2925" s="120"/>
      <c r="J2925" s="116"/>
      <c r="K2925" s="116"/>
      <c r="L2925" s="116"/>
      <c r="M2925" s="116"/>
      <c r="N2925" s="116"/>
      <c r="O2925" s="116"/>
      <c r="P2925" s="116"/>
    </row>
    <row r="2926" spans="2:16" s="108" customFormat="1" ht="21.75" hidden="1" customHeight="1">
      <c r="B2926" s="109"/>
      <c r="C2926" s="122"/>
      <c r="D2926" s="123"/>
      <c r="E2926" s="248"/>
      <c r="F2926" s="134">
        <v>61544586915.559998</v>
      </c>
      <c r="G2926" s="126">
        <f t="shared" si="61"/>
        <v>0</v>
      </c>
      <c r="H2926" s="120"/>
      <c r="I2926" s="120"/>
      <c r="J2926" s="116"/>
      <c r="K2926" s="116"/>
      <c r="L2926" s="116"/>
      <c r="M2926" s="116"/>
      <c r="N2926" s="116"/>
      <c r="O2926" s="116"/>
      <c r="P2926" s="116"/>
    </row>
    <row r="2927" spans="2:16" s="108" customFormat="1" ht="21.75" hidden="1" customHeight="1">
      <c r="B2927" s="109"/>
      <c r="C2927" s="122"/>
      <c r="D2927" s="148" t="s">
        <v>1909</v>
      </c>
      <c r="E2927" s="247">
        <f>E2928</f>
        <v>150000000</v>
      </c>
      <c r="F2927" s="134">
        <v>61544586915.559998</v>
      </c>
      <c r="G2927" s="126">
        <f t="shared" si="61"/>
        <v>0.24372574017890808</v>
      </c>
      <c r="H2927" s="120"/>
      <c r="I2927" s="120"/>
      <c r="J2927" s="116"/>
      <c r="K2927" s="116"/>
      <c r="L2927" s="116"/>
      <c r="M2927" s="116"/>
      <c r="N2927" s="116"/>
      <c r="O2927" s="116"/>
      <c r="P2927" s="116"/>
    </row>
    <row r="2928" spans="2:16" s="108" customFormat="1" ht="21.75" hidden="1" customHeight="1">
      <c r="B2928" s="109"/>
      <c r="C2928" s="122"/>
      <c r="D2928" s="148" t="s">
        <v>2089</v>
      </c>
      <c r="E2928" s="247">
        <f>SUM(E2929)</f>
        <v>150000000</v>
      </c>
      <c r="F2928" s="134">
        <v>61544586915.559998</v>
      </c>
      <c r="G2928" s="126">
        <f t="shared" si="61"/>
        <v>0.24372574017890808</v>
      </c>
      <c r="H2928" s="120"/>
      <c r="I2928" s="120"/>
      <c r="J2928" s="116"/>
      <c r="K2928" s="116"/>
      <c r="L2928" s="116"/>
      <c r="M2928" s="116"/>
      <c r="N2928" s="116"/>
      <c r="O2928" s="116"/>
      <c r="P2928" s="116"/>
    </row>
    <row r="2929" spans="2:16" s="108" customFormat="1" ht="21.75" hidden="1" customHeight="1">
      <c r="B2929" s="109"/>
      <c r="C2929" s="122"/>
      <c r="D2929" s="123" t="s">
        <v>2090</v>
      </c>
      <c r="E2929" s="248">
        <v>150000000</v>
      </c>
      <c r="F2929" s="134">
        <v>61544586915.559998</v>
      </c>
      <c r="G2929" s="126">
        <f t="shared" si="61"/>
        <v>0.24372574017890808</v>
      </c>
      <c r="H2929" s="120"/>
      <c r="I2929" s="120"/>
      <c r="J2929" s="116"/>
      <c r="K2929" s="116"/>
      <c r="L2929" s="116"/>
      <c r="M2929" s="116"/>
      <c r="N2929" s="116"/>
      <c r="O2929" s="116"/>
      <c r="P2929" s="116"/>
    </row>
    <row r="2930" spans="2:16" s="108" customFormat="1" ht="21.75" hidden="1" customHeight="1">
      <c r="B2930" s="109"/>
      <c r="C2930" s="122"/>
      <c r="D2930" s="123"/>
      <c r="E2930" s="248"/>
      <c r="F2930" s="134">
        <v>61544586915.559998</v>
      </c>
      <c r="G2930" s="126">
        <f t="shared" si="61"/>
        <v>0</v>
      </c>
      <c r="H2930" s="120"/>
      <c r="I2930" s="120"/>
      <c r="J2930" s="116"/>
      <c r="K2930" s="116"/>
      <c r="L2930" s="116"/>
      <c r="M2930" s="116"/>
      <c r="N2930" s="116"/>
      <c r="O2930" s="116"/>
      <c r="P2930" s="116"/>
    </row>
    <row r="2931" spans="2:16" s="108" customFormat="1" ht="21.75" hidden="1" customHeight="1">
      <c r="B2931" s="109"/>
      <c r="C2931" s="122"/>
      <c r="D2931" s="148" t="s">
        <v>2091</v>
      </c>
      <c r="E2931" s="247">
        <f>E2932</f>
        <v>694485547.05999994</v>
      </c>
      <c r="F2931" s="134">
        <v>61544586915.559998</v>
      </c>
      <c r="G2931" s="126">
        <f t="shared" si="61"/>
        <v>1.1284266933383491</v>
      </c>
      <c r="H2931" s="120"/>
      <c r="I2931" s="120"/>
      <c r="J2931" s="116"/>
      <c r="K2931" s="116"/>
      <c r="L2931" s="116"/>
      <c r="M2931" s="116"/>
      <c r="N2931" s="116"/>
      <c r="O2931" s="116"/>
      <c r="P2931" s="116"/>
    </row>
    <row r="2932" spans="2:16" s="108" customFormat="1" ht="21.75" hidden="1" customHeight="1">
      <c r="B2932" s="109"/>
      <c r="C2932" s="122"/>
      <c r="D2932" s="148" t="s">
        <v>1205</v>
      </c>
      <c r="E2932" s="247">
        <f>SUM(E2933)</f>
        <v>694485547.05999994</v>
      </c>
      <c r="F2932" s="134">
        <v>61544586915.559998</v>
      </c>
      <c r="G2932" s="126">
        <f t="shared" si="61"/>
        <v>1.1284266933383491</v>
      </c>
      <c r="H2932" s="120"/>
      <c r="I2932" s="120"/>
      <c r="J2932" s="116"/>
      <c r="K2932" s="116"/>
      <c r="L2932" s="116"/>
      <c r="M2932" s="116"/>
      <c r="N2932" s="116"/>
      <c r="O2932" s="116"/>
      <c r="P2932" s="116"/>
    </row>
    <row r="2933" spans="2:16" s="108" customFormat="1" ht="21.75" hidden="1" customHeight="1">
      <c r="B2933" s="109"/>
      <c r="C2933" s="122"/>
      <c r="D2933" s="123" t="s">
        <v>1913</v>
      </c>
      <c r="E2933" s="248">
        <v>694485547.05999994</v>
      </c>
      <c r="F2933" s="134">
        <v>61544586915.559998</v>
      </c>
      <c r="G2933" s="126">
        <f t="shared" si="61"/>
        <v>1.1284266933383491</v>
      </c>
      <c r="H2933" s="120"/>
      <c r="I2933" s="120"/>
      <c r="J2933" s="116"/>
      <c r="K2933" s="116"/>
      <c r="L2933" s="116"/>
      <c r="M2933" s="116"/>
      <c r="N2933" s="116"/>
      <c r="O2933" s="116"/>
      <c r="P2933" s="116"/>
    </row>
    <row r="2934" spans="2:16" s="108" customFormat="1" ht="21.75" hidden="1" customHeight="1">
      <c r="B2934" s="109"/>
      <c r="C2934" s="122"/>
      <c r="D2934" s="123"/>
      <c r="E2934" s="248"/>
      <c r="F2934" s="134">
        <v>61544586915.559998</v>
      </c>
      <c r="G2934" s="126">
        <f t="shared" si="61"/>
        <v>0</v>
      </c>
      <c r="H2934" s="120"/>
      <c r="I2934" s="120"/>
      <c r="J2934" s="116"/>
      <c r="K2934" s="116"/>
      <c r="L2934" s="116"/>
      <c r="M2934" s="116"/>
      <c r="N2934" s="116"/>
      <c r="O2934" s="116"/>
      <c r="P2934" s="116"/>
    </row>
    <row r="2935" spans="2:16" s="108" customFormat="1" ht="30" hidden="1" customHeight="1">
      <c r="B2935" s="109"/>
      <c r="C2935" s="122"/>
      <c r="D2935" s="148" t="s">
        <v>1733</v>
      </c>
      <c r="E2935" s="247">
        <f>E2936</f>
        <v>150000000</v>
      </c>
      <c r="F2935" s="134">
        <v>61544586915.559998</v>
      </c>
      <c r="G2935" s="126">
        <f t="shared" si="61"/>
        <v>0.24372574017890808</v>
      </c>
      <c r="H2935" s="120"/>
      <c r="I2935" s="120"/>
      <c r="J2935" s="116"/>
      <c r="K2935" s="116"/>
      <c r="L2935" s="116"/>
      <c r="M2935" s="116"/>
      <c r="N2935" s="116"/>
      <c r="O2935" s="116"/>
      <c r="P2935" s="116"/>
    </row>
    <row r="2936" spans="2:16" s="108" customFormat="1" ht="21.75" hidden="1" customHeight="1">
      <c r="B2936" s="109"/>
      <c r="C2936" s="122"/>
      <c r="D2936" s="148" t="s">
        <v>973</v>
      </c>
      <c r="E2936" s="247">
        <f>SUM(E2937)</f>
        <v>150000000</v>
      </c>
      <c r="F2936" s="134">
        <v>61544586915.559998</v>
      </c>
      <c r="G2936" s="126">
        <f t="shared" si="61"/>
        <v>0.24372574017890808</v>
      </c>
      <c r="H2936" s="120"/>
      <c r="I2936" s="120"/>
      <c r="J2936" s="116"/>
      <c r="K2936" s="116"/>
      <c r="L2936" s="116"/>
      <c r="M2936" s="116"/>
      <c r="N2936" s="116"/>
      <c r="O2936" s="116"/>
      <c r="P2936" s="116"/>
    </row>
    <row r="2937" spans="2:16" s="108" customFormat="1" ht="21.75" hidden="1" customHeight="1">
      <c r="B2937" s="109"/>
      <c r="C2937" s="122"/>
      <c r="D2937" s="123" t="s">
        <v>2092</v>
      </c>
      <c r="E2937" s="248">
        <v>150000000</v>
      </c>
      <c r="F2937" s="134">
        <v>61544586915.559998</v>
      </c>
      <c r="G2937" s="126">
        <f t="shared" si="61"/>
        <v>0.24372574017890808</v>
      </c>
      <c r="H2937" s="120"/>
      <c r="I2937" s="120"/>
      <c r="J2937" s="116"/>
      <c r="K2937" s="116"/>
      <c r="L2937" s="116"/>
      <c r="M2937" s="116"/>
      <c r="N2937" s="116"/>
      <c r="O2937" s="116"/>
      <c r="P2937" s="116"/>
    </row>
    <row r="2938" spans="2:16" s="108" customFormat="1" ht="21.75" hidden="1" customHeight="1">
      <c r="B2938" s="109"/>
      <c r="C2938" s="122"/>
      <c r="D2938" s="123"/>
      <c r="E2938" s="248"/>
      <c r="F2938" s="134">
        <v>61544586915.559998</v>
      </c>
      <c r="G2938" s="126">
        <f t="shared" si="61"/>
        <v>0</v>
      </c>
      <c r="H2938" s="120"/>
      <c r="I2938" s="120"/>
      <c r="J2938" s="116"/>
      <c r="K2938" s="116"/>
      <c r="L2938" s="116"/>
      <c r="M2938" s="116"/>
      <c r="N2938" s="116"/>
      <c r="O2938" s="116"/>
      <c r="P2938" s="116"/>
    </row>
    <row r="2939" spans="2:16" s="108" customFormat="1" ht="21.75" hidden="1" customHeight="1">
      <c r="B2939" s="109"/>
      <c r="C2939" s="122"/>
      <c r="D2939" s="148" t="s">
        <v>642</v>
      </c>
      <c r="E2939" s="247">
        <f>E2940</f>
        <v>7000000000.2600002</v>
      </c>
      <c r="F2939" s="134">
        <v>61544586915.559998</v>
      </c>
      <c r="G2939" s="126">
        <f t="shared" si="61"/>
        <v>11.373867875438167</v>
      </c>
      <c r="H2939" s="120"/>
      <c r="I2939" s="120"/>
      <c r="J2939" s="116"/>
      <c r="K2939" s="116"/>
      <c r="L2939" s="116"/>
      <c r="M2939" s="116"/>
      <c r="N2939" s="116"/>
      <c r="O2939" s="116"/>
      <c r="P2939" s="116"/>
    </row>
    <row r="2940" spans="2:16" s="108" customFormat="1" ht="21.75" hidden="1" customHeight="1">
      <c r="B2940" s="109"/>
      <c r="C2940" s="122"/>
      <c r="D2940" s="148" t="s">
        <v>1953</v>
      </c>
      <c r="E2940" s="247">
        <f>SUM(E2941:E2942)</f>
        <v>7000000000.2600002</v>
      </c>
      <c r="F2940" s="134">
        <v>61544586915.559998</v>
      </c>
      <c r="G2940" s="126">
        <f t="shared" si="61"/>
        <v>11.373867875438167</v>
      </c>
      <c r="H2940" s="120"/>
      <c r="I2940" s="120"/>
      <c r="J2940" s="116"/>
      <c r="K2940" s="116"/>
      <c r="L2940" s="116"/>
      <c r="M2940" s="116"/>
      <c r="N2940" s="116"/>
      <c r="O2940" s="116"/>
      <c r="P2940" s="116"/>
    </row>
    <row r="2941" spans="2:16" s="108" customFormat="1" ht="34.5" hidden="1" customHeight="1">
      <c r="B2941" s="109"/>
      <c r="C2941" s="122"/>
      <c r="D2941" s="123" t="s">
        <v>2093</v>
      </c>
      <c r="E2941" s="248">
        <v>4200000000.2600002</v>
      </c>
      <c r="F2941" s="134">
        <v>61544586915.559998</v>
      </c>
      <c r="G2941" s="126">
        <f t="shared" si="61"/>
        <v>6.8243207254318845</v>
      </c>
      <c r="H2941" s="120"/>
      <c r="I2941" s="120"/>
      <c r="J2941" s="116"/>
      <c r="K2941" s="116"/>
      <c r="L2941" s="116"/>
      <c r="M2941" s="116"/>
      <c r="N2941" s="116"/>
      <c r="O2941" s="116"/>
      <c r="P2941" s="116"/>
    </row>
    <row r="2942" spans="2:16" s="108" customFormat="1" ht="21.75" hidden="1" customHeight="1">
      <c r="B2942" s="109"/>
      <c r="C2942" s="122"/>
      <c r="D2942" s="123" t="s">
        <v>2094</v>
      </c>
      <c r="E2942" s="248">
        <v>2800000000</v>
      </c>
      <c r="F2942" s="134">
        <v>61544586915.559998</v>
      </c>
      <c r="G2942" s="126">
        <f t="shared" si="61"/>
        <v>4.5495471500062834</v>
      </c>
      <c r="H2942" s="120"/>
      <c r="I2942" s="120"/>
      <c r="J2942" s="116"/>
      <c r="K2942" s="116"/>
      <c r="L2942" s="116"/>
      <c r="M2942" s="116"/>
      <c r="N2942" s="116"/>
      <c r="O2942" s="116"/>
      <c r="P2942" s="116"/>
    </row>
    <row r="2943" spans="2:16" s="108" customFormat="1" ht="21.75" hidden="1" customHeight="1">
      <c r="B2943" s="109"/>
      <c r="C2943" s="122"/>
      <c r="D2943" s="123"/>
      <c r="E2943" s="248"/>
      <c r="F2943" s="134">
        <v>61544586915.559998</v>
      </c>
      <c r="G2943" s="126">
        <f t="shared" si="61"/>
        <v>0</v>
      </c>
      <c r="H2943" s="120"/>
      <c r="I2943" s="120"/>
      <c r="J2943" s="116"/>
      <c r="K2943" s="116"/>
      <c r="L2943" s="116"/>
      <c r="M2943" s="116"/>
      <c r="N2943" s="116"/>
      <c r="O2943" s="116"/>
      <c r="P2943" s="116"/>
    </row>
    <row r="2944" spans="2:16" s="108" customFormat="1" ht="21.75" hidden="1" customHeight="1">
      <c r="B2944" s="109"/>
      <c r="C2944" s="122"/>
      <c r="D2944" s="148" t="s">
        <v>1139</v>
      </c>
      <c r="E2944" s="247">
        <f>E2945</f>
        <v>150000000</v>
      </c>
      <c r="F2944" s="134">
        <v>61544586915.559998</v>
      </c>
      <c r="G2944" s="126">
        <f t="shared" si="61"/>
        <v>0.24372574017890808</v>
      </c>
      <c r="H2944" s="120"/>
      <c r="I2944" s="120"/>
      <c r="J2944" s="116"/>
      <c r="K2944" s="116"/>
      <c r="L2944" s="116"/>
      <c r="M2944" s="116"/>
      <c r="N2944" s="116"/>
      <c r="O2944" s="116"/>
      <c r="P2944" s="116"/>
    </row>
    <row r="2945" spans="2:16" s="108" customFormat="1" ht="21.75" hidden="1" customHeight="1">
      <c r="B2945" s="109"/>
      <c r="C2945" s="122"/>
      <c r="D2945" s="148" t="s">
        <v>2095</v>
      </c>
      <c r="E2945" s="247">
        <f>SUM(E2946)</f>
        <v>150000000</v>
      </c>
      <c r="F2945" s="134">
        <v>61544586915.559998</v>
      </c>
      <c r="G2945" s="126">
        <f t="shared" si="61"/>
        <v>0.24372574017890808</v>
      </c>
      <c r="H2945" s="120"/>
      <c r="I2945" s="120"/>
      <c r="J2945" s="116"/>
      <c r="K2945" s="116"/>
      <c r="L2945" s="116"/>
      <c r="M2945" s="116"/>
      <c r="N2945" s="116"/>
      <c r="O2945" s="116"/>
      <c r="P2945" s="116"/>
    </row>
    <row r="2946" spans="2:16" s="108" customFormat="1" ht="21.75" hidden="1" customHeight="1">
      <c r="B2946" s="109"/>
      <c r="C2946" s="122"/>
      <c r="D2946" s="123" t="s">
        <v>2096</v>
      </c>
      <c r="E2946" s="248">
        <v>150000000</v>
      </c>
      <c r="F2946" s="134">
        <v>61544586915.559998</v>
      </c>
      <c r="G2946" s="126">
        <f t="shared" si="61"/>
        <v>0.24372574017890808</v>
      </c>
      <c r="H2946" s="120"/>
      <c r="I2946" s="120"/>
      <c r="J2946" s="116"/>
      <c r="K2946" s="116"/>
      <c r="L2946" s="116"/>
      <c r="M2946" s="116"/>
      <c r="N2946" s="116"/>
      <c r="O2946" s="116"/>
      <c r="P2946" s="116"/>
    </row>
    <row r="2947" spans="2:16" s="108" customFormat="1" ht="21.75" hidden="1" customHeight="1">
      <c r="B2947" s="109"/>
      <c r="C2947" s="122"/>
      <c r="D2947" s="123"/>
      <c r="E2947" s="248"/>
      <c r="F2947" s="134">
        <v>61544586915.559998</v>
      </c>
      <c r="G2947" s="126">
        <f t="shared" si="61"/>
        <v>0</v>
      </c>
      <c r="H2947" s="120"/>
      <c r="I2947" s="120"/>
      <c r="J2947" s="116"/>
      <c r="K2947" s="116"/>
      <c r="L2947" s="116"/>
      <c r="M2947" s="116"/>
      <c r="N2947" s="116"/>
      <c r="O2947" s="116"/>
      <c r="P2947" s="116"/>
    </row>
    <row r="2948" spans="2:16" s="108" customFormat="1" ht="21.75" hidden="1" customHeight="1">
      <c r="B2948" s="109"/>
      <c r="C2948" s="122"/>
      <c r="D2948" s="148" t="s">
        <v>2097</v>
      </c>
      <c r="E2948" s="247">
        <f>E2949</f>
        <v>14300000000</v>
      </c>
      <c r="F2948" s="134">
        <v>61544586915.559998</v>
      </c>
      <c r="G2948" s="126">
        <f t="shared" si="61"/>
        <v>23.235187230389233</v>
      </c>
      <c r="H2948" s="120"/>
      <c r="I2948" s="120"/>
      <c r="J2948" s="116"/>
      <c r="K2948" s="116"/>
      <c r="L2948" s="116"/>
      <c r="M2948" s="116"/>
      <c r="N2948" s="116"/>
      <c r="O2948" s="116"/>
      <c r="P2948" s="116"/>
    </row>
    <row r="2949" spans="2:16" s="108" customFormat="1" ht="21.75" hidden="1" customHeight="1">
      <c r="B2949" s="109"/>
      <c r="C2949" s="122"/>
      <c r="D2949" s="148" t="s">
        <v>1433</v>
      </c>
      <c r="E2949" s="247">
        <f>E2950+E2951</f>
        <v>14300000000</v>
      </c>
      <c r="F2949" s="134">
        <v>61544586915.559998</v>
      </c>
      <c r="G2949" s="126">
        <f t="shared" si="61"/>
        <v>23.235187230389233</v>
      </c>
      <c r="H2949" s="120"/>
      <c r="I2949" s="120"/>
      <c r="J2949" s="116"/>
      <c r="K2949" s="116"/>
      <c r="L2949" s="116"/>
      <c r="M2949" s="116"/>
      <c r="N2949" s="116"/>
      <c r="O2949" s="116"/>
      <c r="P2949" s="116"/>
    </row>
    <row r="2950" spans="2:16" s="108" customFormat="1" ht="32.25" hidden="1" customHeight="1">
      <c r="B2950" s="109"/>
      <c r="C2950" s="122"/>
      <c r="D2950" s="123" t="s">
        <v>2098</v>
      </c>
      <c r="E2950" s="248">
        <v>300000000</v>
      </c>
      <c r="F2950" s="134">
        <v>61544586915.559998</v>
      </c>
      <c r="G2950" s="126">
        <f t="shared" ref="G2950:G2994" si="62">+E2950/F2950*100</f>
        <v>0.48745148035781616</v>
      </c>
      <c r="H2950" s="120"/>
      <c r="I2950" s="120"/>
      <c r="J2950" s="116"/>
      <c r="K2950" s="116"/>
      <c r="L2950" s="116"/>
      <c r="M2950" s="116"/>
      <c r="N2950" s="116"/>
      <c r="O2950" s="116"/>
      <c r="P2950" s="116"/>
    </row>
    <row r="2951" spans="2:16" s="108" customFormat="1" ht="21.75" hidden="1" customHeight="1">
      <c r="B2951" s="109"/>
      <c r="C2951" s="122"/>
      <c r="D2951" s="123" t="s">
        <v>2099</v>
      </c>
      <c r="E2951" s="248">
        <v>14000000000</v>
      </c>
      <c r="F2951" s="134">
        <v>61544586915.559998</v>
      </c>
      <c r="G2951" s="126">
        <f t="shared" si="62"/>
        <v>22.747735750031417</v>
      </c>
      <c r="H2951" s="120"/>
      <c r="I2951" s="120"/>
      <c r="J2951" s="116"/>
      <c r="K2951" s="116"/>
      <c r="L2951" s="116"/>
      <c r="M2951" s="116"/>
      <c r="N2951" s="116"/>
      <c r="O2951" s="116"/>
      <c r="P2951" s="116"/>
    </row>
    <row r="2952" spans="2:16" s="108" customFormat="1" ht="21.75" hidden="1" customHeight="1">
      <c r="B2952" s="109"/>
      <c r="C2952" s="122"/>
      <c r="D2952" s="123"/>
      <c r="E2952" s="248"/>
      <c r="F2952" s="134">
        <v>61544586915.559998</v>
      </c>
      <c r="G2952" s="126">
        <f t="shared" si="62"/>
        <v>0</v>
      </c>
      <c r="H2952" s="120"/>
      <c r="I2952" s="120"/>
      <c r="J2952" s="116"/>
      <c r="K2952" s="116"/>
      <c r="L2952" s="116"/>
      <c r="M2952" s="116"/>
      <c r="N2952" s="116"/>
      <c r="O2952" s="116"/>
      <c r="P2952" s="116"/>
    </row>
    <row r="2953" spans="2:16" s="108" customFormat="1" ht="21.75" hidden="1" customHeight="1">
      <c r="B2953" s="109"/>
      <c r="C2953" s="122"/>
      <c r="D2953" s="148" t="s">
        <v>2100</v>
      </c>
      <c r="E2953" s="247">
        <f>E2954</f>
        <v>386406191</v>
      </c>
      <c r="F2953" s="134">
        <v>61544586915.559998</v>
      </c>
      <c r="G2953" s="126">
        <f t="shared" si="62"/>
        <v>0.62784756607458347</v>
      </c>
      <c r="H2953" s="120"/>
      <c r="I2953" s="120"/>
      <c r="J2953" s="116"/>
      <c r="K2953" s="116"/>
      <c r="L2953" s="116"/>
      <c r="M2953" s="116"/>
      <c r="N2953" s="116"/>
      <c r="O2953" s="116"/>
      <c r="P2953" s="116"/>
    </row>
    <row r="2954" spans="2:16" s="108" customFormat="1" ht="21.75" hidden="1" customHeight="1">
      <c r="B2954" s="109"/>
      <c r="C2954" s="122"/>
      <c r="D2954" s="148" t="s">
        <v>904</v>
      </c>
      <c r="E2954" s="247">
        <f>SUM(E2955)</f>
        <v>386406191</v>
      </c>
      <c r="F2954" s="134">
        <v>61544586915.559998</v>
      </c>
      <c r="G2954" s="126">
        <f t="shared" si="62"/>
        <v>0.62784756607458347</v>
      </c>
      <c r="H2954" s="120"/>
      <c r="I2954" s="120"/>
      <c r="J2954" s="116"/>
      <c r="K2954" s="116"/>
      <c r="L2954" s="116"/>
      <c r="M2954" s="116"/>
      <c r="N2954" s="116"/>
      <c r="O2954" s="116"/>
      <c r="P2954" s="116"/>
    </row>
    <row r="2955" spans="2:16" s="108" customFormat="1" ht="39.75" hidden="1" customHeight="1">
      <c r="B2955" s="109"/>
      <c r="C2955" s="122"/>
      <c r="D2955" s="123" t="s">
        <v>2101</v>
      </c>
      <c r="E2955" s="248">
        <v>386406191</v>
      </c>
      <c r="F2955" s="134">
        <v>61544586915.559998</v>
      </c>
      <c r="G2955" s="126">
        <f t="shared" si="62"/>
        <v>0.62784756607458347</v>
      </c>
      <c r="H2955" s="120"/>
      <c r="I2955" s="120"/>
      <c r="J2955" s="116"/>
      <c r="K2955" s="116"/>
      <c r="L2955" s="116"/>
      <c r="M2955" s="116"/>
      <c r="N2955" s="116"/>
      <c r="O2955" s="116"/>
      <c r="P2955" s="116"/>
    </row>
    <row r="2956" spans="2:16" s="108" customFormat="1" ht="21.75" hidden="1" customHeight="1">
      <c r="B2956" s="109"/>
      <c r="C2956" s="122"/>
      <c r="D2956" s="123"/>
      <c r="E2956" s="248"/>
      <c r="F2956" s="134">
        <v>61544586915.559998</v>
      </c>
      <c r="G2956" s="126">
        <f t="shared" si="62"/>
        <v>0</v>
      </c>
      <c r="H2956" s="120"/>
      <c r="I2956" s="120"/>
      <c r="J2956" s="116"/>
      <c r="K2956" s="116"/>
      <c r="L2956" s="116"/>
      <c r="M2956" s="116"/>
      <c r="N2956" s="116"/>
      <c r="O2956" s="116"/>
      <c r="P2956" s="116"/>
    </row>
    <row r="2957" spans="2:16" s="108" customFormat="1" ht="21.75" hidden="1" customHeight="1">
      <c r="B2957" s="109"/>
      <c r="C2957" s="122"/>
      <c r="D2957" s="148" t="s">
        <v>1182</v>
      </c>
      <c r="E2957" s="247">
        <f>E2958</f>
        <v>347242773.52999997</v>
      </c>
      <c r="F2957" s="134">
        <v>61544586915.559998</v>
      </c>
      <c r="G2957" s="126">
        <f t="shared" si="62"/>
        <v>0.56421334666917455</v>
      </c>
      <c r="H2957" s="120"/>
      <c r="I2957" s="120"/>
      <c r="J2957" s="116"/>
      <c r="K2957" s="116"/>
      <c r="L2957" s="116"/>
      <c r="M2957" s="116"/>
      <c r="N2957" s="116"/>
      <c r="O2957" s="116"/>
      <c r="P2957" s="116"/>
    </row>
    <row r="2958" spans="2:16" s="108" customFormat="1" ht="21.75" hidden="1" customHeight="1">
      <c r="B2958" s="109"/>
      <c r="C2958" s="122"/>
      <c r="D2958" s="148" t="s">
        <v>1466</v>
      </c>
      <c r="E2958" s="247">
        <f>SUM(E2959)</f>
        <v>347242773.52999997</v>
      </c>
      <c r="F2958" s="134">
        <v>61544586915.559998</v>
      </c>
      <c r="G2958" s="126">
        <f t="shared" si="62"/>
        <v>0.56421334666917455</v>
      </c>
      <c r="H2958" s="120"/>
      <c r="I2958" s="120"/>
      <c r="J2958" s="116"/>
      <c r="K2958" s="116"/>
      <c r="L2958" s="116"/>
      <c r="M2958" s="116"/>
      <c r="N2958" s="116"/>
      <c r="O2958" s="116"/>
      <c r="P2958" s="116"/>
    </row>
    <row r="2959" spans="2:16" s="108" customFormat="1" ht="46.5" hidden="1" customHeight="1">
      <c r="B2959" s="109"/>
      <c r="C2959" s="122"/>
      <c r="D2959" s="123" t="s">
        <v>2102</v>
      </c>
      <c r="E2959" s="248">
        <v>347242773.52999997</v>
      </c>
      <c r="F2959" s="134">
        <v>61544586915.559998</v>
      </c>
      <c r="G2959" s="126">
        <f t="shared" si="62"/>
        <v>0.56421334666917455</v>
      </c>
      <c r="H2959" s="120"/>
      <c r="I2959" s="120"/>
      <c r="J2959" s="116"/>
      <c r="K2959" s="116"/>
      <c r="L2959" s="116"/>
      <c r="M2959" s="116"/>
      <c r="N2959" s="116"/>
      <c r="O2959" s="116"/>
      <c r="P2959" s="116"/>
    </row>
    <row r="2960" spans="2:16" s="108" customFormat="1" ht="21.75" hidden="1" customHeight="1">
      <c r="B2960" s="109"/>
      <c r="C2960" s="122"/>
      <c r="D2960" s="123"/>
      <c r="E2960" s="248"/>
      <c r="F2960" s="134">
        <v>61544586915.559998</v>
      </c>
      <c r="G2960" s="126">
        <f t="shared" si="62"/>
        <v>0</v>
      </c>
      <c r="H2960" s="120"/>
      <c r="I2960" s="120"/>
      <c r="J2960" s="116"/>
      <c r="K2960" s="116"/>
      <c r="L2960" s="116"/>
      <c r="M2960" s="116"/>
      <c r="N2960" s="116"/>
      <c r="O2960" s="116"/>
      <c r="P2960" s="116"/>
    </row>
    <row r="2961" spans="2:16" s="108" customFormat="1" ht="21.75" hidden="1" customHeight="1">
      <c r="B2961" s="109"/>
      <c r="C2961" s="122"/>
      <c r="D2961" s="148" t="s">
        <v>2103</v>
      </c>
      <c r="E2961" s="247">
        <f>E2962</f>
        <v>542675214.92999995</v>
      </c>
      <c r="F2961" s="134">
        <v>61544586915.559998</v>
      </c>
      <c r="G2961" s="126">
        <f t="shared" si="62"/>
        <v>0.88175945623708163</v>
      </c>
      <c r="H2961" s="120"/>
      <c r="I2961" s="120"/>
      <c r="J2961" s="116"/>
      <c r="K2961" s="116"/>
      <c r="L2961" s="116"/>
      <c r="M2961" s="116"/>
      <c r="N2961" s="116"/>
      <c r="O2961" s="116"/>
      <c r="P2961" s="116"/>
    </row>
    <row r="2962" spans="2:16" s="108" customFormat="1" ht="21.75" hidden="1" customHeight="1">
      <c r="B2962" s="109"/>
      <c r="C2962" s="122"/>
      <c r="D2962" s="148" t="s">
        <v>1202</v>
      </c>
      <c r="E2962" s="247">
        <f>E2963</f>
        <v>542675214.92999995</v>
      </c>
      <c r="F2962" s="134">
        <v>61544586915.559998</v>
      </c>
      <c r="G2962" s="126">
        <f t="shared" si="62"/>
        <v>0.88175945623708163</v>
      </c>
      <c r="H2962" s="120"/>
      <c r="I2962" s="120"/>
      <c r="J2962" s="116"/>
      <c r="K2962" s="116"/>
      <c r="L2962" s="116"/>
      <c r="M2962" s="116"/>
      <c r="N2962" s="116"/>
      <c r="O2962" s="116"/>
      <c r="P2962" s="116"/>
    </row>
    <row r="2963" spans="2:16" s="108" customFormat="1" ht="48" hidden="1" customHeight="1">
      <c r="B2963" s="109"/>
      <c r="C2963" s="122"/>
      <c r="D2963" s="123" t="s">
        <v>2104</v>
      </c>
      <c r="E2963" s="248">
        <v>542675214.92999995</v>
      </c>
      <c r="F2963" s="134">
        <v>61544586915.559998</v>
      </c>
      <c r="G2963" s="126">
        <f t="shared" si="62"/>
        <v>0.88175945623708163</v>
      </c>
      <c r="H2963" s="120"/>
      <c r="I2963" s="120"/>
      <c r="J2963" s="116"/>
      <c r="K2963" s="116"/>
      <c r="L2963" s="116"/>
      <c r="M2963" s="116"/>
      <c r="N2963" s="116"/>
      <c r="O2963" s="116"/>
      <c r="P2963" s="116"/>
    </row>
    <row r="2964" spans="2:16" s="108" customFormat="1" ht="21.75" hidden="1" customHeight="1">
      <c r="B2964" s="109"/>
      <c r="C2964" s="122"/>
      <c r="D2964" s="123"/>
      <c r="E2964" s="248"/>
      <c r="F2964" s="134">
        <v>61544586915.559998</v>
      </c>
      <c r="G2964" s="126">
        <f t="shared" si="62"/>
        <v>0</v>
      </c>
      <c r="H2964" s="120"/>
      <c r="I2964" s="120"/>
      <c r="J2964" s="116"/>
      <c r="K2964" s="116"/>
      <c r="L2964" s="116"/>
      <c r="M2964" s="116"/>
      <c r="N2964" s="116"/>
      <c r="O2964" s="116"/>
      <c r="P2964" s="116"/>
    </row>
    <row r="2965" spans="2:16" s="108" customFormat="1" ht="21.75" hidden="1" customHeight="1">
      <c r="B2965" s="109"/>
      <c r="C2965" s="122"/>
      <c r="D2965" s="148" t="s">
        <v>2105</v>
      </c>
      <c r="E2965" s="247">
        <f>E2966</f>
        <v>1000000000</v>
      </c>
      <c r="F2965" s="134">
        <v>61544586915.559998</v>
      </c>
      <c r="G2965" s="126">
        <f t="shared" si="62"/>
        <v>1.6248382678593871</v>
      </c>
      <c r="H2965" s="120"/>
      <c r="I2965" s="120"/>
      <c r="J2965" s="116"/>
      <c r="K2965" s="116"/>
      <c r="L2965" s="116"/>
      <c r="M2965" s="116"/>
      <c r="N2965" s="116"/>
      <c r="O2965" s="116"/>
      <c r="P2965" s="116"/>
    </row>
    <row r="2966" spans="2:16" s="108" customFormat="1" ht="21.75" hidden="1" customHeight="1">
      <c r="B2966" s="109"/>
      <c r="C2966" s="122"/>
      <c r="D2966" s="148" t="s">
        <v>2106</v>
      </c>
      <c r="E2966" s="247">
        <f>SUM(E2967)</f>
        <v>1000000000</v>
      </c>
      <c r="F2966" s="134">
        <v>61544586915.559998</v>
      </c>
      <c r="G2966" s="126">
        <f t="shared" si="62"/>
        <v>1.6248382678593871</v>
      </c>
      <c r="H2966" s="120"/>
      <c r="I2966" s="120"/>
      <c r="J2966" s="116"/>
      <c r="K2966" s="116"/>
      <c r="L2966" s="116"/>
      <c r="M2966" s="116"/>
      <c r="N2966" s="116"/>
      <c r="O2966" s="116"/>
      <c r="P2966" s="116"/>
    </row>
    <row r="2967" spans="2:16" s="108" customFormat="1" ht="21.75" hidden="1" customHeight="1">
      <c r="B2967" s="109"/>
      <c r="C2967" s="122"/>
      <c r="D2967" s="123" t="s">
        <v>2107</v>
      </c>
      <c r="E2967" s="248">
        <v>1000000000</v>
      </c>
      <c r="F2967" s="134">
        <v>61544586915.559998</v>
      </c>
      <c r="G2967" s="126">
        <f t="shared" si="62"/>
        <v>1.6248382678593871</v>
      </c>
      <c r="H2967" s="120"/>
      <c r="I2967" s="120"/>
      <c r="J2967" s="116"/>
      <c r="K2967" s="116"/>
      <c r="L2967" s="116"/>
      <c r="M2967" s="116"/>
      <c r="N2967" s="116"/>
      <c r="O2967" s="116"/>
      <c r="P2967" s="116"/>
    </row>
    <row r="2968" spans="2:16" s="108" customFormat="1" ht="21.75" hidden="1" customHeight="1">
      <c r="B2968" s="109"/>
      <c r="C2968" s="122"/>
      <c r="D2968" s="123"/>
      <c r="E2968" s="248"/>
      <c r="F2968" s="134">
        <v>61544586915.559998</v>
      </c>
      <c r="G2968" s="126">
        <f t="shared" si="62"/>
        <v>0</v>
      </c>
      <c r="H2968" s="120"/>
      <c r="I2968" s="120"/>
      <c r="J2968" s="116"/>
      <c r="K2968" s="116"/>
      <c r="L2968" s="116"/>
      <c r="M2968" s="116"/>
      <c r="N2968" s="116"/>
      <c r="O2968" s="116"/>
      <c r="P2968" s="116"/>
    </row>
    <row r="2969" spans="2:16" s="108" customFormat="1" ht="21.75" hidden="1" customHeight="1">
      <c r="B2969" s="109"/>
      <c r="C2969" s="122"/>
      <c r="D2969" s="148" t="s">
        <v>2108</v>
      </c>
      <c r="E2969" s="247">
        <f>E2970</f>
        <v>500000000</v>
      </c>
      <c r="F2969" s="134">
        <v>61544586915.559998</v>
      </c>
      <c r="G2969" s="126">
        <f t="shared" si="62"/>
        <v>0.81241913392969356</v>
      </c>
      <c r="H2969" s="120"/>
      <c r="I2969" s="120"/>
      <c r="J2969" s="116"/>
      <c r="K2969" s="116"/>
      <c r="L2969" s="116"/>
      <c r="M2969" s="116"/>
      <c r="N2969" s="116"/>
      <c r="O2969" s="116"/>
      <c r="P2969" s="116"/>
    </row>
    <row r="2970" spans="2:16" s="108" customFormat="1" ht="21.75" hidden="1" customHeight="1">
      <c r="B2970" s="109"/>
      <c r="C2970" s="122"/>
      <c r="D2970" s="148" t="s">
        <v>1443</v>
      </c>
      <c r="E2970" s="247">
        <f>SUM(E2971:E2971)</f>
        <v>500000000</v>
      </c>
      <c r="F2970" s="134">
        <v>61544586915.559998</v>
      </c>
      <c r="G2970" s="126">
        <f t="shared" si="62"/>
        <v>0.81241913392969356</v>
      </c>
      <c r="H2970" s="120"/>
      <c r="I2970" s="120"/>
      <c r="J2970" s="116"/>
      <c r="K2970" s="116"/>
      <c r="L2970" s="116"/>
      <c r="M2970" s="116"/>
      <c r="N2970" s="116"/>
      <c r="O2970" s="116"/>
      <c r="P2970" s="116"/>
    </row>
    <row r="2971" spans="2:16" s="108" customFormat="1" ht="21.75" hidden="1" customHeight="1">
      <c r="B2971" s="109"/>
      <c r="C2971" s="122"/>
      <c r="D2971" s="123" t="s">
        <v>2109</v>
      </c>
      <c r="E2971" s="248">
        <v>500000000</v>
      </c>
      <c r="F2971" s="134">
        <v>61544586915.559998</v>
      </c>
      <c r="G2971" s="126">
        <f t="shared" si="62"/>
        <v>0.81241913392969356</v>
      </c>
      <c r="H2971" s="120"/>
      <c r="I2971" s="120"/>
      <c r="J2971" s="116"/>
      <c r="K2971" s="116"/>
      <c r="L2971" s="116"/>
      <c r="M2971" s="116"/>
      <c r="N2971" s="116"/>
      <c r="O2971" s="116"/>
      <c r="P2971" s="116"/>
    </row>
    <row r="2972" spans="2:16" s="108" customFormat="1" ht="21.75" hidden="1" customHeight="1">
      <c r="B2972" s="109"/>
      <c r="C2972" s="122"/>
      <c r="D2972" s="123"/>
      <c r="E2972" s="248"/>
      <c r="F2972" s="134"/>
      <c r="G2972" s="126"/>
      <c r="H2972" s="120"/>
      <c r="I2972" s="120"/>
      <c r="J2972" s="116"/>
      <c r="K2972" s="116"/>
      <c r="L2972" s="116"/>
      <c r="M2972" s="116"/>
      <c r="N2972" s="116"/>
      <c r="O2972" s="116"/>
      <c r="P2972" s="116"/>
    </row>
    <row r="2973" spans="2:16" s="108" customFormat="1" ht="21.75" hidden="1" customHeight="1">
      <c r="B2973" s="109"/>
      <c r="C2973" s="122"/>
      <c r="D2973" s="148" t="s">
        <v>2110</v>
      </c>
      <c r="E2973" s="247">
        <f>E2974+E2978+E2980+E2982</f>
        <v>3100000000</v>
      </c>
      <c r="F2973" s="134">
        <v>61544586915.559998</v>
      </c>
      <c r="G2973" s="126">
        <f t="shared" si="62"/>
        <v>5.0369986303641001</v>
      </c>
      <c r="H2973" s="120"/>
      <c r="I2973" s="120"/>
      <c r="J2973" s="116"/>
      <c r="K2973" s="116"/>
      <c r="L2973" s="116"/>
      <c r="M2973" s="116"/>
      <c r="N2973" s="116"/>
      <c r="O2973" s="116"/>
      <c r="P2973" s="116"/>
    </row>
    <row r="2974" spans="2:16" s="108" customFormat="1" ht="21.75" hidden="1" customHeight="1">
      <c r="B2974" s="109"/>
      <c r="C2974" s="122"/>
      <c r="D2974" s="148" t="s">
        <v>2111</v>
      </c>
      <c r="E2974" s="247">
        <f>SUM(E2975:E2977)</f>
        <v>1412000000</v>
      </c>
      <c r="F2974" s="134">
        <v>61544586915.559998</v>
      </c>
      <c r="G2974" s="126">
        <f t="shared" si="62"/>
        <v>2.2942716342174543</v>
      </c>
      <c r="H2974" s="120"/>
      <c r="I2974" s="120"/>
      <c r="J2974" s="116"/>
      <c r="K2974" s="116"/>
      <c r="L2974" s="116"/>
      <c r="M2974" s="116"/>
      <c r="N2974" s="116"/>
      <c r="O2974" s="116"/>
      <c r="P2974" s="116"/>
    </row>
    <row r="2975" spans="2:16" s="108" customFormat="1" ht="21.75" hidden="1" customHeight="1">
      <c r="B2975" s="109"/>
      <c r="C2975" s="122"/>
      <c r="D2975" s="123" t="s">
        <v>2053</v>
      </c>
      <c r="E2975" s="248">
        <v>200000000</v>
      </c>
      <c r="F2975" s="134">
        <v>61544586915.559998</v>
      </c>
      <c r="G2975" s="126">
        <f t="shared" si="62"/>
        <v>0.3249676535718774</v>
      </c>
      <c r="H2975" s="120"/>
      <c r="I2975" s="120"/>
      <c r="J2975" s="116"/>
      <c r="K2975" s="116"/>
      <c r="L2975" s="116"/>
      <c r="M2975" s="116"/>
      <c r="N2975" s="116"/>
      <c r="O2975" s="116"/>
      <c r="P2975" s="116"/>
    </row>
    <row r="2976" spans="2:16" s="108" customFormat="1" ht="21.75" hidden="1" customHeight="1">
      <c r="B2976" s="109"/>
      <c r="C2976" s="122"/>
      <c r="D2976" s="123" t="s">
        <v>307</v>
      </c>
      <c r="E2976" s="248">
        <v>912000000</v>
      </c>
      <c r="F2976" s="134">
        <v>61544586915.559998</v>
      </c>
      <c r="G2976" s="126">
        <f t="shared" si="62"/>
        <v>1.4818525002877609</v>
      </c>
      <c r="H2976" s="120"/>
      <c r="I2976" s="120"/>
      <c r="J2976" s="116"/>
      <c r="K2976" s="116"/>
      <c r="L2976" s="116"/>
      <c r="M2976" s="116"/>
      <c r="N2976" s="116"/>
      <c r="O2976" s="116"/>
      <c r="P2976" s="116"/>
    </row>
    <row r="2977" spans="2:16" s="108" customFormat="1" ht="21.75" hidden="1" customHeight="1">
      <c r="B2977" s="109"/>
      <c r="C2977" s="122"/>
      <c r="D2977" s="123" t="s">
        <v>2054</v>
      </c>
      <c r="E2977" s="248">
        <v>300000000</v>
      </c>
      <c r="F2977" s="134">
        <v>61544586915.559998</v>
      </c>
      <c r="G2977" s="126">
        <f t="shared" si="62"/>
        <v>0.48745148035781616</v>
      </c>
      <c r="H2977" s="120"/>
      <c r="I2977" s="120"/>
      <c r="J2977" s="116"/>
      <c r="K2977" s="116"/>
      <c r="L2977" s="116"/>
      <c r="M2977" s="116"/>
      <c r="N2977" s="116"/>
      <c r="O2977" s="116"/>
      <c r="P2977" s="116"/>
    </row>
    <row r="2978" spans="2:16" s="108" customFormat="1" ht="21.75" hidden="1" customHeight="1">
      <c r="B2978" s="109"/>
      <c r="C2978" s="122"/>
      <c r="D2978" s="148" t="s">
        <v>2112</v>
      </c>
      <c r="E2978" s="247">
        <f>SUM(E2979:E2979)</f>
        <v>786000000</v>
      </c>
      <c r="F2978" s="134">
        <v>61544586915.559998</v>
      </c>
      <c r="G2978" s="126">
        <f t="shared" si="62"/>
        <v>1.2771228785374782</v>
      </c>
      <c r="H2978" s="120"/>
      <c r="I2978" s="120"/>
      <c r="J2978" s="116"/>
      <c r="K2978" s="116"/>
      <c r="L2978" s="116"/>
      <c r="M2978" s="116"/>
      <c r="N2978" s="116"/>
      <c r="O2978" s="116"/>
      <c r="P2978" s="116"/>
    </row>
    <row r="2979" spans="2:16" s="108" customFormat="1" ht="21.75" hidden="1" customHeight="1">
      <c r="B2979" s="109"/>
      <c r="C2979" s="122"/>
      <c r="D2979" s="123" t="s">
        <v>2113</v>
      </c>
      <c r="E2979" s="248">
        <v>786000000</v>
      </c>
      <c r="F2979" s="134">
        <v>61544586915.559998</v>
      </c>
      <c r="G2979" s="126">
        <f t="shared" si="62"/>
        <v>1.2771228785374782</v>
      </c>
      <c r="H2979" s="120"/>
      <c r="I2979" s="120"/>
      <c r="J2979" s="116"/>
      <c r="K2979" s="116"/>
      <c r="L2979" s="116"/>
      <c r="M2979" s="116"/>
      <c r="N2979" s="116"/>
      <c r="O2979" s="116"/>
      <c r="P2979" s="116"/>
    </row>
    <row r="2980" spans="2:16" s="108" customFormat="1" ht="21.75" hidden="1" customHeight="1">
      <c r="B2980" s="109"/>
      <c r="C2980" s="122"/>
      <c r="D2980" s="148" t="s">
        <v>2114</v>
      </c>
      <c r="E2980" s="247">
        <f>SUM(E2981)</f>
        <v>307000000</v>
      </c>
      <c r="F2980" s="134">
        <v>61544586915.559998</v>
      </c>
      <c r="G2980" s="126">
        <f t="shared" si="62"/>
        <v>0.49882534823283176</v>
      </c>
      <c r="H2980" s="120"/>
      <c r="I2980" s="120"/>
      <c r="J2980" s="116"/>
      <c r="K2980" s="116"/>
      <c r="L2980" s="116"/>
      <c r="M2980" s="116"/>
      <c r="N2980" s="116"/>
      <c r="O2980" s="116"/>
      <c r="P2980" s="116"/>
    </row>
    <row r="2981" spans="2:16" s="108" customFormat="1" ht="21.75" hidden="1" customHeight="1">
      <c r="B2981" s="109"/>
      <c r="C2981" s="122"/>
      <c r="D2981" s="123" t="s">
        <v>318</v>
      </c>
      <c r="E2981" s="248">
        <v>307000000</v>
      </c>
      <c r="F2981" s="134">
        <v>61544586915.559998</v>
      </c>
      <c r="G2981" s="126">
        <f t="shared" si="62"/>
        <v>0.49882534823283176</v>
      </c>
      <c r="H2981" s="120"/>
      <c r="I2981" s="120"/>
      <c r="J2981" s="116"/>
      <c r="K2981" s="116"/>
      <c r="L2981" s="116"/>
      <c r="M2981" s="116"/>
      <c r="N2981" s="116"/>
      <c r="O2981" s="116"/>
      <c r="P2981" s="116"/>
    </row>
    <row r="2982" spans="2:16" s="108" customFormat="1" ht="21.75" hidden="1" customHeight="1">
      <c r="B2982" s="109"/>
      <c r="C2982" s="122"/>
      <c r="D2982" s="148" t="s">
        <v>471</v>
      </c>
      <c r="E2982" s="247">
        <f>SUM(E2983:E2983)</f>
        <v>595000000</v>
      </c>
      <c r="F2982" s="134">
        <v>61544586915.559998</v>
      </c>
      <c r="G2982" s="126">
        <f t="shared" si="62"/>
        <v>0.96677876937633533</v>
      </c>
      <c r="H2982" s="120"/>
      <c r="I2982" s="120"/>
      <c r="J2982" s="116"/>
      <c r="K2982" s="116"/>
      <c r="L2982" s="116"/>
      <c r="M2982" s="116"/>
      <c r="N2982" s="116"/>
      <c r="O2982" s="116"/>
      <c r="P2982" s="116"/>
    </row>
    <row r="2983" spans="2:16" s="108" customFormat="1" ht="21.75" hidden="1" customHeight="1">
      <c r="B2983" s="109"/>
      <c r="C2983" s="122"/>
      <c r="D2983" s="123" t="s">
        <v>720</v>
      </c>
      <c r="E2983" s="248">
        <v>595000000</v>
      </c>
      <c r="F2983" s="134">
        <v>61544586915.559998</v>
      </c>
      <c r="G2983" s="126">
        <f t="shared" si="62"/>
        <v>0.96677876937633533</v>
      </c>
      <c r="H2983" s="120"/>
      <c r="I2983" s="120"/>
      <c r="J2983" s="116"/>
      <c r="K2983" s="116"/>
      <c r="L2983" s="116"/>
      <c r="M2983" s="116"/>
      <c r="N2983" s="116"/>
      <c r="O2983" s="116"/>
      <c r="P2983" s="116"/>
    </row>
    <row r="2984" spans="2:16" s="108" customFormat="1" ht="21.75" hidden="1" customHeight="1">
      <c r="B2984" s="109"/>
      <c r="C2984" s="122"/>
      <c r="D2984" s="123"/>
      <c r="E2984" s="248"/>
      <c r="F2984" s="134">
        <v>61544586915.559998</v>
      </c>
      <c r="G2984" s="126">
        <f t="shared" si="62"/>
        <v>0</v>
      </c>
      <c r="H2984" s="120"/>
      <c r="I2984" s="120"/>
      <c r="J2984" s="116"/>
      <c r="K2984" s="116"/>
      <c r="L2984" s="116"/>
      <c r="M2984" s="116"/>
      <c r="N2984" s="116"/>
      <c r="O2984" s="116"/>
      <c r="P2984" s="116"/>
    </row>
    <row r="2985" spans="2:16" s="108" customFormat="1" ht="21.75" hidden="1" customHeight="1">
      <c r="B2985" s="109"/>
      <c r="C2985" s="122"/>
      <c r="D2985" s="148" t="s">
        <v>1186</v>
      </c>
      <c r="E2985" s="247">
        <f>E2986</f>
        <v>1000000000</v>
      </c>
      <c r="F2985" s="134">
        <v>61544586915.559998</v>
      </c>
      <c r="G2985" s="126">
        <f t="shared" si="62"/>
        <v>1.6248382678593871</v>
      </c>
      <c r="H2985" s="120"/>
      <c r="I2985" s="120"/>
      <c r="J2985" s="116"/>
      <c r="K2985" s="116"/>
      <c r="L2985" s="116"/>
      <c r="M2985" s="116"/>
      <c r="N2985" s="116"/>
      <c r="O2985" s="116"/>
      <c r="P2985" s="116"/>
    </row>
    <row r="2986" spans="2:16" s="108" customFormat="1" ht="21.75" hidden="1" customHeight="1">
      <c r="B2986" s="109"/>
      <c r="C2986" s="122"/>
      <c r="D2986" s="148" t="s">
        <v>980</v>
      </c>
      <c r="E2986" s="247">
        <f>SUM(E2987:E2987)</f>
        <v>1000000000</v>
      </c>
      <c r="F2986" s="134">
        <v>61544586915.559998</v>
      </c>
      <c r="G2986" s="126">
        <f t="shared" si="62"/>
        <v>1.6248382678593871</v>
      </c>
      <c r="H2986" s="120"/>
      <c r="I2986" s="120"/>
      <c r="J2986" s="116"/>
      <c r="K2986" s="116"/>
      <c r="L2986" s="116"/>
      <c r="M2986" s="116"/>
      <c r="N2986" s="116"/>
      <c r="O2986" s="116"/>
      <c r="P2986" s="116"/>
    </row>
    <row r="2987" spans="2:16" s="108" customFormat="1" ht="31.5" hidden="1" customHeight="1">
      <c r="B2987" s="109"/>
      <c r="C2987" s="122"/>
      <c r="D2987" s="123" t="s">
        <v>2115</v>
      </c>
      <c r="E2987" s="248">
        <v>1000000000</v>
      </c>
      <c r="F2987" s="134">
        <v>61544586915.559998</v>
      </c>
      <c r="G2987" s="126">
        <f t="shared" si="62"/>
        <v>1.6248382678593871</v>
      </c>
      <c r="H2987" s="120"/>
      <c r="I2987" s="120"/>
      <c r="J2987" s="116"/>
      <c r="K2987" s="116"/>
      <c r="L2987" s="116"/>
      <c r="M2987" s="116"/>
      <c r="N2987" s="116"/>
      <c r="O2987" s="116"/>
      <c r="P2987" s="116"/>
    </row>
    <row r="2988" spans="2:16" s="108" customFormat="1" ht="21.75" hidden="1" customHeight="1">
      <c r="B2988" s="109"/>
      <c r="C2988" s="122"/>
      <c r="D2988" s="123"/>
      <c r="E2988" s="248"/>
      <c r="F2988" s="134">
        <v>61544586915.559998</v>
      </c>
      <c r="G2988" s="126">
        <f t="shared" si="62"/>
        <v>0</v>
      </c>
      <c r="H2988" s="120"/>
      <c r="I2988" s="120"/>
      <c r="J2988" s="116"/>
      <c r="K2988" s="116"/>
      <c r="L2988" s="116"/>
      <c r="M2988" s="116"/>
      <c r="N2988" s="116"/>
      <c r="O2988" s="116"/>
      <c r="P2988" s="116"/>
    </row>
    <row r="2989" spans="2:16" s="108" customFormat="1" ht="21.75" hidden="1" customHeight="1">
      <c r="B2989" s="109"/>
      <c r="C2989" s="122"/>
      <c r="D2989" s="148" t="s">
        <v>2116</v>
      </c>
      <c r="E2989" s="247">
        <f>E2990+E2992</f>
        <v>2009713682</v>
      </c>
      <c r="F2989" s="134">
        <v>61544586915.559998</v>
      </c>
      <c r="G2989" s="126">
        <f t="shared" si="62"/>
        <v>3.2654596979541908</v>
      </c>
      <c r="H2989" s="120"/>
      <c r="I2989" s="120"/>
      <c r="J2989" s="116"/>
      <c r="K2989" s="116"/>
      <c r="L2989" s="116"/>
      <c r="M2989" s="116"/>
      <c r="N2989" s="116"/>
      <c r="O2989" s="116"/>
      <c r="P2989" s="116"/>
    </row>
    <row r="2990" spans="2:16" s="108" customFormat="1" ht="21.75" hidden="1" customHeight="1">
      <c r="B2990" s="109"/>
      <c r="C2990" s="122"/>
      <c r="D2990" s="148" t="s">
        <v>1896</v>
      </c>
      <c r="E2990" s="247">
        <f>E2991</f>
        <v>329600000</v>
      </c>
      <c r="F2990" s="134">
        <v>61544586915.559998</v>
      </c>
      <c r="G2990" s="126">
        <f t="shared" si="62"/>
        <v>0.53554669308645397</v>
      </c>
      <c r="H2990" s="120"/>
      <c r="I2990" s="120"/>
      <c r="J2990" s="116"/>
      <c r="K2990" s="116"/>
      <c r="L2990" s="116"/>
      <c r="M2990" s="116"/>
      <c r="N2990" s="116"/>
      <c r="O2990" s="116"/>
      <c r="P2990" s="116"/>
    </row>
    <row r="2991" spans="2:16" s="108" customFormat="1" ht="21.75" hidden="1" customHeight="1">
      <c r="B2991" s="109"/>
      <c r="C2991" s="122"/>
      <c r="D2991" s="123" t="s">
        <v>700</v>
      </c>
      <c r="E2991" s="248">
        <v>329600000</v>
      </c>
      <c r="F2991" s="134">
        <v>61544586915.559998</v>
      </c>
      <c r="G2991" s="126">
        <f t="shared" si="62"/>
        <v>0.53554669308645397</v>
      </c>
      <c r="H2991" s="120"/>
      <c r="I2991" s="120"/>
      <c r="J2991" s="116"/>
      <c r="K2991" s="116"/>
      <c r="L2991" s="116"/>
      <c r="M2991" s="116"/>
      <c r="N2991" s="116"/>
      <c r="O2991" s="116"/>
      <c r="P2991" s="116"/>
    </row>
    <row r="2992" spans="2:16" s="108" customFormat="1" ht="21.75" hidden="1" customHeight="1">
      <c r="B2992" s="109"/>
      <c r="C2992" s="122"/>
      <c r="D2992" s="148" t="s">
        <v>1423</v>
      </c>
      <c r="E2992" s="247">
        <f>E2993+E2994</f>
        <v>1680113682</v>
      </c>
      <c r="F2992" s="134">
        <v>61544586915.559998</v>
      </c>
      <c r="G2992" s="126">
        <f t="shared" si="62"/>
        <v>2.7299130048677367</v>
      </c>
      <c r="H2992" s="120"/>
      <c r="I2992" s="120"/>
      <c r="J2992" s="116"/>
      <c r="K2992" s="116"/>
      <c r="L2992" s="116"/>
      <c r="M2992" s="116"/>
      <c r="N2992" s="116"/>
      <c r="O2992" s="116"/>
      <c r="P2992" s="116"/>
    </row>
    <row r="2993" spans="2:16" s="108" customFormat="1" ht="21.75" hidden="1" customHeight="1">
      <c r="B2993" s="109"/>
      <c r="C2993" s="122"/>
      <c r="D2993" s="123" t="s">
        <v>703</v>
      </c>
      <c r="E2993" s="248">
        <v>1393613682</v>
      </c>
      <c r="F2993" s="134">
        <v>61544586915.559998</v>
      </c>
      <c r="G2993" s="126">
        <f t="shared" si="62"/>
        <v>2.2643968411260222</v>
      </c>
      <c r="H2993" s="120"/>
      <c r="I2993" s="120"/>
      <c r="J2993" s="116"/>
      <c r="K2993" s="116"/>
      <c r="L2993" s="116"/>
      <c r="M2993" s="116"/>
      <c r="N2993" s="116"/>
      <c r="O2993" s="116"/>
      <c r="P2993" s="116"/>
    </row>
    <row r="2994" spans="2:16" s="108" customFormat="1" ht="33.75" hidden="1" customHeight="1">
      <c r="B2994" s="109"/>
      <c r="C2994" s="122"/>
      <c r="D2994" s="123" t="s">
        <v>704</v>
      </c>
      <c r="E2994" s="248">
        <v>286500000</v>
      </c>
      <c r="F2994" s="134">
        <v>61544586915.559998</v>
      </c>
      <c r="G2994" s="126">
        <f t="shared" si="62"/>
        <v>0.46551616374171439</v>
      </c>
      <c r="H2994" s="120"/>
      <c r="I2994" s="120"/>
      <c r="J2994" s="116"/>
      <c r="K2994" s="116"/>
      <c r="L2994" s="116"/>
      <c r="M2994" s="116"/>
      <c r="N2994" s="116"/>
      <c r="O2994" s="116"/>
      <c r="P2994" s="116"/>
    </row>
    <row r="2995" spans="2:16" s="108" customFormat="1" ht="21.75" hidden="1" customHeight="1">
      <c r="B2995" s="109"/>
      <c r="C2995" s="122"/>
      <c r="D2995" s="123"/>
      <c r="E2995" s="125"/>
      <c r="F2995" s="134"/>
      <c r="G2995" s="126"/>
      <c r="H2995" s="120"/>
      <c r="I2995" s="120"/>
      <c r="J2995" s="116"/>
      <c r="K2995" s="116"/>
      <c r="L2995" s="116"/>
      <c r="M2995" s="116"/>
      <c r="N2995" s="116"/>
      <c r="O2995" s="116"/>
      <c r="P2995" s="116"/>
    </row>
    <row r="2996" spans="2:16" s="117" customFormat="1" ht="21.75" hidden="1" customHeight="1">
      <c r="B2996" s="118"/>
      <c r="C2996" s="110" t="s">
        <v>2117</v>
      </c>
      <c r="D2996" s="111" t="s">
        <v>2118</v>
      </c>
      <c r="E2996" s="129">
        <v>64316106423.529999</v>
      </c>
      <c r="F2996" s="114">
        <v>1557405258400.0002</v>
      </c>
      <c r="G2996" s="127">
        <f>+E2996/F2996*100</f>
        <v>4.1296962416580723</v>
      </c>
      <c r="H2996" s="120"/>
      <c r="I2996" s="120"/>
      <c r="J2996" s="121"/>
      <c r="K2996" s="121"/>
      <c r="L2996" s="121"/>
      <c r="M2996" s="121"/>
      <c r="N2996" s="121"/>
      <c r="O2996" s="121"/>
      <c r="P2996" s="121"/>
    </row>
    <row r="2997" spans="2:16" s="108" customFormat="1" ht="21.75" hidden="1" customHeight="1">
      <c r="B2997" s="109"/>
      <c r="C2997" s="122"/>
      <c r="D2997" s="111" t="s">
        <v>2119</v>
      </c>
      <c r="E2997" s="247">
        <f>SUM(E2998)</f>
        <v>7400000000</v>
      </c>
      <c r="F2997" s="134">
        <v>64316106423.529999</v>
      </c>
      <c r="G2997" s="127">
        <f>+E2997/F2997*100</f>
        <v>11.505671613996702</v>
      </c>
      <c r="H2997" s="120"/>
      <c r="I2997" s="120"/>
      <c r="J2997" s="116"/>
      <c r="K2997" s="116"/>
      <c r="L2997" s="116"/>
      <c r="M2997" s="116"/>
      <c r="N2997" s="116"/>
      <c r="O2997" s="116"/>
      <c r="P2997" s="116"/>
    </row>
    <row r="2998" spans="2:16" s="108" customFormat="1" ht="21.75" hidden="1" customHeight="1">
      <c r="B2998" s="109"/>
      <c r="C2998" s="122"/>
      <c r="D2998" s="123" t="s">
        <v>394</v>
      </c>
      <c r="E2998" s="247">
        <f>SUM(E2999:E3002)</f>
        <v>7400000000</v>
      </c>
      <c r="F2998" s="134">
        <v>64316106423.529999</v>
      </c>
      <c r="G2998" s="127">
        <f t="shared" ref="G2998:G3063" si="63">+E2998/F2998*100</f>
        <v>11.505671613996702</v>
      </c>
      <c r="H2998" s="120"/>
      <c r="I2998" s="120"/>
      <c r="J2998" s="116"/>
      <c r="K2998" s="116"/>
      <c r="L2998" s="116"/>
      <c r="M2998" s="116"/>
      <c r="N2998" s="116"/>
      <c r="O2998" s="116"/>
      <c r="P2998" s="116"/>
    </row>
    <row r="2999" spans="2:16" s="108" customFormat="1" ht="21.75" hidden="1" customHeight="1">
      <c r="B2999" s="109"/>
      <c r="C2999" s="122"/>
      <c r="D2999" s="123" t="s">
        <v>2120</v>
      </c>
      <c r="E2999" s="248">
        <v>2746800000</v>
      </c>
      <c r="F2999" s="134">
        <v>64316106423.529999</v>
      </c>
      <c r="G2999" s="127">
        <f t="shared" si="63"/>
        <v>4.2707809174765048</v>
      </c>
      <c r="H2999" s="120"/>
      <c r="I2999" s="120"/>
      <c r="J2999" s="116"/>
      <c r="K2999" s="116"/>
      <c r="L2999" s="116"/>
      <c r="M2999" s="116"/>
      <c r="N2999" s="116"/>
      <c r="O2999" s="116"/>
      <c r="P2999" s="116"/>
    </row>
    <row r="3000" spans="2:16" s="108" customFormat="1" ht="21.75" hidden="1" customHeight="1">
      <c r="B3000" s="109"/>
      <c r="C3000" s="122"/>
      <c r="D3000" s="123" t="s">
        <v>1996</v>
      </c>
      <c r="E3000" s="248">
        <v>3240000000</v>
      </c>
      <c r="F3000" s="134">
        <v>64316106423.529999</v>
      </c>
      <c r="G3000" s="127">
        <f t="shared" si="63"/>
        <v>5.037618382344502</v>
      </c>
      <c r="H3000" s="120"/>
      <c r="I3000" s="120"/>
      <c r="J3000" s="116"/>
      <c r="K3000" s="116"/>
      <c r="L3000" s="116"/>
      <c r="M3000" s="116"/>
      <c r="N3000" s="116"/>
      <c r="O3000" s="116"/>
      <c r="P3000" s="116"/>
    </row>
    <row r="3001" spans="2:16" s="108" customFormat="1" ht="37.5" hidden="1" customHeight="1">
      <c r="B3001" s="109"/>
      <c r="C3001" s="122"/>
      <c r="D3001" s="123" t="s">
        <v>1874</v>
      </c>
      <c r="E3001" s="248">
        <v>575000000</v>
      </c>
      <c r="F3001" s="134">
        <v>64316106423.529999</v>
      </c>
      <c r="G3001" s="127">
        <f t="shared" si="63"/>
        <v>0.89402178081731121</v>
      </c>
      <c r="H3001" s="120"/>
      <c r="I3001" s="120"/>
      <c r="J3001" s="116"/>
      <c r="K3001" s="116"/>
      <c r="L3001" s="116"/>
      <c r="M3001" s="116"/>
      <c r="N3001" s="116"/>
      <c r="O3001" s="116"/>
      <c r="P3001" s="116"/>
    </row>
    <row r="3002" spans="2:16" s="108" customFormat="1" ht="21.75" hidden="1" customHeight="1">
      <c r="B3002" s="109"/>
      <c r="C3002" s="122"/>
      <c r="D3002" s="123" t="s">
        <v>2121</v>
      </c>
      <c r="E3002" s="248">
        <v>838200000</v>
      </c>
      <c r="F3002" s="134">
        <v>64316106423.529999</v>
      </c>
      <c r="G3002" s="127">
        <f t="shared" si="63"/>
        <v>1.303250533358383</v>
      </c>
      <c r="H3002" s="120"/>
      <c r="I3002" s="120"/>
      <c r="J3002" s="116"/>
      <c r="K3002" s="116"/>
      <c r="L3002" s="116"/>
      <c r="M3002" s="116"/>
      <c r="N3002" s="116"/>
      <c r="O3002" s="116"/>
      <c r="P3002" s="116"/>
    </row>
    <row r="3003" spans="2:16" s="108" customFormat="1" ht="21.75" hidden="1" customHeight="1">
      <c r="B3003" s="109"/>
      <c r="C3003" s="122"/>
      <c r="D3003" s="123"/>
      <c r="E3003" s="248"/>
      <c r="F3003" s="134"/>
      <c r="G3003" s="127"/>
      <c r="H3003" s="120"/>
      <c r="I3003" s="120"/>
      <c r="J3003" s="116"/>
      <c r="K3003" s="116"/>
      <c r="L3003" s="116"/>
      <c r="M3003" s="116"/>
      <c r="N3003" s="116"/>
      <c r="O3003" s="116"/>
      <c r="P3003" s="116"/>
    </row>
    <row r="3004" spans="2:16" s="108" customFormat="1" ht="21.75" hidden="1" customHeight="1">
      <c r="B3004" s="109"/>
      <c r="C3004" s="122"/>
      <c r="D3004" s="111" t="s">
        <v>669</v>
      </c>
      <c r="E3004" s="247">
        <f>E3005</f>
        <v>12600000000</v>
      </c>
      <c r="F3004" s="134">
        <v>64316106423.529999</v>
      </c>
      <c r="G3004" s="127">
        <f t="shared" si="63"/>
        <v>19.590738153561951</v>
      </c>
      <c r="H3004" s="120"/>
      <c r="I3004" s="120"/>
      <c r="J3004" s="116"/>
      <c r="K3004" s="116"/>
      <c r="L3004" s="116"/>
      <c r="M3004" s="116"/>
      <c r="N3004" s="116"/>
      <c r="O3004" s="116"/>
      <c r="P3004" s="116"/>
    </row>
    <row r="3005" spans="2:16" s="108" customFormat="1" ht="21.75" hidden="1" customHeight="1">
      <c r="B3005" s="109"/>
      <c r="C3005" s="122"/>
      <c r="D3005" s="123" t="s">
        <v>2122</v>
      </c>
      <c r="E3005" s="247">
        <f>SUM(E3006:E3006)</f>
        <v>12600000000</v>
      </c>
      <c r="F3005" s="134">
        <v>64316106423.529999</v>
      </c>
      <c r="G3005" s="127">
        <f t="shared" si="63"/>
        <v>19.590738153561951</v>
      </c>
      <c r="H3005" s="120"/>
      <c r="I3005" s="120"/>
      <c r="J3005" s="116"/>
      <c r="K3005" s="116"/>
      <c r="L3005" s="116"/>
      <c r="M3005" s="116"/>
      <c r="N3005" s="116"/>
      <c r="O3005" s="116"/>
      <c r="P3005" s="116"/>
    </row>
    <row r="3006" spans="2:16" s="108" customFormat="1" ht="21.75" hidden="1" customHeight="1">
      <c r="B3006" s="109"/>
      <c r="C3006" s="122"/>
      <c r="D3006" s="123" t="s">
        <v>2123</v>
      </c>
      <c r="E3006" s="248">
        <v>12600000000</v>
      </c>
      <c r="F3006" s="134">
        <v>64316106423.529999</v>
      </c>
      <c r="G3006" s="127">
        <f t="shared" si="63"/>
        <v>19.590738153561951</v>
      </c>
      <c r="H3006" s="120"/>
      <c r="I3006" s="120"/>
      <c r="J3006" s="116"/>
      <c r="K3006" s="116"/>
      <c r="L3006" s="116"/>
      <c r="M3006" s="116"/>
      <c r="N3006" s="116"/>
      <c r="O3006" s="116"/>
      <c r="P3006" s="116"/>
    </row>
    <row r="3007" spans="2:16" s="108" customFormat="1" ht="21.75" hidden="1" customHeight="1">
      <c r="B3007" s="109"/>
      <c r="C3007" s="122"/>
      <c r="D3007" s="123"/>
      <c r="E3007" s="247"/>
      <c r="F3007" s="134"/>
      <c r="G3007" s="127"/>
      <c r="H3007" s="120"/>
      <c r="I3007" s="120"/>
      <c r="J3007" s="116"/>
      <c r="K3007" s="116"/>
      <c r="L3007" s="116"/>
      <c r="M3007" s="116"/>
      <c r="N3007" s="116"/>
      <c r="O3007" s="116"/>
      <c r="P3007" s="116"/>
    </row>
    <row r="3008" spans="2:16" s="108" customFormat="1" ht="21.75" hidden="1" customHeight="1">
      <c r="B3008" s="109"/>
      <c r="C3008" s="122"/>
      <c r="D3008" s="111" t="s">
        <v>161</v>
      </c>
      <c r="E3008" s="247">
        <f t="shared" ref="E3008" si="64">SUM(E3009,E3011,E3013,E3015)</f>
        <v>9647415964</v>
      </c>
      <c r="F3008" s="134">
        <v>64316106423.529999</v>
      </c>
      <c r="G3008" s="127">
        <f t="shared" si="63"/>
        <v>15.000000000731543</v>
      </c>
      <c r="H3008" s="120"/>
      <c r="I3008" s="120"/>
      <c r="J3008" s="116"/>
      <c r="K3008" s="116"/>
      <c r="L3008" s="116"/>
      <c r="M3008" s="116"/>
      <c r="N3008" s="116"/>
      <c r="O3008" s="116"/>
      <c r="P3008" s="116"/>
    </row>
    <row r="3009" spans="2:16" s="117" customFormat="1" ht="21.75" hidden="1" customHeight="1">
      <c r="B3009" s="118"/>
      <c r="C3009" s="110"/>
      <c r="D3009" s="111" t="s">
        <v>2124</v>
      </c>
      <c r="E3009" s="247">
        <f t="shared" ref="E3009" si="65">SUM(E3010:E3010)</f>
        <v>3000000000</v>
      </c>
      <c r="F3009" s="114">
        <v>64316106423.529999</v>
      </c>
      <c r="G3009" s="127">
        <f t="shared" si="63"/>
        <v>4.6644614651337974</v>
      </c>
      <c r="H3009" s="120"/>
      <c r="I3009" s="120"/>
      <c r="J3009" s="121"/>
      <c r="K3009" s="121"/>
      <c r="L3009" s="121"/>
      <c r="M3009" s="121"/>
      <c r="N3009" s="121"/>
      <c r="O3009" s="121"/>
      <c r="P3009" s="121"/>
    </row>
    <row r="3010" spans="2:16" s="108" customFormat="1" ht="21.75" hidden="1" customHeight="1">
      <c r="B3010" s="109"/>
      <c r="C3010" s="122"/>
      <c r="D3010" s="123" t="s">
        <v>2125</v>
      </c>
      <c r="E3010" s="248">
        <v>3000000000</v>
      </c>
      <c r="F3010" s="134">
        <v>64316106423.529999</v>
      </c>
      <c r="G3010" s="127">
        <f t="shared" si="63"/>
        <v>4.6644614651337974</v>
      </c>
      <c r="H3010" s="120"/>
      <c r="I3010" s="120"/>
      <c r="J3010" s="116"/>
      <c r="K3010" s="116"/>
      <c r="L3010" s="116"/>
      <c r="M3010" s="116"/>
      <c r="N3010" s="116"/>
      <c r="O3010" s="116"/>
      <c r="P3010" s="116"/>
    </row>
    <row r="3011" spans="2:16" s="117" customFormat="1" ht="21.75" hidden="1" customHeight="1">
      <c r="B3011" s="118"/>
      <c r="C3011" s="110"/>
      <c r="D3011" s="111" t="s">
        <v>2126</v>
      </c>
      <c r="E3011" s="247">
        <f t="shared" ref="E3011" si="66">SUM(E3012:E3012)</f>
        <v>1000000000</v>
      </c>
      <c r="F3011" s="114">
        <v>64316106423.529999</v>
      </c>
      <c r="G3011" s="127">
        <f t="shared" si="63"/>
        <v>1.5548204883779326</v>
      </c>
      <c r="H3011" s="120"/>
      <c r="I3011" s="120"/>
      <c r="J3011" s="121"/>
      <c r="K3011" s="121"/>
      <c r="L3011" s="121"/>
      <c r="M3011" s="121"/>
      <c r="N3011" s="121"/>
      <c r="O3011" s="121"/>
      <c r="P3011" s="121"/>
    </row>
    <row r="3012" spans="2:16" s="108" customFormat="1" ht="21.75" hidden="1" customHeight="1">
      <c r="B3012" s="109"/>
      <c r="C3012" s="122"/>
      <c r="D3012" s="123" t="s">
        <v>2127</v>
      </c>
      <c r="E3012" s="248">
        <v>1000000000</v>
      </c>
      <c r="F3012" s="134">
        <v>64316106423.529999</v>
      </c>
      <c r="G3012" s="127">
        <f t="shared" si="63"/>
        <v>1.5548204883779326</v>
      </c>
      <c r="H3012" s="120"/>
      <c r="I3012" s="120"/>
      <c r="J3012" s="116"/>
      <c r="K3012" s="116"/>
      <c r="L3012" s="116"/>
      <c r="M3012" s="116"/>
      <c r="N3012" s="116"/>
      <c r="O3012" s="116"/>
      <c r="P3012" s="116"/>
    </row>
    <row r="3013" spans="2:16" s="117" customFormat="1" ht="21.75" hidden="1" customHeight="1">
      <c r="B3013" s="118"/>
      <c r="C3013" s="110"/>
      <c r="D3013" s="111" t="s">
        <v>2128</v>
      </c>
      <c r="E3013" s="247">
        <f t="shared" ref="E3013" si="67">SUM(E3014:E3014)</f>
        <v>750000000</v>
      </c>
      <c r="F3013" s="114">
        <v>64316106423.529999</v>
      </c>
      <c r="G3013" s="127">
        <f t="shared" si="63"/>
        <v>1.1661153662834494</v>
      </c>
      <c r="H3013" s="120"/>
      <c r="I3013" s="120"/>
      <c r="J3013" s="121"/>
      <c r="K3013" s="121"/>
      <c r="L3013" s="121"/>
      <c r="M3013" s="121"/>
      <c r="N3013" s="121"/>
      <c r="O3013" s="121"/>
      <c r="P3013" s="121"/>
    </row>
    <row r="3014" spans="2:16" s="108" customFormat="1" ht="21.75" hidden="1" customHeight="1">
      <c r="B3014" s="109"/>
      <c r="C3014" s="122"/>
      <c r="D3014" s="123" t="s">
        <v>2129</v>
      </c>
      <c r="E3014" s="248">
        <v>750000000</v>
      </c>
      <c r="F3014" s="134">
        <v>64316106423.529999</v>
      </c>
      <c r="G3014" s="127">
        <f t="shared" si="63"/>
        <v>1.1661153662834494</v>
      </c>
      <c r="H3014" s="120"/>
      <c r="I3014" s="120"/>
      <c r="J3014" s="116"/>
      <c r="K3014" s="116"/>
      <c r="L3014" s="116"/>
      <c r="M3014" s="116"/>
      <c r="N3014" s="116"/>
      <c r="O3014" s="116"/>
      <c r="P3014" s="116"/>
    </row>
    <row r="3015" spans="2:16" s="117" customFormat="1" ht="21.75" hidden="1" customHeight="1">
      <c r="B3015" s="118"/>
      <c r="C3015" s="110"/>
      <c r="D3015" s="111" t="s">
        <v>162</v>
      </c>
      <c r="E3015" s="247">
        <f t="shared" ref="E3015" si="68">E3016</f>
        <v>4897415964</v>
      </c>
      <c r="F3015" s="114">
        <v>64316106423.529999</v>
      </c>
      <c r="G3015" s="127">
        <f t="shared" si="63"/>
        <v>7.6146026809363638</v>
      </c>
      <c r="H3015" s="120"/>
      <c r="I3015" s="120"/>
      <c r="J3015" s="121"/>
      <c r="K3015" s="121"/>
      <c r="L3015" s="121"/>
      <c r="M3015" s="121"/>
      <c r="N3015" s="121"/>
      <c r="O3015" s="121"/>
      <c r="P3015" s="121"/>
    </row>
    <row r="3016" spans="2:16" s="108" customFormat="1" ht="35.25" hidden="1" customHeight="1">
      <c r="B3016" s="109"/>
      <c r="C3016" s="122"/>
      <c r="D3016" s="123" t="s">
        <v>2130</v>
      </c>
      <c r="E3016" s="248">
        <v>4897415964</v>
      </c>
      <c r="F3016" s="134">
        <v>64316106423.529999</v>
      </c>
      <c r="G3016" s="127">
        <f t="shared" si="63"/>
        <v>7.6146026809363638</v>
      </c>
      <c r="H3016" s="120"/>
      <c r="I3016" s="120"/>
      <c r="J3016" s="116"/>
      <c r="K3016" s="116"/>
      <c r="L3016" s="116"/>
      <c r="M3016" s="116"/>
      <c r="N3016" s="116"/>
      <c r="O3016" s="116"/>
      <c r="P3016" s="116"/>
    </row>
    <row r="3017" spans="2:16" s="108" customFormat="1" ht="35.25" hidden="1" customHeight="1">
      <c r="B3017" s="109"/>
      <c r="C3017" s="122"/>
      <c r="D3017" s="123"/>
      <c r="E3017" s="248"/>
      <c r="F3017" s="134"/>
      <c r="G3017" s="127"/>
      <c r="H3017" s="120"/>
      <c r="I3017" s="120"/>
      <c r="J3017" s="116"/>
      <c r="K3017" s="116"/>
      <c r="L3017" s="116"/>
      <c r="M3017" s="116"/>
      <c r="N3017" s="116"/>
      <c r="O3017" s="116"/>
      <c r="P3017" s="116"/>
    </row>
    <row r="3018" spans="2:16" s="108" customFormat="1" ht="21.75" hidden="1" customHeight="1">
      <c r="B3018" s="109"/>
      <c r="C3018" s="122"/>
      <c r="D3018" s="111" t="s">
        <v>2131</v>
      </c>
      <c r="E3018" s="247">
        <f t="shared" ref="E3018" si="69">SUM(E3019,E3021,E3023)</f>
        <v>800000000</v>
      </c>
      <c r="F3018" s="134">
        <v>64316106423.529999</v>
      </c>
      <c r="G3018" s="127">
        <f t="shared" si="63"/>
        <v>1.2438563907023461</v>
      </c>
      <c r="H3018" s="120"/>
      <c r="I3018" s="120"/>
      <c r="J3018" s="116"/>
      <c r="K3018" s="116"/>
      <c r="L3018" s="116"/>
      <c r="M3018" s="116"/>
      <c r="N3018" s="116"/>
      <c r="O3018" s="116"/>
      <c r="P3018" s="116"/>
    </row>
    <row r="3019" spans="2:16" s="117" customFormat="1" ht="21.75" hidden="1" customHeight="1">
      <c r="B3019" s="118"/>
      <c r="C3019" s="110"/>
      <c r="D3019" s="111" t="s">
        <v>2132</v>
      </c>
      <c r="E3019" s="247">
        <f>E3020</f>
        <v>250000000</v>
      </c>
      <c r="F3019" s="114">
        <v>64316106423.529999</v>
      </c>
      <c r="G3019" s="127">
        <f t="shared" si="63"/>
        <v>0.38870512209448316</v>
      </c>
      <c r="H3019" s="120"/>
      <c r="I3019" s="120"/>
      <c r="J3019" s="121"/>
      <c r="K3019" s="121"/>
      <c r="L3019" s="121"/>
      <c r="M3019" s="121"/>
      <c r="N3019" s="121"/>
      <c r="O3019" s="121"/>
      <c r="P3019" s="121"/>
    </row>
    <row r="3020" spans="2:16" s="108" customFormat="1" ht="36.75" hidden="1" customHeight="1">
      <c r="B3020" s="109"/>
      <c r="C3020" s="122"/>
      <c r="D3020" s="123" t="s">
        <v>2133</v>
      </c>
      <c r="E3020" s="248">
        <v>250000000</v>
      </c>
      <c r="F3020" s="134">
        <v>64316106423.529999</v>
      </c>
      <c r="G3020" s="127">
        <f t="shared" si="63"/>
        <v>0.38870512209448316</v>
      </c>
      <c r="H3020" s="120"/>
      <c r="I3020" s="120"/>
      <c r="J3020" s="116"/>
      <c r="K3020" s="116"/>
      <c r="L3020" s="116"/>
      <c r="M3020" s="116"/>
      <c r="N3020" s="116"/>
      <c r="O3020" s="116"/>
      <c r="P3020" s="116"/>
    </row>
    <row r="3021" spans="2:16" s="117" customFormat="1" ht="35.25" hidden="1" customHeight="1">
      <c r="B3021" s="118"/>
      <c r="C3021" s="110"/>
      <c r="D3021" s="111" t="s">
        <v>1905</v>
      </c>
      <c r="E3021" s="247">
        <f>E3022</f>
        <v>300000000</v>
      </c>
      <c r="F3021" s="114">
        <v>64316106423.529999</v>
      </c>
      <c r="G3021" s="127">
        <f t="shared" si="63"/>
        <v>0.46644614651337979</v>
      </c>
      <c r="H3021" s="120"/>
      <c r="I3021" s="120"/>
      <c r="J3021" s="121"/>
      <c r="K3021" s="121"/>
      <c r="L3021" s="121"/>
      <c r="M3021" s="121"/>
      <c r="N3021" s="121"/>
      <c r="O3021" s="121"/>
      <c r="P3021" s="121"/>
    </row>
    <row r="3022" spans="2:16" s="108" customFormat="1" ht="36" hidden="1" customHeight="1">
      <c r="B3022" s="109"/>
      <c r="C3022" s="122"/>
      <c r="D3022" s="123" t="s">
        <v>2134</v>
      </c>
      <c r="E3022" s="248">
        <v>300000000</v>
      </c>
      <c r="F3022" s="134">
        <v>64316106423.529999</v>
      </c>
      <c r="G3022" s="127">
        <f t="shared" si="63"/>
        <v>0.46644614651337979</v>
      </c>
      <c r="H3022" s="120"/>
      <c r="I3022" s="120"/>
      <c r="J3022" s="116"/>
      <c r="K3022" s="116"/>
      <c r="L3022" s="116"/>
      <c r="M3022" s="116"/>
      <c r="N3022" s="116"/>
      <c r="O3022" s="116"/>
      <c r="P3022" s="116"/>
    </row>
    <row r="3023" spans="2:16" s="117" customFormat="1" ht="21.75" hidden="1" customHeight="1">
      <c r="B3023" s="118"/>
      <c r="C3023" s="110"/>
      <c r="D3023" s="111" t="s">
        <v>2135</v>
      </c>
      <c r="E3023" s="247">
        <f>E3024</f>
        <v>250000000</v>
      </c>
      <c r="F3023" s="114">
        <v>64316106423.529999</v>
      </c>
      <c r="G3023" s="127">
        <f t="shared" si="63"/>
        <v>0.38870512209448316</v>
      </c>
      <c r="H3023" s="120"/>
      <c r="I3023" s="120"/>
      <c r="J3023" s="121"/>
      <c r="K3023" s="121"/>
      <c r="L3023" s="121"/>
      <c r="M3023" s="121"/>
      <c r="N3023" s="121"/>
      <c r="O3023" s="121"/>
      <c r="P3023" s="121"/>
    </row>
    <row r="3024" spans="2:16" s="108" customFormat="1" ht="32.25" hidden="1" customHeight="1">
      <c r="B3024" s="109"/>
      <c r="C3024" s="122"/>
      <c r="D3024" s="123" t="s">
        <v>2136</v>
      </c>
      <c r="E3024" s="248">
        <v>250000000</v>
      </c>
      <c r="F3024" s="134">
        <v>64316106423.529999</v>
      </c>
      <c r="G3024" s="127">
        <f t="shared" si="63"/>
        <v>0.38870512209448316</v>
      </c>
      <c r="H3024" s="120"/>
      <c r="I3024" s="120"/>
      <c r="J3024" s="116"/>
      <c r="K3024" s="116"/>
      <c r="L3024" s="116"/>
      <c r="M3024" s="116"/>
      <c r="N3024" s="116"/>
      <c r="O3024" s="116"/>
      <c r="P3024" s="116"/>
    </row>
    <row r="3025" spans="2:16" s="108" customFormat="1" ht="21.75" hidden="1" customHeight="1">
      <c r="B3025" s="109"/>
      <c r="C3025" s="122"/>
      <c r="D3025" s="123"/>
      <c r="E3025" s="247"/>
      <c r="F3025" s="134"/>
      <c r="G3025" s="127"/>
      <c r="H3025" s="120"/>
      <c r="I3025" s="120"/>
      <c r="J3025" s="116"/>
      <c r="K3025" s="116"/>
      <c r="L3025" s="116"/>
      <c r="M3025" s="116"/>
      <c r="N3025" s="116"/>
      <c r="O3025" s="116"/>
      <c r="P3025" s="116"/>
    </row>
    <row r="3026" spans="2:16" s="108" customFormat="1" ht="21.75" hidden="1" customHeight="1">
      <c r="B3026" s="109"/>
      <c r="C3026" s="122"/>
      <c r="D3026" s="111" t="s">
        <v>2137</v>
      </c>
      <c r="E3026" s="247">
        <f>SUM(E3027,E3030,E3032)</f>
        <v>2000000000</v>
      </c>
      <c r="F3026" s="134">
        <v>64316106423.529999</v>
      </c>
      <c r="G3026" s="127">
        <f t="shared" si="63"/>
        <v>3.1096409767558653</v>
      </c>
      <c r="H3026" s="120"/>
      <c r="I3026" s="120"/>
      <c r="J3026" s="116"/>
      <c r="K3026" s="116"/>
      <c r="L3026" s="116"/>
      <c r="M3026" s="116"/>
      <c r="N3026" s="116"/>
      <c r="O3026" s="116"/>
      <c r="P3026" s="116"/>
    </row>
    <row r="3027" spans="2:16" s="117" customFormat="1" ht="21.75" hidden="1" customHeight="1">
      <c r="B3027" s="118"/>
      <c r="C3027" s="110"/>
      <c r="D3027" s="111" t="s">
        <v>2138</v>
      </c>
      <c r="E3027" s="247">
        <f>E3028+E3029</f>
        <v>938859220</v>
      </c>
      <c r="F3027" s="114">
        <v>64316106423.529999</v>
      </c>
      <c r="G3027" s="127">
        <f t="shared" si="63"/>
        <v>1.4597575509585248</v>
      </c>
      <c r="H3027" s="120"/>
      <c r="I3027" s="120"/>
      <c r="J3027" s="121"/>
      <c r="K3027" s="121"/>
      <c r="L3027" s="121"/>
      <c r="M3027" s="121"/>
      <c r="N3027" s="121"/>
      <c r="O3027" s="121"/>
      <c r="P3027" s="121"/>
    </row>
    <row r="3028" spans="2:16" s="108" customFormat="1" ht="21.75" hidden="1" customHeight="1">
      <c r="B3028" s="109"/>
      <c r="C3028" s="122"/>
      <c r="D3028" s="123" t="s">
        <v>307</v>
      </c>
      <c r="E3028" s="248">
        <v>391485040</v>
      </c>
      <c r="F3028" s="134">
        <v>64316106423.529999</v>
      </c>
      <c r="G3028" s="127">
        <f t="shared" si="63"/>
        <v>0.60868896108545445</v>
      </c>
      <c r="H3028" s="120"/>
      <c r="I3028" s="120"/>
      <c r="J3028" s="116"/>
      <c r="K3028" s="116"/>
      <c r="L3028" s="116"/>
      <c r="M3028" s="116"/>
      <c r="N3028" s="116"/>
      <c r="O3028" s="116"/>
      <c r="P3028" s="116"/>
    </row>
    <row r="3029" spans="2:16" s="108" customFormat="1" ht="31.5" hidden="1" customHeight="1">
      <c r="B3029" s="109"/>
      <c r="C3029" s="122"/>
      <c r="D3029" s="123" t="s">
        <v>2139</v>
      </c>
      <c r="E3029" s="248">
        <v>547374180</v>
      </c>
      <c r="F3029" s="134">
        <v>64316106423.529999</v>
      </c>
      <c r="G3029" s="127">
        <f t="shared" si="63"/>
        <v>0.85106858987307032</v>
      </c>
      <c r="H3029" s="120"/>
      <c r="I3029" s="120"/>
      <c r="J3029" s="116"/>
      <c r="K3029" s="116"/>
      <c r="L3029" s="116"/>
      <c r="M3029" s="116"/>
      <c r="N3029" s="116"/>
      <c r="O3029" s="116"/>
      <c r="P3029" s="116"/>
    </row>
    <row r="3030" spans="2:16" s="117" customFormat="1" ht="21.75" hidden="1" customHeight="1">
      <c r="B3030" s="118"/>
      <c r="C3030" s="110"/>
      <c r="D3030" s="111" t="s">
        <v>2140</v>
      </c>
      <c r="E3030" s="247">
        <f>SUM(E3031:E3031)</f>
        <v>168609780</v>
      </c>
      <c r="F3030" s="114">
        <v>64316106423.529999</v>
      </c>
      <c r="G3030" s="127">
        <f t="shared" si="63"/>
        <v>0.26215794048489577</v>
      </c>
      <c r="H3030" s="120"/>
      <c r="I3030" s="120"/>
      <c r="J3030" s="121"/>
      <c r="K3030" s="121"/>
      <c r="L3030" s="121"/>
      <c r="M3030" s="121"/>
      <c r="N3030" s="121"/>
      <c r="O3030" s="121"/>
      <c r="P3030" s="121"/>
    </row>
    <row r="3031" spans="2:16" s="108" customFormat="1" ht="21.75" hidden="1" customHeight="1">
      <c r="B3031" s="109"/>
      <c r="C3031" s="122"/>
      <c r="D3031" s="123" t="s">
        <v>318</v>
      </c>
      <c r="E3031" s="248">
        <v>168609780</v>
      </c>
      <c r="F3031" s="134">
        <v>64316106423.529999</v>
      </c>
      <c r="G3031" s="127">
        <f t="shared" si="63"/>
        <v>0.26215794048489577</v>
      </c>
      <c r="H3031" s="120"/>
      <c r="I3031" s="120"/>
      <c r="J3031" s="116"/>
      <c r="K3031" s="116"/>
      <c r="L3031" s="116"/>
      <c r="M3031" s="116"/>
      <c r="N3031" s="116"/>
      <c r="O3031" s="116"/>
      <c r="P3031" s="116"/>
    </row>
    <row r="3032" spans="2:16" s="117" customFormat="1" ht="21.75" hidden="1" customHeight="1">
      <c r="B3032" s="118"/>
      <c r="C3032" s="110"/>
      <c r="D3032" s="111" t="s">
        <v>471</v>
      </c>
      <c r="E3032" s="247">
        <f>SUM(E3033:E3033)</f>
        <v>892531000</v>
      </c>
      <c r="F3032" s="114">
        <v>64316106423.529999</v>
      </c>
      <c r="G3032" s="127">
        <f t="shared" si="63"/>
        <v>1.3877254853124446</v>
      </c>
      <c r="H3032" s="120"/>
      <c r="I3032" s="120"/>
      <c r="J3032" s="121"/>
      <c r="K3032" s="121"/>
      <c r="L3032" s="121"/>
      <c r="M3032" s="121"/>
      <c r="N3032" s="121"/>
      <c r="O3032" s="121"/>
      <c r="P3032" s="121"/>
    </row>
    <row r="3033" spans="2:16" s="108" customFormat="1" ht="21.75" hidden="1" customHeight="1">
      <c r="B3033" s="109"/>
      <c r="C3033" s="122"/>
      <c r="D3033" s="123" t="s">
        <v>322</v>
      </c>
      <c r="E3033" s="248">
        <v>892531000</v>
      </c>
      <c r="F3033" s="134">
        <v>64316106423.529999</v>
      </c>
      <c r="G3033" s="127">
        <f t="shared" si="63"/>
        <v>1.3877254853124446</v>
      </c>
      <c r="H3033" s="120"/>
      <c r="I3033" s="120"/>
      <c r="J3033" s="116"/>
      <c r="K3033" s="116"/>
      <c r="L3033" s="116"/>
      <c r="M3033" s="116"/>
      <c r="N3033" s="116"/>
      <c r="O3033" s="116"/>
      <c r="P3033" s="116"/>
    </row>
    <row r="3034" spans="2:16" s="108" customFormat="1" ht="21.75" hidden="1" customHeight="1">
      <c r="B3034" s="109"/>
      <c r="C3034" s="122"/>
      <c r="D3034" s="123"/>
      <c r="E3034" s="248"/>
      <c r="F3034" s="134"/>
      <c r="G3034" s="127"/>
      <c r="H3034" s="120"/>
      <c r="I3034" s="120"/>
      <c r="J3034" s="116"/>
      <c r="K3034" s="116"/>
      <c r="L3034" s="116"/>
      <c r="M3034" s="116"/>
      <c r="N3034" s="116"/>
      <c r="O3034" s="116"/>
      <c r="P3034" s="116"/>
    </row>
    <row r="3035" spans="2:16" s="108" customFormat="1" ht="21.75" hidden="1" customHeight="1">
      <c r="B3035" s="109"/>
      <c r="C3035" s="122"/>
      <c r="D3035" s="111" t="s">
        <v>2141</v>
      </c>
      <c r="E3035" s="247">
        <f t="shared" ref="E3035" si="70">E3036</f>
        <v>1000000000</v>
      </c>
      <c r="F3035" s="134">
        <v>64316106423.529999</v>
      </c>
      <c r="G3035" s="127">
        <f t="shared" si="63"/>
        <v>1.5548204883779326</v>
      </c>
      <c r="H3035" s="120"/>
      <c r="I3035" s="120"/>
      <c r="J3035" s="116"/>
      <c r="K3035" s="116"/>
      <c r="L3035" s="116"/>
      <c r="M3035" s="116"/>
      <c r="N3035" s="116"/>
      <c r="O3035" s="116"/>
      <c r="P3035" s="116"/>
    </row>
    <row r="3036" spans="2:16" s="117" customFormat="1" ht="21.75" hidden="1" customHeight="1">
      <c r="B3036" s="118"/>
      <c r="C3036" s="110"/>
      <c r="D3036" s="111" t="s">
        <v>1811</v>
      </c>
      <c r="E3036" s="247">
        <f t="shared" ref="E3036" si="71">SUM(E3037:E3037)</f>
        <v>1000000000</v>
      </c>
      <c r="F3036" s="114">
        <v>64316106423.529999</v>
      </c>
      <c r="G3036" s="127">
        <f t="shared" si="63"/>
        <v>1.5548204883779326</v>
      </c>
      <c r="H3036" s="120"/>
      <c r="I3036" s="120"/>
      <c r="J3036" s="121"/>
      <c r="K3036" s="121"/>
      <c r="L3036" s="121"/>
      <c r="M3036" s="121"/>
      <c r="N3036" s="121"/>
      <c r="O3036" s="121"/>
      <c r="P3036" s="121"/>
    </row>
    <row r="3037" spans="2:16" s="108" customFormat="1" ht="21.75" hidden="1" customHeight="1">
      <c r="B3037" s="109"/>
      <c r="C3037" s="122"/>
      <c r="D3037" s="123" t="s">
        <v>2142</v>
      </c>
      <c r="E3037" s="248">
        <v>1000000000</v>
      </c>
      <c r="F3037" s="134">
        <v>64316106423.529999</v>
      </c>
      <c r="G3037" s="127">
        <f t="shared" si="63"/>
        <v>1.5548204883779326</v>
      </c>
      <c r="H3037" s="120"/>
      <c r="I3037" s="120"/>
      <c r="J3037" s="116"/>
      <c r="K3037" s="116"/>
      <c r="L3037" s="116"/>
      <c r="M3037" s="116"/>
      <c r="N3037" s="116"/>
      <c r="O3037" s="116"/>
      <c r="P3037" s="116"/>
    </row>
    <row r="3038" spans="2:16" s="108" customFormat="1" ht="21.75" hidden="1" customHeight="1">
      <c r="B3038" s="109"/>
      <c r="C3038" s="122"/>
      <c r="D3038" s="123"/>
      <c r="E3038" s="248"/>
      <c r="F3038" s="134"/>
      <c r="G3038" s="127"/>
      <c r="H3038" s="120"/>
      <c r="I3038" s="120"/>
      <c r="J3038" s="116"/>
      <c r="K3038" s="116"/>
      <c r="L3038" s="116"/>
      <c r="M3038" s="116"/>
      <c r="N3038" s="116"/>
      <c r="O3038" s="116"/>
      <c r="P3038" s="116"/>
    </row>
    <row r="3039" spans="2:16" s="108" customFormat="1" ht="21.75" hidden="1" customHeight="1">
      <c r="B3039" s="109"/>
      <c r="C3039" s="122"/>
      <c r="D3039" s="148" t="s">
        <v>2143</v>
      </c>
      <c r="E3039" s="247">
        <f t="shared" ref="E3039" si="72">SUM(E3040,E3043)</f>
        <v>6000000000</v>
      </c>
      <c r="F3039" s="134">
        <v>64316106423.529999</v>
      </c>
      <c r="G3039" s="127">
        <f t="shared" si="63"/>
        <v>9.3289229302675949</v>
      </c>
      <c r="H3039" s="120"/>
      <c r="I3039" s="120"/>
      <c r="J3039" s="116"/>
      <c r="K3039" s="116"/>
      <c r="L3039" s="116"/>
      <c r="M3039" s="116"/>
      <c r="N3039" s="116"/>
      <c r="O3039" s="116"/>
      <c r="P3039" s="116"/>
    </row>
    <row r="3040" spans="2:16" s="117" customFormat="1" ht="21.75" hidden="1" customHeight="1">
      <c r="B3040" s="118"/>
      <c r="C3040" s="110"/>
      <c r="D3040" s="148" t="s">
        <v>2144</v>
      </c>
      <c r="E3040" s="247">
        <f>SUM(E3041:E3042)</f>
        <v>5686444000</v>
      </c>
      <c r="F3040" s="114">
        <v>64316106423.529999</v>
      </c>
      <c r="G3040" s="127">
        <f t="shared" si="63"/>
        <v>8.8413996372137653</v>
      </c>
      <c r="H3040" s="120"/>
      <c r="I3040" s="120"/>
      <c r="J3040" s="121"/>
      <c r="K3040" s="121"/>
      <c r="L3040" s="121"/>
      <c r="M3040" s="121"/>
      <c r="N3040" s="121"/>
      <c r="O3040" s="121"/>
      <c r="P3040" s="121"/>
    </row>
    <row r="3041" spans="2:16" s="108" customFormat="1" ht="21.75" hidden="1" customHeight="1">
      <c r="B3041" s="109"/>
      <c r="C3041" s="122"/>
      <c r="D3041" s="123" t="s">
        <v>2145</v>
      </c>
      <c r="E3041" s="248">
        <v>349423800</v>
      </c>
      <c r="F3041" s="134">
        <v>64316106423.529999</v>
      </c>
      <c r="G3041" s="127">
        <f t="shared" si="63"/>
        <v>0.54329128336687305</v>
      </c>
      <c r="H3041" s="120"/>
      <c r="I3041" s="120"/>
      <c r="J3041" s="116"/>
      <c r="K3041" s="116"/>
      <c r="L3041" s="116"/>
      <c r="M3041" s="116"/>
      <c r="N3041" s="116"/>
      <c r="O3041" s="116"/>
      <c r="P3041" s="116"/>
    </row>
    <row r="3042" spans="2:16" s="108" customFormat="1" ht="21.75" hidden="1" customHeight="1">
      <c r="B3042" s="109"/>
      <c r="C3042" s="122"/>
      <c r="D3042" s="123" t="s">
        <v>2146</v>
      </c>
      <c r="E3042" s="248">
        <v>5337020200</v>
      </c>
      <c r="F3042" s="134">
        <v>64316106423.529999</v>
      </c>
      <c r="G3042" s="127">
        <f t="shared" si="63"/>
        <v>8.2981083538468923</v>
      </c>
      <c r="H3042" s="120"/>
      <c r="I3042" s="120"/>
      <c r="J3042" s="116"/>
      <c r="K3042" s="116"/>
      <c r="L3042" s="116"/>
      <c r="M3042" s="116"/>
      <c r="N3042" s="116"/>
      <c r="O3042" s="116"/>
      <c r="P3042" s="116"/>
    </row>
    <row r="3043" spans="2:16" s="117" customFormat="1" ht="21.75" hidden="1" customHeight="1">
      <c r="B3043" s="118"/>
      <c r="C3043" s="110"/>
      <c r="D3043" s="148" t="s">
        <v>1423</v>
      </c>
      <c r="E3043" s="247">
        <f>SUM(E3044:E3044)</f>
        <v>313556000</v>
      </c>
      <c r="F3043" s="114">
        <v>64316106423.529999</v>
      </c>
      <c r="G3043" s="127">
        <f t="shared" si="63"/>
        <v>0.48752329305383107</v>
      </c>
      <c r="H3043" s="120"/>
      <c r="I3043" s="120"/>
      <c r="J3043" s="121"/>
      <c r="K3043" s="121"/>
      <c r="L3043" s="121"/>
      <c r="M3043" s="121"/>
      <c r="N3043" s="121"/>
      <c r="O3043" s="121"/>
      <c r="P3043" s="121"/>
    </row>
    <row r="3044" spans="2:16" s="108" customFormat="1" ht="21.75" hidden="1" customHeight="1">
      <c r="B3044" s="109"/>
      <c r="C3044" s="122"/>
      <c r="D3044" s="123" t="s">
        <v>2147</v>
      </c>
      <c r="E3044" s="248">
        <v>313556000</v>
      </c>
      <c r="F3044" s="134">
        <v>64316106423.529999</v>
      </c>
      <c r="G3044" s="127">
        <f t="shared" si="63"/>
        <v>0.48752329305383107</v>
      </c>
      <c r="H3044" s="120"/>
      <c r="I3044" s="120"/>
      <c r="J3044" s="116"/>
      <c r="K3044" s="116"/>
      <c r="L3044" s="116"/>
      <c r="M3044" s="116"/>
      <c r="N3044" s="116"/>
      <c r="O3044" s="116"/>
      <c r="P3044" s="116"/>
    </row>
    <row r="3045" spans="2:16" s="108" customFormat="1" ht="21.75" hidden="1" customHeight="1">
      <c r="B3045" s="109"/>
      <c r="C3045" s="122"/>
      <c r="D3045" s="123"/>
      <c r="E3045" s="248"/>
      <c r="F3045" s="134"/>
      <c r="G3045" s="127"/>
      <c r="H3045" s="120"/>
      <c r="I3045" s="120"/>
      <c r="J3045" s="116"/>
      <c r="K3045" s="116"/>
      <c r="L3045" s="116"/>
      <c r="M3045" s="116"/>
      <c r="N3045" s="116"/>
      <c r="O3045" s="116"/>
      <c r="P3045" s="116"/>
    </row>
    <row r="3046" spans="2:16" s="108" customFormat="1" ht="21.75" hidden="1" customHeight="1">
      <c r="B3046" s="109"/>
      <c r="C3046" s="122"/>
      <c r="D3046" s="148" t="s">
        <v>967</v>
      </c>
      <c r="E3046" s="247">
        <f>E3047</f>
        <v>1000000000</v>
      </c>
      <c r="F3046" s="134">
        <v>64316106423.529999</v>
      </c>
      <c r="G3046" s="127">
        <f t="shared" si="63"/>
        <v>1.5548204883779326</v>
      </c>
      <c r="H3046" s="120"/>
      <c r="I3046" s="120"/>
      <c r="J3046" s="116"/>
      <c r="K3046" s="116"/>
      <c r="L3046" s="116"/>
      <c r="M3046" s="116"/>
      <c r="N3046" s="116"/>
      <c r="O3046" s="116"/>
      <c r="P3046" s="116"/>
    </row>
    <row r="3047" spans="2:16" s="117" customFormat="1" ht="34.5" hidden="1" customHeight="1">
      <c r="B3047" s="118"/>
      <c r="C3047" s="110"/>
      <c r="D3047" s="148" t="s">
        <v>2148</v>
      </c>
      <c r="E3047" s="247">
        <f>E3048</f>
        <v>1000000000</v>
      </c>
      <c r="F3047" s="114">
        <v>64316106423.529999</v>
      </c>
      <c r="G3047" s="127">
        <f t="shared" si="63"/>
        <v>1.5548204883779326</v>
      </c>
      <c r="H3047" s="120"/>
      <c r="I3047" s="120"/>
      <c r="J3047" s="121"/>
      <c r="K3047" s="121"/>
      <c r="L3047" s="121"/>
      <c r="M3047" s="121"/>
      <c r="N3047" s="121"/>
      <c r="O3047" s="121"/>
      <c r="P3047" s="121"/>
    </row>
    <row r="3048" spans="2:16" s="108" customFormat="1" ht="21.75" hidden="1" customHeight="1">
      <c r="B3048" s="109"/>
      <c r="C3048" s="122"/>
      <c r="D3048" s="123" t="s">
        <v>2149</v>
      </c>
      <c r="E3048" s="248">
        <v>1000000000</v>
      </c>
      <c r="F3048" s="134">
        <v>64316106423.529999</v>
      </c>
      <c r="G3048" s="127">
        <f t="shared" si="63"/>
        <v>1.5548204883779326</v>
      </c>
      <c r="H3048" s="120"/>
      <c r="I3048" s="120"/>
      <c r="J3048" s="116"/>
      <c r="K3048" s="116"/>
      <c r="L3048" s="116"/>
      <c r="M3048" s="116"/>
      <c r="N3048" s="116"/>
      <c r="O3048" s="116"/>
      <c r="P3048" s="116"/>
    </row>
    <row r="3049" spans="2:16" s="108" customFormat="1" ht="21.75" hidden="1" customHeight="1">
      <c r="B3049" s="109"/>
      <c r="C3049" s="122"/>
      <c r="D3049" s="123"/>
      <c r="E3049" s="247"/>
      <c r="F3049" s="134"/>
      <c r="G3049" s="127"/>
      <c r="H3049" s="120"/>
      <c r="I3049" s="120"/>
      <c r="J3049" s="116"/>
      <c r="K3049" s="116"/>
      <c r="L3049" s="116"/>
      <c r="M3049" s="116"/>
      <c r="N3049" s="116"/>
      <c r="O3049" s="116"/>
      <c r="P3049" s="116"/>
    </row>
    <row r="3050" spans="2:16" s="108" customFormat="1" ht="21.75" hidden="1" customHeight="1">
      <c r="B3050" s="109"/>
      <c r="C3050" s="122"/>
      <c r="D3050" s="148" t="s">
        <v>758</v>
      </c>
      <c r="E3050" s="247">
        <f t="shared" ref="E3050" si="73">E3051</f>
        <v>700000000</v>
      </c>
      <c r="F3050" s="134">
        <v>64316106423.529999</v>
      </c>
      <c r="G3050" s="127">
        <f t="shared" si="63"/>
        <v>1.0883743418645528</v>
      </c>
      <c r="H3050" s="120"/>
      <c r="I3050" s="120"/>
      <c r="J3050" s="116"/>
      <c r="K3050" s="116"/>
      <c r="L3050" s="116"/>
      <c r="M3050" s="116"/>
      <c r="N3050" s="116"/>
      <c r="O3050" s="116"/>
      <c r="P3050" s="116"/>
    </row>
    <row r="3051" spans="2:16" s="117" customFormat="1" ht="21.75" hidden="1" customHeight="1">
      <c r="B3051" s="118"/>
      <c r="C3051" s="110"/>
      <c r="D3051" s="148" t="s">
        <v>1205</v>
      </c>
      <c r="E3051" s="247">
        <f>E3052</f>
        <v>700000000</v>
      </c>
      <c r="F3051" s="114">
        <v>64316106423.529999</v>
      </c>
      <c r="G3051" s="127">
        <f t="shared" si="63"/>
        <v>1.0883743418645528</v>
      </c>
      <c r="H3051" s="120"/>
      <c r="I3051" s="120"/>
      <c r="J3051" s="121"/>
      <c r="K3051" s="121"/>
      <c r="L3051" s="121"/>
      <c r="M3051" s="121"/>
      <c r="N3051" s="121"/>
      <c r="O3051" s="121"/>
      <c r="P3051" s="121"/>
    </row>
    <row r="3052" spans="2:16" s="108" customFormat="1" ht="21.75" hidden="1" customHeight="1">
      <c r="B3052" s="109"/>
      <c r="C3052" s="122"/>
      <c r="D3052" s="123" t="s">
        <v>1913</v>
      </c>
      <c r="E3052" s="248">
        <v>700000000</v>
      </c>
      <c r="F3052" s="134">
        <v>64316106423.529999</v>
      </c>
      <c r="G3052" s="127">
        <f t="shared" si="63"/>
        <v>1.0883743418645528</v>
      </c>
      <c r="H3052" s="120"/>
      <c r="I3052" s="120"/>
      <c r="J3052" s="116"/>
      <c r="K3052" s="116"/>
      <c r="L3052" s="116"/>
      <c r="M3052" s="116"/>
      <c r="N3052" s="116"/>
      <c r="O3052" s="116"/>
      <c r="P3052" s="116"/>
    </row>
    <row r="3053" spans="2:16" s="108" customFormat="1" ht="21.75" hidden="1" customHeight="1">
      <c r="B3053" s="109"/>
      <c r="C3053" s="122"/>
      <c r="D3053" s="123"/>
      <c r="E3053" s="248"/>
      <c r="F3053" s="134"/>
      <c r="G3053" s="127"/>
      <c r="H3053" s="120"/>
      <c r="I3053" s="120"/>
      <c r="J3053" s="116"/>
      <c r="K3053" s="116"/>
      <c r="L3053" s="116"/>
      <c r="M3053" s="116"/>
      <c r="N3053" s="116"/>
      <c r="O3053" s="116"/>
      <c r="P3053" s="116"/>
    </row>
    <row r="3054" spans="2:16" s="108" customFormat="1" ht="21.75" hidden="1" customHeight="1">
      <c r="B3054" s="109"/>
      <c r="C3054" s="122"/>
      <c r="D3054" s="148" t="s">
        <v>69</v>
      </c>
      <c r="E3054" s="247">
        <f>SUM(E3055)</f>
        <v>500000000</v>
      </c>
      <c r="F3054" s="134">
        <v>64316106423.529999</v>
      </c>
      <c r="G3054" s="127">
        <f t="shared" si="63"/>
        <v>0.77741024418896632</v>
      </c>
      <c r="H3054" s="120"/>
      <c r="I3054" s="120"/>
      <c r="J3054" s="116"/>
      <c r="K3054" s="116"/>
      <c r="L3054" s="116"/>
      <c r="M3054" s="116"/>
      <c r="N3054" s="116"/>
      <c r="O3054" s="116"/>
      <c r="P3054" s="116"/>
    </row>
    <row r="3055" spans="2:16" s="117" customFormat="1" ht="21.75" hidden="1" customHeight="1">
      <c r="B3055" s="118"/>
      <c r="C3055" s="110"/>
      <c r="D3055" s="148" t="s">
        <v>1469</v>
      </c>
      <c r="E3055" s="247">
        <f>SUM(E3056:E3056)</f>
        <v>500000000</v>
      </c>
      <c r="F3055" s="114">
        <v>64316106423.529999</v>
      </c>
      <c r="G3055" s="127">
        <f t="shared" si="63"/>
        <v>0.77741024418896632</v>
      </c>
      <c r="H3055" s="120"/>
      <c r="I3055" s="120"/>
      <c r="J3055" s="121"/>
      <c r="K3055" s="121"/>
      <c r="L3055" s="121"/>
      <c r="M3055" s="121"/>
      <c r="N3055" s="121"/>
      <c r="O3055" s="121"/>
      <c r="P3055" s="121"/>
    </row>
    <row r="3056" spans="2:16" s="108" customFormat="1" ht="21.75" hidden="1" customHeight="1">
      <c r="B3056" s="109"/>
      <c r="C3056" s="122"/>
      <c r="D3056" s="123" t="s">
        <v>2150</v>
      </c>
      <c r="E3056" s="248">
        <v>500000000</v>
      </c>
      <c r="F3056" s="134">
        <v>64316106423.529999</v>
      </c>
      <c r="G3056" s="127">
        <f t="shared" si="63"/>
        <v>0.77741024418896632</v>
      </c>
      <c r="H3056" s="120"/>
      <c r="I3056" s="120"/>
      <c r="J3056" s="116"/>
      <c r="K3056" s="116"/>
      <c r="L3056" s="116"/>
      <c r="M3056" s="116"/>
      <c r="N3056" s="116"/>
      <c r="O3056" s="116"/>
      <c r="P3056" s="116"/>
    </row>
    <row r="3057" spans="2:16" s="108" customFormat="1" ht="21.75" hidden="1" customHeight="1">
      <c r="B3057" s="109"/>
      <c r="C3057" s="122"/>
      <c r="D3057" s="123"/>
      <c r="E3057" s="248"/>
      <c r="F3057" s="134"/>
      <c r="G3057" s="127"/>
      <c r="H3057" s="120"/>
      <c r="I3057" s="120"/>
      <c r="J3057" s="116"/>
      <c r="K3057" s="116"/>
      <c r="L3057" s="116"/>
      <c r="M3057" s="116"/>
      <c r="N3057" s="116"/>
      <c r="O3057" s="116"/>
      <c r="P3057" s="116"/>
    </row>
    <row r="3058" spans="2:16" s="108" customFormat="1" ht="21.75" hidden="1" customHeight="1">
      <c r="B3058" s="109"/>
      <c r="C3058" s="122"/>
      <c r="D3058" s="148" t="s">
        <v>669</v>
      </c>
      <c r="E3058" s="247">
        <f t="shared" ref="E3058" si="74">E3059</f>
        <v>3000000000</v>
      </c>
      <c r="F3058" s="134">
        <v>64316106423.529999</v>
      </c>
      <c r="G3058" s="127">
        <f t="shared" si="63"/>
        <v>4.6644614651337974</v>
      </c>
      <c r="H3058" s="120"/>
      <c r="I3058" s="120"/>
      <c r="J3058" s="116"/>
      <c r="K3058" s="116"/>
      <c r="L3058" s="116"/>
      <c r="M3058" s="116"/>
      <c r="N3058" s="116"/>
      <c r="O3058" s="116"/>
      <c r="P3058" s="116"/>
    </row>
    <row r="3059" spans="2:16" s="117" customFormat="1" ht="21.75" hidden="1" customHeight="1">
      <c r="B3059" s="118"/>
      <c r="C3059" s="110"/>
      <c r="D3059" s="148" t="s">
        <v>2151</v>
      </c>
      <c r="E3059" s="247">
        <f>SUM(E3060:E3060)</f>
        <v>3000000000</v>
      </c>
      <c r="F3059" s="114">
        <v>64316106423.529999</v>
      </c>
      <c r="G3059" s="127">
        <f t="shared" si="63"/>
        <v>4.6644614651337974</v>
      </c>
      <c r="H3059" s="120"/>
      <c r="I3059" s="120"/>
      <c r="J3059" s="121"/>
      <c r="K3059" s="121"/>
      <c r="L3059" s="121"/>
      <c r="M3059" s="121"/>
      <c r="N3059" s="121"/>
      <c r="O3059" s="121"/>
      <c r="P3059" s="121"/>
    </row>
    <row r="3060" spans="2:16" s="108" customFormat="1" ht="34.5" hidden="1" customHeight="1">
      <c r="B3060" s="109"/>
      <c r="C3060" s="122"/>
      <c r="D3060" s="123" t="s">
        <v>2152</v>
      </c>
      <c r="E3060" s="248">
        <v>3000000000</v>
      </c>
      <c r="F3060" s="134">
        <v>64316106423.529999</v>
      </c>
      <c r="G3060" s="127">
        <f t="shared" si="63"/>
        <v>4.6644614651337974</v>
      </c>
      <c r="H3060" s="120"/>
      <c r="I3060" s="120"/>
      <c r="J3060" s="116"/>
      <c r="K3060" s="116"/>
      <c r="L3060" s="116"/>
      <c r="M3060" s="116"/>
      <c r="N3060" s="116"/>
      <c r="O3060" s="116"/>
      <c r="P3060" s="116"/>
    </row>
    <row r="3061" spans="2:16" s="108" customFormat="1" ht="21.75" hidden="1" customHeight="1">
      <c r="B3061" s="109"/>
      <c r="C3061" s="122"/>
      <c r="D3061" s="123"/>
      <c r="E3061" s="247"/>
      <c r="F3061" s="134"/>
      <c r="G3061" s="127"/>
      <c r="H3061" s="120"/>
      <c r="I3061" s="120"/>
      <c r="J3061" s="116"/>
      <c r="K3061" s="116"/>
      <c r="L3061" s="116"/>
      <c r="M3061" s="116"/>
      <c r="N3061" s="116"/>
      <c r="O3061" s="116"/>
      <c r="P3061" s="116"/>
    </row>
    <row r="3062" spans="2:16" s="108" customFormat="1" ht="21.75" hidden="1" customHeight="1">
      <c r="B3062" s="109"/>
      <c r="C3062" s="122"/>
      <c r="D3062" s="148" t="s">
        <v>2153</v>
      </c>
      <c r="E3062" s="247">
        <f t="shared" ref="E3062" si="75">SUM(E3063,E3067)</f>
        <v>18382368331</v>
      </c>
      <c r="F3062" s="134">
        <v>64316106423.529999</v>
      </c>
      <c r="G3062" s="127">
        <f t="shared" si="63"/>
        <v>28.581282905948463</v>
      </c>
      <c r="H3062" s="120"/>
      <c r="I3062" s="120"/>
      <c r="J3062" s="116"/>
      <c r="K3062" s="116"/>
      <c r="L3062" s="116"/>
      <c r="M3062" s="116"/>
      <c r="N3062" s="116"/>
      <c r="O3062" s="116"/>
      <c r="P3062" s="116"/>
    </row>
    <row r="3063" spans="2:16" s="117" customFormat="1" ht="21.75" hidden="1" customHeight="1">
      <c r="B3063" s="118"/>
      <c r="C3063" s="110"/>
      <c r="D3063" s="148" t="s">
        <v>1798</v>
      </c>
      <c r="E3063" s="247">
        <f>SUM(E3064:E3066)</f>
        <v>16382368331</v>
      </c>
      <c r="F3063" s="114">
        <v>64316106423.529999</v>
      </c>
      <c r="G3063" s="127">
        <f t="shared" si="63"/>
        <v>25.471641929192597</v>
      </c>
      <c r="H3063" s="120"/>
      <c r="I3063" s="120"/>
      <c r="J3063" s="121"/>
      <c r="K3063" s="121"/>
      <c r="L3063" s="121"/>
      <c r="M3063" s="121"/>
      <c r="N3063" s="121"/>
      <c r="O3063" s="121"/>
      <c r="P3063" s="121"/>
    </row>
    <row r="3064" spans="2:16" s="108" customFormat="1" ht="21.75" hidden="1" customHeight="1">
      <c r="B3064" s="109"/>
      <c r="C3064" s="122"/>
      <c r="D3064" s="123" t="s">
        <v>2154</v>
      </c>
      <c r="E3064" s="248">
        <v>8000000000</v>
      </c>
      <c r="F3064" s="134">
        <v>64316106423.529999</v>
      </c>
      <c r="G3064" s="127">
        <f t="shared" ref="G3064:G3072" si="76">+E3064/F3064*100</f>
        <v>12.438563907023461</v>
      </c>
      <c r="H3064" s="120"/>
      <c r="I3064" s="120"/>
      <c r="J3064" s="116"/>
      <c r="K3064" s="116"/>
      <c r="L3064" s="116"/>
      <c r="M3064" s="116"/>
      <c r="N3064" s="116"/>
      <c r="O3064" s="116"/>
      <c r="P3064" s="116"/>
    </row>
    <row r="3065" spans="2:16" s="108" customFormat="1" ht="21.75" hidden="1" customHeight="1">
      <c r="B3065" s="109"/>
      <c r="C3065" s="122"/>
      <c r="D3065" s="123" t="s">
        <v>2155</v>
      </c>
      <c r="E3065" s="248">
        <v>5000000000</v>
      </c>
      <c r="F3065" s="134">
        <v>64316106423.529999</v>
      </c>
      <c r="G3065" s="127">
        <f t="shared" si="76"/>
        <v>7.7741024418896636</v>
      </c>
      <c r="H3065" s="120"/>
      <c r="I3065" s="120"/>
      <c r="J3065" s="116"/>
      <c r="K3065" s="116"/>
      <c r="L3065" s="116"/>
      <c r="M3065" s="116"/>
      <c r="N3065" s="116"/>
      <c r="O3065" s="116"/>
      <c r="P3065" s="116"/>
    </row>
    <row r="3066" spans="2:16" s="108" customFormat="1" ht="21.75" hidden="1" customHeight="1">
      <c r="B3066" s="109"/>
      <c r="C3066" s="122"/>
      <c r="D3066" s="123" t="s">
        <v>2040</v>
      </c>
      <c r="E3066" s="248">
        <v>3382368331</v>
      </c>
      <c r="F3066" s="134">
        <v>64316106423.529999</v>
      </c>
      <c r="G3066" s="127">
        <f t="shared" si="76"/>
        <v>5.2589755802794729</v>
      </c>
      <c r="H3066" s="120"/>
      <c r="I3066" s="120"/>
      <c r="J3066" s="116"/>
      <c r="K3066" s="116"/>
      <c r="L3066" s="116"/>
      <c r="M3066" s="116"/>
      <c r="N3066" s="116"/>
      <c r="O3066" s="116"/>
      <c r="P3066" s="116"/>
    </row>
    <row r="3067" spans="2:16" s="117" customFormat="1" ht="21.75" hidden="1" customHeight="1">
      <c r="B3067" s="118"/>
      <c r="C3067" s="110"/>
      <c r="D3067" s="148" t="s">
        <v>1199</v>
      </c>
      <c r="E3067" s="247">
        <f t="shared" ref="E3067" si="77">E3068</f>
        <v>2000000000</v>
      </c>
      <c r="F3067" s="114">
        <v>64316106423.529999</v>
      </c>
      <c r="G3067" s="127">
        <f t="shared" si="76"/>
        <v>3.1096409767558653</v>
      </c>
      <c r="H3067" s="120"/>
      <c r="I3067" s="120"/>
      <c r="J3067" s="121"/>
      <c r="K3067" s="121"/>
      <c r="L3067" s="121"/>
      <c r="M3067" s="121"/>
      <c r="N3067" s="121"/>
      <c r="O3067" s="121"/>
      <c r="P3067" s="121"/>
    </row>
    <row r="3068" spans="2:16" s="108" customFormat="1" ht="39" hidden="1" customHeight="1">
      <c r="B3068" s="109"/>
      <c r="C3068" s="122"/>
      <c r="D3068" s="123" t="s">
        <v>2152</v>
      </c>
      <c r="E3068" s="248">
        <v>2000000000</v>
      </c>
      <c r="F3068" s="134">
        <v>64316106423.529999</v>
      </c>
      <c r="G3068" s="127">
        <f t="shared" si="76"/>
        <v>3.1096409767558653</v>
      </c>
      <c r="H3068" s="120"/>
      <c r="I3068" s="120"/>
      <c r="J3068" s="116"/>
      <c r="K3068" s="116"/>
      <c r="L3068" s="116"/>
      <c r="M3068" s="116"/>
      <c r="N3068" s="116"/>
      <c r="O3068" s="116"/>
      <c r="P3068" s="116"/>
    </row>
    <row r="3069" spans="2:16" s="108" customFormat="1" ht="21.75" hidden="1" customHeight="1">
      <c r="B3069" s="109"/>
      <c r="C3069" s="122"/>
      <c r="D3069" s="123"/>
      <c r="E3069" s="247"/>
      <c r="F3069" s="134"/>
      <c r="G3069" s="127"/>
      <c r="H3069" s="120"/>
      <c r="I3069" s="120"/>
      <c r="J3069" s="116"/>
      <c r="K3069" s="116"/>
      <c r="L3069" s="116"/>
      <c r="M3069" s="116"/>
      <c r="N3069" s="116"/>
      <c r="O3069" s="116"/>
      <c r="P3069" s="116"/>
    </row>
    <row r="3070" spans="2:16" s="108" customFormat="1" ht="21.75" hidden="1" customHeight="1">
      <c r="B3070" s="109"/>
      <c r="C3070" s="122"/>
      <c r="D3070" s="148" t="s">
        <v>366</v>
      </c>
      <c r="E3070" s="247">
        <f>E3071</f>
        <v>1286322128</v>
      </c>
      <c r="F3070" s="134">
        <v>64316106423.529999</v>
      </c>
      <c r="G3070" s="127">
        <f t="shared" si="76"/>
        <v>1.9999999992683017</v>
      </c>
      <c r="H3070" s="120"/>
      <c r="I3070" s="120"/>
      <c r="J3070" s="116"/>
      <c r="K3070" s="116"/>
      <c r="L3070" s="116"/>
      <c r="M3070" s="116"/>
      <c r="N3070" s="116"/>
      <c r="O3070" s="116"/>
      <c r="P3070" s="116"/>
    </row>
    <row r="3071" spans="2:16" s="117" customFormat="1" ht="21.75" hidden="1" customHeight="1">
      <c r="B3071" s="118"/>
      <c r="C3071" s="110"/>
      <c r="D3071" s="148" t="s">
        <v>2156</v>
      </c>
      <c r="E3071" s="247">
        <f>E3072</f>
        <v>1286322128</v>
      </c>
      <c r="F3071" s="114">
        <v>64316106423.529999</v>
      </c>
      <c r="G3071" s="127">
        <f t="shared" si="76"/>
        <v>1.9999999992683017</v>
      </c>
      <c r="H3071" s="120"/>
      <c r="I3071" s="120"/>
      <c r="J3071" s="121"/>
      <c r="K3071" s="121"/>
      <c r="L3071" s="121"/>
      <c r="M3071" s="121"/>
      <c r="N3071" s="121"/>
      <c r="O3071" s="121"/>
      <c r="P3071" s="121"/>
    </row>
    <row r="3072" spans="2:16" s="108" customFormat="1" ht="21.75" hidden="1" customHeight="1">
      <c r="B3072" s="109"/>
      <c r="C3072" s="122"/>
      <c r="D3072" s="123" t="s">
        <v>2157</v>
      </c>
      <c r="E3072" s="248">
        <v>1286322128</v>
      </c>
      <c r="F3072" s="134">
        <v>64316106423.529999</v>
      </c>
      <c r="G3072" s="127">
        <f t="shared" si="76"/>
        <v>1.9999999992683017</v>
      </c>
      <c r="H3072" s="120"/>
      <c r="I3072" s="120"/>
      <c r="J3072" s="116"/>
      <c r="K3072" s="116"/>
      <c r="L3072" s="116"/>
      <c r="M3072" s="116"/>
      <c r="N3072" s="116"/>
      <c r="O3072" s="116"/>
      <c r="P3072" s="116"/>
    </row>
    <row r="3073" spans="2:16" s="108" customFormat="1" ht="21.75" hidden="1" customHeight="1">
      <c r="B3073" s="109"/>
      <c r="C3073" s="122"/>
      <c r="D3073" s="123"/>
      <c r="E3073" s="125"/>
      <c r="F3073" s="134"/>
      <c r="G3073" s="126"/>
      <c r="H3073" s="120"/>
      <c r="I3073" s="120"/>
      <c r="J3073" s="116"/>
      <c r="K3073" s="116"/>
      <c r="L3073" s="116"/>
      <c r="M3073" s="116"/>
      <c r="N3073" s="116"/>
      <c r="O3073" s="116"/>
      <c r="P3073" s="116"/>
    </row>
    <row r="3074" spans="2:16" s="117" customFormat="1" ht="21.75" hidden="1" customHeight="1">
      <c r="B3074" s="118"/>
      <c r="C3074" s="110" t="s">
        <v>2158</v>
      </c>
      <c r="D3074" s="111" t="s">
        <v>2159</v>
      </c>
      <c r="E3074" s="129">
        <v>61730319464.800003</v>
      </c>
      <c r="F3074" s="218">
        <v>1557405258400.0002</v>
      </c>
      <c r="G3074" s="127">
        <f>+E3074/F3074*100</f>
        <v>3.9636645074782026</v>
      </c>
      <c r="H3074" s="120"/>
      <c r="I3074" s="120"/>
      <c r="J3074" s="121"/>
      <c r="K3074" s="121"/>
      <c r="L3074" s="121"/>
      <c r="M3074" s="121"/>
      <c r="N3074" s="121"/>
      <c r="O3074" s="121"/>
      <c r="P3074" s="121"/>
    </row>
    <row r="3075" spans="2:16" s="108" customFormat="1" ht="21.75" hidden="1" customHeight="1">
      <c r="B3075" s="109"/>
      <c r="C3075" s="122"/>
      <c r="D3075" s="111" t="s">
        <v>64</v>
      </c>
      <c r="E3075" s="250">
        <f>E3076+E3079+E3083+E3087</f>
        <v>26230325464.799999</v>
      </c>
      <c r="F3075" s="250">
        <v>61730319464.800003</v>
      </c>
      <c r="G3075" s="126">
        <f>+E3075/F3075*100</f>
        <v>42.491802557019184</v>
      </c>
      <c r="H3075" s="120"/>
      <c r="I3075" s="120"/>
      <c r="J3075" s="116"/>
      <c r="K3075" s="116"/>
      <c r="L3075" s="116"/>
      <c r="M3075" s="116"/>
      <c r="N3075" s="116"/>
      <c r="O3075" s="116"/>
      <c r="P3075" s="116"/>
    </row>
    <row r="3076" spans="2:16" s="108" customFormat="1" ht="21.75" hidden="1" customHeight="1">
      <c r="B3076" s="109"/>
      <c r="C3076" s="122"/>
      <c r="D3076" s="111" t="s">
        <v>388</v>
      </c>
      <c r="E3076" s="250">
        <f>SUM(E3077:E3078)</f>
        <v>994750000</v>
      </c>
      <c r="F3076" s="250">
        <v>61730319464.800003</v>
      </c>
      <c r="G3076" s="126">
        <f t="shared" ref="G3076:G3129" si="78">+E3076/F3076*100</f>
        <v>1.6114447626781336</v>
      </c>
      <c r="H3076" s="120"/>
      <c r="I3076" s="120"/>
      <c r="J3076" s="116"/>
      <c r="K3076" s="116"/>
      <c r="L3076" s="116"/>
      <c r="M3076" s="116"/>
      <c r="N3076" s="116"/>
      <c r="O3076" s="116"/>
      <c r="P3076" s="116"/>
    </row>
    <row r="3077" spans="2:16" s="108" customFormat="1" ht="21.75" hidden="1" customHeight="1">
      <c r="B3077" s="109"/>
      <c r="C3077" s="122"/>
      <c r="D3077" s="123" t="s">
        <v>2160</v>
      </c>
      <c r="E3077" s="696">
        <v>450000000</v>
      </c>
      <c r="F3077" s="250">
        <v>61730319464.800003</v>
      </c>
      <c r="G3077" s="126">
        <f t="shared" si="78"/>
        <v>0.72897727389309885</v>
      </c>
      <c r="H3077" s="120"/>
      <c r="I3077" s="120"/>
      <c r="J3077" s="116"/>
      <c r="K3077" s="116"/>
      <c r="L3077" s="116"/>
      <c r="M3077" s="116"/>
      <c r="N3077" s="116"/>
      <c r="O3077" s="116"/>
      <c r="P3077" s="116"/>
    </row>
    <row r="3078" spans="2:16" s="108" customFormat="1" ht="21.75" hidden="1" customHeight="1">
      <c r="B3078" s="109"/>
      <c r="C3078" s="122"/>
      <c r="D3078" s="123" t="s">
        <v>2161</v>
      </c>
      <c r="E3078" s="696">
        <v>544750000</v>
      </c>
      <c r="F3078" s="250">
        <v>61730319464.800003</v>
      </c>
      <c r="G3078" s="126">
        <f t="shared" si="78"/>
        <v>0.88246748878503467</v>
      </c>
      <c r="H3078" s="120"/>
      <c r="I3078" s="120"/>
      <c r="J3078" s="116"/>
      <c r="K3078" s="116"/>
      <c r="L3078" s="116"/>
      <c r="M3078" s="116"/>
      <c r="N3078" s="116"/>
      <c r="O3078" s="116"/>
      <c r="P3078" s="116"/>
    </row>
    <row r="3079" spans="2:16" s="108" customFormat="1" ht="21.75" hidden="1" customHeight="1">
      <c r="B3079" s="109"/>
      <c r="C3079" s="122"/>
      <c r="D3079" s="111" t="s">
        <v>1212</v>
      </c>
      <c r="E3079" s="250">
        <f>SUM(E3080:E3082)</f>
        <v>10412000000</v>
      </c>
      <c r="F3079" s="250">
        <v>61730319464.800003</v>
      </c>
      <c r="G3079" s="126">
        <f t="shared" si="78"/>
        <v>16.866914168388767</v>
      </c>
      <c r="H3079" s="120"/>
      <c r="I3079" s="120"/>
      <c r="J3079" s="116"/>
      <c r="K3079" s="116"/>
      <c r="L3079" s="116"/>
      <c r="M3079" s="116"/>
      <c r="N3079" s="116"/>
      <c r="O3079" s="116"/>
      <c r="P3079" s="116"/>
    </row>
    <row r="3080" spans="2:16" s="108" customFormat="1" ht="21.75" hidden="1" customHeight="1">
      <c r="B3080" s="109"/>
      <c r="C3080" s="122"/>
      <c r="D3080" s="123" t="s">
        <v>2162</v>
      </c>
      <c r="E3080" s="696">
        <v>7200000000</v>
      </c>
      <c r="F3080" s="250">
        <v>61730319464.800003</v>
      </c>
      <c r="G3080" s="126">
        <f t="shared" si="78"/>
        <v>11.663636382289582</v>
      </c>
      <c r="H3080" s="120"/>
      <c r="I3080" s="120"/>
      <c r="J3080" s="116"/>
      <c r="K3080" s="116"/>
      <c r="L3080" s="116"/>
      <c r="M3080" s="116"/>
      <c r="N3080" s="116"/>
      <c r="O3080" s="116"/>
      <c r="P3080" s="116"/>
    </row>
    <row r="3081" spans="2:16" s="108" customFormat="1" ht="21.75" hidden="1" customHeight="1">
      <c r="B3081" s="109"/>
      <c r="C3081" s="122"/>
      <c r="D3081" s="123" t="s">
        <v>2163</v>
      </c>
      <c r="E3081" s="696">
        <v>2890000000</v>
      </c>
      <c r="F3081" s="250">
        <v>61730319464.800003</v>
      </c>
      <c r="G3081" s="126">
        <f t="shared" si="78"/>
        <v>4.6816540478912341</v>
      </c>
      <c r="H3081" s="120"/>
      <c r="I3081" s="120"/>
      <c r="J3081" s="116"/>
      <c r="K3081" s="116"/>
      <c r="L3081" s="116"/>
      <c r="M3081" s="116"/>
      <c r="N3081" s="116"/>
      <c r="O3081" s="116"/>
      <c r="P3081" s="116"/>
    </row>
    <row r="3082" spans="2:16" s="108" customFormat="1" ht="33.75" hidden="1" customHeight="1">
      <c r="B3082" s="109"/>
      <c r="C3082" s="122"/>
      <c r="D3082" s="123" t="s">
        <v>2164</v>
      </c>
      <c r="E3082" s="696">
        <v>322000000</v>
      </c>
      <c r="F3082" s="250">
        <v>61730319464.800003</v>
      </c>
      <c r="G3082" s="126">
        <f t="shared" si="78"/>
        <v>0.52162373820795072</v>
      </c>
      <c r="H3082" s="120"/>
      <c r="I3082" s="120"/>
      <c r="J3082" s="116"/>
      <c r="K3082" s="116"/>
      <c r="L3082" s="116"/>
      <c r="M3082" s="116"/>
      <c r="N3082" s="116"/>
      <c r="O3082" s="116"/>
      <c r="P3082" s="116"/>
    </row>
    <row r="3083" spans="2:16" s="108" customFormat="1" ht="21.75" hidden="1" customHeight="1">
      <c r="B3083" s="109"/>
      <c r="C3083" s="122"/>
      <c r="D3083" s="111" t="s">
        <v>1876</v>
      </c>
      <c r="E3083" s="250">
        <f>SUM(E3084:E3086)</f>
        <v>6095210000</v>
      </c>
      <c r="F3083" s="250">
        <v>61730319464.800003</v>
      </c>
      <c r="G3083" s="126">
        <f t="shared" si="78"/>
        <v>9.8739323769021219</v>
      </c>
      <c r="H3083" s="120"/>
      <c r="I3083" s="120"/>
      <c r="J3083" s="116"/>
      <c r="K3083" s="116"/>
      <c r="L3083" s="116"/>
      <c r="M3083" s="116"/>
      <c r="N3083" s="116"/>
      <c r="O3083" s="116"/>
      <c r="P3083" s="116"/>
    </row>
    <row r="3084" spans="2:16" s="108" customFormat="1" ht="21.75" hidden="1" customHeight="1">
      <c r="B3084" s="109"/>
      <c r="C3084" s="122"/>
      <c r="D3084" s="123" t="s">
        <v>667</v>
      </c>
      <c r="E3084" s="696">
        <v>4800000000</v>
      </c>
      <c r="F3084" s="250">
        <v>61730319464.800003</v>
      </c>
      <c r="G3084" s="126">
        <f t="shared" si="78"/>
        <v>7.7757575881930538</v>
      </c>
      <c r="H3084" s="120"/>
      <c r="I3084" s="120"/>
      <c r="J3084" s="116"/>
      <c r="K3084" s="116"/>
      <c r="L3084" s="116"/>
      <c r="M3084" s="116"/>
      <c r="N3084" s="116"/>
      <c r="O3084" s="116"/>
      <c r="P3084" s="116"/>
    </row>
    <row r="3085" spans="2:16" s="108" customFormat="1" ht="39.75" hidden="1" customHeight="1">
      <c r="B3085" s="109"/>
      <c r="C3085" s="122"/>
      <c r="D3085" s="123" t="s">
        <v>2165</v>
      </c>
      <c r="E3085" s="696">
        <v>495210000</v>
      </c>
      <c r="F3085" s="250">
        <v>61730319464.800003</v>
      </c>
      <c r="G3085" s="126">
        <f t="shared" si="78"/>
        <v>0.80221519067689218</v>
      </c>
      <c r="H3085" s="120"/>
      <c r="I3085" s="120"/>
      <c r="J3085" s="116"/>
      <c r="K3085" s="116"/>
      <c r="L3085" s="116"/>
      <c r="M3085" s="116"/>
      <c r="N3085" s="116"/>
      <c r="O3085" s="116"/>
      <c r="P3085" s="116"/>
    </row>
    <row r="3086" spans="2:16" s="108" customFormat="1" ht="39.75" hidden="1" customHeight="1">
      <c r="B3086" s="109"/>
      <c r="C3086" s="122"/>
      <c r="D3086" s="123" t="s">
        <v>2166</v>
      </c>
      <c r="E3086" s="696">
        <v>800000000</v>
      </c>
      <c r="F3086" s="250">
        <v>61730319464.800003</v>
      </c>
      <c r="G3086" s="126">
        <f t="shared" si="78"/>
        <v>1.2959595980321756</v>
      </c>
      <c r="H3086" s="120"/>
      <c r="I3086" s="120"/>
      <c r="J3086" s="116"/>
      <c r="K3086" s="116"/>
      <c r="L3086" s="116"/>
      <c r="M3086" s="116"/>
      <c r="N3086" s="116"/>
      <c r="O3086" s="116"/>
      <c r="P3086" s="116"/>
    </row>
    <row r="3087" spans="2:16" s="108" customFormat="1" ht="21.75" hidden="1" customHeight="1">
      <c r="B3087" s="109"/>
      <c r="C3087" s="122"/>
      <c r="D3087" s="111" t="s">
        <v>2075</v>
      </c>
      <c r="E3087" s="250">
        <f>SUM(E3088:E3089)</f>
        <v>8728365464.7999992</v>
      </c>
      <c r="F3087" s="250">
        <v>61730319464.800003</v>
      </c>
      <c r="G3087" s="126">
        <f t="shared" si="78"/>
        <v>14.139511249050162</v>
      </c>
      <c r="H3087" s="120"/>
      <c r="I3087" s="120"/>
      <c r="J3087" s="116"/>
      <c r="K3087" s="116"/>
      <c r="L3087" s="116"/>
      <c r="M3087" s="116"/>
      <c r="N3087" s="116"/>
      <c r="O3087" s="116"/>
      <c r="P3087" s="116"/>
    </row>
    <row r="3088" spans="2:16" s="108" customFormat="1" ht="39.75" hidden="1" customHeight="1">
      <c r="B3088" s="109"/>
      <c r="C3088" s="122"/>
      <c r="D3088" s="123" t="s">
        <v>2167</v>
      </c>
      <c r="E3088" s="696">
        <v>2500000000</v>
      </c>
      <c r="F3088" s="250">
        <v>61730319464.800003</v>
      </c>
      <c r="G3088" s="126">
        <f t="shared" si="78"/>
        <v>4.049873743850549</v>
      </c>
      <c r="H3088" s="120"/>
      <c r="I3088" s="120"/>
      <c r="J3088" s="116"/>
      <c r="K3088" s="116"/>
      <c r="L3088" s="116"/>
      <c r="M3088" s="116"/>
      <c r="N3088" s="116"/>
      <c r="O3088" s="116"/>
      <c r="P3088" s="116"/>
    </row>
    <row r="3089" spans="2:16" s="108" customFormat="1" ht="39.75" hidden="1" customHeight="1">
      <c r="B3089" s="109"/>
      <c r="C3089" s="122"/>
      <c r="D3089" s="123" t="s">
        <v>1394</v>
      </c>
      <c r="E3089" s="136">
        <v>6228365464.8000002</v>
      </c>
      <c r="F3089" s="250">
        <v>61730319464.800003</v>
      </c>
      <c r="G3089" s="126">
        <f t="shared" si="78"/>
        <v>10.089637505199617</v>
      </c>
      <c r="H3089" s="120"/>
      <c r="I3089" s="120"/>
      <c r="J3089" s="116"/>
      <c r="K3089" s="116"/>
      <c r="L3089" s="116"/>
      <c r="M3089" s="116"/>
      <c r="N3089" s="116"/>
      <c r="O3089" s="116"/>
      <c r="P3089" s="116"/>
    </row>
    <row r="3090" spans="2:16" s="108" customFormat="1" ht="21.75" hidden="1" customHeight="1">
      <c r="B3090" s="109"/>
      <c r="C3090" s="122"/>
      <c r="D3090" s="111"/>
      <c r="E3090" s="693"/>
      <c r="F3090" s="250"/>
      <c r="G3090" s="126"/>
      <c r="H3090" s="120"/>
      <c r="I3090" s="120"/>
      <c r="J3090" s="116"/>
      <c r="K3090" s="116"/>
      <c r="L3090" s="116"/>
      <c r="M3090" s="116"/>
      <c r="N3090" s="116"/>
      <c r="O3090" s="116"/>
      <c r="P3090" s="116"/>
    </row>
    <row r="3091" spans="2:16" s="108" customFormat="1" ht="21.75" hidden="1" customHeight="1">
      <c r="B3091" s="109"/>
      <c r="C3091" s="122"/>
      <c r="D3091" s="111" t="s">
        <v>65</v>
      </c>
      <c r="E3091" s="250">
        <f>E3092+E3094+E3096+E3098</f>
        <v>13699994000</v>
      </c>
      <c r="F3091" s="250">
        <v>61730319464.800003</v>
      </c>
      <c r="G3091" s="126">
        <f t="shared" si="78"/>
        <v>22.193298396604021</v>
      </c>
      <c r="H3091" s="120"/>
      <c r="I3091" s="120"/>
      <c r="J3091" s="116"/>
      <c r="K3091" s="116"/>
      <c r="L3091" s="116"/>
      <c r="M3091" s="116"/>
      <c r="N3091" s="116"/>
      <c r="O3091" s="116"/>
      <c r="P3091" s="116"/>
    </row>
    <row r="3092" spans="2:16" s="108" customFormat="1" ht="21.75" hidden="1" customHeight="1">
      <c r="B3092" s="109"/>
      <c r="C3092" s="122"/>
      <c r="D3092" s="111" t="s">
        <v>2168</v>
      </c>
      <c r="E3092" s="250">
        <f>SUM(E3093)</f>
        <v>8527500000</v>
      </c>
      <c r="F3092" s="250">
        <v>61730319464.800003</v>
      </c>
      <c r="G3092" s="126">
        <f t="shared" si="78"/>
        <v>13.814119340274223</v>
      </c>
      <c r="H3092" s="120"/>
      <c r="I3092" s="120"/>
      <c r="J3092" s="116"/>
      <c r="K3092" s="116"/>
      <c r="L3092" s="116"/>
      <c r="M3092" s="116"/>
      <c r="N3092" s="116"/>
      <c r="O3092" s="116"/>
      <c r="P3092" s="116"/>
    </row>
    <row r="3093" spans="2:16" s="108" customFormat="1" ht="21.75" hidden="1" customHeight="1">
      <c r="B3093" s="109"/>
      <c r="C3093" s="122"/>
      <c r="D3093" s="123" t="s">
        <v>1409</v>
      </c>
      <c r="E3093" s="696">
        <v>8527500000</v>
      </c>
      <c r="F3093" s="250">
        <v>61730319464.800003</v>
      </c>
      <c r="G3093" s="126">
        <f t="shared" si="78"/>
        <v>13.814119340274223</v>
      </c>
      <c r="H3093" s="120"/>
      <c r="I3093" s="120"/>
      <c r="J3093" s="116"/>
      <c r="K3093" s="116"/>
      <c r="L3093" s="116"/>
      <c r="M3093" s="116"/>
      <c r="N3093" s="116"/>
      <c r="O3093" s="116"/>
      <c r="P3093" s="116"/>
    </row>
    <row r="3094" spans="2:16" s="108" customFormat="1" ht="21.75" hidden="1" customHeight="1">
      <c r="B3094" s="109"/>
      <c r="C3094" s="122"/>
      <c r="D3094" s="111" t="s">
        <v>2169</v>
      </c>
      <c r="E3094" s="250">
        <f>SUM(E3095:E3095)</f>
        <v>1555450000</v>
      </c>
      <c r="F3094" s="250">
        <v>61730319464.800003</v>
      </c>
      <c r="G3094" s="126">
        <f t="shared" si="78"/>
        <v>2.5197504459489344</v>
      </c>
      <c r="H3094" s="120"/>
      <c r="I3094" s="120"/>
      <c r="J3094" s="116"/>
      <c r="K3094" s="116"/>
      <c r="L3094" s="116"/>
      <c r="M3094" s="116"/>
      <c r="N3094" s="116"/>
      <c r="O3094" s="116"/>
      <c r="P3094" s="116"/>
    </row>
    <row r="3095" spans="2:16" s="108" customFormat="1" ht="21.75" hidden="1" customHeight="1">
      <c r="B3095" s="109"/>
      <c r="C3095" s="122"/>
      <c r="D3095" s="123" t="s">
        <v>2170</v>
      </c>
      <c r="E3095" s="696">
        <v>1555450000</v>
      </c>
      <c r="F3095" s="250">
        <v>61730319464.800003</v>
      </c>
      <c r="G3095" s="126">
        <f t="shared" si="78"/>
        <v>2.5197504459489344</v>
      </c>
      <c r="H3095" s="120"/>
      <c r="I3095" s="120"/>
      <c r="J3095" s="116"/>
      <c r="K3095" s="116"/>
      <c r="L3095" s="116"/>
      <c r="M3095" s="116"/>
      <c r="N3095" s="116"/>
      <c r="O3095" s="116"/>
      <c r="P3095" s="116"/>
    </row>
    <row r="3096" spans="2:16" s="108" customFormat="1" ht="21.75" hidden="1" customHeight="1">
      <c r="B3096" s="109"/>
      <c r="C3096" s="122"/>
      <c r="D3096" s="111" t="s">
        <v>173</v>
      </c>
      <c r="E3096" s="250">
        <f>SUM(E3097:E3097)</f>
        <v>2351644000</v>
      </c>
      <c r="F3096" s="250">
        <v>61730319464.800003</v>
      </c>
      <c r="G3096" s="126">
        <f t="shared" si="78"/>
        <v>3.8095445161934722</v>
      </c>
      <c r="H3096" s="120"/>
      <c r="I3096" s="120"/>
      <c r="J3096" s="116"/>
      <c r="K3096" s="116"/>
      <c r="L3096" s="116"/>
      <c r="M3096" s="116"/>
      <c r="N3096" s="116"/>
      <c r="O3096" s="116"/>
      <c r="P3096" s="116"/>
    </row>
    <row r="3097" spans="2:16" s="108" customFormat="1" ht="21.75" hidden="1" customHeight="1">
      <c r="B3097" s="109"/>
      <c r="C3097" s="122"/>
      <c r="D3097" s="123" t="s">
        <v>599</v>
      </c>
      <c r="E3097" s="696">
        <v>2351644000</v>
      </c>
      <c r="F3097" s="250">
        <v>61730319464.800003</v>
      </c>
      <c r="G3097" s="126">
        <f t="shared" si="78"/>
        <v>3.8095445161934722</v>
      </c>
      <c r="H3097" s="120"/>
      <c r="I3097" s="120"/>
      <c r="J3097" s="116"/>
      <c r="K3097" s="116"/>
      <c r="L3097" s="116"/>
      <c r="M3097" s="116"/>
      <c r="N3097" s="116"/>
      <c r="O3097" s="116"/>
      <c r="P3097" s="116"/>
    </row>
    <row r="3098" spans="2:16" s="108" customFormat="1" ht="21.75" hidden="1" customHeight="1">
      <c r="B3098" s="109"/>
      <c r="C3098" s="122"/>
      <c r="D3098" s="111" t="s">
        <v>190</v>
      </c>
      <c r="E3098" s="250">
        <f>SUM(E3099:E3100)</f>
        <v>1265400000</v>
      </c>
      <c r="F3098" s="250">
        <v>61730319464.800003</v>
      </c>
      <c r="G3098" s="126">
        <f t="shared" si="78"/>
        <v>2.0498840941873939</v>
      </c>
      <c r="H3098" s="120"/>
      <c r="I3098" s="120"/>
      <c r="J3098" s="116"/>
      <c r="K3098" s="116"/>
      <c r="L3098" s="116"/>
      <c r="M3098" s="116"/>
      <c r="N3098" s="116"/>
      <c r="O3098" s="116"/>
      <c r="P3098" s="116"/>
    </row>
    <row r="3099" spans="2:16" s="108" customFormat="1" ht="21.75" hidden="1" customHeight="1">
      <c r="B3099" s="109"/>
      <c r="C3099" s="122"/>
      <c r="D3099" s="123" t="s">
        <v>2171</v>
      </c>
      <c r="E3099" s="696">
        <v>587700000</v>
      </c>
      <c r="F3099" s="250">
        <v>61730319464.800003</v>
      </c>
      <c r="G3099" s="126">
        <f t="shared" si="78"/>
        <v>0.95204431970438708</v>
      </c>
      <c r="H3099" s="120"/>
      <c r="I3099" s="120"/>
      <c r="J3099" s="116"/>
      <c r="K3099" s="116"/>
      <c r="L3099" s="116"/>
      <c r="M3099" s="116"/>
      <c r="N3099" s="116"/>
      <c r="O3099" s="116"/>
      <c r="P3099" s="116"/>
    </row>
    <row r="3100" spans="2:16" s="108" customFormat="1" ht="21.75" hidden="1" customHeight="1">
      <c r="B3100" s="109"/>
      <c r="C3100" s="122"/>
      <c r="D3100" s="123" t="s">
        <v>2172</v>
      </c>
      <c r="E3100" s="696">
        <v>677700000</v>
      </c>
      <c r="F3100" s="250">
        <v>61730319464.800003</v>
      </c>
      <c r="G3100" s="126">
        <f t="shared" si="78"/>
        <v>1.0978397744830068</v>
      </c>
      <c r="H3100" s="120"/>
      <c r="I3100" s="120"/>
      <c r="J3100" s="116"/>
      <c r="K3100" s="116"/>
      <c r="L3100" s="116"/>
      <c r="M3100" s="116"/>
      <c r="N3100" s="116"/>
      <c r="O3100" s="116"/>
      <c r="P3100" s="116"/>
    </row>
    <row r="3101" spans="2:16" s="108" customFormat="1" ht="21.75" hidden="1" customHeight="1">
      <c r="B3101" s="109"/>
      <c r="C3101" s="122"/>
      <c r="D3101" s="111"/>
      <c r="E3101" s="696"/>
      <c r="F3101" s="250"/>
      <c r="G3101" s="126"/>
      <c r="H3101" s="120"/>
      <c r="I3101" s="120"/>
      <c r="J3101" s="116"/>
      <c r="K3101" s="116"/>
      <c r="L3101" s="116"/>
      <c r="M3101" s="116"/>
      <c r="N3101" s="116"/>
      <c r="O3101" s="116"/>
      <c r="P3101" s="116"/>
    </row>
    <row r="3102" spans="2:16" s="108" customFormat="1" ht="21.75" hidden="1" customHeight="1">
      <c r="B3102" s="109"/>
      <c r="C3102" s="122"/>
      <c r="D3102" s="111" t="s">
        <v>2173</v>
      </c>
      <c r="E3102" s="250">
        <f>E3103</f>
        <v>5500000000</v>
      </c>
      <c r="F3102" s="250">
        <v>61730319464.800003</v>
      </c>
      <c r="G3102" s="126">
        <f t="shared" si="78"/>
        <v>8.9097222364712074</v>
      </c>
      <c r="H3102" s="120"/>
      <c r="I3102" s="120"/>
      <c r="J3102" s="116"/>
      <c r="K3102" s="116"/>
      <c r="L3102" s="116"/>
      <c r="M3102" s="116"/>
      <c r="N3102" s="116"/>
      <c r="O3102" s="116"/>
      <c r="P3102" s="116"/>
    </row>
    <row r="3103" spans="2:16" s="108" customFormat="1" ht="21.75" hidden="1" customHeight="1">
      <c r="B3103" s="109"/>
      <c r="C3103" s="122"/>
      <c r="D3103" s="111" t="s">
        <v>1945</v>
      </c>
      <c r="E3103" s="250">
        <f>SUM(E3104:E3104)</f>
        <v>5500000000</v>
      </c>
      <c r="F3103" s="250">
        <v>61730319464.800003</v>
      </c>
      <c r="G3103" s="126">
        <f t="shared" si="78"/>
        <v>8.9097222364712074</v>
      </c>
      <c r="H3103" s="120"/>
      <c r="I3103" s="120"/>
      <c r="J3103" s="116"/>
      <c r="K3103" s="116"/>
      <c r="L3103" s="116"/>
      <c r="M3103" s="116"/>
      <c r="N3103" s="116"/>
      <c r="O3103" s="116"/>
      <c r="P3103" s="116"/>
    </row>
    <row r="3104" spans="2:16" s="108" customFormat="1" ht="21.75" hidden="1" customHeight="1">
      <c r="B3104" s="109"/>
      <c r="C3104" s="122"/>
      <c r="D3104" s="123" t="s">
        <v>2174</v>
      </c>
      <c r="E3104" s="696">
        <v>5500000000</v>
      </c>
      <c r="F3104" s="250">
        <v>61730319464.800003</v>
      </c>
      <c r="G3104" s="126">
        <f t="shared" si="78"/>
        <v>8.9097222364712074</v>
      </c>
      <c r="H3104" s="120"/>
      <c r="I3104" s="120"/>
      <c r="J3104" s="116"/>
      <c r="K3104" s="116"/>
      <c r="L3104" s="116"/>
      <c r="M3104" s="116"/>
      <c r="N3104" s="116"/>
      <c r="O3104" s="116"/>
      <c r="P3104" s="116"/>
    </row>
    <row r="3105" spans="2:16" s="108" customFormat="1" ht="21.75" hidden="1" customHeight="1">
      <c r="B3105" s="109"/>
      <c r="C3105" s="122"/>
      <c r="D3105" s="111"/>
      <c r="E3105" s="696"/>
      <c r="F3105" s="250"/>
      <c r="G3105" s="126"/>
      <c r="H3105" s="120"/>
      <c r="I3105" s="120"/>
      <c r="J3105" s="116"/>
      <c r="K3105" s="116"/>
      <c r="L3105" s="116"/>
      <c r="M3105" s="116"/>
      <c r="N3105" s="116"/>
      <c r="O3105" s="116"/>
      <c r="P3105" s="116"/>
    </row>
    <row r="3106" spans="2:16" s="108" customFormat="1" ht="21.75" hidden="1" customHeight="1">
      <c r="B3106" s="109"/>
      <c r="C3106" s="122"/>
      <c r="D3106" s="111" t="s">
        <v>642</v>
      </c>
      <c r="E3106" s="250">
        <f>E3107</f>
        <v>3000000000</v>
      </c>
      <c r="F3106" s="250">
        <v>61730319464.800003</v>
      </c>
      <c r="G3106" s="126">
        <f t="shared" si="78"/>
        <v>4.8598484926206584</v>
      </c>
      <c r="H3106" s="120"/>
      <c r="I3106" s="120"/>
      <c r="J3106" s="116"/>
      <c r="K3106" s="116"/>
      <c r="L3106" s="116"/>
      <c r="M3106" s="116"/>
      <c r="N3106" s="116"/>
      <c r="O3106" s="116"/>
      <c r="P3106" s="116"/>
    </row>
    <row r="3107" spans="2:16" s="108" customFormat="1" ht="21.75" hidden="1" customHeight="1">
      <c r="B3107" s="109"/>
      <c r="C3107" s="122"/>
      <c r="D3107" s="111" t="s">
        <v>1953</v>
      </c>
      <c r="E3107" s="250">
        <f>E3108</f>
        <v>3000000000</v>
      </c>
      <c r="F3107" s="250">
        <v>61730319464.800003</v>
      </c>
      <c r="G3107" s="126">
        <f t="shared" si="78"/>
        <v>4.8598484926206584</v>
      </c>
      <c r="H3107" s="120"/>
      <c r="I3107" s="120"/>
      <c r="J3107" s="116"/>
      <c r="K3107" s="116"/>
      <c r="L3107" s="116"/>
      <c r="M3107" s="116"/>
      <c r="N3107" s="116"/>
      <c r="O3107" s="116"/>
      <c r="P3107" s="116"/>
    </row>
    <row r="3108" spans="2:16" s="108" customFormat="1" ht="21.75" hidden="1" customHeight="1">
      <c r="B3108" s="109"/>
      <c r="C3108" s="122"/>
      <c r="D3108" s="123" t="s">
        <v>2175</v>
      </c>
      <c r="E3108" s="696">
        <v>3000000000</v>
      </c>
      <c r="F3108" s="250">
        <v>61730319464.800003</v>
      </c>
      <c r="G3108" s="126">
        <f t="shared" si="78"/>
        <v>4.8598484926206584</v>
      </c>
      <c r="H3108" s="120"/>
      <c r="I3108" s="120"/>
      <c r="J3108" s="116"/>
      <c r="K3108" s="116"/>
      <c r="L3108" s="116"/>
      <c r="M3108" s="116"/>
      <c r="N3108" s="116"/>
      <c r="O3108" s="116"/>
      <c r="P3108" s="116"/>
    </row>
    <row r="3109" spans="2:16" s="108" customFormat="1" ht="21.75" hidden="1" customHeight="1">
      <c r="B3109" s="109"/>
      <c r="C3109" s="122"/>
      <c r="D3109" s="111"/>
      <c r="E3109" s="696"/>
      <c r="F3109" s="250">
        <v>61730319464.800003</v>
      </c>
      <c r="G3109" s="126">
        <f t="shared" si="78"/>
        <v>0</v>
      </c>
      <c r="H3109" s="120"/>
      <c r="I3109" s="120"/>
      <c r="J3109" s="116"/>
      <c r="K3109" s="116"/>
      <c r="L3109" s="116"/>
      <c r="M3109" s="116"/>
      <c r="N3109" s="116"/>
      <c r="O3109" s="116"/>
      <c r="P3109" s="116"/>
    </row>
    <row r="3110" spans="2:16" s="108" customFormat="1" ht="21.75" hidden="1" customHeight="1">
      <c r="B3110" s="109"/>
      <c r="C3110" s="122"/>
      <c r="D3110" s="111" t="s">
        <v>1139</v>
      </c>
      <c r="E3110" s="250">
        <f>E3111</f>
        <v>4700000000</v>
      </c>
      <c r="F3110" s="250">
        <v>61730319464.800003</v>
      </c>
      <c r="G3110" s="126">
        <f t="shared" si="78"/>
        <v>7.6137626384390327</v>
      </c>
      <c r="H3110" s="120"/>
      <c r="I3110" s="120"/>
      <c r="J3110" s="116"/>
      <c r="K3110" s="116"/>
      <c r="L3110" s="116"/>
      <c r="M3110" s="116"/>
      <c r="N3110" s="116"/>
      <c r="O3110" s="116"/>
      <c r="P3110" s="116"/>
    </row>
    <row r="3111" spans="2:16" s="108" customFormat="1" ht="21.75" hidden="1" customHeight="1">
      <c r="B3111" s="109"/>
      <c r="C3111" s="122"/>
      <c r="D3111" s="111" t="s">
        <v>1423</v>
      </c>
      <c r="E3111" s="250">
        <f>SUM(E3112:E3112)</f>
        <v>4700000000</v>
      </c>
      <c r="F3111" s="250">
        <v>61730319464.800003</v>
      </c>
      <c r="G3111" s="126">
        <f t="shared" si="78"/>
        <v>7.6137626384390327</v>
      </c>
      <c r="H3111" s="120"/>
      <c r="I3111" s="120"/>
      <c r="J3111" s="116"/>
      <c r="K3111" s="116"/>
      <c r="L3111" s="116"/>
      <c r="M3111" s="116"/>
      <c r="N3111" s="116"/>
      <c r="O3111" s="116"/>
      <c r="P3111" s="116"/>
    </row>
    <row r="3112" spans="2:16" s="108" customFormat="1" ht="31.5" hidden="1" customHeight="1">
      <c r="B3112" s="109"/>
      <c r="C3112" s="122"/>
      <c r="D3112" s="252" t="s">
        <v>704</v>
      </c>
      <c r="E3112" s="696">
        <v>4700000000</v>
      </c>
      <c r="F3112" s="250">
        <v>61730319464.800003</v>
      </c>
      <c r="G3112" s="126">
        <f t="shared" si="78"/>
        <v>7.6137626384390327</v>
      </c>
      <c r="H3112" s="120"/>
      <c r="I3112" s="120"/>
      <c r="J3112" s="116"/>
      <c r="K3112" s="116"/>
      <c r="L3112" s="116"/>
      <c r="M3112" s="116"/>
      <c r="N3112" s="116"/>
      <c r="O3112" s="116"/>
      <c r="P3112" s="116"/>
    </row>
    <row r="3113" spans="2:16" s="108" customFormat="1" ht="21.75" hidden="1" customHeight="1">
      <c r="B3113" s="109"/>
      <c r="C3113" s="122"/>
      <c r="D3113" s="252"/>
      <c r="E3113" s="696"/>
      <c r="F3113" s="250"/>
      <c r="G3113" s="126"/>
      <c r="H3113" s="120"/>
      <c r="I3113" s="120"/>
      <c r="J3113" s="116"/>
      <c r="K3113" s="116"/>
      <c r="L3113" s="116"/>
      <c r="M3113" s="116"/>
      <c r="N3113" s="116"/>
      <c r="O3113" s="116"/>
      <c r="P3113" s="116"/>
    </row>
    <row r="3114" spans="2:16" s="108" customFormat="1" ht="21.75" hidden="1" customHeight="1">
      <c r="B3114" s="109"/>
      <c r="C3114" s="122"/>
      <c r="D3114" s="111" t="s">
        <v>1137</v>
      </c>
      <c r="E3114" s="250">
        <f>E3115</f>
        <v>1000000000</v>
      </c>
      <c r="F3114" s="250">
        <v>61730319464.800003</v>
      </c>
      <c r="G3114" s="126">
        <f t="shared" si="78"/>
        <v>1.6199494975402196</v>
      </c>
      <c r="H3114" s="120"/>
      <c r="I3114" s="120"/>
      <c r="J3114" s="116"/>
      <c r="K3114" s="116"/>
      <c r="L3114" s="116"/>
      <c r="M3114" s="116"/>
      <c r="N3114" s="116"/>
      <c r="O3114" s="116"/>
      <c r="P3114" s="116"/>
    </row>
    <row r="3115" spans="2:16" s="108" customFormat="1" ht="21.75" hidden="1" customHeight="1">
      <c r="B3115" s="109"/>
      <c r="C3115" s="122"/>
      <c r="D3115" s="111" t="s">
        <v>1420</v>
      </c>
      <c r="E3115" s="250">
        <f>SUM(E3116:E3116)</f>
        <v>1000000000</v>
      </c>
      <c r="F3115" s="250">
        <v>61730319464.800003</v>
      </c>
      <c r="G3115" s="126">
        <f t="shared" si="78"/>
        <v>1.6199494975402196</v>
      </c>
      <c r="H3115" s="120"/>
      <c r="I3115" s="120"/>
      <c r="J3115" s="116"/>
      <c r="K3115" s="116"/>
      <c r="L3115" s="116"/>
      <c r="M3115" s="116"/>
      <c r="N3115" s="116"/>
      <c r="O3115" s="116"/>
      <c r="P3115" s="116"/>
    </row>
    <row r="3116" spans="2:16" s="108" customFormat="1" ht="21.75" hidden="1" customHeight="1">
      <c r="B3116" s="109"/>
      <c r="C3116" s="122"/>
      <c r="D3116" s="252" t="s">
        <v>2176</v>
      </c>
      <c r="E3116" s="136">
        <v>1000000000</v>
      </c>
      <c r="F3116" s="250">
        <v>61730319464.800003</v>
      </c>
      <c r="G3116" s="126">
        <f t="shared" si="78"/>
        <v>1.6199494975402196</v>
      </c>
      <c r="H3116" s="120"/>
      <c r="I3116" s="120"/>
      <c r="J3116" s="116"/>
      <c r="K3116" s="116"/>
      <c r="L3116" s="116"/>
      <c r="M3116" s="116"/>
      <c r="N3116" s="116"/>
      <c r="O3116" s="116"/>
      <c r="P3116" s="116"/>
    </row>
    <row r="3117" spans="2:16" s="108" customFormat="1" ht="21.75" hidden="1" customHeight="1">
      <c r="B3117" s="109"/>
      <c r="C3117" s="122"/>
      <c r="D3117" s="252"/>
      <c r="E3117" s="696"/>
      <c r="F3117" s="250">
        <v>61730319464.800003</v>
      </c>
      <c r="G3117" s="126">
        <f t="shared" si="78"/>
        <v>0</v>
      </c>
      <c r="H3117" s="120"/>
      <c r="I3117" s="120"/>
      <c r="J3117" s="116"/>
      <c r="K3117" s="116"/>
      <c r="L3117" s="116"/>
      <c r="M3117" s="116"/>
      <c r="N3117" s="116"/>
      <c r="O3117" s="116"/>
      <c r="P3117" s="116"/>
    </row>
    <row r="3118" spans="2:16" s="108" customFormat="1" ht="21.75" hidden="1" customHeight="1">
      <c r="B3118" s="109"/>
      <c r="C3118" s="122"/>
      <c r="D3118" s="111" t="s">
        <v>1128</v>
      </c>
      <c r="E3118" s="250">
        <f>E3119</f>
        <v>1000000000</v>
      </c>
      <c r="F3118" s="250">
        <v>61730319464.800003</v>
      </c>
      <c r="G3118" s="126">
        <f t="shared" si="78"/>
        <v>1.6199494975402196</v>
      </c>
      <c r="H3118" s="120"/>
      <c r="I3118" s="120"/>
      <c r="J3118" s="116"/>
      <c r="K3118" s="116"/>
      <c r="L3118" s="116"/>
      <c r="M3118" s="116"/>
      <c r="N3118" s="116"/>
      <c r="O3118" s="116"/>
      <c r="P3118" s="116"/>
    </row>
    <row r="3119" spans="2:16" s="108" customFormat="1" ht="21.75" hidden="1" customHeight="1">
      <c r="B3119" s="109"/>
      <c r="C3119" s="122"/>
      <c r="D3119" s="111" t="s">
        <v>1205</v>
      </c>
      <c r="E3119" s="250">
        <f>SUM(E3120:E3120)</f>
        <v>1000000000</v>
      </c>
      <c r="F3119" s="250">
        <v>61730319464.800003</v>
      </c>
      <c r="G3119" s="126">
        <f t="shared" si="78"/>
        <v>1.6199494975402196</v>
      </c>
      <c r="H3119" s="120"/>
      <c r="I3119" s="120"/>
      <c r="J3119" s="116"/>
      <c r="K3119" s="116"/>
      <c r="L3119" s="116"/>
      <c r="M3119" s="116"/>
      <c r="N3119" s="116"/>
      <c r="O3119" s="116"/>
      <c r="P3119" s="116"/>
    </row>
    <row r="3120" spans="2:16" s="108" customFormat="1" ht="21.75" hidden="1" customHeight="1">
      <c r="B3120" s="109"/>
      <c r="C3120" s="122"/>
      <c r="D3120" s="252" t="s">
        <v>2177</v>
      </c>
      <c r="E3120" s="696">
        <v>1000000000</v>
      </c>
      <c r="F3120" s="250">
        <v>61730319464.800003</v>
      </c>
      <c r="G3120" s="126">
        <f t="shared" si="78"/>
        <v>1.6199494975402196</v>
      </c>
      <c r="H3120" s="120"/>
      <c r="I3120" s="120"/>
      <c r="J3120" s="116"/>
      <c r="K3120" s="116"/>
      <c r="L3120" s="116"/>
      <c r="M3120" s="116"/>
      <c r="N3120" s="116"/>
      <c r="O3120" s="116"/>
      <c r="P3120" s="116"/>
    </row>
    <row r="3121" spans="2:16" s="108" customFormat="1" ht="21.75" hidden="1" customHeight="1">
      <c r="B3121" s="109"/>
      <c r="C3121" s="122"/>
      <c r="D3121" s="111"/>
      <c r="E3121" s="696"/>
      <c r="F3121" s="250"/>
      <c r="G3121" s="126"/>
      <c r="H3121" s="120"/>
      <c r="I3121" s="120"/>
      <c r="J3121" s="116"/>
      <c r="K3121" s="116"/>
      <c r="L3121" s="116"/>
      <c r="M3121" s="116"/>
      <c r="N3121" s="116"/>
      <c r="O3121" s="116"/>
      <c r="P3121" s="116"/>
    </row>
    <row r="3122" spans="2:16" s="108" customFormat="1" ht="21.75" hidden="1" customHeight="1">
      <c r="B3122" s="109"/>
      <c r="C3122" s="122"/>
      <c r="D3122" s="111" t="s">
        <v>2178</v>
      </c>
      <c r="E3122" s="250">
        <f>E3123</f>
        <v>1000000000</v>
      </c>
      <c r="F3122" s="250">
        <v>61730319464.800003</v>
      </c>
      <c r="G3122" s="126">
        <f t="shared" si="78"/>
        <v>1.6199494975402196</v>
      </c>
      <c r="H3122" s="120"/>
      <c r="I3122" s="120"/>
      <c r="J3122" s="116"/>
      <c r="K3122" s="116"/>
      <c r="L3122" s="116"/>
      <c r="M3122" s="116"/>
      <c r="N3122" s="116"/>
      <c r="O3122" s="116"/>
      <c r="P3122" s="116"/>
    </row>
    <row r="3123" spans="2:16" s="108" customFormat="1" ht="21.75" hidden="1" customHeight="1">
      <c r="B3123" s="109"/>
      <c r="C3123" s="122"/>
      <c r="D3123" s="111" t="s">
        <v>2179</v>
      </c>
      <c r="E3123" s="250">
        <f>SUM(E3124:E3125)</f>
        <v>1000000000</v>
      </c>
      <c r="F3123" s="250">
        <v>61730319464.800003</v>
      </c>
      <c r="G3123" s="126">
        <f t="shared" si="78"/>
        <v>1.6199494975402196</v>
      </c>
      <c r="H3123" s="120"/>
      <c r="I3123" s="120"/>
      <c r="J3123" s="116"/>
      <c r="K3123" s="116"/>
      <c r="L3123" s="116"/>
      <c r="M3123" s="116"/>
      <c r="N3123" s="116"/>
      <c r="O3123" s="116"/>
      <c r="P3123" s="116"/>
    </row>
    <row r="3124" spans="2:16" s="108" customFormat="1" ht="43.5" hidden="1" customHeight="1">
      <c r="B3124" s="109"/>
      <c r="C3124" s="122"/>
      <c r="D3124" s="123" t="s">
        <v>2180</v>
      </c>
      <c r="E3124" s="696">
        <v>480000000</v>
      </c>
      <c r="F3124" s="250">
        <v>61730319464.800003</v>
      </c>
      <c r="G3124" s="126">
        <f t="shared" si="78"/>
        <v>0.77757575881930541</v>
      </c>
      <c r="H3124" s="120"/>
      <c r="I3124" s="120"/>
      <c r="J3124" s="116"/>
      <c r="K3124" s="116"/>
      <c r="L3124" s="116"/>
      <c r="M3124" s="116"/>
      <c r="N3124" s="116"/>
      <c r="O3124" s="116"/>
      <c r="P3124" s="116"/>
    </row>
    <row r="3125" spans="2:16" s="108" customFormat="1" ht="43.5" hidden="1" customHeight="1">
      <c r="B3125" s="109"/>
      <c r="C3125" s="122"/>
      <c r="D3125" s="123" t="s">
        <v>2181</v>
      </c>
      <c r="E3125" s="696">
        <v>520000000</v>
      </c>
      <c r="F3125" s="250">
        <v>61730319464.800003</v>
      </c>
      <c r="G3125" s="126">
        <f t="shared" si="78"/>
        <v>0.84237373872091426</v>
      </c>
      <c r="H3125" s="120"/>
      <c r="I3125" s="120"/>
      <c r="J3125" s="116"/>
      <c r="K3125" s="116"/>
      <c r="L3125" s="116"/>
      <c r="M3125" s="116"/>
      <c r="N3125" s="116"/>
      <c r="O3125" s="116"/>
      <c r="P3125" s="116"/>
    </row>
    <row r="3126" spans="2:16" s="108" customFormat="1" ht="21.75" hidden="1" customHeight="1">
      <c r="B3126" s="109"/>
      <c r="C3126" s="122"/>
      <c r="D3126" s="111"/>
      <c r="E3126" s="696"/>
      <c r="F3126" s="250"/>
      <c r="G3126" s="126"/>
      <c r="H3126" s="120"/>
      <c r="I3126" s="120"/>
      <c r="J3126" s="116"/>
      <c r="K3126" s="116"/>
      <c r="L3126" s="116"/>
      <c r="M3126" s="116"/>
      <c r="N3126" s="116"/>
      <c r="O3126" s="116"/>
      <c r="P3126" s="116"/>
    </row>
    <row r="3127" spans="2:16" s="108" customFormat="1" ht="21.75" hidden="1" customHeight="1">
      <c r="B3127" s="109"/>
      <c r="C3127" s="122"/>
      <c r="D3127" s="111" t="s">
        <v>2182</v>
      </c>
      <c r="E3127" s="250">
        <f>E3128</f>
        <v>500000000</v>
      </c>
      <c r="F3127" s="250">
        <v>61730319464.800003</v>
      </c>
      <c r="G3127" s="126">
        <f t="shared" si="78"/>
        <v>0.80997474877010978</v>
      </c>
      <c r="H3127" s="120"/>
      <c r="I3127" s="120"/>
      <c r="J3127" s="116"/>
      <c r="K3127" s="116"/>
      <c r="L3127" s="116"/>
      <c r="M3127" s="116"/>
      <c r="N3127" s="116"/>
      <c r="O3127" s="116"/>
      <c r="P3127" s="116"/>
    </row>
    <row r="3128" spans="2:16" s="108" customFormat="1" ht="21.75" hidden="1" customHeight="1">
      <c r="B3128" s="109"/>
      <c r="C3128" s="122"/>
      <c r="D3128" s="111" t="s">
        <v>1428</v>
      </c>
      <c r="E3128" s="250">
        <f>SUM(E3129:E3129)</f>
        <v>500000000</v>
      </c>
      <c r="F3128" s="250">
        <v>61730319464.800003</v>
      </c>
      <c r="G3128" s="126">
        <f t="shared" si="78"/>
        <v>0.80997474877010978</v>
      </c>
      <c r="H3128" s="120"/>
      <c r="I3128" s="120"/>
      <c r="J3128" s="116"/>
      <c r="K3128" s="116"/>
      <c r="L3128" s="116"/>
      <c r="M3128" s="116"/>
      <c r="N3128" s="116"/>
      <c r="O3128" s="116"/>
      <c r="P3128" s="116"/>
    </row>
    <row r="3129" spans="2:16" s="108" customFormat="1" ht="21.75" hidden="1" customHeight="1">
      <c r="B3129" s="109"/>
      <c r="C3129" s="122"/>
      <c r="D3129" s="123" t="s">
        <v>1514</v>
      </c>
      <c r="E3129" s="696">
        <v>500000000</v>
      </c>
      <c r="F3129" s="250">
        <v>61730319464.800003</v>
      </c>
      <c r="G3129" s="126">
        <f t="shared" si="78"/>
        <v>0.80997474877010978</v>
      </c>
      <c r="H3129" s="120"/>
      <c r="I3129" s="120"/>
      <c r="J3129" s="116"/>
      <c r="K3129" s="116"/>
      <c r="L3129" s="116"/>
      <c r="M3129" s="116"/>
      <c r="N3129" s="116"/>
      <c r="O3129" s="116"/>
      <c r="P3129" s="116"/>
    </row>
    <row r="3130" spans="2:16" s="108" customFormat="1" ht="21.75" hidden="1" customHeight="1">
      <c r="B3130" s="109"/>
      <c r="C3130" s="122"/>
      <c r="D3130" s="123"/>
      <c r="E3130" s="696"/>
      <c r="F3130" s="250"/>
      <c r="G3130" s="126"/>
      <c r="H3130" s="120"/>
      <c r="I3130" s="120"/>
      <c r="J3130" s="116"/>
      <c r="K3130" s="116"/>
      <c r="L3130" s="116"/>
      <c r="M3130" s="116"/>
      <c r="N3130" s="116"/>
      <c r="O3130" s="116"/>
      <c r="P3130" s="116"/>
    </row>
    <row r="3131" spans="2:16" s="108" customFormat="1" ht="21.75" hidden="1" customHeight="1">
      <c r="B3131" s="109"/>
      <c r="C3131" s="122"/>
      <c r="D3131" s="111" t="s">
        <v>624</v>
      </c>
      <c r="E3131" s="250">
        <f>E3132+E3135</f>
        <v>1500000000</v>
      </c>
      <c r="F3131" s="250">
        <v>61730319464.800003</v>
      </c>
      <c r="G3131" s="126">
        <f t="shared" ref="G3131:G3150" si="79">+E3131/F3131*100</f>
        <v>2.4299242463103292</v>
      </c>
      <c r="H3131" s="120"/>
      <c r="I3131" s="120"/>
      <c r="J3131" s="116"/>
      <c r="K3131" s="116"/>
      <c r="L3131" s="116"/>
      <c r="M3131" s="116"/>
      <c r="N3131" s="116"/>
      <c r="O3131" s="116"/>
      <c r="P3131" s="116"/>
    </row>
    <row r="3132" spans="2:16" s="108" customFormat="1" ht="21.75" hidden="1" customHeight="1">
      <c r="B3132" s="109"/>
      <c r="C3132" s="122"/>
      <c r="D3132" s="111" t="s">
        <v>904</v>
      </c>
      <c r="E3132" s="250">
        <f>SUM(E3133:E3134)</f>
        <v>700000000</v>
      </c>
      <c r="F3132" s="250">
        <v>61730319464.800003</v>
      </c>
      <c r="G3132" s="126">
        <f t="shared" si="79"/>
        <v>1.1339646482781538</v>
      </c>
      <c r="H3132" s="120"/>
      <c r="I3132" s="120"/>
      <c r="J3132" s="116"/>
      <c r="K3132" s="116"/>
      <c r="L3132" s="116"/>
      <c r="M3132" s="116"/>
      <c r="N3132" s="116"/>
      <c r="O3132" s="116"/>
      <c r="P3132" s="116"/>
    </row>
    <row r="3133" spans="2:16" s="108" customFormat="1" ht="21.75" hidden="1" customHeight="1">
      <c r="B3133" s="109"/>
      <c r="C3133" s="122"/>
      <c r="D3133" s="123" t="s">
        <v>2183</v>
      </c>
      <c r="E3133" s="696">
        <v>400000000</v>
      </c>
      <c r="F3133" s="250">
        <v>61730319464.800003</v>
      </c>
      <c r="G3133" s="126">
        <f t="shared" si="79"/>
        <v>0.64797979901608782</v>
      </c>
      <c r="H3133" s="120"/>
      <c r="I3133" s="120"/>
      <c r="J3133" s="116"/>
      <c r="K3133" s="116"/>
      <c r="L3133" s="116"/>
      <c r="M3133" s="116"/>
      <c r="N3133" s="116"/>
      <c r="O3133" s="116"/>
      <c r="P3133" s="116"/>
    </row>
    <row r="3134" spans="2:16" s="108" customFormat="1" ht="21.75" hidden="1" customHeight="1">
      <c r="B3134" s="109"/>
      <c r="C3134" s="122"/>
      <c r="D3134" s="123" t="s">
        <v>2184</v>
      </c>
      <c r="E3134" s="696">
        <v>300000000</v>
      </c>
      <c r="F3134" s="250">
        <v>61730319464.800003</v>
      </c>
      <c r="G3134" s="126">
        <f t="shared" si="79"/>
        <v>0.48598484926206587</v>
      </c>
      <c r="H3134" s="120"/>
      <c r="I3134" s="120"/>
      <c r="J3134" s="116"/>
      <c r="K3134" s="116"/>
      <c r="L3134" s="116"/>
      <c r="M3134" s="116"/>
      <c r="N3134" s="116"/>
      <c r="O3134" s="116"/>
      <c r="P3134" s="116"/>
    </row>
    <row r="3135" spans="2:16" s="108" customFormat="1" ht="21.75" hidden="1" customHeight="1">
      <c r="B3135" s="109"/>
      <c r="C3135" s="122"/>
      <c r="D3135" s="111" t="s">
        <v>1202</v>
      </c>
      <c r="E3135" s="250">
        <f>SUM(E3136:E3138)</f>
        <v>800000000</v>
      </c>
      <c r="F3135" s="250">
        <v>61730319464.800003</v>
      </c>
      <c r="G3135" s="126">
        <f t="shared" si="79"/>
        <v>1.2959595980321756</v>
      </c>
      <c r="H3135" s="120"/>
      <c r="I3135" s="120"/>
      <c r="J3135" s="116"/>
      <c r="K3135" s="116"/>
      <c r="L3135" s="116"/>
      <c r="M3135" s="116"/>
      <c r="N3135" s="116"/>
      <c r="O3135" s="116"/>
      <c r="P3135" s="116"/>
    </row>
    <row r="3136" spans="2:16" s="108" customFormat="1" ht="43.5" hidden="1" customHeight="1">
      <c r="B3136" s="109"/>
      <c r="C3136" s="122"/>
      <c r="D3136" s="123" t="s">
        <v>2185</v>
      </c>
      <c r="E3136" s="696">
        <v>400000000</v>
      </c>
      <c r="F3136" s="250">
        <v>61730319464.800003</v>
      </c>
      <c r="G3136" s="126">
        <f t="shared" si="79"/>
        <v>0.64797979901608782</v>
      </c>
      <c r="H3136" s="120"/>
      <c r="I3136" s="120"/>
      <c r="J3136" s="116"/>
      <c r="K3136" s="116"/>
      <c r="L3136" s="116"/>
      <c r="M3136" s="116"/>
      <c r="N3136" s="116"/>
      <c r="O3136" s="116"/>
      <c r="P3136" s="116"/>
    </row>
    <row r="3137" spans="2:16" s="108" customFormat="1" ht="43.5" hidden="1" customHeight="1">
      <c r="B3137" s="109"/>
      <c r="C3137" s="122"/>
      <c r="D3137" s="123" t="s">
        <v>2186</v>
      </c>
      <c r="E3137" s="696">
        <v>200000000</v>
      </c>
      <c r="F3137" s="250">
        <v>61730319464.800003</v>
      </c>
      <c r="G3137" s="126">
        <f t="shared" si="79"/>
        <v>0.32398989950804391</v>
      </c>
      <c r="H3137" s="120"/>
      <c r="I3137" s="120"/>
      <c r="J3137" s="116"/>
      <c r="K3137" s="116"/>
      <c r="L3137" s="116"/>
      <c r="M3137" s="116"/>
      <c r="N3137" s="116"/>
      <c r="O3137" s="116"/>
      <c r="P3137" s="116"/>
    </row>
    <row r="3138" spans="2:16" s="108" customFormat="1" ht="43.5" hidden="1" customHeight="1">
      <c r="B3138" s="109"/>
      <c r="C3138" s="122"/>
      <c r="D3138" s="123" t="s">
        <v>2187</v>
      </c>
      <c r="E3138" s="696">
        <v>200000000</v>
      </c>
      <c r="F3138" s="250">
        <v>61730319464.800003</v>
      </c>
      <c r="G3138" s="126">
        <f t="shared" si="79"/>
        <v>0.32398989950804391</v>
      </c>
      <c r="H3138" s="120"/>
      <c r="I3138" s="120"/>
      <c r="J3138" s="116"/>
      <c r="K3138" s="116"/>
      <c r="L3138" s="116"/>
      <c r="M3138" s="116"/>
      <c r="N3138" s="116"/>
      <c r="O3138" s="116"/>
      <c r="P3138" s="116"/>
    </row>
    <row r="3139" spans="2:16" s="108" customFormat="1" ht="21.75" hidden="1" customHeight="1">
      <c r="B3139" s="109"/>
      <c r="C3139" s="122"/>
      <c r="D3139" s="111"/>
      <c r="E3139" s="696"/>
      <c r="F3139" s="250"/>
      <c r="G3139" s="126"/>
      <c r="H3139" s="120"/>
      <c r="I3139" s="120"/>
      <c r="J3139" s="116"/>
      <c r="K3139" s="116"/>
      <c r="L3139" s="116"/>
      <c r="M3139" s="116"/>
      <c r="N3139" s="116"/>
      <c r="O3139" s="116"/>
      <c r="P3139" s="116"/>
    </row>
    <row r="3140" spans="2:16" s="108" customFormat="1" ht="21.75" hidden="1" customHeight="1">
      <c r="B3140" s="109"/>
      <c r="C3140" s="122"/>
      <c r="D3140" s="111" t="s">
        <v>2188</v>
      </c>
      <c r="E3140" s="250">
        <f>E3141+E3143</f>
        <v>1500000000</v>
      </c>
      <c r="F3140" s="250">
        <v>61730319464.800003</v>
      </c>
      <c r="G3140" s="126">
        <f t="shared" si="79"/>
        <v>2.4299242463103292</v>
      </c>
      <c r="H3140" s="120"/>
      <c r="I3140" s="120"/>
      <c r="J3140" s="116"/>
      <c r="K3140" s="116"/>
      <c r="L3140" s="116"/>
      <c r="M3140" s="116"/>
      <c r="N3140" s="116"/>
      <c r="O3140" s="116"/>
      <c r="P3140" s="116"/>
    </row>
    <row r="3141" spans="2:16" s="108" customFormat="1" ht="21.75" hidden="1" customHeight="1">
      <c r="B3141" s="109"/>
      <c r="C3141" s="122"/>
      <c r="D3141" s="111" t="s">
        <v>1849</v>
      </c>
      <c r="E3141" s="250">
        <f>SUM(E3142:E3142)</f>
        <v>600000000</v>
      </c>
      <c r="F3141" s="250">
        <v>61730319464.800003</v>
      </c>
      <c r="G3141" s="126">
        <f t="shared" si="79"/>
        <v>0.97196969852413173</v>
      </c>
      <c r="H3141" s="120"/>
      <c r="I3141" s="120"/>
      <c r="J3141" s="116"/>
      <c r="K3141" s="116"/>
      <c r="L3141" s="116"/>
      <c r="M3141" s="116"/>
      <c r="N3141" s="116"/>
      <c r="O3141" s="116"/>
      <c r="P3141" s="116"/>
    </row>
    <row r="3142" spans="2:16" s="108" customFormat="1" ht="21.75" hidden="1" customHeight="1">
      <c r="B3142" s="109"/>
      <c r="C3142" s="122"/>
      <c r="D3142" s="123" t="s">
        <v>1427</v>
      </c>
      <c r="E3142" s="696">
        <v>600000000</v>
      </c>
      <c r="F3142" s="250">
        <v>61730319464.800003</v>
      </c>
      <c r="G3142" s="126">
        <f t="shared" si="79"/>
        <v>0.97196969852413173</v>
      </c>
      <c r="H3142" s="120"/>
      <c r="I3142" s="120"/>
      <c r="J3142" s="116"/>
      <c r="K3142" s="116"/>
      <c r="L3142" s="116"/>
      <c r="M3142" s="116"/>
      <c r="N3142" s="116"/>
      <c r="O3142" s="116"/>
      <c r="P3142" s="116"/>
    </row>
    <row r="3143" spans="2:16" s="108" customFormat="1" ht="21.75" hidden="1" customHeight="1">
      <c r="B3143" s="109"/>
      <c r="C3143" s="122"/>
      <c r="D3143" s="111" t="s">
        <v>2189</v>
      </c>
      <c r="E3143" s="250">
        <f>SUM(E3144:E3145)</f>
        <v>900000000</v>
      </c>
      <c r="F3143" s="250">
        <v>61730319464.800003</v>
      </c>
      <c r="G3143" s="126">
        <f t="shared" si="79"/>
        <v>1.4579545477861977</v>
      </c>
      <c r="H3143" s="120"/>
      <c r="I3143" s="120"/>
      <c r="J3143" s="116"/>
      <c r="K3143" s="116"/>
      <c r="L3143" s="116"/>
      <c r="M3143" s="116"/>
      <c r="N3143" s="116"/>
      <c r="O3143" s="116"/>
      <c r="P3143" s="116"/>
    </row>
    <row r="3144" spans="2:16" s="108" customFormat="1" ht="21.75" hidden="1" customHeight="1">
      <c r="B3144" s="109"/>
      <c r="C3144" s="122"/>
      <c r="D3144" s="123" t="s">
        <v>2190</v>
      </c>
      <c r="E3144" s="696">
        <v>525000000</v>
      </c>
      <c r="F3144" s="250">
        <v>61730319464.800003</v>
      </c>
      <c r="G3144" s="126">
        <f t="shared" si="79"/>
        <v>0.85047348620861518</v>
      </c>
      <c r="H3144" s="120"/>
      <c r="I3144" s="120"/>
      <c r="J3144" s="116"/>
      <c r="K3144" s="116"/>
      <c r="L3144" s="116"/>
      <c r="M3144" s="116"/>
      <c r="N3144" s="116"/>
      <c r="O3144" s="116"/>
      <c r="P3144" s="116"/>
    </row>
    <row r="3145" spans="2:16" s="108" customFormat="1" ht="21.75" hidden="1" customHeight="1">
      <c r="B3145" s="109"/>
      <c r="C3145" s="122"/>
      <c r="D3145" s="123" t="s">
        <v>2191</v>
      </c>
      <c r="E3145" s="696">
        <v>375000000</v>
      </c>
      <c r="F3145" s="250">
        <v>61730319464.800003</v>
      </c>
      <c r="G3145" s="126">
        <f t="shared" si="79"/>
        <v>0.6074810615775823</v>
      </c>
      <c r="H3145" s="120"/>
      <c r="I3145" s="120"/>
      <c r="J3145" s="116"/>
      <c r="K3145" s="116"/>
      <c r="L3145" s="116"/>
      <c r="M3145" s="116"/>
      <c r="N3145" s="116"/>
      <c r="O3145" s="116"/>
      <c r="P3145" s="116"/>
    </row>
    <row r="3146" spans="2:16" s="108" customFormat="1" ht="21.75" hidden="1" customHeight="1">
      <c r="B3146" s="109"/>
      <c r="C3146" s="122"/>
      <c r="D3146" s="111"/>
      <c r="E3146" s="696"/>
      <c r="F3146" s="250"/>
      <c r="G3146" s="126"/>
      <c r="H3146" s="120"/>
      <c r="I3146" s="120"/>
      <c r="J3146" s="116"/>
      <c r="K3146" s="116"/>
      <c r="L3146" s="116"/>
      <c r="M3146" s="116"/>
      <c r="N3146" s="116"/>
      <c r="O3146" s="116"/>
      <c r="P3146" s="116"/>
    </row>
    <row r="3147" spans="2:16" s="108" customFormat="1" ht="43.5" hidden="1" customHeight="1">
      <c r="B3147" s="109"/>
      <c r="C3147" s="122"/>
      <c r="D3147" s="111" t="s">
        <v>2192</v>
      </c>
      <c r="E3147" s="250">
        <f>E3148</f>
        <v>2100000000</v>
      </c>
      <c r="F3147" s="250">
        <v>61730319464.800003</v>
      </c>
      <c r="G3147" s="126">
        <f t="shared" si="79"/>
        <v>3.4018939448344607</v>
      </c>
      <c r="H3147" s="120"/>
      <c r="I3147" s="120"/>
      <c r="J3147" s="116"/>
      <c r="K3147" s="116"/>
      <c r="L3147" s="116"/>
      <c r="M3147" s="116"/>
      <c r="N3147" s="116"/>
      <c r="O3147" s="116"/>
      <c r="P3147" s="116"/>
    </row>
    <row r="3148" spans="2:16" s="108" customFormat="1" ht="21.75" hidden="1" customHeight="1">
      <c r="B3148" s="109"/>
      <c r="C3148" s="122"/>
      <c r="D3148" s="111" t="s">
        <v>884</v>
      </c>
      <c r="E3148" s="250">
        <f>SUM(E3149:E3150)</f>
        <v>2100000000</v>
      </c>
      <c r="F3148" s="250">
        <v>61730319464.800003</v>
      </c>
      <c r="G3148" s="126">
        <f t="shared" si="79"/>
        <v>3.4018939448344607</v>
      </c>
      <c r="H3148" s="120"/>
      <c r="I3148" s="120"/>
      <c r="J3148" s="116"/>
      <c r="K3148" s="116"/>
      <c r="L3148" s="116"/>
      <c r="M3148" s="116"/>
      <c r="N3148" s="116"/>
      <c r="O3148" s="116"/>
      <c r="P3148" s="116"/>
    </row>
    <row r="3149" spans="2:16" s="108" customFormat="1" ht="43.5" hidden="1" customHeight="1">
      <c r="B3149" s="109"/>
      <c r="C3149" s="122"/>
      <c r="D3149" s="123" t="s">
        <v>2193</v>
      </c>
      <c r="E3149" s="696">
        <v>2011300000</v>
      </c>
      <c r="F3149" s="250">
        <v>61730319464.800003</v>
      </c>
      <c r="G3149" s="126">
        <f t="shared" si="79"/>
        <v>3.2582044244026434</v>
      </c>
      <c r="H3149" s="120"/>
      <c r="I3149" s="120"/>
      <c r="J3149" s="116"/>
      <c r="K3149" s="116"/>
      <c r="L3149" s="116"/>
      <c r="M3149" s="116"/>
      <c r="N3149" s="116"/>
      <c r="O3149" s="116"/>
      <c r="P3149" s="116"/>
    </row>
    <row r="3150" spans="2:16" s="108" customFormat="1" ht="43.5" hidden="1" customHeight="1">
      <c r="B3150" s="109"/>
      <c r="C3150" s="122"/>
      <c r="D3150" s="123" t="s">
        <v>752</v>
      </c>
      <c r="E3150" s="696">
        <v>88700000</v>
      </c>
      <c r="F3150" s="250">
        <v>61730319464.800003</v>
      </c>
      <c r="G3150" s="126">
        <f t="shared" si="79"/>
        <v>0.14368952043181746</v>
      </c>
      <c r="H3150" s="120"/>
      <c r="I3150" s="120"/>
      <c r="J3150" s="116"/>
      <c r="K3150" s="116"/>
      <c r="L3150" s="116"/>
      <c r="M3150" s="116"/>
      <c r="N3150" s="116"/>
      <c r="O3150" s="116"/>
      <c r="P3150" s="116"/>
    </row>
    <row r="3151" spans="2:16" s="108" customFormat="1" ht="21.75" hidden="1" customHeight="1">
      <c r="B3151" s="109"/>
      <c r="C3151" s="122"/>
      <c r="D3151" s="123"/>
      <c r="E3151" s="125"/>
      <c r="F3151" s="134"/>
      <c r="G3151" s="126"/>
      <c r="H3151" s="120"/>
      <c r="I3151" s="120"/>
      <c r="J3151" s="116"/>
      <c r="K3151" s="116"/>
      <c r="L3151" s="116"/>
      <c r="M3151" s="116"/>
      <c r="N3151" s="116"/>
      <c r="O3151" s="116"/>
      <c r="P3151" s="116"/>
    </row>
    <row r="3152" spans="2:16" s="117" customFormat="1" ht="21.75" hidden="1" customHeight="1">
      <c r="B3152" s="118"/>
      <c r="C3152" s="110" t="s">
        <v>2194</v>
      </c>
      <c r="D3152" s="111" t="s">
        <v>2195</v>
      </c>
      <c r="E3152" s="129">
        <f>+E3153+E3169+E3187+E3194+E3200+E3205+E3209+E3216+E3222+E3226+E3230+E3234+E3241+E3251+E3259+E3263+E3268</f>
        <v>61756420382.300011</v>
      </c>
      <c r="F3152" s="218">
        <v>1557405258400.0002</v>
      </c>
      <c r="G3152" s="127">
        <f>+E3152/F3152*100</f>
        <v>3.9653404307717217</v>
      </c>
      <c r="H3152" s="129"/>
      <c r="I3152" s="120"/>
      <c r="J3152" s="121"/>
      <c r="K3152" s="121"/>
      <c r="L3152" s="121"/>
      <c r="M3152" s="121"/>
      <c r="N3152" s="121"/>
      <c r="O3152" s="121"/>
      <c r="P3152" s="121"/>
    </row>
    <row r="3153" spans="2:16" s="108" customFormat="1" ht="21.75" hidden="1" customHeight="1">
      <c r="B3153" s="109"/>
      <c r="C3153" s="122"/>
      <c r="D3153" s="253" t="s">
        <v>444</v>
      </c>
      <c r="E3153" s="782">
        <f>+E3154+E3157+E3166</f>
        <v>14386916115.110001</v>
      </c>
      <c r="F3153" s="134">
        <v>61756420382.300003</v>
      </c>
      <c r="G3153" s="126">
        <f>+E3153/F3153*100</f>
        <v>23.296227381782366</v>
      </c>
      <c r="H3153" s="120"/>
      <c r="I3153" s="120"/>
      <c r="J3153" s="116"/>
      <c r="K3153" s="116"/>
      <c r="L3153" s="116"/>
      <c r="M3153" s="116"/>
      <c r="N3153" s="116"/>
      <c r="O3153" s="116"/>
      <c r="P3153" s="116"/>
    </row>
    <row r="3154" spans="2:16" s="117" customFormat="1" ht="21.75" hidden="1" customHeight="1">
      <c r="B3154" s="118"/>
      <c r="C3154" s="110"/>
      <c r="D3154" s="253" t="s">
        <v>388</v>
      </c>
      <c r="E3154" s="782">
        <f>SUM(E3155:E3156)</f>
        <v>900000000</v>
      </c>
      <c r="F3154" s="114">
        <v>61756420382.300003</v>
      </c>
      <c r="G3154" s="127">
        <f t="shared" ref="G3154:G3218" si="80">+E3154/F3154*100</f>
        <v>1.4573383535324673</v>
      </c>
      <c r="H3154" s="120"/>
      <c r="I3154" s="120"/>
      <c r="J3154" s="121"/>
      <c r="K3154" s="121"/>
      <c r="L3154" s="121"/>
      <c r="M3154" s="121"/>
      <c r="N3154" s="121"/>
      <c r="O3154" s="121"/>
      <c r="P3154" s="121"/>
    </row>
    <row r="3155" spans="2:16" s="108" customFormat="1" ht="21.75" hidden="1" customHeight="1">
      <c r="B3155" s="109"/>
      <c r="C3155" s="122"/>
      <c r="D3155" s="256" t="s">
        <v>2196</v>
      </c>
      <c r="E3155" s="783">
        <v>500000000</v>
      </c>
      <c r="F3155" s="134">
        <v>61756420382.300003</v>
      </c>
      <c r="G3155" s="126">
        <f t="shared" si="80"/>
        <v>0.80963241862914859</v>
      </c>
      <c r="H3155" s="120"/>
      <c r="I3155" s="120"/>
      <c r="J3155" s="116"/>
      <c r="K3155" s="116"/>
      <c r="L3155" s="116"/>
      <c r="M3155" s="116"/>
      <c r="N3155" s="116"/>
      <c r="O3155" s="116"/>
      <c r="P3155" s="116"/>
    </row>
    <row r="3156" spans="2:16" s="108" customFormat="1" ht="21.75" hidden="1" customHeight="1">
      <c r="B3156" s="109"/>
      <c r="C3156" s="122"/>
      <c r="D3156" s="256" t="s">
        <v>2197</v>
      </c>
      <c r="E3156" s="783">
        <v>400000000</v>
      </c>
      <c r="F3156" s="134">
        <v>61756420382.300003</v>
      </c>
      <c r="G3156" s="126">
        <f t="shared" si="80"/>
        <v>0.64770593490331885</v>
      </c>
      <c r="H3156" s="120"/>
      <c r="I3156" s="120"/>
      <c r="J3156" s="116"/>
      <c r="K3156" s="116"/>
      <c r="L3156" s="116"/>
      <c r="M3156" s="116"/>
      <c r="N3156" s="116"/>
      <c r="O3156" s="116"/>
      <c r="P3156" s="116"/>
    </row>
    <row r="3157" spans="2:16" s="117" customFormat="1" ht="21.75" hidden="1" customHeight="1">
      <c r="B3157" s="118"/>
      <c r="C3157" s="110"/>
      <c r="D3157" s="253" t="s">
        <v>394</v>
      </c>
      <c r="E3157" s="782">
        <f>SUM(E3158:E3165)</f>
        <v>13336916115.110001</v>
      </c>
      <c r="F3157" s="114">
        <v>61756420382.300003</v>
      </c>
      <c r="G3157" s="127">
        <f t="shared" si="80"/>
        <v>21.595999302661156</v>
      </c>
      <c r="H3157" s="120"/>
      <c r="I3157" s="120"/>
      <c r="J3157" s="121"/>
      <c r="K3157" s="121"/>
      <c r="L3157" s="121"/>
      <c r="M3157" s="121"/>
      <c r="N3157" s="121"/>
      <c r="O3157" s="121"/>
      <c r="P3157" s="121"/>
    </row>
    <row r="3158" spans="2:16" s="108" customFormat="1" ht="21.75" hidden="1" customHeight="1">
      <c r="B3158" s="109"/>
      <c r="C3158" s="122"/>
      <c r="D3158" s="256" t="s">
        <v>2198</v>
      </c>
      <c r="E3158" s="783">
        <v>1243950000</v>
      </c>
      <c r="F3158" s="134">
        <v>61756420382.300003</v>
      </c>
      <c r="G3158" s="126">
        <f t="shared" si="80"/>
        <v>2.0142844943074589</v>
      </c>
      <c r="H3158" s="120"/>
      <c r="I3158" s="120"/>
      <c r="J3158" s="116"/>
      <c r="K3158" s="116"/>
      <c r="L3158" s="116"/>
      <c r="M3158" s="116"/>
      <c r="N3158" s="116"/>
      <c r="O3158" s="116"/>
      <c r="P3158" s="116"/>
    </row>
    <row r="3159" spans="2:16" s="108" customFormat="1" ht="21.75" hidden="1" customHeight="1">
      <c r="B3159" s="109"/>
      <c r="C3159" s="122"/>
      <c r="D3159" s="256" t="s">
        <v>2199</v>
      </c>
      <c r="E3159" s="783">
        <v>545140000</v>
      </c>
      <c r="F3159" s="134">
        <v>61756420382.300003</v>
      </c>
      <c r="G3159" s="126">
        <f t="shared" si="80"/>
        <v>0.88272603338298805</v>
      </c>
      <c r="H3159" s="120"/>
      <c r="I3159" s="120"/>
      <c r="J3159" s="116"/>
      <c r="K3159" s="116"/>
      <c r="L3159" s="116"/>
      <c r="M3159" s="116"/>
      <c r="N3159" s="116"/>
      <c r="O3159" s="116"/>
      <c r="P3159" s="116"/>
    </row>
    <row r="3160" spans="2:16" s="108" customFormat="1" ht="21.75" hidden="1" customHeight="1">
      <c r="B3160" s="109"/>
      <c r="C3160" s="122"/>
      <c r="D3160" s="256" t="s">
        <v>2200</v>
      </c>
      <c r="E3160" s="783">
        <v>8016350000</v>
      </c>
      <c r="F3160" s="134">
        <v>61756420382.300003</v>
      </c>
      <c r="G3160" s="126">
        <f t="shared" si="80"/>
        <v>12.98059367815555</v>
      </c>
      <c r="H3160" s="120"/>
      <c r="I3160" s="120"/>
      <c r="J3160" s="116"/>
      <c r="K3160" s="116"/>
      <c r="L3160" s="116"/>
      <c r="M3160" s="116"/>
      <c r="N3160" s="116"/>
      <c r="O3160" s="116"/>
      <c r="P3160" s="116"/>
    </row>
    <row r="3161" spans="2:16" s="108" customFormat="1" ht="21.75" hidden="1" customHeight="1">
      <c r="B3161" s="109"/>
      <c r="C3161" s="122"/>
      <c r="D3161" s="256" t="s">
        <v>2201</v>
      </c>
      <c r="E3161" s="783">
        <v>144000000</v>
      </c>
      <c r="F3161" s="134">
        <v>61756420382.300003</v>
      </c>
      <c r="G3161" s="126">
        <f t="shared" si="80"/>
        <v>0.23317413656519481</v>
      </c>
      <c r="H3161" s="120"/>
      <c r="I3161" s="120"/>
      <c r="J3161" s="116"/>
      <c r="K3161" s="116"/>
      <c r="L3161" s="116"/>
      <c r="M3161" s="116"/>
      <c r="N3161" s="116"/>
      <c r="O3161" s="116"/>
      <c r="P3161" s="116"/>
    </row>
    <row r="3162" spans="2:16" s="108" customFormat="1" ht="21.75" hidden="1" customHeight="1">
      <c r="B3162" s="109"/>
      <c r="C3162" s="122"/>
      <c r="D3162" s="256" t="s">
        <v>2202</v>
      </c>
      <c r="E3162" s="783">
        <v>1903976115.1099999</v>
      </c>
      <c r="F3162" s="134">
        <v>61756420382.300003</v>
      </c>
      <c r="G3162" s="126">
        <f t="shared" si="80"/>
        <v>3.0830415741772788</v>
      </c>
      <c r="H3162" s="120"/>
      <c r="I3162" s="120"/>
      <c r="J3162" s="116"/>
      <c r="K3162" s="116"/>
      <c r="L3162" s="116"/>
      <c r="M3162" s="116"/>
      <c r="N3162" s="116"/>
      <c r="O3162" s="116"/>
      <c r="P3162" s="116"/>
    </row>
    <row r="3163" spans="2:16" s="108" customFormat="1" ht="21.75" hidden="1" customHeight="1">
      <c r="B3163" s="109"/>
      <c r="C3163" s="122"/>
      <c r="D3163" s="256" t="s">
        <v>2203</v>
      </c>
      <c r="E3163" s="783">
        <v>460000000</v>
      </c>
      <c r="F3163" s="134">
        <v>61756420382.300003</v>
      </c>
      <c r="G3163" s="126">
        <f t="shared" si="80"/>
        <v>0.74486182513881671</v>
      </c>
      <c r="H3163" s="120"/>
      <c r="I3163" s="120"/>
      <c r="J3163" s="116"/>
      <c r="K3163" s="116"/>
      <c r="L3163" s="116"/>
      <c r="M3163" s="116"/>
      <c r="N3163" s="116"/>
      <c r="O3163" s="116"/>
      <c r="P3163" s="116"/>
    </row>
    <row r="3164" spans="2:16" s="108" customFormat="1" ht="21.75" hidden="1" customHeight="1">
      <c r="B3164" s="109"/>
      <c r="C3164" s="122"/>
      <c r="D3164" s="256" t="s">
        <v>2023</v>
      </c>
      <c r="E3164" s="783">
        <v>400000000</v>
      </c>
      <c r="F3164" s="134">
        <v>61756420382.300003</v>
      </c>
      <c r="G3164" s="126">
        <f t="shared" si="80"/>
        <v>0.64770593490331885</v>
      </c>
      <c r="H3164" s="120"/>
      <c r="I3164" s="120"/>
      <c r="J3164" s="116"/>
      <c r="K3164" s="116"/>
      <c r="L3164" s="116"/>
      <c r="M3164" s="116"/>
      <c r="N3164" s="116"/>
      <c r="O3164" s="116"/>
      <c r="P3164" s="116"/>
    </row>
    <row r="3165" spans="2:16" s="108" customFormat="1" ht="43.5" hidden="1" customHeight="1">
      <c r="B3165" s="109"/>
      <c r="C3165" s="122"/>
      <c r="D3165" s="256" t="s">
        <v>2204</v>
      </c>
      <c r="E3165" s="783">
        <v>623500000</v>
      </c>
      <c r="F3165" s="134">
        <v>61756420382.300003</v>
      </c>
      <c r="G3165" s="126">
        <f t="shared" si="80"/>
        <v>1.0096116260305483</v>
      </c>
      <c r="H3165" s="120"/>
      <c r="I3165" s="120"/>
      <c r="J3165" s="116"/>
      <c r="K3165" s="116"/>
      <c r="L3165" s="116"/>
      <c r="M3165" s="116"/>
      <c r="N3165" s="116"/>
      <c r="O3165" s="116"/>
      <c r="P3165" s="116"/>
    </row>
    <row r="3166" spans="2:16" s="117" customFormat="1" ht="21.75" hidden="1" customHeight="1">
      <c r="B3166" s="118"/>
      <c r="C3166" s="110"/>
      <c r="D3166" s="253" t="s">
        <v>116</v>
      </c>
      <c r="E3166" s="782">
        <f>E3167</f>
        <v>150000000</v>
      </c>
      <c r="F3166" s="114">
        <v>61756420382.300003</v>
      </c>
      <c r="G3166" s="127">
        <f t="shared" si="80"/>
        <v>0.24288972558874455</v>
      </c>
      <c r="H3166" s="120"/>
      <c r="I3166" s="120"/>
      <c r="J3166" s="121"/>
      <c r="K3166" s="121"/>
      <c r="L3166" s="121"/>
      <c r="M3166" s="121"/>
      <c r="N3166" s="121"/>
      <c r="O3166" s="121"/>
      <c r="P3166" s="121"/>
    </row>
    <row r="3167" spans="2:16" s="108" customFormat="1" ht="21.75" hidden="1" customHeight="1">
      <c r="B3167" s="109"/>
      <c r="C3167" s="122"/>
      <c r="D3167" s="256" t="s">
        <v>2205</v>
      </c>
      <c r="E3167" s="783">
        <v>150000000</v>
      </c>
      <c r="F3167" s="134">
        <v>61756420382.300003</v>
      </c>
      <c r="G3167" s="126">
        <f t="shared" si="80"/>
        <v>0.24288972558874455</v>
      </c>
      <c r="H3167" s="120"/>
      <c r="I3167" s="120"/>
      <c r="J3167" s="116"/>
      <c r="K3167" s="116"/>
      <c r="L3167" s="116"/>
      <c r="M3167" s="116"/>
      <c r="N3167" s="116"/>
      <c r="O3167" s="116"/>
      <c r="P3167" s="116"/>
    </row>
    <row r="3168" spans="2:16" s="108" customFormat="1" ht="21.75" hidden="1" customHeight="1">
      <c r="B3168" s="109"/>
      <c r="C3168" s="122"/>
      <c r="D3168" s="256"/>
      <c r="E3168" s="783"/>
      <c r="F3168" s="134">
        <v>61756420382.300003</v>
      </c>
      <c r="G3168" s="126">
        <f t="shared" si="80"/>
        <v>0</v>
      </c>
      <c r="H3168" s="120"/>
      <c r="I3168" s="120"/>
      <c r="J3168" s="116"/>
      <c r="K3168" s="116"/>
      <c r="L3168" s="116"/>
      <c r="M3168" s="116"/>
      <c r="N3168" s="116"/>
      <c r="O3168" s="116"/>
      <c r="P3168" s="116"/>
    </row>
    <row r="3169" spans="2:16" s="108" customFormat="1" ht="21.75" hidden="1" customHeight="1">
      <c r="B3169" s="109"/>
      <c r="C3169" s="122"/>
      <c r="D3169" s="253" t="s">
        <v>161</v>
      </c>
      <c r="E3169" s="782">
        <f>+E3170+E3174+E3176+E3179+E3183</f>
        <v>7100000000</v>
      </c>
      <c r="F3169" s="134">
        <v>61756420382.300003</v>
      </c>
      <c r="G3169" s="126">
        <f t="shared" si="80"/>
        <v>11.49678034453391</v>
      </c>
      <c r="H3169" s="120"/>
      <c r="I3169" s="120"/>
      <c r="J3169" s="116"/>
      <c r="K3169" s="116"/>
      <c r="L3169" s="116"/>
      <c r="M3169" s="116"/>
      <c r="N3169" s="116"/>
      <c r="O3169" s="116"/>
      <c r="P3169" s="116"/>
    </row>
    <row r="3170" spans="2:16" s="117" customFormat="1" ht="21.75" hidden="1" customHeight="1">
      <c r="B3170" s="118"/>
      <c r="C3170" s="110"/>
      <c r="D3170" s="253" t="s">
        <v>173</v>
      </c>
      <c r="E3170" s="782">
        <f>+E3171+E3172+E3173</f>
        <v>2450000000</v>
      </c>
      <c r="F3170" s="114">
        <v>61756420382.300003</v>
      </c>
      <c r="G3170" s="127">
        <f t="shared" si="80"/>
        <v>3.967198851282828</v>
      </c>
      <c r="H3170" s="120"/>
      <c r="I3170" s="120"/>
      <c r="J3170" s="121"/>
      <c r="K3170" s="121"/>
      <c r="L3170" s="121"/>
      <c r="M3170" s="121"/>
      <c r="N3170" s="121"/>
      <c r="O3170" s="121"/>
      <c r="P3170" s="121"/>
    </row>
    <row r="3171" spans="2:16" s="108" customFormat="1" ht="21.75" hidden="1" customHeight="1">
      <c r="B3171" s="109"/>
      <c r="C3171" s="122"/>
      <c r="D3171" s="256" t="s">
        <v>2206</v>
      </c>
      <c r="E3171" s="783">
        <v>700000000</v>
      </c>
      <c r="F3171" s="134">
        <v>61756420382.300003</v>
      </c>
      <c r="G3171" s="126">
        <f t="shared" si="80"/>
        <v>1.1334853860808081</v>
      </c>
      <c r="H3171" s="120"/>
      <c r="I3171" s="120"/>
      <c r="J3171" s="116"/>
      <c r="K3171" s="116"/>
      <c r="L3171" s="116"/>
      <c r="M3171" s="116"/>
      <c r="N3171" s="116"/>
      <c r="O3171" s="116"/>
      <c r="P3171" s="116"/>
    </row>
    <row r="3172" spans="2:16" s="108" customFormat="1" ht="21.75" hidden="1" customHeight="1">
      <c r="B3172" s="109"/>
      <c r="C3172" s="122"/>
      <c r="D3172" s="256" t="s">
        <v>599</v>
      </c>
      <c r="E3172" s="783">
        <v>1500000000</v>
      </c>
      <c r="F3172" s="134">
        <v>61756420382.300003</v>
      </c>
      <c r="G3172" s="126">
        <f t="shared" si="80"/>
        <v>2.4288972558874455</v>
      </c>
      <c r="H3172" s="120"/>
      <c r="I3172" s="120"/>
      <c r="J3172" s="116"/>
      <c r="K3172" s="116"/>
      <c r="L3172" s="116"/>
      <c r="M3172" s="116"/>
      <c r="N3172" s="116"/>
      <c r="O3172" s="116"/>
      <c r="P3172" s="116"/>
    </row>
    <row r="3173" spans="2:16" s="108" customFormat="1" ht="21.75" hidden="1" customHeight="1">
      <c r="B3173" s="109"/>
      <c r="C3173" s="122"/>
      <c r="D3173" s="256" t="s">
        <v>2207</v>
      </c>
      <c r="E3173" s="783">
        <v>250000000</v>
      </c>
      <c r="F3173" s="134">
        <v>61756420382.300003</v>
      </c>
      <c r="G3173" s="126">
        <f t="shared" si="80"/>
        <v>0.40481620931457429</v>
      </c>
      <c r="H3173" s="120"/>
      <c r="I3173" s="120"/>
      <c r="J3173" s="116"/>
      <c r="K3173" s="116"/>
      <c r="L3173" s="116"/>
      <c r="M3173" s="116"/>
      <c r="N3173" s="116"/>
      <c r="O3173" s="116"/>
      <c r="P3173" s="116"/>
    </row>
    <row r="3174" spans="2:16" s="117" customFormat="1" ht="21.75" hidden="1" customHeight="1">
      <c r="B3174" s="118"/>
      <c r="C3174" s="110"/>
      <c r="D3174" s="253" t="s">
        <v>945</v>
      </c>
      <c r="E3174" s="782">
        <f>E3175</f>
        <v>600000000</v>
      </c>
      <c r="F3174" s="114">
        <v>61756420382.300003</v>
      </c>
      <c r="G3174" s="127">
        <f t="shared" si="80"/>
        <v>0.97155890235497822</v>
      </c>
      <c r="H3174" s="120"/>
      <c r="I3174" s="120"/>
      <c r="J3174" s="121"/>
      <c r="K3174" s="121"/>
      <c r="L3174" s="121"/>
      <c r="M3174" s="121"/>
      <c r="N3174" s="121"/>
      <c r="O3174" s="121"/>
      <c r="P3174" s="121"/>
    </row>
    <row r="3175" spans="2:16" s="108" customFormat="1" ht="21.75" hidden="1" customHeight="1">
      <c r="B3175" s="109"/>
      <c r="C3175" s="122"/>
      <c r="D3175" s="256" t="s">
        <v>2208</v>
      </c>
      <c r="E3175" s="783">
        <v>600000000</v>
      </c>
      <c r="F3175" s="134">
        <v>61756420382.300003</v>
      </c>
      <c r="G3175" s="126">
        <f t="shared" si="80"/>
        <v>0.97155890235497822</v>
      </c>
      <c r="H3175" s="120"/>
      <c r="I3175" s="120"/>
      <c r="J3175" s="116"/>
      <c r="K3175" s="116"/>
      <c r="L3175" s="116"/>
      <c r="M3175" s="116"/>
      <c r="N3175" s="116"/>
      <c r="O3175" s="116"/>
      <c r="P3175" s="116"/>
    </row>
    <row r="3176" spans="2:16" s="117" customFormat="1" ht="21.75" hidden="1" customHeight="1">
      <c r="B3176" s="118"/>
      <c r="C3176" s="110"/>
      <c r="D3176" s="253" t="s">
        <v>190</v>
      </c>
      <c r="E3176" s="782">
        <f>+E3177+E3178</f>
        <v>2000000000</v>
      </c>
      <c r="F3176" s="114">
        <v>61756420382.300003</v>
      </c>
      <c r="G3176" s="127">
        <f t="shared" si="80"/>
        <v>3.2385296745165943</v>
      </c>
      <c r="H3176" s="120"/>
      <c r="I3176" s="120"/>
      <c r="J3176" s="121"/>
      <c r="K3176" s="121"/>
      <c r="L3176" s="121"/>
      <c r="M3176" s="121"/>
      <c r="N3176" s="121"/>
      <c r="O3176" s="121"/>
      <c r="P3176" s="121"/>
    </row>
    <row r="3177" spans="2:16" s="108" customFormat="1" ht="21.75" hidden="1" customHeight="1">
      <c r="B3177" s="109"/>
      <c r="C3177" s="122"/>
      <c r="D3177" s="256" t="s">
        <v>2209</v>
      </c>
      <c r="E3177" s="783">
        <v>300000000</v>
      </c>
      <c r="F3177" s="134">
        <v>61756420382.300003</v>
      </c>
      <c r="G3177" s="126">
        <f t="shared" si="80"/>
        <v>0.48577945117748911</v>
      </c>
      <c r="H3177" s="120"/>
      <c r="I3177" s="120"/>
      <c r="J3177" s="116"/>
      <c r="K3177" s="116"/>
      <c r="L3177" s="116"/>
      <c r="M3177" s="116"/>
      <c r="N3177" s="116"/>
      <c r="O3177" s="116"/>
      <c r="P3177" s="116"/>
    </row>
    <row r="3178" spans="2:16" s="108" customFormat="1" ht="21.75" hidden="1" customHeight="1">
      <c r="B3178" s="109"/>
      <c r="C3178" s="122"/>
      <c r="D3178" s="256" t="s">
        <v>1498</v>
      </c>
      <c r="E3178" s="783">
        <v>1700000000</v>
      </c>
      <c r="F3178" s="134">
        <v>61756420382.300003</v>
      </c>
      <c r="G3178" s="126">
        <f t="shared" si="80"/>
        <v>2.7527502233391052</v>
      </c>
      <c r="H3178" s="120"/>
      <c r="I3178" s="120"/>
      <c r="J3178" s="116"/>
      <c r="K3178" s="116"/>
      <c r="L3178" s="116"/>
      <c r="M3178" s="116"/>
      <c r="N3178" s="116"/>
      <c r="O3178" s="116"/>
      <c r="P3178" s="116"/>
    </row>
    <row r="3179" spans="2:16" s="117" customFormat="1" ht="21.75" hidden="1" customHeight="1">
      <c r="B3179" s="118"/>
      <c r="C3179" s="110"/>
      <c r="D3179" s="253" t="s">
        <v>196</v>
      </c>
      <c r="E3179" s="782">
        <f>SUM(E3180:E3182)</f>
        <v>1300000000</v>
      </c>
      <c r="F3179" s="114">
        <v>61756420382.300003</v>
      </c>
      <c r="G3179" s="127">
        <f t="shared" si="80"/>
        <v>2.1050442884357863</v>
      </c>
      <c r="H3179" s="120"/>
      <c r="I3179" s="120"/>
      <c r="J3179" s="121"/>
      <c r="K3179" s="121"/>
      <c r="L3179" s="121"/>
      <c r="M3179" s="121"/>
      <c r="N3179" s="121"/>
      <c r="O3179" s="121"/>
      <c r="P3179" s="121"/>
    </row>
    <row r="3180" spans="2:16" s="108" customFormat="1" ht="21.75" hidden="1" customHeight="1">
      <c r="B3180" s="109"/>
      <c r="C3180" s="122"/>
      <c r="D3180" s="256" t="s">
        <v>2210</v>
      </c>
      <c r="E3180" s="783">
        <v>500000000</v>
      </c>
      <c r="F3180" s="134">
        <v>61756420382.300003</v>
      </c>
      <c r="G3180" s="126">
        <f t="shared" si="80"/>
        <v>0.80963241862914859</v>
      </c>
      <c r="H3180" s="120"/>
      <c r="I3180" s="120"/>
      <c r="J3180" s="116"/>
      <c r="K3180" s="116"/>
      <c r="L3180" s="116"/>
      <c r="M3180" s="116"/>
      <c r="N3180" s="116"/>
      <c r="O3180" s="116"/>
      <c r="P3180" s="116"/>
    </row>
    <row r="3181" spans="2:16" s="108" customFormat="1" ht="21.75" hidden="1" customHeight="1">
      <c r="B3181" s="109"/>
      <c r="C3181" s="122"/>
      <c r="D3181" s="256" t="s">
        <v>2211</v>
      </c>
      <c r="E3181" s="783">
        <v>400000000</v>
      </c>
      <c r="F3181" s="134">
        <v>61756420382.300003</v>
      </c>
      <c r="G3181" s="126">
        <f t="shared" si="80"/>
        <v>0.64770593490331885</v>
      </c>
      <c r="H3181" s="120"/>
      <c r="I3181" s="120"/>
      <c r="J3181" s="116"/>
      <c r="K3181" s="116"/>
      <c r="L3181" s="116"/>
      <c r="M3181" s="116"/>
      <c r="N3181" s="116"/>
      <c r="O3181" s="116"/>
      <c r="P3181" s="116"/>
    </row>
    <row r="3182" spans="2:16" s="108" customFormat="1" ht="21.75" hidden="1" customHeight="1">
      <c r="B3182" s="109"/>
      <c r="C3182" s="122"/>
      <c r="D3182" s="256" t="s">
        <v>2212</v>
      </c>
      <c r="E3182" s="783">
        <v>400000000</v>
      </c>
      <c r="F3182" s="134">
        <v>61756420382.300003</v>
      </c>
      <c r="G3182" s="126">
        <f t="shared" si="80"/>
        <v>0.64770593490331885</v>
      </c>
      <c r="H3182" s="120"/>
      <c r="I3182" s="120"/>
      <c r="J3182" s="116"/>
      <c r="K3182" s="116"/>
      <c r="L3182" s="116"/>
      <c r="M3182" s="116"/>
      <c r="N3182" s="116"/>
      <c r="O3182" s="116"/>
      <c r="P3182" s="116"/>
    </row>
    <row r="3183" spans="2:16" s="117" customFormat="1" ht="21.75" hidden="1" customHeight="1">
      <c r="B3183" s="118"/>
      <c r="C3183" s="110"/>
      <c r="D3183" s="253" t="s">
        <v>483</v>
      </c>
      <c r="E3183" s="782">
        <f>SUM(E3184:E3185)</f>
        <v>750000000</v>
      </c>
      <c r="F3183" s="114">
        <v>61756420382.300003</v>
      </c>
      <c r="G3183" s="127">
        <f t="shared" si="80"/>
        <v>1.2144486279437228</v>
      </c>
      <c r="H3183" s="120"/>
      <c r="I3183" s="120"/>
      <c r="J3183" s="121"/>
      <c r="K3183" s="121"/>
      <c r="L3183" s="121"/>
      <c r="M3183" s="121"/>
      <c r="N3183" s="121"/>
      <c r="O3183" s="121"/>
      <c r="P3183" s="121"/>
    </row>
    <row r="3184" spans="2:16" s="108" customFormat="1" ht="21.75" hidden="1" customHeight="1">
      <c r="B3184" s="109"/>
      <c r="C3184" s="122"/>
      <c r="D3184" s="256" t="s">
        <v>2213</v>
      </c>
      <c r="E3184" s="783">
        <v>300000000</v>
      </c>
      <c r="F3184" s="134">
        <v>61756420382.300003</v>
      </c>
      <c r="G3184" s="126">
        <f t="shared" si="80"/>
        <v>0.48577945117748911</v>
      </c>
      <c r="H3184" s="120"/>
      <c r="I3184" s="120"/>
      <c r="J3184" s="116"/>
      <c r="K3184" s="116"/>
      <c r="L3184" s="116"/>
      <c r="M3184" s="116"/>
      <c r="N3184" s="116"/>
      <c r="O3184" s="116"/>
      <c r="P3184" s="116"/>
    </row>
    <row r="3185" spans="2:16" s="108" customFormat="1" ht="21.75" hidden="1" customHeight="1">
      <c r="B3185" s="109"/>
      <c r="C3185" s="122"/>
      <c r="D3185" s="256" t="s">
        <v>2214</v>
      </c>
      <c r="E3185" s="783">
        <v>450000000</v>
      </c>
      <c r="F3185" s="134">
        <v>61756420382.300003</v>
      </c>
      <c r="G3185" s="126">
        <f t="shared" si="80"/>
        <v>0.72866917676623366</v>
      </c>
      <c r="H3185" s="120"/>
      <c r="I3185" s="120"/>
      <c r="J3185" s="116"/>
      <c r="K3185" s="116"/>
      <c r="L3185" s="116"/>
      <c r="M3185" s="116"/>
      <c r="N3185" s="116"/>
      <c r="O3185" s="116"/>
      <c r="P3185" s="116"/>
    </row>
    <row r="3186" spans="2:16" s="108" customFormat="1" ht="21.75" hidden="1" customHeight="1">
      <c r="B3186" s="109"/>
      <c r="C3186" s="122"/>
      <c r="D3186" s="256"/>
      <c r="E3186" s="783"/>
      <c r="F3186" s="134">
        <v>61756420382.300003</v>
      </c>
      <c r="G3186" s="126">
        <f t="shared" si="80"/>
        <v>0</v>
      </c>
      <c r="H3186" s="120"/>
      <c r="I3186" s="120"/>
      <c r="J3186" s="116"/>
      <c r="K3186" s="116"/>
      <c r="L3186" s="116"/>
      <c r="M3186" s="116"/>
      <c r="N3186" s="116"/>
      <c r="O3186" s="116"/>
      <c r="P3186" s="116"/>
    </row>
    <row r="3187" spans="2:16" s="108" customFormat="1" ht="21.75" hidden="1" customHeight="1">
      <c r="B3187" s="109"/>
      <c r="C3187" s="122"/>
      <c r="D3187" s="253" t="s">
        <v>2215</v>
      </c>
      <c r="E3187" s="782">
        <f>+E3188+E3191</f>
        <v>1850463000</v>
      </c>
      <c r="F3187" s="134">
        <v>61756420382.300003</v>
      </c>
      <c r="G3187" s="126">
        <f t="shared" si="80"/>
        <v>2.9963896685475002</v>
      </c>
      <c r="H3187" s="120"/>
      <c r="I3187" s="120"/>
      <c r="J3187" s="116"/>
      <c r="K3187" s="116"/>
      <c r="L3187" s="116"/>
      <c r="M3187" s="116"/>
      <c r="N3187" s="116"/>
      <c r="O3187" s="116"/>
      <c r="P3187" s="116"/>
    </row>
    <row r="3188" spans="2:16" s="117" customFormat="1" ht="43.5" hidden="1" customHeight="1">
      <c r="B3188" s="118"/>
      <c r="C3188" s="110"/>
      <c r="D3188" s="253" t="s">
        <v>2216</v>
      </c>
      <c r="E3188" s="782">
        <f>+E3189+E3190</f>
        <v>1268763000</v>
      </c>
      <c r="F3188" s="114">
        <v>61756420382.300003</v>
      </c>
      <c r="G3188" s="127">
        <f t="shared" si="80"/>
        <v>2.0544633127143488</v>
      </c>
      <c r="H3188" s="120"/>
      <c r="I3188" s="120"/>
      <c r="J3188" s="121"/>
      <c r="K3188" s="121"/>
      <c r="L3188" s="121"/>
      <c r="M3188" s="121"/>
      <c r="N3188" s="121"/>
      <c r="O3188" s="121"/>
      <c r="P3188" s="121"/>
    </row>
    <row r="3189" spans="2:16" s="108" customFormat="1" ht="21.75" hidden="1" customHeight="1">
      <c r="B3189" s="109"/>
      <c r="C3189" s="122"/>
      <c r="D3189" s="256" t="s">
        <v>2217</v>
      </c>
      <c r="E3189" s="783">
        <v>168763000</v>
      </c>
      <c r="F3189" s="134">
        <v>61756420382.300003</v>
      </c>
      <c r="G3189" s="126">
        <f t="shared" si="80"/>
        <v>0.27327199173022199</v>
      </c>
      <c r="H3189" s="120"/>
      <c r="I3189" s="120"/>
      <c r="J3189" s="116"/>
      <c r="K3189" s="116"/>
      <c r="L3189" s="116"/>
      <c r="M3189" s="116"/>
      <c r="N3189" s="116"/>
      <c r="O3189" s="116"/>
      <c r="P3189" s="116"/>
    </row>
    <row r="3190" spans="2:16" s="108" customFormat="1" ht="21.75" hidden="1" customHeight="1">
      <c r="B3190" s="109"/>
      <c r="C3190" s="122"/>
      <c r="D3190" s="256" t="s">
        <v>2218</v>
      </c>
      <c r="E3190" s="783">
        <v>1100000000</v>
      </c>
      <c r="F3190" s="134">
        <v>61756420382.300003</v>
      </c>
      <c r="G3190" s="126">
        <f t="shared" si="80"/>
        <v>1.7811913209841268</v>
      </c>
      <c r="H3190" s="120"/>
      <c r="I3190" s="120"/>
      <c r="J3190" s="116"/>
      <c r="K3190" s="116"/>
      <c r="L3190" s="116"/>
      <c r="M3190" s="116"/>
      <c r="N3190" s="116"/>
      <c r="O3190" s="116"/>
      <c r="P3190" s="116"/>
    </row>
    <row r="3191" spans="2:16" s="117" customFormat="1" ht="21.75" hidden="1" customHeight="1">
      <c r="B3191" s="118"/>
      <c r="C3191" s="110"/>
      <c r="D3191" s="253" t="s">
        <v>1878</v>
      </c>
      <c r="E3191" s="782">
        <f>+E3192</f>
        <v>581700000</v>
      </c>
      <c r="F3191" s="114">
        <v>61756420382.300003</v>
      </c>
      <c r="G3191" s="127">
        <f t="shared" si="80"/>
        <v>0.94192635583315154</v>
      </c>
      <c r="H3191" s="120"/>
      <c r="I3191" s="120"/>
      <c r="J3191" s="121"/>
      <c r="K3191" s="121"/>
      <c r="L3191" s="121"/>
      <c r="M3191" s="121"/>
      <c r="N3191" s="121"/>
      <c r="O3191" s="121"/>
      <c r="P3191" s="121"/>
    </row>
    <row r="3192" spans="2:16" s="108" customFormat="1" ht="21.75" hidden="1" customHeight="1">
      <c r="B3192" s="109"/>
      <c r="C3192" s="122"/>
      <c r="D3192" s="256" t="s">
        <v>2219</v>
      </c>
      <c r="E3192" s="783">
        <v>581700000</v>
      </c>
      <c r="F3192" s="134">
        <v>61756420382.300003</v>
      </c>
      <c r="G3192" s="126">
        <f t="shared" si="80"/>
        <v>0.94192635583315154</v>
      </c>
      <c r="H3192" s="120"/>
      <c r="I3192" s="120"/>
      <c r="J3192" s="116"/>
      <c r="K3192" s="116"/>
      <c r="L3192" s="116"/>
      <c r="M3192" s="116"/>
      <c r="N3192" s="116"/>
      <c r="O3192" s="116"/>
      <c r="P3192" s="116"/>
    </row>
    <row r="3193" spans="2:16" s="108" customFormat="1" ht="21.75" hidden="1" customHeight="1">
      <c r="B3193" s="109"/>
      <c r="C3193" s="122"/>
      <c r="D3193" s="256"/>
      <c r="E3193" s="783"/>
      <c r="F3193" s="134">
        <v>61756420382.300003</v>
      </c>
      <c r="G3193" s="126">
        <f t="shared" si="80"/>
        <v>0</v>
      </c>
      <c r="H3193" s="120"/>
      <c r="I3193" s="120"/>
      <c r="J3193" s="116"/>
      <c r="K3193" s="116"/>
      <c r="L3193" s="116"/>
      <c r="M3193" s="116"/>
      <c r="N3193" s="116"/>
      <c r="O3193" s="116"/>
      <c r="P3193" s="116"/>
    </row>
    <row r="3194" spans="2:16" s="108" customFormat="1" ht="21.75" hidden="1" customHeight="1">
      <c r="B3194" s="109"/>
      <c r="C3194" s="122"/>
      <c r="D3194" s="253" t="s">
        <v>2220</v>
      </c>
      <c r="E3194" s="782">
        <f>E3195</f>
        <v>5164070060</v>
      </c>
      <c r="F3194" s="134">
        <v>61756420382.300003</v>
      </c>
      <c r="G3194" s="126">
        <f t="shared" si="80"/>
        <v>8.3619970652963449</v>
      </c>
      <c r="H3194" s="120"/>
      <c r="I3194" s="120"/>
      <c r="J3194" s="116"/>
      <c r="K3194" s="116"/>
      <c r="L3194" s="116"/>
      <c r="M3194" s="116"/>
      <c r="N3194" s="116"/>
      <c r="O3194" s="116"/>
      <c r="P3194" s="116"/>
    </row>
    <row r="3195" spans="2:16" s="117" customFormat="1" ht="21.75" hidden="1" customHeight="1">
      <c r="B3195" s="118"/>
      <c r="C3195" s="110"/>
      <c r="D3195" s="253" t="s">
        <v>2039</v>
      </c>
      <c r="E3195" s="782">
        <f>SUM(E3196:E3198)</f>
        <v>5164070060</v>
      </c>
      <c r="F3195" s="114">
        <v>61756420382.300003</v>
      </c>
      <c r="G3195" s="127">
        <f t="shared" si="80"/>
        <v>8.3619970652963449</v>
      </c>
      <c r="H3195" s="120"/>
      <c r="I3195" s="120"/>
      <c r="J3195" s="121"/>
      <c r="K3195" s="121"/>
      <c r="L3195" s="121"/>
      <c r="M3195" s="121"/>
      <c r="N3195" s="121"/>
      <c r="O3195" s="121"/>
      <c r="P3195" s="121"/>
    </row>
    <row r="3196" spans="2:16" s="108" customFormat="1" ht="21.75" hidden="1" customHeight="1">
      <c r="B3196" s="109"/>
      <c r="C3196" s="122"/>
      <c r="D3196" s="256" t="s">
        <v>2221</v>
      </c>
      <c r="E3196" s="783">
        <v>1525267880</v>
      </c>
      <c r="F3196" s="134">
        <v>61756420382.300003</v>
      </c>
      <c r="G3196" s="126">
        <f t="shared" si="80"/>
        <v>2.4698126454835081</v>
      </c>
      <c r="H3196" s="120"/>
      <c r="I3196" s="120"/>
      <c r="J3196" s="116"/>
      <c r="K3196" s="116"/>
      <c r="L3196" s="116"/>
      <c r="M3196" s="116"/>
      <c r="N3196" s="116"/>
      <c r="O3196" s="116"/>
      <c r="P3196" s="116"/>
    </row>
    <row r="3197" spans="2:16" s="108" customFormat="1" ht="21.75" hidden="1" customHeight="1">
      <c r="B3197" s="109"/>
      <c r="C3197" s="122"/>
      <c r="D3197" s="256" t="s">
        <v>2222</v>
      </c>
      <c r="E3197" s="783">
        <v>2559975000</v>
      </c>
      <c r="F3197" s="134">
        <v>61756420382.300003</v>
      </c>
      <c r="G3197" s="126">
        <f t="shared" si="80"/>
        <v>4.145277501760309</v>
      </c>
      <c r="H3197" s="120"/>
      <c r="I3197" s="120"/>
      <c r="J3197" s="116"/>
      <c r="K3197" s="116"/>
      <c r="L3197" s="116"/>
      <c r="M3197" s="116"/>
      <c r="N3197" s="116"/>
      <c r="O3197" s="116"/>
      <c r="P3197" s="116"/>
    </row>
    <row r="3198" spans="2:16" s="108" customFormat="1" ht="21.75" hidden="1" customHeight="1">
      <c r="B3198" s="109"/>
      <c r="C3198" s="122"/>
      <c r="D3198" s="256" t="s">
        <v>2223</v>
      </c>
      <c r="E3198" s="783">
        <v>1078827180</v>
      </c>
      <c r="F3198" s="134">
        <v>61756420382.300003</v>
      </c>
      <c r="G3198" s="126">
        <f t="shared" si="80"/>
        <v>1.7469069180525276</v>
      </c>
      <c r="H3198" s="120"/>
      <c r="I3198" s="120"/>
      <c r="J3198" s="116"/>
      <c r="K3198" s="116"/>
      <c r="L3198" s="116"/>
      <c r="M3198" s="116"/>
      <c r="N3198" s="116"/>
      <c r="O3198" s="116"/>
      <c r="P3198" s="116"/>
    </row>
    <row r="3199" spans="2:16" s="108" customFormat="1" ht="21.75" hidden="1" customHeight="1">
      <c r="B3199" s="109"/>
      <c r="C3199" s="122"/>
      <c r="D3199" s="256"/>
      <c r="E3199" s="783"/>
      <c r="F3199" s="134">
        <v>61756420382.300003</v>
      </c>
      <c r="G3199" s="126">
        <f t="shared" si="80"/>
        <v>0</v>
      </c>
      <c r="H3199" s="120"/>
      <c r="I3199" s="120"/>
      <c r="J3199" s="116"/>
      <c r="K3199" s="116"/>
      <c r="L3199" s="116"/>
      <c r="M3199" s="116"/>
      <c r="N3199" s="116"/>
      <c r="O3199" s="116"/>
      <c r="P3199" s="116"/>
    </row>
    <row r="3200" spans="2:16" s="117" customFormat="1" ht="21.75" hidden="1" customHeight="1">
      <c r="B3200" s="118"/>
      <c r="C3200" s="110"/>
      <c r="D3200" s="253" t="s">
        <v>965</v>
      </c>
      <c r="E3200" s="782">
        <f>E3201</f>
        <v>5558079647</v>
      </c>
      <c r="F3200" s="114">
        <v>61756420382.300003</v>
      </c>
      <c r="G3200" s="127">
        <f t="shared" si="80"/>
        <v>9.0000029350681086</v>
      </c>
      <c r="H3200" s="120"/>
      <c r="I3200" s="120"/>
      <c r="J3200" s="121"/>
      <c r="K3200" s="121"/>
      <c r="L3200" s="121"/>
      <c r="M3200" s="121"/>
      <c r="N3200" s="121"/>
      <c r="O3200" s="121"/>
      <c r="P3200" s="121"/>
    </row>
    <row r="3201" spans="2:16" s="117" customFormat="1" ht="21.75" hidden="1" customHeight="1">
      <c r="B3201" s="118"/>
      <c r="C3201" s="110"/>
      <c r="D3201" s="253" t="s">
        <v>2224</v>
      </c>
      <c r="E3201" s="782">
        <f>+E3202+E3203</f>
        <v>5558079647</v>
      </c>
      <c r="F3201" s="114">
        <v>61756420382.300003</v>
      </c>
      <c r="G3201" s="127">
        <f t="shared" si="80"/>
        <v>9.0000029350681086</v>
      </c>
      <c r="H3201" s="120"/>
      <c r="I3201" s="120"/>
      <c r="J3201" s="121"/>
      <c r="K3201" s="121"/>
      <c r="L3201" s="121"/>
      <c r="M3201" s="121"/>
      <c r="N3201" s="121"/>
      <c r="O3201" s="121"/>
      <c r="P3201" s="121"/>
    </row>
    <row r="3202" spans="2:16" s="108" customFormat="1" ht="21.75" hidden="1" customHeight="1">
      <c r="B3202" s="109"/>
      <c r="C3202" s="122"/>
      <c r="D3202" s="256" t="s">
        <v>2225</v>
      </c>
      <c r="E3202" s="783">
        <v>4261001817</v>
      </c>
      <c r="F3202" s="134">
        <v>61756420382.300003</v>
      </c>
      <c r="G3202" s="126">
        <f t="shared" si="80"/>
        <v>6.8996904137618138</v>
      </c>
      <c r="H3202" s="120"/>
      <c r="I3202" s="120"/>
      <c r="J3202" s="116"/>
      <c r="K3202" s="116"/>
      <c r="L3202" s="116"/>
      <c r="M3202" s="116"/>
      <c r="N3202" s="116"/>
      <c r="O3202" s="116"/>
      <c r="P3202" s="116"/>
    </row>
    <row r="3203" spans="2:16" s="108" customFormat="1" ht="21.75" hidden="1" customHeight="1">
      <c r="B3203" s="109"/>
      <c r="C3203" s="122"/>
      <c r="D3203" s="256" t="s">
        <v>2226</v>
      </c>
      <c r="E3203" s="783">
        <v>1297077830</v>
      </c>
      <c r="F3203" s="134">
        <v>61756420382.300003</v>
      </c>
      <c r="G3203" s="126">
        <f t="shared" si="80"/>
        <v>2.1003125213062952</v>
      </c>
      <c r="H3203" s="120"/>
      <c r="I3203" s="120"/>
      <c r="J3203" s="116"/>
      <c r="K3203" s="116"/>
      <c r="L3203" s="116"/>
      <c r="M3203" s="116"/>
      <c r="N3203" s="116"/>
      <c r="O3203" s="116"/>
      <c r="P3203" s="116"/>
    </row>
    <row r="3204" spans="2:16" s="108" customFormat="1" ht="21.75" hidden="1" customHeight="1">
      <c r="B3204" s="109"/>
      <c r="C3204" s="122"/>
      <c r="D3204" s="256"/>
      <c r="E3204" s="783"/>
      <c r="F3204" s="134"/>
      <c r="G3204" s="126"/>
      <c r="H3204" s="120"/>
      <c r="I3204" s="120"/>
      <c r="J3204" s="116"/>
      <c r="K3204" s="116"/>
      <c r="L3204" s="116"/>
      <c r="M3204" s="116"/>
      <c r="N3204" s="116"/>
      <c r="O3204" s="116"/>
      <c r="P3204" s="116"/>
    </row>
    <row r="3205" spans="2:16" s="117" customFormat="1" ht="21.75" hidden="1" customHeight="1">
      <c r="B3205" s="118"/>
      <c r="C3205" s="110"/>
      <c r="D3205" s="253" t="s">
        <v>525</v>
      </c>
      <c r="E3205" s="782">
        <f>E3206</f>
        <v>500000000.64999998</v>
      </c>
      <c r="F3205" s="114">
        <v>61756420382.300003</v>
      </c>
      <c r="G3205" s="127">
        <f t="shared" si="80"/>
        <v>0.80963241968167077</v>
      </c>
      <c r="H3205" s="120"/>
      <c r="I3205" s="120"/>
      <c r="J3205" s="121"/>
      <c r="K3205" s="121"/>
      <c r="L3205" s="121"/>
      <c r="M3205" s="121"/>
      <c r="N3205" s="121"/>
      <c r="O3205" s="121"/>
      <c r="P3205" s="121"/>
    </row>
    <row r="3206" spans="2:16" s="117" customFormat="1" ht="21.75" hidden="1" customHeight="1">
      <c r="B3206" s="118"/>
      <c r="C3206" s="110"/>
      <c r="D3206" s="253" t="s">
        <v>1474</v>
      </c>
      <c r="E3206" s="782">
        <f>E3207</f>
        <v>500000000.64999998</v>
      </c>
      <c r="F3206" s="114">
        <v>61756420382.300003</v>
      </c>
      <c r="G3206" s="127">
        <f t="shared" si="80"/>
        <v>0.80963241968167077</v>
      </c>
      <c r="H3206" s="120"/>
      <c r="I3206" s="120"/>
      <c r="J3206" s="121"/>
      <c r="K3206" s="121"/>
      <c r="L3206" s="121"/>
      <c r="M3206" s="121"/>
      <c r="N3206" s="121"/>
      <c r="O3206" s="121"/>
      <c r="P3206" s="121"/>
    </row>
    <row r="3207" spans="2:16" s="108" customFormat="1" ht="21.75" hidden="1" customHeight="1">
      <c r="B3207" s="109"/>
      <c r="C3207" s="122"/>
      <c r="D3207" s="256" t="s">
        <v>2227</v>
      </c>
      <c r="E3207" s="783">
        <v>500000000.64999998</v>
      </c>
      <c r="F3207" s="134">
        <v>61756420382.300003</v>
      </c>
      <c r="G3207" s="126">
        <f t="shared" si="80"/>
        <v>0.80963241968167077</v>
      </c>
      <c r="H3207" s="120"/>
      <c r="I3207" s="120"/>
      <c r="J3207" s="116"/>
      <c r="K3207" s="116"/>
      <c r="L3207" s="116"/>
      <c r="M3207" s="116"/>
      <c r="N3207" s="116"/>
      <c r="O3207" s="116"/>
      <c r="P3207" s="116"/>
    </row>
    <row r="3208" spans="2:16" s="108" customFormat="1" ht="21.75" hidden="1" customHeight="1">
      <c r="B3208" s="109"/>
      <c r="C3208" s="122"/>
      <c r="D3208" s="256"/>
      <c r="E3208" s="783"/>
      <c r="F3208" s="134">
        <v>61756420382.300003</v>
      </c>
      <c r="G3208" s="126">
        <f t="shared" si="80"/>
        <v>0</v>
      </c>
      <c r="H3208" s="120"/>
      <c r="I3208" s="120"/>
      <c r="J3208" s="116"/>
      <c r="K3208" s="116"/>
      <c r="L3208" s="116"/>
      <c r="M3208" s="116"/>
      <c r="N3208" s="116"/>
      <c r="O3208" s="116"/>
      <c r="P3208" s="116"/>
    </row>
    <row r="3209" spans="2:16" s="117" customFormat="1" ht="21.75" hidden="1" customHeight="1">
      <c r="B3209" s="118"/>
      <c r="C3209" s="110"/>
      <c r="D3209" s="253" t="s">
        <v>2228</v>
      </c>
      <c r="E3209" s="782">
        <f>+E3210+E3212</f>
        <v>4176774502.5799999</v>
      </c>
      <c r="F3209" s="114">
        <v>61756420382.300003</v>
      </c>
      <c r="G3209" s="127">
        <f t="shared" si="80"/>
        <v>6.7633040851848083</v>
      </c>
      <c r="H3209" s="120"/>
      <c r="I3209" s="120"/>
      <c r="J3209" s="121"/>
      <c r="K3209" s="121"/>
      <c r="L3209" s="121"/>
      <c r="M3209" s="121"/>
      <c r="N3209" s="121"/>
      <c r="O3209" s="121"/>
      <c r="P3209" s="121"/>
    </row>
    <row r="3210" spans="2:16" s="117" customFormat="1" ht="21.75" hidden="1" customHeight="1">
      <c r="B3210" s="118"/>
      <c r="C3210" s="110"/>
      <c r="D3210" s="253" t="s">
        <v>536</v>
      </c>
      <c r="E3210" s="782">
        <f>E3211</f>
        <v>235128407</v>
      </c>
      <c r="F3210" s="114">
        <v>61756420382.300003</v>
      </c>
      <c r="G3210" s="127">
        <f t="shared" si="80"/>
        <v>0.38073516169565769</v>
      </c>
      <c r="H3210" s="120"/>
      <c r="I3210" s="120"/>
      <c r="J3210" s="121"/>
      <c r="K3210" s="121"/>
      <c r="L3210" s="121"/>
      <c r="M3210" s="121"/>
      <c r="N3210" s="121"/>
      <c r="O3210" s="121"/>
      <c r="P3210" s="121"/>
    </row>
    <row r="3211" spans="2:16" s="108" customFormat="1" ht="21.75" hidden="1" customHeight="1">
      <c r="B3211" s="109"/>
      <c r="C3211" s="122"/>
      <c r="D3211" s="256" t="s">
        <v>2229</v>
      </c>
      <c r="E3211" s="783">
        <v>235128407</v>
      </c>
      <c r="F3211" s="134">
        <v>61756420382.300003</v>
      </c>
      <c r="G3211" s="126">
        <f t="shared" si="80"/>
        <v>0.38073516169565769</v>
      </c>
      <c r="H3211" s="120"/>
      <c r="I3211" s="120"/>
      <c r="J3211" s="116"/>
      <c r="K3211" s="116"/>
      <c r="L3211" s="116"/>
      <c r="M3211" s="116"/>
      <c r="N3211" s="116"/>
      <c r="O3211" s="116"/>
      <c r="P3211" s="116"/>
    </row>
    <row r="3212" spans="2:16" s="117" customFormat="1" ht="21.75" hidden="1" customHeight="1">
      <c r="B3212" s="118"/>
      <c r="C3212" s="110"/>
      <c r="D3212" s="253" t="s">
        <v>536</v>
      </c>
      <c r="E3212" s="782">
        <f>E3213+E3214</f>
        <v>3941646095.5799999</v>
      </c>
      <c r="F3212" s="114">
        <v>61756420382.300003</v>
      </c>
      <c r="G3212" s="127">
        <f t="shared" si="80"/>
        <v>6.3825689234891509</v>
      </c>
      <c r="H3212" s="120"/>
      <c r="I3212" s="120"/>
      <c r="J3212" s="121"/>
      <c r="K3212" s="121"/>
      <c r="L3212" s="121"/>
      <c r="M3212" s="121"/>
      <c r="N3212" s="121"/>
      <c r="O3212" s="121"/>
      <c r="P3212" s="121"/>
    </row>
    <row r="3213" spans="2:16" s="108" customFormat="1" ht="30.75" hidden="1" customHeight="1">
      <c r="B3213" s="109"/>
      <c r="C3213" s="122"/>
      <c r="D3213" s="256" t="s">
        <v>2230</v>
      </c>
      <c r="E3213" s="783">
        <v>646345095.58000004</v>
      </c>
      <c r="F3213" s="134">
        <v>61756420382.300003</v>
      </c>
      <c r="G3213" s="126">
        <f t="shared" si="80"/>
        <v>1.0466038860070475</v>
      </c>
      <c r="H3213" s="120"/>
      <c r="I3213" s="120"/>
      <c r="J3213" s="116"/>
      <c r="K3213" s="116"/>
      <c r="L3213" s="116"/>
      <c r="M3213" s="116"/>
      <c r="N3213" s="116"/>
      <c r="O3213" s="116"/>
      <c r="P3213" s="116"/>
    </row>
    <row r="3214" spans="2:16" s="108" customFormat="1" ht="43.5" hidden="1" customHeight="1">
      <c r="B3214" s="109"/>
      <c r="C3214" s="122"/>
      <c r="D3214" s="256" t="s">
        <v>2231</v>
      </c>
      <c r="E3214" s="783">
        <v>3295301000</v>
      </c>
      <c r="F3214" s="134">
        <v>61756420382.300003</v>
      </c>
      <c r="G3214" s="126">
        <f t="shared" si="80"/>
        <v>5.3359650374821035</v>
      </c>
      <c r="H3214" s="120"/>
      <c r="I3214" s="120"/>
      <c r="J3214" s="116"/>
      <c r="K3214" s="116"/>
      <c r="L3214" s="116"/>
      <c r="M3214" s="116"/>
      <c r="N3214" s="116"/>
      <c r="O3214" s="116"/>
      <c r="P3214" s="116"/>
    </row>
    <row r="3215" spans="2:16" s="108" customFormat="1" ht="21.75" hidden="1" customHeight="1">
      <c r="B3215" s="109"/>
      <c r="C3215" s="122"/>
      <c r="D3215" s="256"/>
      <c r="E3215" s="783"/>
      <c r="F3215" s="134"/>
      <c r="G3215" s="126"/>
      <c r="H3215" s="120"/>
      <c r="I3215" s="120"/>
      <c r="J3215" s="116"/>
      <c r="K3215" s="116"/>
      <c r="L3215" s="116"/>
      <c r="M3215" s="116"/>
      <c r="N3215" s="116"/>
      <c r="O3215" s="116"/>
      <c r="P3215" s="116"/>
    </row>
    <row r="3216" spans="2:16" s="117" customFormat="1" ht="21.75" hidden="1" customHeight="1">
      <c r="B3216" s="118"/>
      <c r="C3216" s="110"/>
      <c r="D3216" s="253" t="s">
        <v>2232</v>
      </c>
      <c r="E3216" s="782">
        <f>+E3217+E3219</f>
        <v>700000000.94000006</v>
      </c>
      <c r="F3216" s="114">
        <v>61756420382.300003</v>
      </c>
      <c r="G3216" s="127">
        <f t="shared" si="80"/>
        <v>1.1334853876029169</v>
      </c>
      <c r="H3216" s="120"/>
      <c r="I3216" s="120"/>
      <c r="J3216" s="121"/>
      <c r="K3216" s="121"/>
      <c r="L3216" s="121"/>
      <c r="M3216" s="121"/>
      <c r="N3216" s="121"/>
      <c r="O3216" s="121"/>
      <c r="P3216" s="121"/>
    </row>
    <row r="3217" spans="2:16" s="117" customFormat="1" ht="21.75" hidden="1" customHeight="1">
      <c r="B3217" s="118"/>
      <c r="C3217" s="110"/>
      <c r="D3217" s="253" t="s">
        <v>257</v>
      </c>
      <c r="E3217" s="782">
        <f>+E3218</f>
        <v>300000000</v>
      </c>
      <c r="F3217" s="114">
        <v>61756420382.300003</v>
      </c>
      <c r="G3217" s="127">
        <f t="shared" si="80"/>
        <v>0.48577945117748911</v>
      </c>
      <c r="H3217" s="120"/>
      <c r="I3217" s="120"/>
      <c r="J3217" s="121"/>
      <c r="K3217" s="121"/>
      <c r="L3217" s="121"/>
      <c r="M3217" s="121"/>
      <c r="N3217" s="121"/>
      <c r="O3217" s="121"/>
      <c r="P3217" s="121"/>
    </row>
    <row r="3218" spans="2:16" s="108" customFormat="1" ht="30.75" hidden="1" customHeight="1">
      <c r="B3218" s="109"/>
      <c r="C3218" s="122"/>
      <c r="D3218" s="256" t="s">
        <v>2233</v>
      </c>
      <c r="E3218" s="783">
        <v>300000000</v>
      </c>
      <c r="F3218" s="134">
        <v>61756420382.300003</v>
      </c>
      <c r="G3218" s="126">
        <f t="shared" si="80"/>
        <v>0.48577945117748911</v>
      </c>
      <c r="H3218" s="120"/>
      <c r="I3218" s="120"/>
      <c r="J3218" s="116"/>
      <c r="K3218" s="116"/>
      <c r="L3218" s="116"/>
      <c r="M3218" s="116"/>
      <c r="N3218" s="116"/>
      <c r="O3218" s="116"/>
      <c r="P3218" s="116"/>
    </row>
    <row r="3219" spans="2:16" s="117" customFormat="1" ht="21.75" hidden="1" customHeight="1">
      <c r="B3219" s="118"/>
      <c r="C3219" s="110"/>
      <c r="D3219" s="253" t="s">
        <v>2234</v>
      </c>
      <c r="E3219" s="782">
        <f>+E3220</f>
        <v>400000000.94</v>
      </c>
      <c r="F3219" s="114">
        <v>61756420382.300003</v>
      </c>
      <c r="G3219" s="127">
        <f t="shared" ref="G3219:G3283" si="81">+E3219/F3219*100</f>
        <v>0.64770593642542784</v>
      </c>
      <c r="H3219" s="120"/>
      <c r="I3219" s="120"/>
      <c r="J3219" s="121"/>
      <c r="K3219" s="121"/>
      <c r="L3219" s="121"/>
      <c r="M3219" s="121"/>
      <c r="N3219" s="121"/>
      <c r="O3219" s="121"/>
      <c r="P3219" s="121"/>
    </row>
    <row r="3220" spans="2:16" s="108" customFormat="1" ht="43.5" hidden="1" customHeight="1">
      <c r="B3220" s="109"/>
      <c r="C3220" s="122"/>
      <c r="D3220" s="256" t="s">
        <v>2235</v>
      </c>
      <c r="E3220" s="783">
        <v>400000000.94</v>
      </c>
      <c r="F3220" s="134">
        <v>61756420382.300003</v>
      </c>
      <c r="G3220" s="126">
        <f t="shared" si="81"/>
        <v>0.64770593642542784</v>
      </c>
      <c r="H3220" s="120"/>
      <c r="I3220" s="120"/>
      <c r="J3220" s="116"/>
      <c r="K3220" s="116"/>
      <c r="L3220" s="116"/>
      <c r="M3220" s="116"/>
      <c r="N3220" s="116"/>
      <c r="O3220" s="116"/>
      <c r="P3220" s="116"/>
    </row>
    <row r="3221" spans="2:16" s="108" customFormat="1" ht="21.75" hidden="1" customHeight="1">
      <c r="B3221" s="109"/>
      <c r="C3221" s="122"/>
      <c r="D3221" s="256"/>
      <c r="E3221" s="783"/>
      <c r="F3221" s="134"/>
      <c r="G3221" s="126"/>
      <c r="H3221" s="120"/>
      <c r="I3221" s="120"/>
      <c r="J3221" s="116"/>
      <c r="K3221" s="116"/>
      <c r="L3221" s="116"/>
      <c r="M3221" s="116"/>
      <c r="N3221" s="116"/>
      <c r="O3221" s="116"/>
      <c r="P3221" s="116"/>
    </row>
    <row r="3222" spans="2:16" s="108" customFormat="1" ht="21.75" hidden="1" customHeight="1">
      <c r="B3222" s="109"/>
      <c r="C3222" s="122"/>
      <c r="D3222" s="253" t="s">
        <v>2236</v>
      </c>
      <c r="E3222" s="782">
        <f>E3223</f>
        <v>313000057.44</v>
      </c>
      <c r="F3222" s="134">
        <v>61756420382.300003</v>
      </c>
      <c r="G3222" s="126">
        <f t="shared" si="81"/>
        <v>0.50682998707241922</v>
      </c>
      <c r="H3222" s="120"/>
      <c r="I3222" s="120"/>
      <c r="J3222" s="116"/>
      <c r="K3222" s="116"/>
      <c r="L3222" s="116"/>
      <c r="M3222" s="116"/>
      <c r="N3222" s="116"/>
      <c r="O3222" s="116"/>
      <c r="P3222" s="116"/>
    </row>
    <row r="3223" spans="2:16" s="117" customFormat="1" ht="21.75" hidden="1" customHeight="1">
      <c r="B3223" s="118"/>
      <c r="C3223" s="110"/>
      <c r="D3223" s="253" t="s">
        <v>973</v>
      </c>
      <c r="E3223" s="782">
        <f>E3224</f>
        <v>313000057.44</v>
      </c>
      <c r="F3223" s="114">
        <v>61756420382.300003</v>
      </c>
      <c r="G3223" s="127">
        <f t="shared" si="81"/>
        <v>0.50682998707241922</v>
      </c>
      <c r="H3223" s="120"/>
      <c r="I3223" s="120"/>
      <c r="J3223" s="121"/>
      <c r="K3223" s="121"/>
      <c r="L3223" s="121"/>
      <c r="M3223" s="121"/>
      <c r="N3223" s="121"/>
      <c r="O3223" s="121"/>
      <c r="P3223" s="121"/>
    </row>
    <row r="3224" spans="2:16" s="108" customFormat="1" ht="21.75" hidden="1" customHeight="1">
      <c r="B3224" s="109"/>
      <c r="C3224" s="122"/>
      <c r="D3224" s="256" t="s">
        <v>2237</v>
      </c>
      <c r="E3224" s="783">
        <v>313000057.44</v>
      </c>
      <c r="F3224" s="134">
        <v>61756420382.300003</v>
      </c>
      <c r="G3224" s="126">
        <f t="shared" si="81"/>
        <v>0.50682998707241922</v>
      </c>
      <c r="H3224" s="120"/>
      <c r="I3224" s="120"/>
      <c r="J3224" s="116"/>
      <c r="K3224" s="116"/>
      <c r="L3224" s="116"/>
      <c r="M3224" s="116"/>
      <c r="N3224" s="116"/>
      <c r="O3224" s="116"/>
      <c r="P3224" s="116"/>
    </row>
    <row r="3225" spans="2:16" s="108" customFormat="1" ht="21.75" hidden="1" customHeight="1">
      <c r="B3225" s="109"/>
      <c r="C3225" s="122"/>
      <c r="D3225" s="256"/>
      <c r="E3225" s="783"/>
      <c r="F3225" s="134"/>
      <c r="G3225" s="126"/>
      <c r="H3225" s="120"/>
      <c r="I3225" s="120"/>
      <c r="J3225" s="116"/>
      <c r="K3225" s="116"/>
      <c r="L3225" s="116"/>
      <c r="M3225" s="116"/>
      <c r="N3225" s="116"/>
      <c r="O3225" s="116"/>
      <c r="P3225" s="116"/>
    </row>
    <row r="3226" spans="2:16" s="108" customFormat="1" ht="21.75" hidden="1" customHeight="1">
      <c r="B3226" s="109"/>
      <c r="C3226" s="122"/>
      <c r="D3226" s="253" t="s">
        <v>518</v>
      </c>
      <c r="E3226" s="782">
        <f>E3227</f>
        <v>1629134370</v>
      </c>
      <c r="F3226" s="134">
        <v>61756420382.300003</v>
      </c>
      <c r="G3226" s="126">
        <f t="shared" si="81"/>
        <v>2.6380000005099484</v>
      </c>
      <c r="H3226" s="120"/>
      <c r="I3226" s="120"/>
      <c r="J3226" s="116"/>
      <c r="K3226" s="116"/>
      <c r="L3226" s="116"/>
      <c r="M3226" s="116"/>
      <c r="N3226" s="116"/>
      <c r="O3226" s="116"/>
      <c r="P3226" s="116"/>
    </row>
    <row r="3227" spans="2:16" s="117" customFormat="1" ht="21.75" hidden="1" customHeight="1">
      <c r="B3227" s="118"/>
      <c r="C3227" s="110"/>
      <c r="D3227" s="253" t="s">
        <v>2238</v>
      </c>
      <c r="E3227" s="782">
        <f>E3228</f>
        <v>1629134370</v>
      </c>
      <c r="F3227" s="114">
        <v>61756420382.300003</v>
      </c>
      <c r="G3227" s="127">
        <f t="shared" si="81"/>
        <v>2.6380000005099484</v>
      </c>
      <c r="H3227" s="120"/>
      <c r="I3227" s="120"/>
      <c r="J3227" s="121"/>
      <c r="K3227" s="121"/>
      <c r="L3227" s="121"/>
      <c r="M3227" s="121"/>
      <c r="N3227" s="121"/>
      <c r="O3227" s="121"/>
      <c r="P3227" s="121"/>
    </row>
    <row r="3228" spans="2:16" s="108" customFormat="1" ht="21.75" hidden="1" customHeight="1">
      <c r="B3228" s="109"/>
      <c r="C3228" s="122"/>
      <c r="D3228" s="256" t="s">
        <v>2239</v>
      </c>
      <c r="E3228" s="783">
        <v>1629134370</v>
      </c>
      <c r="F3228" s="134">
        <v>61756420382.300003</v>
      </c>
      <c r="G3228" s="126">
        <f t="shared" si="81"/>
        <v>2.6380000005099484</v>
      </c>
      <c r="H3228" s="120"/>
      <c r="I3228" s="120"/>
      <c r="J3228" s="116"/>
      <c r="K3228" s="116"/>
      <c r="L3228" s="116"/>
      <c r="M3228" s="116"/>
      <c r="N3228" s="116"/>
      <c r="O3228" s="116"/>
      <c r="P3228" s="116"/>
    </row>
    <row r="3229" spans="2:16" s="108" customFormat="1" ht="21.75" hidden="1" customHeight="1">
      <c r="B3229" s="109"/>
      <c r="C3229" s="122"/>
      <c r="D3229" s="256"/>
      <c r="E3229" s="783"/>
      <c r="F3229" s="134"/>
      <c r="G3229" s="126"/>
      <c r="H3229" s="120"/>
      <c r="I3229" s="120"/>
      <c r="J3229" s="116"/>
      <c r="K3229" s="116"/>
      <c r="L3229" s="116"/>
      <c r="M3229" s="116"/>
      <c r="N3229" s="116"/>
      <c r="O3229" s="116"/>
      <c r="P3229" s="116"/>
    </row>
    <row r="3230" spans="2:16" s="117" customFormat="1" ht="21.75" hidden="1" customHeight="1">
      <c r="B3230" s="118"/>
      <c r="C3230" s="110"/>
      <c r="D3230" s="253" t="s">
        <v>69</v>
      </c>
      <c r="E3230" s="782">
        <f>E3231</f>
        <v>500000000</v>
      </c>
      <c r="F3230" s="114">
        <v>61756420382.300003</v>
      </c>
      <c r="G3230" s="127">
        <f t="shared" si="81"/>
        <v>0.80963241862914859</v>
      </c>
      <c r="H3230" s="120"/>
      <c r="I3230" s="120"/>
      <c r="J3230" s="121"/>
      <c r="K3230" s="121"/>
      <c r="L3230" s="121"/>
      <c r="M3230" s="121"/>
      <c r="N3230" s="121"/>
      <c r="O3230" s="121"/>
      <c r="P3230" s="121"/>
    </row>
    <row r="3231" spans="2:16" s="117" customFormat="1" ht="21.75" hidden="1" customHeight="1">
      <c r="B3231" s="118"/>
      <c r="C3231" s="110"/>
      <c r="D3231" s="253" t="s">
        <v>276</v>
      </c>
      <c r="E3231" s="782">
        <f>E3232</f>
        <v>500000000</v>
      </c>
      <c r="F3231" s="114">
        <v>61756420382.300003</v>
      </c>
      <c r="G3231" s="127">
        <f t="shared" si="81"/>
        <v>0.80963241862914859</v>
      </c>
      <c r="H3231" s="120"/>
      <c r="I3231" s="120"/>
      <c r="J3231" s="121"/>
      <c r="K3231" s="121"/>
      <c r="L3231" s="121"/>
      <c r="M3231" s="121"/>
      <c r="N3231" s="121"/>
      <c r="O3231" s="121"/>
      <c r="P3231" s="121"/>
    </row>
    <row r="3232" spans="2:16" s="108" customFormat="1" ht="21.75" hidden="1" customHeight="1">
      <c r="B3232" s="109"/>
      <c r="C3232" s="122"/>
      <c r="D3232" s="256" t="s">
        <v>2240</v>
      </c>
      <c r="E3232" s="783">
        <v>500000000</v>
      </c>
      <c r="F3232" s="134">
        <v>61756420382.300003</v>
      </c>
      <c r="G3232" s="126">
        <f t="shared" si="81"/>
        <v>0.80963241862914859</v>
      </c>
      <c r="H3232" s="120"/>
      <c r="I3232" s="120"/>
      <c r="J3232" s="116"/>
      <c r="K3232" s="116"/>
      <c r="L3232" s="116"/>
      <c r="M3232" s="116"/>
      <c r="N3232" s="116"/>
      <c r="O3232" s="116"/>
      <c r="P3232" s="116"/>
    </row>
    <row r="3233" spans="2:16" s="108" customFormat="1" ht="21.75" hidden="1" customHeight="1">
      <c r="B3233" s="109"/>
      <c r="C3233" s="122"/>
      <c r="D3233" s="256"/>
      <c r="E3233" s="783"/>
      <c r="F3233" s="134"/>
      <c r="G3233" s="126"/>
      <c r="H3233" s="120"/>
      <c r="I3233" s="120"/>
      <c r="J3233" s="116"/>
      <c r="K3233" s="116"/>
      <c r="L3233" s="116"/>
      <c r="M3233" s="116"/>
      <c r="N3233" s="116"/>
      <c r="O3233" s="116"/>
      <c r="P3233" s="116"/>
    </row>
    <row r="3234" spans="2:16" s="108" customFormat="1" ht="21.75" hidden="1" customHeight="1">
      <c r="B3234" s="109"/>
      <c r="C3234" s="122"/>
      <c r="D3234" s="253" t="s">
        <v>2241</v>
      </c>
      <c r="E3234" s="782">
        <f>+E3235+E3237</f>
        <v>2028600000</v>
      </c>
      <c r="F3234" s="134">
        <v>61756420382.300003</v>
      </c>
      <c r="G3234" s="126">
        <f t="shared" si="81"/>
        <v>3.2848406488621813</v>
      </c>
      <c r="H3234" s="120"/>
      <c r="I3234" s="120"/>
      <c r="J3234" s="116"/>
      <c r="K3234" s="116"/>
      <c r="L3234" s="116"/>
      <c r="M3234" s="116"/>
      <c r="N3234" s="116"/>
      <c r="O3234" s="116"/>
      <c r="P3234" s="116"/>
    </row>
    <row r="3235" spans="2:16" s="117" customFormat="1" ht="21.75" hidden="1" customHeight="1">
      <c r="B3235" s="118"/>
      <c r="C3235" s="110"/>
      <c r="D3235" s="253" t="s">
        <v>2140</v>
      </c>
      <c r="E3235" s="782">
        <f>E3236</f>
        <v>413000000</v>
      </c>
      <c r="F3235" s="114">
        <v>61756420382.300003</v>
      </c>
      <c r="G3235" s="127">
        <f t="shared" si="81"/>
        <v>0.66875637778767671</v>
      </c>
      <c r="H3235" s="120"/>
      <c r="I3235" s="120"/>
      <c r="J3235" s="121"/>
      <c r="K3235" s="121"/>
      <c r="L3235" s="121"/>
      <c r="M3235" s="121"/>
      <c r="N3235" s="121"/>
      <c r="O3235" s="121"/>
      <c r="P3235" s="121"/>
    </row>
    <row r="3236" spans="2:16" s="108" customFormat="1" ht="21.75" hidden="1" customHeight="1">
      <c r="B3236" s="109"/>
      <c r="C3236" s="122"/>
      <c r="D3236" s="256" t="s">
        <v>639</v>
      </c>
      <c r="E3236" s="783">
        <v>413000000</v>
      </c>
      <c r="F3236" s="134">
        <v>61756420382.300003</v>
      </c>
      <c r="G3236" s="126">
        <f t="shared" si="81"/>
        <v>0.66875637778767671</v>
      </c>
      <c r="H3236" s="120"/>
      <c r="I3236" s="120"/>
      <c r="J3236" s="116"/>
      <c r="K3236" s="116"/>
      <c r="L3236" s="116"/>
      <c r="M3236" s="116"/>
      <c r="N3236" s="116"/>
      <c r="O3236" s="116"/>
      <c r="P3236" s="116"/>
    </row>
    <row r="3237" spans="2:16" s="117" customFormat="1" ht="21.75" hidden="1" customHeight="1">
      <c r="B3237" s="118"/>
      <c r="C3237" s="110"/>
      <c r="D3237" s="253" t="s">
        <v>471</v>
      </c>
      <c r="E3237" s="782">
        <f>+E3238+E3239</f>
        <v>1615600000</v>
      </c>
      <c r="F3237" s="114">
        <v>61756420382.300003</v>
      </c>
      <c r="G3237" s="127">
        <f t="shared" si="81"/>
        <v>2.6160842710745049</v>
      </c>
      <c r="H3237" s="120"/>
      <c r="I3237" s="120"/>
      <c r="J3237" s="121"/>
      <c r="K3237" s="121"/>
      <c r="L3237" s="121"/>
      <c r="M3237" s="121"/>
      <c r="N3237" s="121"/>
      <c r="O3237" s="121"/>
      <c r="P3237" s="121"/>
    </row>
    <row r="3238" spans="2:16" s="108" customFormat="1" ht="21.75" hidden="1" customHeight="1">
      <c r="B3238" s="109"/>
      <c r="C3238" s="122"/>
      <c r="D3238" s="256" t="s">
        <v>2242</v>
      </c>
      <c r="E3238" s="783">
        <v>672200000</v>
      </c>
      <c r="F3238" s="134">
        <v>61756420382.300003</v>
      </c>
      <c r="G3238" s="126">
        <f t="shared" si="81"/>
        <v>1.0884698236050272</v>
      </c>
      <c r="H3238" s="120"/>
      <c r="I3238" s="120"/>
      <c r="J3238" s="116"/>
      <c r="K3238" s="116"/>
      <c r="L3238" s="116"/>
      <c r="M3238" s="116"/>
      <c r="N3238" s="116"/>
      <c r="O3238" s="116"/>
      <c r="P3238" s="116"/>
    </row>
    <row r="3239" spans="2:16" s="108" customFormat="1" ht="30" hidden="1" customHeight="1">
      <c r="B3239" s="109"/>
      <c r="C3239" s="122"/>
      <c r="D3239" s="256" t="s">
        <v>2243</v>
      </c>
      <c r="E3239" s="783">
        <v>943400000</v>
      </c>
      <c r="F3239" s="134">
        <v>61756420382.300003</v>
      </c>
      <c r="G3239" s="126">
        <f t="shared" si="81"/>
        <v>1.5276144474694775</v>
      </c>
      <c r="H3239" s="120"/>
      <c r="I3239" s="120"/>
      <c r="J3239" s="116"/>
      <c r="K3239" s="116"/>
      <c r="L3239" s="116"/>
      <c r="M3239" s="116"/>
      <c r="N3239" s="116"/>
      <c r="O3239" s="116"/>
      <c r="P3239" s="116"/>
    </row>
    <row r="3240" spans="2:16" s="108" customFormat="1" ht="21.75" hidden="1" customHeight="1">
      <c r="B3240" s="109"/>
      <c r="C3240" s="122"/>
      <c r="D3240" s="256"/>
      <c r="E3240" s="783"/>
      <c r="F3240" s="134"/>
      <c r="G3240" s="126"/>
      <c r="H3240" s="120"/>
      <c r="I3240" s="120"/>
      <c r="J3240" s="116"/>
      <c r="K3240" s="116"/>
      <c r="L3240" s="116"/>
      <c r="M3240" s="116"/>
      <c r="N3240" s="116"/>
      <c r="O3240" s="116"/>
      <c r="P3240" s="116"/>
    </row>
    <row r="3241" spans="2:16" s="108" customFormat="1" ht="21.75" hidden="1" customHeight="1">
      <c r="B3241" s="109"/>
      <c r="C3241" s="122"/>
      <c r="D3241" s="253" t="s">
        <v>2137</v>
      </c>
      <c r="E3241" s="782">
        <f>+E3242+E3245+E3247</f>
        <v>4559370000</v>
      </c>
      <c r="F3241" s="134">
        <v>61756420382.300003</v>
      </c>
      <c r="G3241" s="126">
        <f t="shared" si="81"/>
        <v>7.3828275210503627</v>
      </c>
      <c r="H3241" s="120"/>
      <c r="I3241" s="120"/>
      <c r="J3241" s="116"/>
      <c r="K3241" s="116"/>
      <c r="L3241" s="116"/>
      <c r="M3241" s="116"/>
      <c r="N3241" s="116"/>
      <c r="O3241" s="116"/>
      <c r="P3241" s="116"/>
    </row>
    <row r="3242" spans="2:16" s="117" customFormat="1" ht="21.75" hidden="1" customHeight="1">
      <c r="B3242" s="118"/>
      <c r="C3242" s="110"/>
      <c r="D3242" s="253" t="s">
        <v>912</v>
      </c>
      <c r="E3242" s="782">
        <f>+E3243+E3244</f>
        <v>1296330000</v>
      </c>
      <c r="F3242" s="114">
        <v>61756420382.300003</v>
      </c>
      <c r="G3242" s="127">
        <f t="shared" si="81"/>
        <v>2.0991015864830485</v>
      </c>
      <c r="H3242" s="120"/>
      <c r="I3242" s="120"/>
      <c r="J3242" s="121"/>
      <c r="K3242" s="121"/>
      <c r="L3242" s="121"/>
      <c r="M3242" s="121"/>
      <c r="N3242" s="121"/>
      <c r="O3242" s="121"/>
      <c r="P3242" s="121"/>
    </row>
    <row r="3243" spans="2:16" s="108" customFormat="1" ht="21.75" hidden="1" customHeight="1">
      <c r="B3243" s="109"/>
      <c r="C3243" s="122"/>
      <c r="D3243" s="256" t="s">
        <v>1191</v>
      </c>
      <c r="E3243" s="783">
        <v>708630000</v>
      </c>
      <c r="F3243" s="134">
        <v>61756420382.300003</v>
      </c>
      <c r="G3243" s="126">
        <f t="shared" si="81"/>
        <v>1.1474596416263472</v>
      </c>
      <c r="H3243" s="120"/>
      <c r="I3243" s="120"/>
      <c r="J3243" s="116"/>
      <c r="K3243" s="116"/>
      <c r="L3243" s="116"/>
      <c r="M3243" s="116"/>
      <c r="N3243" s="116"/>
      <c r="O3243" s="116"/>
      <c r="P3243" s="116"/>
    </row>
    <row r="3244" spans="2:16" s="108" customFormat="1" ht="21.75" hidden="1" customHeight="1">
      <c r="B3244" s="109"/>
      <c r="C3244" s="122"/>
      <c r="D3244" s="256" t="s">
        <v>2244</v>
      </c>
      <c r="E3244" s="783">
        <v>587700000</v>
      </c>
      <c r="F3244" s="134">
        <v>61756420382.300003</v>
      </c>
      <c r="G3244" s="126">
        <f t="shared" si="81"/>
        <v>0.95164194485670117</v>
      </c>
      <c r="H3244" s="120"/>
      <c r="I3244" s="120"/>
      <c r="J3244" s="116"/>
      <c r="K3244" s="116"/>
      <c r="L3244" s="116"/>
      <c r="M3244" s="116"/>
      <c r="N3244" s="116"/>
      <c r="O3244" s="116"/>
      <c r="P3244" s="116"/>
    </row>
    <row r="3245" spans="2:16" s="117" customFormat="1" ht="21.75" hidden="1" customHeight="1">
      <c r="B3245" s="118"/>
      <c r="C3245" s="110"/>
      <c r="D3245" s="253" t="s">
        <v>2245</v>
      </c>
      <c r="E3245" s="782">
        <f>+E3246</f>
        <v>400000000</v>
      </c>
      <c r="F3245" s="114">
        <v>61756420382.300003</v>
      </c>
      <c r="G3245" s="127">
        <f t="shared" si="81"/>
        <v>0.64770593490331885</v>
      </c>
      <c r="H3245" s="120"/>
      <c r="I3245" s="120"/>
      <c r="J3245" s="121"/>
      <c r="K3245" s="121"/>
      <c r="L3245" s="121"/>
      <c r="M3245" s="121"/>
      <c r="N3245" s="121"/>
      <c r="O3245" s="121"/>
      <c r="P3245" s="121"/>
    </row>
    <row r="3246" spans="2:16" s="108" customFormat="1" ht="21.75" hidden="1" customHeight="1">
      <c r="B3246" s="109"/>
      <c r="C3246" s="122"/>
      <c r="D3246" s="256" t="s">
        <v>630</v>
      </c>
      <c r="E3246" s="783">
        <v>400000000</v>
      </c>
      <c r="F3246" s="134">
        <v>61756420382.300003</v>
      </c>
      <c r="G3246" s="126">
        <f t="shared" si="81"/>
        <v>0.64770593490331885</v>
      </c>
      <c r="H3246" s="120"/>
      <c r="I3246" s="120"/>
      <c r="J3246" s="116"/>
      <c r="K3246" s="116"/>
      <c r="L3246" s="116"/>
      <c r="M3246" s="116"/>
      <c r="N3246" s="116"/>
      <c r="O3246" s="116"/>
      <c r="P3246" s="116"/>
    </row>
    <row r="3247" spans="2:16" s="117" customFormat="1" ht="21.75" hidden="1" customHeight="1">
      <c r="B3247" s="118"/>
      <c r="C3247" s="110"/>
      <c r="D3247" s="253" t="s">
        <v>1512</v>
      </c>
      <c r="E3247" s="782">
        <f>+E3248+E3249</f>
        <v>2863040000</v>
      </c>
      <c r="F3247" s="114">
        <v>61756420382.300003</v>
      </c>
      <c r="G3247" s="127">
        <f t="shared" si="81"/>
        <v>4.6360199996639953</v>
      </c>
      <c r="H3247" s="120"/>
      <c r="I3247" s="120"/>
      <c r="J3247" s="121"/>
      <c r="K3247" s="121"/>
      <c r="L3247" s="121"/>
      <c r="M3247" s="121"/>
      <c r="N3247" s="121"/>
      <c r="O3247" s="121"/>
      <c r="P3247" s="121"/>
    </row>
    <row r="3248" spans="2:16" s="108" customFormat="1" ht="21.75" hidden="1" customHeight="1">
      <c r="B3248" s="109"/>
      <c r="C3248" s="122"/>
      <c r="D3248" s="256" t="s">
        <v>2246</v>
      </c>
      <c r="E3248" s="783">
        <v>1363040000</v>
      </c>
      <c r="F3248" s="134">
        <v>61756420382.300003</v>
      </c>
      <c r="G3248" s="126">
        <f t="shared" si="81"/>
        <v>2.2071227437765493</v>
      </c>
      <c r="H3248" s="120"/>
      <c r="I3248" s="120"/>
      <c r="J3248" s="116"/>
      <c r="K3248" s="116"/>
      <c r="L3248" s="116"/>
      <c r="M3248" s="116"/>
      <c r="N3248" s="116"/>
      <c r="O3248" s="116"/>
      <c r="P3248" s="116"/>
    </row>
    <row r="3249" spans="2:16" s="108" customFormat="1" ht="21.75" hidden="1" customHeight="1">
      <c r="B3249" s="109"/>
      <c r="C3249" s="122"/>
      <c r="D3249" s="256" t="s">
        <v>2247</v>
      </c>
      <c r="E3249" s="783">
        <v>1500000000</v>
      </c>
      <c r="F3249" s="134">
        <v>61756420382.300003</v>
      </c>
      <c r="G3249" s="126">
        <f t="shared" si="81"/>
        <v>2.4288972558874455</v>
      </c>
      <c r="H3249" s="120"/>
      <c r="I3249" s="120"/>
      <c r="J3249" s="116"/>
      <c r="K3249" s="116"/>
      <c r="L3249" s="116"/>
      <c r="M3249" s="116"/>
      <c r="N3249" s="116"/>
      <c r="O3249" s="116"/>
      <c r="P3249" s="116"/>
    </row>
    <row r="3250" spans="2:16" s="108" customFormat="1" ht="21.75" hidden="1" customHeight="1">
      <c r="B3250" s="109"/>
      <c r="C3250" s="122"/>
      <c r="D3250" s="256"/>
      <c r="E3250" s="783"/>
      <c r="F3250" s="134"/>
      <c r="G3250" s="126"/>
      <c r="H3250" s="120"/>
      <c r="I3250" s="120"/>
      <c r="J3250" s="116"/>
      <c r="K3250" s="116"/>
      <c r="L3250" s="116"/>
      <c r="M3250" s="116"/>
      <c r="N3250" s="116"/>
      <c r="O3250" s="116"/>
      <c r="P3250" s="116"/>
    </row>
    <row r="3251" spans="2:16" s="108" customFormat="1" ht="21.75" hidden="1" customHeight="1">
      <c r="B3251" s="109"/>
      <c r="C3251" s="122"/>
      <c r="D3251" s="253" t="s">
        <v>2248</v>
      </c>
      <c r="E3251" s="782">
        <f>+E3252+E3254+E3256</f>
        <v>4909489000</v>
      </c>
      <c r="F3251" s="134">
        <v>61756420382.300003</v>
      </c>
      <c r="G3251" s="126">
        <f t="shared" si="81"/>
        <v>7.9497629066064004</v>
      </c>
      <c r="H3251" s="120"/>
      <c r="I3251" s="120"/>
      <c r="J3251" s="116"/>
      <c r="K3251" s="116"/>
      <c r="L3251" s="116"/>
      <c r="M3251" s="116"/>
      <c r="N3251" s="116"/>
      <c r="O3251" s="116"/>
      <c r="P3251" s="116"/>
    </row>
    <row r="3252" spans="2:16" s="117" customFormat="1" ht="21.75" hidden="1" customHeight="1">
      <c r="B3252" s="118"/>
      <c r="C3252" s="110"/>
      <c r="D3252" s="253" t="s">
        <v>542</v>
      </c>
      <c r="E3252" s="782">
        <f>E3253</f>
        <v>3269489000</v>
      </c>
      <c r="F3252" s="114">
        <v>61756420382.300003</v>
      </c>
      <c r="G3252" s="127">
        <f t="shared" si="81"/>
        <v>5.2941685735027928</v>
      </c>
      <c r="H3252" s="120"/>
      <c r="I3252" s="120"/>
      <c r="J3252" s="121"/>
      <c r="K3252" s="121"/>
      <c r="L3252" s="121"/>
      <c r="M3252" s="121"/>
      <c r="N3252" s="121"/>
      <c r="O3252" s="121"/>
      <c r="P3252" s="121"/>
    </row>
    <row r="3253" spans="2:16" s="108" customFormat="1" ht="21.75" hidden="1" customHeight="1">
      <c r="B3253" s="109"/>
      <c r="C3253" s="122"/>
      <c r="D3253" s="256" t="s">
        <v>2249</v>
      </c>
      <c r="E3253" s="783">
        <v>3269489000</v>
      </c>
      <c r="F3253" s="134">
        <v>61756420382.300003</v>
      </c>
      <c r="G3253" s="126">
        <f t="shared" si="81"/>
        <v>5.2941685735027928</v>
      </c>
      <c r="H3253" s="120"/>
      <c r="I3253" s="120"/>
      <c r="J3253" s="116"/>
      <c r="K3253" s="116"/>
      <c r="L3253" s="116"/>
      <c r="M3253" s="116"/>
      <c r="N3253" s="116"/>
      <c r="O3253" s="116"/>
      <c r="P3253" s="116"/>
    </row>
    <row r="3254" spans="2:16" s="117" customFormat="1" ht="43.5" hidden="1" customHeight="1">
      <c r="B3254" s="118"/>
      <c r="C3254" s="110"/>
      <c r="D3254" s="253" t="s">
        <v>2250</v>
      </c>
      <c r="E3254" s="782">
        <f>E3255</f>
        <v>840000000</v>
      </c>
      <c r="F3254" s="114">
        <v>61756420382.300003</v>
      </c>
      <c r="G3254" s="127">
        <f t="shared" si="81"/>
        <v>1.3601824632969697</v>
      </c>
      <c r="H3254" s="120"/>
      <c r="I3254" s="120"/>
      <c r="J3254" s="121"/>
      <c r="K3254" s="121"/>
      <c r="L3254" s="121"/>
      <c r="M3254" s="121"/>
      <c r="N3254" s="121"/>
      <c r="O3254" s="121"/>
      <c r="P3254" s="121"/>
    </row>
    <row r="3255" spans="2:16" s="108" customFormat="1" ht="21.75" hidden="1" customHeight="1">
      <c r="B3255" s="109"/>
      <c r="C3255" s="122"/>
      <c r="D3255" s="256" t="s">
        <v>2251</v>
      </c>
      <c r="E3255" s="783">
        <v>840000000</v>
      </c>
      <c r="F3255" s="134">
        <v>61756420382.300003</v>
      </c>
      <c r="G3255" s="126">
        <f t="shared" si="81"/>
        <v>1.3601824632969697</v>
      </c>
      <c r="H3255" s="120"/>
      <c r="I3255" s="120"/>
      <c r="J3255" s="116"/>
      <c r="K3255" s="116"/>
      <c r="L3255" s="116"/>
      <c r="M3255" s="116"/>
      <c r="N3255" s="116"/>
      <c r="O3255" s="116"/>
      <c r="P3255" s="116"/>
    </row>
    <row r="3256" spans="2:16" s="117" customFormat="1" ht="21.75" hidden="1" customHeight="1">
      <c r="B3256" s="118"/>
      <c r="C3256" s="110"/>
      <c r="D3256" s="253" t="s">
        <v>548</v>
      </c>
      <c r="E3256" s="782">
        <f>E3257</f>
        <v>800000000</v>
      </c>
      <c r="F3256" s="114">
        <v>61756420382.300003</v>
      </c>
      <c r="G3256" s="127">
        <f t="shared" si="81"/>
        <v>1.2954118698066377</v>
      </c>
      <c r="H3256" s="120"/>
      <c r="I3256" s="120"/>
      <c r="J3256" s="121"/>
      <c r="K3256" s="121"/>
      <c r="L3256" s="121"/>
      <c r="M3256" s="121"/>
      <c r="N3256" s="121"/>
      <c r="O3256" s="121"/>
      <c r="P3256" s="121"/>
    </row>
    <row r="3257" spans="2:16" s="108" customFormat="1" ht="21.75" hidden="1" customHeight="1">
      <c r="B3257" s="109"/>
      <c r="C3257" s="122"/>
      <c r="D3257" s="256" t="s">
        <v>2252</v>
      </c>
      <c r="E3257" s="783">
        <v>800000000</v>
      </c>
      <c r="F3257" s="134">
        <v>61756420382.300003</v>
      </c>
      <c r="G3257" s="126">
        <f t="shared" si="81"/>
        <v>1.2954118698066377</v>
      </c>
      <c r="H3257" s="120"/>
      <c r="I3257" s="120"/>
      <c r="J3257" s="116"/>
      <c r="K3257" s="116"/>
      <c r="L3257" s="116"/>
      <c r="M3257" s="116"/>
      <c r="N3257" s="116"/>
      <c r="O3257" s="116"/>
      <c r="P3257" s="116"/>
    </row>
    <row r="3258" spans="2:16" s="108" customFormat="1" ht="21.75" hidden="1" customHeight="1">
      <c r="B3258" s="109"/>
      <c r="C3258" s="122"/>
      <c r="D3258" s="256"/>
      <c r="E3258" s="783"/>
      <c r="F3258" s="134"/>
      <c r="G3258" s="126"/>
      <c r="H3258" s="120"/>
      <c r="I3258" s="120"/>
      <c r="J3258" s="116"/>
      <c r="K3258" s="116"/>
      <c r="L3258" s="116"/>
      <c r="M3258" s="116"/>
      <c r="N3258" s="116"/>
      <c r="O3258" s="116"/>
      <c r="P3258" s="116"/>
    </row>
    <row r="3259" spans="2:16" s="117" customFormat="1" ht="21.75" hidden="1" customHeight="1">
      <c r="B3259" s="118"/>
      <c r="C3259" s="110"/>
      <c r="D3259" s="253" t="s">
        <v>363</v>
      </c>
      <c r="E3259" s="782">
        <f>E3260</f>
        <v>229623317</v>
      </c>
      <c r="F3259" s="114">
        <v>61756420382.300003</v>
      </c>
      <c r="G3259" s="127">
        <f t="shared" si="81"/>
        <v>0.37182096303271539</v>
      </c>
      <c r="H3259" s="120"/>
      <c r="I3259" s="120"/>
      <c r="J3259" s="121"/>
      <c r="K3259" s="121"/>
      <c r="L3259" s="121"/>
      <c r="M3259" s="121"/>
      <c r="N3259" s="121"/>
      <c r="O3259" s="121"/>
      <c r="P3259" s="121"/>
    </row>
    <row r="3260" spans="2:16" s="117" customFormat="1" ht="21.75" hidden="1" customHeight="1">
      <c r="B3260" s="118"/>
      <c r="C3260" s="110"/>
      <c r="D3260" s="253" t="s">
        <v>899</v>
      </c>
      <c r="E3260" s="782">
        <f>E3261</f>
        <v>229623317</v>
      </c>
      <c r="F3260" s="114">
        <v>61756420382.300003</v>
      </c>
      <c r="G3260" s="127">
        <f t="shared" si="81"/>
        <v>0.37182096303271539</v>
      </c>
      <c r="H3260" s="120"/>
      <c r="I3260" s="120"/>
      <c r="J3260" s="121"/>
      <c r="K3260" s="121"/>
      <c r="L3260" s="121"/>
      <c r="M3260" s="121"/>
      <c r="N3260" s="121"/>
      <c r="O3260" s="121"/>
      <c r="P3260" s="121"/>
    </row>
    <row r="3261" spans="2:16" s="108" customFormat="1" ht="43.5" hidden="1" customHeight="1">
      <c r="B3261" s="109"/>
      <c r="C3261" s="122"/>
      <c r="D3261" s="256" t="s">
        <v>2253</v>
      </c>
      <c r="E3261" s="783">
        <v>229623317</v>
      </c>
      <c r="F3261" s="134">
        <v>61756420382.300003</v>
      </c>
      <c r="G3261" s="126">
        <f t="shared" si="81"/>
        <v>0.37182096303271539</v>
      </c>
      <c r="H3261" s="120"/>
      <c r="I3261" s="120"/>
      <c r="J3261" s="116"/>
      <c r="K3261" s="116"/>
      <c r="L3261" s="116"/>
      <c r="M3261" s="116"/>
      <c r="N3261" s="116"/>
      <c r="O3261" s="116"/>
      <c r="P3261" s="116"/>
    </row>
    <row r="3262" spans="2:16" s="108" customFormat="1" ht="21.75" hidden="1" customHeight="1">
      <c r="B3262" s="109"/>
      <c r="C3262" s="122"/>
      <c r="D3262" s="253"/>
      <c r="E3262" s="783"/>
      <c r="F3262" s="134">
        <v>61756420382.300003</v>
      </c>
      <c r="G3262" s="126">
        <f t="shared" si="81"/>
        <v>0</v>
      </c>
      <c r="H3262" s="120"/>
      <c r="I3262" s="120"/>
      <c r="J3262" s="116"/>
      <c r="K3262" s="116"/>
      <c r="L3262" s="116"/>
      <c r="M3262" s="116"/>
      <c r="N3262" s="116"/>
      <c r="O3262" s="116"/>
      <c r="P3262" s="116"/>
    </row>
    <row r="3263" spans="2:16" s="108" customFormat="1" ht="21.75" hidden="1" customHeight="1">
      <c r="B3263" s="109"/>
      <c r="C3263" s="122"/>
      <c r="D3263" s="253" t="s">
        <v>2254</v>
      </c>
      <c r="E3263" s="782">
        <f>E3264</f>
        <v>1005505090</v>
      </c>
      <c r="F3263" s="134">
        <v>61756420382.300003</v>
      </c>
      <c r="G3263" s="126">
        <f t="shared" si="81"/>
        <v>1.6281790359212394</v>
      </c>
      <c r="H3263" s="120"/>
      <c r="I3263" s="120"/>
      <c r="J3263" s="116"/>
      <c r="K3263" s="116"/>
      <c r="L3263" s="116"/>
      <c r="M3263" s="116"/>
      <c r="N3263" s="116"/>
      <c r="O3263" s="116"/>
      <c r="P3263" s="116"/>
    </row>
    <row r="3264" spans="2:16" s="108" customFormat="1" ht="21.75" hidden="1" customHeight="1">
      <c r="B3264" s="109"/>
      <c r="C3264" s="122"/>
      <c r="D3264" s="253" t="s">
        <v>509</v>
      </c>
      <c r="E3264" s="784">
        <f>+E3265+E3266</f>
        <v>1005505090</v>
      </c>
      <c r="F3264" s="134">
        <v>61756420382.300003</v>
      </c>
      <c r="G3264" s="126">
        <f t="shared" si="81"/>
        <v>1.6281790359212394</v>
      </c>
      <c r="H3264" s="120"/>
      <c r="I3264" s="120"/>
      <c r="J3264" s="116"/>
      <c r="K3264" s="116"/>
      <c r="L3264" s="116"/>
      <c r="M3264" s="116"/>
      <c r="N3264" s="116"/>
      <c r="O3264" s="116"/>
      <c r="P3264" s="116"/>
    </row>
    <row r="3265" spans="2:16" s="108" customFormat="1" ht="43.5" hidden="1" customHeight="1">
      <c r="B3265" s="109"/>
      <c r="C3265" s="122"/>
      <c r="D3265" s="256" t="s">
        <v>2255</v>
      </c>
      <c r="E3265" s="783">
        <v>522999480</v>
      </c>
      <c r="F3265" s="134">
        <v>61756420382.300003</v>
      </c>
      <c r="G3265" s="126">
        <f t="shared" si="81"/>
        <v>0.84687466786837406</v>
      </c>
      <c r="H3265" s="120"/>
      <c r="I3265" s="120"/>
      <c r="J3265" s="116"/>
      <c r="K3265" s="116"/>
      <c r="L3265" s="116"/>
      <c r="M3265" s="116"/>
      <c r="N3265" s="116"/>
      <c r="O3265" s="116"/>
      <c r="P3265" s="116"/>
    </row>
    <row r="3266" spans="2:16" s="108" customFormat="1" ht="43.5" hidden="1" customHeight="1">
      <c r="B3266" s="109"/>
      <c r="C3266" s="122"/>
      <c r="D3266" s="256" t="s">
        <v>994</v>
      </c>
      <c r="E3266" s="783">
        <v>482505610</v>
      </c>
      <c r="F3266" s="134">
        <v>61756420382.300003</v>
      </c>
      <c r="G3266" s="126">
        <f t="shared" si="81"/>
        <v>0.78130436805286552</v>
      </c>
      <c r="H3266" s="120"/>
      <c r="I3266" s="120"/>
      <c r="J3266" s="116"/>
      <c r="K3266" s="116"/>
      <c r="L3266" s="116"/>
      <c r="M3266" s="116"/>
      <c r="N3266" s="116"/>
      <c r="O3266" s="116"/>
      <c r="P3266" s="116"/>
    </row>
    <row r="3267" spans="2:16" s="108" customFormat="1" ht="21.75" hidden="1" customHeight="1">
      <c r="B3267" s="109"/>
      <c r="C3267" s="122"/>
      <c r="D3267" s="253"/>
      <c r="E3267" s="783"/>
      <c r="F3267" s="134">
        <v>61756420382.300003</v>
      </c>
      <c r="G3267" s="126">
        <f t="shared" si="81"/>
        <v>0</v>
      </c>
      <c r="H3267" s="120"/>
      <c r="I3267" s="120"/>
      <c r="J3267" s="116"/>
      <c r="K3267" s="116"/>
      <c r="L3267" s="116"/>
      <c r="M3267" s="116"/>
      <c r="N3267" s="116"/>
      <c r="O3267" s="116"/>
      <c r="P3267" s="116"/>
    </row>
    <row r="3268" spans="2:16" s="108" customFormat="1" ht="21.75" hidden="1" customHeight="1">
      <c r="B3268" s="109"/>
      <c r="C3268" s="122"/>
      <c r="D3268" s="253" t="s">
        <v>2256</v>
      </c>
      <c r="E3268" s="782">
        <f>+E3269+E3276</f>
        <v>7145395221.5799999</v>
      </c>
      <c r="F3268" s="134">
        <v>61756420382.300003</v>
      </c>
      <c r="G3268" s="126">
        <f t="shared" si="81"/>
        <v>11.570287230617952</v>
      </c>
      <c r="H3268" s="120"/>
      <c r="I3268" s="120"/>
      <c r="J3268" s="116"/>
      <c r="K3268" s="116"/>
      <c r="L3268" s="116"/>
      <c r="M3268" s="116"/>
      <c r="N3268" s="116"/>
      <c r="O3268" s="116"/>
      <c r="P3268" s="116"/>
    </row>
    <row r="3269" spans="2:16" s="117" customFormat="1" ht="21.75" hidden="1" customHeight="1">
      <c r="B3269" s="118"/>
      <c r="C3269" s="110"/>
      <c r="D3269" s="253" t="s">
        <v>2257</v>
      </c>
      <c r="E3269" s="782">
        <f>+E3270+E3273</f>
        <v>800000000</v>
      </c>
      <c r="F3269" s="114">
        <v>61756420382.300003</v>
      </c>
      <c r="G3269" s="127">
        <f t="shared" si="81"/>
        <v>1.2954118698066377</v>
      </c>
      <c r="H3269" s="120"/>
      <c r="I3269" s="120"/>
      <c r="J3269" s="121"/>
      <c r="K3269" s="121"/>
      <c r="L3269" s="121"/>
      <c r="M3269" s="121"/>
      <c r="N3269" s="121"/>
      <c r="O3269" s="121"/>
      <c r="P3269" s="121"/>
    </row>
    <row r="3270" spans="2:16" s="117" customFormat="1" ht="21.75" hidden="1" customHeight="1">
      <c r="B3270" s="118"/>
      <c r="C3270" s="110"/>
      <c r="D3270" s="253" t="s">
        <v>2258</v>
      </c>
      <c r="E3270" s="782">
        <f>+E3271+E3272</f>
        <v>400000000</v>
      </c>
      <c r="F3270" s="114">
        <v>61756420382.300003</v>
      </c>
      <c r="G3270" s="127">
        <f t="shared" si="81"/>
        <v>0.64770593490331885</v>
      </c>
      <c r="H3270" s="120"/>
      <c r="I3270" s="120"/>
      <c r="J3270" s="121"/>
      <c r="K3270" s="121"/>
      <c r="L3270" s="121"/>
      <c r="M3270" s="121"/>
      <c r="N3270" s="121"/>
      <c r="O3270" s="121"/>
      <c r="P3270" s="121"/>
    </row>
    <row r="3271" spans="2:16" s="108" customFormat="1" ht="21.75" hidden="1" customHeight="1">
      <c r="B3271" s="109"/>
      <c r="C3271" s="122"/>
      <c r="D3271" s="256" t="s">
        <v>2259</v>
      </c>
      <c r="E3271" s="783">
        <v>200000000</v>
      </c>
      <c r="F3271" s="134">
        <v>61756420382.300003</v>
      </c>
      <c r="G3271" s="126">
        <f t="shared" si="81"/>
        <v>0.32385296745165942</v>
      </c>
      <c r="H3271" s="120"/>
      <c r="I3271" s="120"/>
      <c r="J3271" s="116"/>
      <c r="K3271" s="116"/>
      <c r="L3271" s="116"/>
      <c r="M3271" s="116"/>
      <c r="N3271" s="116"/>
      <c r="O3271" s="116"/>
      <c r="P3271" s="116"/>
    </row>
    <row r="3272" spans="2:16" s="108" customFormat="1" ht="21.75" hidden="1" customHeight="1">
      <c r="B3272" s="109"/>
      <c r="C3272" s="122"/>
      <c r="D3272" s="256" t="s">
        <v>2260</v>
      </c>
      <c r="E3272" s="783">
        <v>200000000</v>
      </c>
      <c r="F3272" s="134">
        <v>61756420382.300003</v>
      </c>
      <c r="G3272" s="126">
        <f t="shared" si="81"/>
        <v>0.32385296745165942</v>
      </c>
      <c r="H3272" s="120"/>
      <c r="I3272" s="120"/>
      <c r="J3272" s="116"/>
      <c r="K3272" s="116"/>
      <c r="L3272" s="116"/>
      <c r="M3272" s="116"/>
      <c r="N3272" s="116"/>
      <c r="O3272" s="116"/>
      <c r="P3272" s="116"/>
    </row>
    <row r="3273" spans="2:16" s="117" customFormat="1" ht="21.75" hidden="1" customHeight="1">
      <c r="B3273" s="118"/>
      <c r="C3273" s="110"/>
      <c r="D3273" s="253" t="s">
        <v>2261</v>
      </c>
      <c r="E3273" s="782">
        <f>+E3274+E3275</f>
        <v>400000000</v>
      </c>
      <c r="F3273" s="114">
        <v>61756420382.300003</v>
      </c>
      <c r="G3273" s="127">
        <f t="shared" si="81"/>
        <v>0.64770593490331885</v>
      </c>
      <c r="H3273" s="120"/>
      <c r="I3273" s="120"/>
      <c r="J3273" s="121"/>
      <c r="K3273" s="121"/>
      <c r="L3273" s="121"/>
      <c r="M3273" s="121"/>
      <c r="N3273" s="121"/>
      <c r="O3273" s="121"/>
      <c r="P3273" s="121"/>
    </row>
    <row r="3274" spans="2:16" s="108" customFormat="1" ht="21.75" hidden="1" customHeight="1">
      <c r="B3274" s="109"/>
      <c r="C3274" s="122"/>
      <c r="D3274" s="256" t="s">
        <v>2262</v>
      </c>
      <c r="E3274" s="783">
        <v>200000000</v>
      </c>
      <c r="F3274" s="134">
        <v>61756420382.300003</v>
      </c>
      <c r="G3274" s="126">
        <f t="shared" si="81"/>
        <v>0.32385296745165942</v>
      </c>
      <c r="H3274" s="120"/>
      <c r="I3274" s="120"/>
      <c r="J3274" s="116"/>
      <c r="K3274" s="116"/>
      <c r="L3274" s="116"/>
      <c r="M3274" s="116"/>
      <c r="N3274" s="116"/>
      <c r="O3274" s="116"/>
      <c r="P3274" s="116"/>
    </row>
    <row r="3275" spans="2:16" s="108" customFormat="1" ht="21.75" hidden="1" customHeight="1">
      <c r="B3275" s="109"/>
      <c r="C3275" s="122"/>
      <c r="D3275" s="256" t="s">
        <v>2263</v>
      </c>
      <c r="E3275" s="783">
        <v>200000000</v>
      </c>
      <c r="F3275" s="134">
        <v>61756420382.300003</v>
      </c>
      <c r="G3275" s="126">
        <f t="shared" si="81"/>
        <v>0.32385296745165942</v>
      </c>
      <c r="H3275" s="120"/>
      <c r="I3275" s="120"/>
      <c r="J3275" s="116"/>
      <c r="K3275" s="116"/>
      <c r="L3275" s="116"/>
      <c r="M3275" s="116"/>
      <c r="N3275" s="116"/>
      <c r="O3275" s="116"/>
      <c r="P3275" s="116"/>
    </row>
    <row r="3276" spans="2:16" s="117" customFormat="1" ht="21.75" hidden="1" customHeight="1">
      <c r="B3276" s="118"/>
      <c r="C3276" s="110"/>
      <c r="D3276" s="253" t="s">
        <v>2264</v>
      </c>
      <c r="E3276" s="785">
        <f>+E3277+E3279</f>
        <v>6345395221.5799999</v>
      </c>
      <c r="F3276" s="114">
        <v>61756420382.300003</v>
      </c>
      <c r="G3276" s="127">
        <f t="shared" si="81"/>
        <v>10.274875360811315</v>
      </c>
      <c r="H3276" s="120"/>
      <c r="I3276" s="120"/>
      <c r="J3276" s="121"/>
      <c r="K3276" s="121"/>
      <c r="L3276" s="121"/>
      <c r="M3276" s="121"/>
      <c r="N3276" s="121"/>
      <c r="O3276" s="121"/>
      <c r="P3276" s="121"/>
    </row>
    <row r="3277" spans="2:16" s="117" customFormat="1" ht="21.75" hidden="1" customHeight="1">
      <c r="B3277" s="118"/>
      <c r="C3277" s="110"/>
      <c r="D3277" s="253" t="s">
        <v>2265</v>
      </c>
      <c r="E3277" s="782">
        <f>E3278</f>
        <v>2205385222</v>
      </c>
      <c r="F3277" s="114">
        <v>61756420382.300003</v>
      </c>
      <c r="G3277" s="127">
        <f t="shared" si="81"/>
        <v>3.5711027425936832</v>
      </c>
      <c r="H3277" s="120"/>
      <c r="I3277" s="120"/>
      <c r="J3277" s="121"/>
      <c r="K3277" s="121"/>
      <c r="L3277" s="121"/>
      <c r="M3277" s="121"/>
      <c r="N3277" s="121"/>
      <c r="O3277" s="121"/>
      <c r="P3277" s="121"/>
    </row>
    <row r="3278" spans="2:16" s="108" customFormat="1" ht="21.75" hidden="1" customHeight="1">
      <c r="B3278" s="109"/>
      <c r="C3278" s="122"/>
      <c r="D3278" s="256" t="s">
        <v>2266</v>
      </c>
      <c r="E3278" s="783">
        <v>2205385222</v>
      </c>
      <c r="F3278" s="134">
        <v>61756420382.300003</v>
      </c>
      <c r="G3278" s="126">
        <f t="shared" si="81"/>
        <v>3.5711027425936832</v>
      </c>
      <c r="H3278" s="120"/>
      <c r="I3278" s="120"/>
      <c r="J3278" s="116"/>
      <c r="K3278" s="116"/>
      <c r="L3278" s="116"/>
      <c r="M3278" s="116"/>
      <c r="N3278" s="116"/>
      <c r="O3278" s="116"/>
      <c r="P3278" s="116"/>
    </row>
    <row r="3279" spans="2:16" s="117" customFormat="1" ht="21.75" hidden="1" customHeight="1">
      <c r="B3279" s="118"/>
      <c r="C3279" s="110"/>
      <c r="D3279" s="253" t="s">
        <v>2267</v>
      </c>
      <c r="E3279" s="782">
        <f>SUM(E3280:E3285)</f>
        <v>4140009999.5799999</v>
      </c>
      <c r="F3279" s="114">
        <v>61756420382.300003</v>
      </c>
      <c r="G3279" s="127">
        <f t="shared" si="81"/>
        <v>6.7037726182176325</v>
      </c>
      <c r="H3279" s="120"/>
      <c r="I3279" s="120"/>
      <c r="J3279" s="121"/>
      <c r="K3279" s="121"/>
      <c r="L3279" s="121"/>
      <c r="M3279" s="121"/>
      <c r="N3279" s="121"/>
      <c r="O3279" s="121"/>
      <c r="P3279" s="121"/>
    </row>
    <row r="3280" spans="2:16" s="108" customFormat="1" ht="31.5" hidden="1" customHeight="1">
      <c r="B3280" s="109"/>
      <c r="C3280" s="122"/>
      <c r="D3280" s="256" t="s">
        <v>2268</v>
      </c>
      <c r="E3280" s="783">
        <v>780000000</v>
      </c>
      <c r="F3280" s="134">
        <v>61756420382.300003</v>
      </c>
      <c r="G3280" s="126">
        <f t="shared" si="81"/>
        <v>1.2630265730614718</v>
      </c>
      <c r="H3280" s="120"/>
      <c r="I3280" s="120"/>
      <c r="J3280" s="116"/>
      <c r="K3280" s="116"/>
      <c r="L3280" s="116"/>
      <c r="M3280" s="116"/>
      <c r="N3280" s="116"/>
      <c r="O3280" s="116"/>
      <c r="P3280" s="116"/>
    </row>
    <row r="3281" spans="2:16" s="108" customFormat="1" ht="43.5" hidden="1" customHeight="1">
      <c r="B3281" s="109"/>
      <c r="C3281" s="122"/>
      <c r="D3281" s="256" t="s">
        <v>2269</v>
      </c>
      <c r="E3281" s="783">
        <v>1020000000</v>
      </c>
      <c r="F3281" s="134">
        <v>61756420382.300003</v>
      </c>
      <c r="G3281" s="126">
        <f t="shared" si="81"/>
        <v>1.6516501340034633</v>
      </c>
      <c r="H3281" s="120"/>
      <c r="I3281" s="120"/>
      <c r="J3281" s="116"/>
      <c r="K3281" s="116"/>
      <c r="L3281" s="116"/>
      <c r="M3281" s="116"/>
      <c r="N3281" s="116"/>
      <c r="O3281" s="116"/>
      <c r="P3281" s="116"/>
    </row>
    <row r="3282" spans="2:16" s="108" customFormat="1" ht="43.5" hidden="1" customHeight="1">
      <c r="B3282" s="109"/>
      <c r="C3282" s="122"/>
      <c r="D3282" s="256" t="s">
        <v>2270</v>
      </c>
      <c r="E3282" s="783">
        <v>550000000</v>
      </c>
      <c r="F3282" s="134">
        <v>61756420382.300003</v>
      </c>
      <c r="G3282" s="126">
        <f t="shared" si="81"/>
        <v>0.8905956604920634</v>
      </c>
      <c r="H3282" s="120"/>
      <c r="I3282" s="120"/>
      <c r="J3282" s="116"/>
      <c r="K3282" s="116"/>
      <c r="L3282" s="116"/>
      <c r="M3282" s="116"/>
      <c r="N3282" s="116"/>
      <c r="O3282" s="116"/>
      <c r="P3282" s="116"/>
    </row>
    <row r="3283" spans="2:16" s="108" customFormat="1" ht="43.5" hidden="1" customHeight="1">
      <c r="B3283" s="109"/>
      <c r="C3283" s="122"/>
      <c r="D3283" s="256" t="s">
        <v>2271</v>
      </c>
      <c r="E3283" s="783">
        <v>90000000</v>
      </c>
      <c r="F3283" s="134">
        <v>61756420382.300003</v>
      </c>
      <c r="G3283" s="126">
        <f t="shared" si="81"/>
        <v>0.14573383535324674</v>
      </c>
      <c r="H3283" s="120"/>
      <c r="I3283" s="120"/>
      <c r="J3283" s="116"/>
      <c r="K3283" s="116"/>
      <c r="L3283" s="116"/>
      <c r="M3283" s="116"/>
      <c r="N3283" s="116"/>
      <c r="O3283" s="116"/>
      <c r="P3283" s="116"/>
    </row>
    <row r="3284" spans="2:16" s="108" customFormat="1" ht="33" hidden="1" customHeight="1">
      <c r="B3284" s="109"/>
      <c r="C3284" s="122"/>
      <c r="D3284" s="256" t="s">
        <v>2272</v>
      </c>
      <c r="E3284" s="783">
        <v>900000029.27999997</v>
      </c>
      <c r="F3284" s="134">
        <v>61756420382.300003</v>
      </c>
      <c r="G3284" s="126">
        <f t="shared" ref="G3284:G3285" si="82">+E3284/F3284*100</f>
        <v>1.4573384009445418</v>
      </c>
      <c r="H3284" s="120"/>
      <c r="I3284" s="120"/>
      <c r="J3284" s="116"/>
      <c r="K3284" s="116"/>
      <c r="L3284" s="116"/>
      <c r="M3284" s="116"/>
      <c r="N3284" s="116"/>
      <c r="O3284" s="116"/>
      <c r="P3284" s="116"/>
    </row>
    <row r="3285" spans="2:16" s="108" customFormat="1" ht="33" hidden="1" customHeight="1">
      <c r="B3285" s="109"/>
      <c r="C3285" s="122"/>
      <c r="D3285" s="256" t="s">
        <v>2273</v>
      </c>
      <c r="E3285" s="783">
        <v>800009970.29999995</v>
      </c>
      <c r="F3285" s="134">
        <v>61756420382.300003</v>
      </c>
      <c r="G3285" s="126">
        <f t="shared" si="82"/>
        <v>1.2954280143628447</v>
      </c>
      <c r="H3285" s="120"/>
      <c r="I3285" s="120"/>
      <c r="J3285" s="116"/>
      <c r="K3285" s="116"/>
      <c r="L3285" s="116"/>
      <c r="M3285" s="116"/>
      <c r="N3285" s="116"/>
      <c r="O3285" s="116"/>
      <c r="P3285" s="116"/>
    </row>
    <row r="3286" spans="2:16" s="108" customFormat="1" ht="21.75" hidden="1" customHeight="1">
      <c r="B3286" s="109"/>
      <c r="C3286" s="122"/>
      <c r="D3286" s="123"/>
      <c r="E3286" s="129"/>
      <c r="F3286" s="134"/>
      <c r="G3286" s="126"/>
      <c r="H3286" s="120"/>
      <c r="I3286" s="120"/>
      <c r="J3286" s="116"/>
      <c r="K3286" s="116"/>
      <c r="L3286" s="116"/>
      <c r="M3286" s="116"/>
      <c r="N3286" s="116"/>
      <c r="O3286" s="116"/>
      <c r="P3286" s="116"/>
    </row>
    <row r="3287" spans="2:16" s="117" customFormat="1" ht="21.75" hidden="1" customHeight="1">
      <c r="B3287" s="118"/>
      <c r="C3287" s="110" t="s">
        <v>2274</v>
      </c>
      <c r="D3287" s="111" t="s">
        <v>2275</v>
      </c>
      <c r="E3287" s="129">
        <f>+E3288+E3333+E3341+E3349+E3353+E3357+E3361+E3367+E3373+E3377+E3381+E3386+E3390+E3398+E3402+E3408+E3414+E3427+E3436+E3345</f>
        <v>60339107583.360001</v>
      </c>
      <c r="F3287" s="114">
        <v>1557405258400.0002</v>
      </c>
      <c r="G3287" s="127">
        <f>+E3287/F3287*100</f>
        <v>3.8743356783930061</v>
      </c>
      <c r="H3287" s="47"/>
      <c r="I3287" s="120"/>
      <c r="J3287" s="121"/>
      <c r="K3287" s="121"/>
      <c r="L3287" s="121"/>
      <c r="M3287" s="121"/>
      <c r="N3287" s="121"/>
      <c r="O3287" s="121"/>
      <c r="P3287" s="121"/>
    </row>
    <row r="3288" spans="2:16" s="108" customFormat="1" ht="21.75" hidden="1" customHeight="1">
      <c r="B3288" s="109"/>
      <c r="C3288" s="122"/>
      <c r="D3288" s="111" t="s">
        <v>444</v>
      </c>
      <c r="E3288" s="257">
        <f>+E3289+E3298+E3314+E3318+E3320+E3325+E3330</f>
        <v>17097168275</v>
      </c>
      <c r="F3288" s="134">
        <v>60339107583.360001</v>
      </c>
      <c r="G3288" s="126">
        <f>+E3288/F3288*100</f>
        <v>28.335136132697734</v>
      </c>
      <c r="H3288" s="120"/>
      <c r="I3288" s="798"/>
      <c r="J3288" s="116"/>
      <c r="K3288" s="116"/>
      <c r="L3288" s="116"/>
      <c r="M3288" s="116"/>
      <c r="N3288" s="116"/>
      <c r="O3288" s="116"/>
      <c r="P3288" s="116"/>
    </row>
    <row r="3289" spans="2:16" s="108" customFormat="1" ht="21.75" hidden="1" customHeight="1">
      <c r="B3289" s="109"/>
      <c r="C3289" s="122"/>
      <c r="D3289" s="150" t="s">
        <v>388</v>
      </c>
      <c r="E3289" s="257">
        <f>SUM(E3290:E3297)</f>
        <v>2009140000</v>
      </c>
      <c r="F3289" s="134">
        <v>60339107583.360001</v>
      </c>
      <c r="G3289" s="126">
        <f t="shared" ref="G3289:G3352" si="83">+E3289/F3289*100</f>
        <v>3.329747622177412</v>
      </c>
      <c r="H3289" s="120"/>
      <c r="I3289" s="798"/>
      <c r="J3289" s="116"/>
      <c r="K3289" s="116"/>
      <c r="L3289" s="116"/>
      <c r="M3289" s="116"/>
      <c r="N3289" s="116"/>
      <c r="O3289" s="116"/>
      <c r="P3289" s="116"/>
    </row>
    <row r="3290" spans="2:16" s="108" customFormat="1" ht="21.75" hidden="1" customHeight="1">
      <c r="B3290" s="109"/>
      <c r="C3290" s="122"/>
      <c r="D3290" s="123" t="s">
        <v>2276</v>
      </c>
      <c r="E3290" s="136">
        <v>250000000</v>
      </c>
      <c r="F3290" s="134">
        <v>60339107583.360001</v>
      </c>
      <c r="G3290" s="126">
        <f t="shared" si="83"/>
        <v>0.41432498757894071</v>
      </c>
      <c r="H3290" s="120"/>
      <c r="I3290" s="798"/>
      <c r="J3290" s="116"/>
      <c r="K3290" s="116"/>
      <c r="L3290" s="116"/>
      <c r="M3290" s="116"/>
      <c r="N3290" s="116"/>
      <c r="O3290" s="116"/>
      <c r="P3290" s="116"/>
    </row>
    <row r="3291" spans="2:16" s="108" customFormat="1" ht="21.75" hidden="1" customHeight="1">
      <c r="B3291" s="109"/>
      <c r="C3291" s="122"/>
      <c r="D3291" s="123" t="s">
        <v>2277</v>
      </c>
      <c r="E3291" s="136">
        <v>455500000</v>
      </c>
      <c r="F3291" s="134">
        <v>60339107583.360001</v>
      </c>
      <c r="G3291" s="126">
        <f t="shared" si="83"/>
        <v>0.75490012736882994</v>
      </c>
      <c r="H3291" s="120"/>
      <c r="I3291" s="798"/>
      <c r="J3291" s="116"/>
      <c r="K3291" s="116"/>
      <c r="L3291" s="116"/>
      <c r="M3291" s="116"/>
      <c r="N3291" s="116"/>
      <c r="O3291" s="116"/>
      <c r="P3291" s="116"/>
    </row>
    <row r="3292" spans="2:16" s="108" customFormat="1" ht="21.75" hidden="1" customHeight="1">
      <c r="B3292" s="109"/>
      <c r="C3292" s="122"/>
      <c r="D3292" s="123" t="s">
        <v>2278</v>
      </c>
      <c r="E3292" s="136">
        <v>150000000</v>
      </c>
      <c r="F3292" s="134">
        <v>60339107583.360001</v>
      </c>
      <c r="G3292" s="126">
        <f t="shared" si="83"/>
        <v>0.24859499254736442</v>
      </c>
      <c r="H3292" s="120"/>
      <c r="I3292" s="798"/>
      <c r="J3292" s="116"/>
      <c r="K3292" s="116"/>
      <c r="L3292" s="116"/>
      <c r="M3292" s="116"/>
      <c r="N3292" s="116"/>
      <c r="O3292" s="116"/>
      <c r="P3292" s="116"/>
    </row>
    <row r="3293" spans="2:16" s="108" customFormat="1" ht="36.75" hidden="1" customHeight="1">
      <c r="B3293" s="109"/>
      <c r="C3293" s="122"/>
      <c r="D3293" s="123" t="s">
        <v>2279</v>
      </c>
      <c r="E3293" s="136">
        <v>218640000</v>
      </c>
      <c r="F3293" s="134">
        <v>60339107583.360001</v>
      </c>
      <c r="G3293" s="126">
        <f t="shared" si="83"/>
        <v>0.36235206113703838</v>
      </c>
      <c r="H3293" s="120"/>
      <c r="I3293" s="798"/>
      <c r="J3293" s="116"/>
      <c r="K3293" s="116"/>
      <c r="L3293" s="116"/>
      <c r="M3293" s="116"/>
      <c r="N3293" s="116"/>
      <c r="O3293" s="116"/>
      <c r="P3293" s="116"/>
    </row>
    <row r="3294" spans="2:16" s="108" customFormat="1" ht="21.75" hidden="1" customHeight="1">
      <c r="B3294" s="109"/>
      <c r="C3294" s="122"/>
      <c r="D3294" s="123" t="s">
        <v>2280</v>
      </c>
      <c r="E3294" s="136">
        <v>125000000</v>
      </c>
      <c r="F3294" s="134">
        <v>60339107583.360001</v>
      </c>
      <c r="G3294" s="126">
        <f t="shared" si="83"/>
        <v>0.20716249378947035</v>
      </c>
      <c r="H3294" s="120"/>
      <c r="I3294" s="798"/>
      <c r="J3294" s="116"/>
      <c r="K3294" s="116"/>
      <c r="L3294" s="116"/>
      <c r="M3294" s="116"/>
      <c r="N3294" s="116"/>
      <c r="O3294" s="116"/>
      <c r="P3294" s="116"/>
    </row>
    <row r="3295" spans="2:16" s="108" customFormat="1" ht="21.75" hidden="1" customHeight="1">
      <c r="B3295" s="109"/>
      <c r="C3295" s="122"/>
      <c r="D3295" s="123" t="s">
        <v>2281</v>
      </c>
      <c r="E3295" s="136">
        <v>150000000</v>
      </c>
      <c r="F3295" s="134">
        <v>60339107583.360001</v>
      </c>
      <c r="G3295" s="126">
        <f t="shared" si="83"/>
        <v>0.24859499254736442</v>
      </c>
      <c r="H3295" s="120"/>
      <c r="I3295" s="798"/>
      <c r="J3295" s="116"/>
      <c r="K3295" s="116"/>
      <c r="L3295" s="116"/>
      <c r="M3295" s="116"/>
      <c r="N3295" s="116"/>
      <c r="O3295" s="116"/>
      <c r="P3295" s="116"/>
    </row>
    <row r="3296" spans="2:16" s="108" customFormat="1" ht="21.75" hidden="1" customHeight="1">
      <c r="B3296" s="109"/>
      <c r="C3296" s="122"/>
      <c r="D3296" s="123" t="s">
        <v>2282</v>
      </c>
      <c r="E3296" s="136">
        <v>60000000</v>
      </c>
      <c r="F3296" s="134">
        <v>60339107583.360001</v>
      </c>
      <c r="G3296" s="126">
        <f t="shared" si="83"/>
        <v>9.9437997018945776E-2</v>
      </c>
      <c r="H3296" s="120"/>
      <c r="I3296" s="798"/>
      <c r="J3296" s="116"/>
      <c r="K3296" s="116"/>
      <c r="L3296" s="116"/>
      <c r="M3296" s="116"/>
      <c r="N3296" s="116"/>
      <c r="O3296" s="116"/>
      <c r="P3296" s="116"/>
    </row>
    <row r="3297" spans="2:16" s="108" customFormat="1" ht="21.75" hidden="1" customHeight="1">
      <c r="B3297" s="109"/>
      <c r="C3297" s="122"/>
      <c r="D3297" s="123" t="s">
        <v>2283</v>
      </c>
      <c r="E3297" s="136">
        <v>600000000</v>
      </c>
      <c r="F3297" s="134">
        <v>60339107583.360001</v>
      </c>
      <c r="G3297" s="126">
        <f t="shared" si="83"/>
        <v>0.99437997018945767</v>
      </c>
      <c r="H3297" s="120"/>
      <c r="I3297" s="798"/>
      <c r="J3297" s="116"/>
      <c r="K3297" s="116"/>
      <c r="L3297" s="116"/>
      <c r="M3297" s="116"/>
      <c r="N3297" s="116"/>
      <c r="O3297" s="116"/>
      <c r="P3297" s="116"/>
    </row>
    <row r="3298" spans="2:16" s="108" customFormat="1" ht="21.75" hidden="1" customHeight="1">
      <c r="B3298" s="109"/>
      <c r="C3298" s="122"/>
      <c r="D3298" s="111" t="s">
        <v>394</v>
      </c>
      <c r="E3298" s="135">
        <f>SUM(E3299:E3313)</f>
        <v>9926028275</v>
      </c>
      <c r="F3298" s="134">
        <v>60339107583.360001</v>
      </c>
      <c r="G3298" s="126">
        <f t="shared" si="83"/>
        <v>16.450406166990359</v>
      </c>
      <c r="H3298" s="120"/>
      <c r="I3298" s="798"/>
      <c r="J3298" s="116"/>
      <c r="K3298" s="116"/>
      <c r="L3298" s="116"/>
      <c r="M3298" s="116"/>
      <c r="N3298" s="116"/>
      <c r="O3298" s="116"/>
      <c r="P3298" s="116"/>
    </row>
    <row r="3299" spans="2:16" s="108" customFormat="1" ht="21.75" hidden="1" customHeight="1">
      <c r="B3299" s="109"/>
      <c r="C3299" s="122"/>
      <c r="D3299" s="123" t="s">
        <v>1482</v>
      </c>
      <c r="E3299" s="136">
        <v>330000000</v>
      </c>
      <c r="F3299" s="134">
        <v>60339107583.360001</v>
      </c>
      <c r="G3299" s="126">
        <f t="shared" si="83"/>
        <v>0.54690898360420181</v>
      </c>
      <c r="H3299" s="120"/>
      <c r="I3299" s="798"/>
      <c r="J3299" s="116"/>
      <c r="K3299" s="116"/>
      <c r="L3299" s="116"/>
      <c r="M3299" s="116"/>
      <c r="N3299" s="116"/>
      <c r="O3299" s="116"/>
      <c r="P3299" s="116"/>
    </row>
    <row r="3300" spans="2:16" s="108" customFormat="1" ht="21.75" hidden="1" customHeight="1">
      <c r="B3300" s="109"/>
      <c r="C3300" s="122"/>
      <c r="D3300" s="123" t="s">
        <v>2284</v>
      </c>
      <c r="E3300" s="136">
        <v>176000000</v>
      </c>
      <c r="F3300" s="134">
        <v>60339107583.360001</v>
      </c>
      <c r="G3300" s="126">
        <f t="shared" si="83"/>
        <v>0.29168479125557423</v>
      </c>
      <c r="H3300" s="120"/>
      <c r="I3300" s="798"/>
      <c r="J3300" s="116"/>
      <c r="K3300" s="116"/>
      <c r="L3300" s="116"/>
      <c r="M3300" s="116"/>
      <c r="N3300" s="116"/>
      <c r="O3300" s="116"/>
      <c r="P3300" s="116"/>
    </row>
    <row r="3301" spans="2:16" s="108" customFormat="1" ht="21.75" hidden="1" customHeight="1">
      <c r="B3301" s="109"/>
      <c r="C3301" s="122"/>
      <c r="D3301" s="123" t="s">
        <v>2285</v>
      </c>
      <c r="E3301" s="136">
        <v>2350808275</v>
      </c>
      <c r="F3301" s="134">
        <v>60339107583.360001</v>
      </c>
      <c r="G3301" s="126">
        <f t="shared" si="83"/>
        <v>3.8959944373593838</v>
      </c>
      <c r="H3301" s="120"/>
      <c r="I3301" s="798"/>
      <c r="J3301" s="116"/>
      <c r="K3301" s="116"/>
      <c r="L3301" s="116"/>
      <c r="M3301" s="116"/>
      <c r="N3301" s="116"/>
      <c r="O3301" s="116"/>
      <c r="P3301" s="116"/>
    </row>
    <row r="3302" spans="2:16" s="108" customFormat="1" ht="36.75" hidden="1" customHeight="1">
      <c r="B3302" s="109"/>
      <c r="C3302" s="122"/>
      <c r="D3302" s="123" t="s">
        <v>2286</v>
      </c>
      <c r="E3302" s="136">
        <v>2021000000</v>
      </c>
      <c r="F3302" s="134">
        <v>60339107583.360001</v>
      </c>
      <c r="G3302" s="126">
        <f t="shared" si="83"/>
        <v>3.3494031995881564</v>
      </c>
      <c r="H3302" s="120"/>
      <c r="I3302" s="798"/>
      <c r="J3302" s="116"/>
      <c r="K3302" s="116"/>
      <c r="L3302" s="116"/>
      <c r="M3302" s="116"/>
      <c r="N3302" s="116"/>
      <c r="O3302" s="116"/>
      <c r="P3302" s="116"/>
    </row>
    <row r="3303" spans="2:16" s="108" customFormat="1" ht="21.75" hidden="1" customHeight="1">
      <c r="B3303" s="109"/>
      <c r="C3303" s="122"/>
      <c r="D3303" s="123" t="s">
        <v>2287</v>
      </c>
      <c r="E3303" s="136">
        <v>974282000</v>
      </c>
      <c r="F3303" s="134">
        <v>60339107583.360001</v>
      </c>
      <c r="G3303" s="126">
        <f t="shared" si="83"/>
        <v>1.614677510193542</v>
      </c>
      <c r="H3303" s="120"/>
      <c r="I3303" s="798"/>
      <c r="J3303" s="116"/>
      <c r="K3303" s="116"/>
      <c r="L3303" s="116"/>
      <c r="M3303" s="116"/>
      <c r="N3303" s="116"/>
      <c r="O3303" s="116"/>
      <c r="P3303" s="116"/>
    </row>
    <row r="3304" spans="2:16" s="108" customFormat="1" ht="21.75" hidden="1" customHeight="1">
      <c r="B3304" s="109"/>
      <c r="C3304" s="122"/>
      <c r="D3304" s="123" t="s">
        <v>2288</v>
      </c>
      <c r="E3304" s="136">
        <v>336000000</v>
      </c>
      <c r="F3304" s="134">
        <v>60339107583.360001</v>
      </c>
      <c r="G3304" s="126">
        <f t="shared" si="83"/>
        <v>0.55685278330609633</v>
      </c>
      <c r="H3304" s="120"/>
      <c r="I3304" s="798"/>
      <c r="J3304" s="116"/>
      <c r="K3304" s="116"/>
      <c r="L3304" s="116"/>
      <c r="M3304" s="116"/>
      <c r="N3304" s="116"/>
      <c r="O3304" s="116"/>
      <c r="P3304" s="116"/>
    </row>
    <row r="3305" spans="2:16" s="108" customFormat="1" ht="21.75" hidden="1" customHeight="1">
      <c r="B3305" s="109"/>
      <c r="C3305" s="122"/>
      <c r="D3305" s="123" t="s">
        <v>2289</v>
      </c>
      <c r="E3305" s="136">
        <v>1386500000</v>
      </c>
      <c r="F3305" s="134">
        <v>60339107583.360001</v>
      </c>
      <c r="G3305" s="126">
        <f t="shared" si="83"/>
        <v>2.2978463811128051</v>
      </c>
      <c r="H3305" s="120"/>
      <c r="I3305" s="798"/>
      <c r="J3305" s="116"/>
      <c r="K3305" s="116"/>
      <c r="L3305" s="116"/>
      <c r="M3305" s="116"/>
      <c r="N3305" s="116"/>
      <c r="O3305" s="116"/>
      <c r="P3305" s="116"/>
    </row>
    <row r="3306" spans="2:16" s="108" customFormat="1" ht="21.75" hidden="1" customHeight="1">
      <c r="B3306" s="109"/>
      <c r="C3306" s="122"/>
      <c r="D3306" s="123" t="s">
        <v>2290</v>
      </c>
      <c r="E3306" s="136">
        <v>280000000</v>
      </c>
      <c r="F3306" s="134">
        <v>60339107583.360001</v>
      </c>
      <c r="G3306" s="126">
        <f t="shared" si="83"/>
        <v>0.46404398608841363</v>
      </c>
      <c r="H3306" s="120"/>
      <c r="I3306" s="798"/>
      <c r="J3306" s="116"/>
      <c r="K3306" s="116"/>
      <c r="L3306" s="116"/>
      <c r="M3306" s="116"/>
      <c r="N3306" s="116"/>
      <c r="O3306" s="116"/>
      <c r="P3306" s="116"/>
    </row>
    <row r="3307" spans="2:16" s="108" customFormat="1" ht="21.75" hidden="1" customHeight="1">
      <c r="B3307" s="109"/>
      <c r="C3307" s="122"/>
      <c r="D3307" s="123" t="s">
        <v>2291</v>
      </c>
      <c r="E3307" s="136">
        <v>330000000</v>
      </c>
      <c r="F3307" s="134">
        <v>60339107583.360001</v>
      </c>
      <c r="G3307" s="126">
        <f t="shared" si="83"/>
        <v>0.54690898360420181</v>
      </c>
      <c r="H3307" s="120"/>
      <c r="I3307" s="798"/>
      <c r="J3307" s="116"/>
      <c r="K3307" s="116"/>
      <c r="L3307" s="116"/>
      <c r="M3307" s="116"/>
      <c r="N3307" s="116"/>
      <c r="O3307" s="116"/>
      <c r="P3307" s="116"/>
    </row>
    <row r="3308" spans="2:16" s="108" customFormat="1" ht="21.75" hidden="1" customHeight="1">
      <c r="B3308" s="109"/>
      <c r="C3308" s="122"/>
      <c r="D3308" s="123" t="s">
        <v>2292</v>
      </c>
      <c r="E3308" s="136">
        <v>112000000</v>
      </c>
      <c r="F3308" s="134">
        <v>60339107583.360001</v>
      </c>
      <c r="G3308" s="126">
        <f t="shared" si="83"/>
        <v>0.18561759443536544</v>
      </c>
      <c r="H3308" s="120"/>
      <c r="I3308" s="798"/>
      <c r="J3308" s="116"/>
      <c r="K3308" s="116"/>
      <c r="L3308" s="116"/>
      <c r="M3308" s="116"/>
      <c r="N3308" s="116"/>
      <c r="O3308" s="116"/>
      <c r="P3308" s="116"/>
    </row>
    <row r="3309" spans="2:16" s="108" customFormat="1" ht="21.75" hidden="1" customHeight="1">
      <c r="B3309" s="109"/>
      <c r="C3309" s="122"/>
      <c r="D3309" s="123" t="s">
        <v>2293</v>
      </c>
      <c r="E3309" s="136">
        <v>300000000</v>
      </c>
      <c r="F3309" s="134">
        <v>60339107583.360001</v>
      </c>
      <c r="G3309" s="126">
        <f t="shared" si="83"/>
        <v>0.49718998509472884</v>
      </c>
      <c r="H3309" s="120"/>
      <c r="I3309" s="798"/>
      <c r="J3309" s="116"/>
      <c r="K3309" s="116"/>
      <c r="L3309" s="116"/>
      <c r="M3309" s="116"/>
      <c r="N3309" s="116"/>
      <c r="O3309" s="116"/>
      <c r="P3309" s="116"/>
    </row>
    <row r="3310" spans="2:16" s="108" customFormat="1" ht="21.75" hidden="1" customHeight="1">
      <c r="B3310" s="109"/>
      <c r="C3310" s="122"/>
      <c r="D3310" s="123" t="s">
        <v>2294</v>
      </c>
      <c r="E3310" s="136">
        <v>466000000</v>
      </c>
      <c r="F3310" s="134">
        <v>60339107583.360001</v>
      </c>
      <c r="G3310" s="126">
        <f t="shared" si="83"/>
        <v>0.77230177684714552</v>
      </c>
      <c r="H3310" s="120"/>
      <c r="I3310" s="798"/>
      <c r="J3310" s="116"/>
      <c r="K3310" s="116"/>
      <c r="L3310" s="116"/>
      <c r="M3310" s="116"/>
      <c r="N3310" s="116"/>
      <c r="O3310" s="116"/>
      <c r="P3310" s="116"/>
    </row>
    <row r="3311" spans="2:16" s="108" customFormat="1" ht="35.25" hidden="1" customHeight="1">
      <c r="B3311" s="109"/>
      <c r="C3311" s="122"/>
      <c r="D3311" s="123" t="s">
        <v>2295</v>
      </c>
      <c r="E3311" s="136">
        <v>450000000</v>
      </c>
      <c r="F3311" s="134">
        <v>60339107583.360001</v>
      </c>
      <c r="G3311" s="126">
        <f t="shared" si="83"/>
        <v>0.74578497764209328</v>
      </c>
      <c r="H3311" s="120"/>
      <c r="I3311" s="798"/>
      <c r="J3311" s="116"/>
      <c r="K3311" s="116"/>
      <c r="L3311" s="116"/>
      <c r="M3311" s="116"/>
      <c r="N3311" s="116"/>
      <c r="O3311" s="116"/>
      <c r="P3311" s="116"/>
    </row>
    <row r="3312" spans="2:16" s="108" customFormat="1" ht="21.75" hidden="1" customHeight="1">
      <c r="B3312" s="109"/>
      <c r="C3312" s="122"/>
      <c r="D3312" s="123" t="s">
        <v>2296</v>
      </c>
      <c r="E3312" s="136">
        <v>88000000</v>
      </c>
      <c r="F3312" s="134">
        <v>60339107583.360001</v>
      </c>
      <c r="G3312" s="126">
        <f t="shared" si="83"/>
        <v>0.14584239562778711</v>
      </c>
      <c r="H3312" s="120"/>
      <c r="I3312" s="798"/>
      <c r="J3312" s="116"/>
      <c r="K3312" s="116"/>
      <c r="L3312" s="116"/>
      <c r="M3312" s="116"/>
      <c r="N3312" s="116"/>
      <c r="O3312" s="116"/>
      <c r="P3312" s="116"/>
    </row>
    <row r="3313" spans="2:16" s="108" customFormat="1" ht="21.75" hidden="1" customHeight="1">
      <c r="B3313" s="109"/>
      <c r="C3313" s="122"/>
      <c r="D3313" s="123" t="s">
        <v>2297</v>
      </c>
      <c r="E3313" s="136">
        <v>325438000</v>
      </c>
      <c r="F3313" s="134">
        <v>60339107583.360001</v>
      </c>
      <c r="G3313" s="126">
        <f t="shared" si="83"/>
        <v>0.53934838123086115</v>
      </c>
      <c r="H3313" s="120"/>
      <c r="I3313" s="798"/>
      <c r="J3313" s="116"/>
      <c r="K3313" s="116"/>
      <c r="L3313" s="116"/>
      <c r="M3313" s="116"/>
      <c r="N3313" s="116"/>
      <c r="O3313" s="116"/>
      <c r="P3313" s="116"/>
    </row>
    <row r="3314" spans="2:16" s="108" customFormat="1" ht="21.75" hidden="1" customHeight="1">
      <c r="B3314" s="109"/>
      <c r="C3314" s="122"/>
      <c r="D3314" s="111" t="s">
        <v>106</v>
      </c>
      <c r="E3314" s="135">
        <f>SUM(E3315:E3317)</f>
        <v>605000000</v>
      </c>
      <c r="F3314" s="134">
        <v>60339107583.360001</v>
      </c>
      <c r="G3314" s="126">
        <f t="shared" si="83"/>
        <v>1.0026664699410366</v>
      </c>
      <c r="H3314" s="120"/>
      <c r="I3314" s="798"/>
      <c r="J3314" s="116"/>
      <c r="K3314" s="116"/>
      <c r="L3314" s="116"/>
      <c r="M3314" s="116"/>
      <c r="N3314" s="116"/>
      <c r="O3314" s="116"/>
      <c r="P3314" s="116"/>
    </row>
    <row r="3315" spans="2:16" s="108" customFormat="1" ht="36.75" hidden="1" customHeight="1">
      <c r="B3315" s="109"/>
      <c r="C3315" s="122"/>
      <c r="D3315" s="57" t="s">
        <v>2298</v>
      </c>
      <c r="E3315" s="136">
        <v>125000000</v>
      </c>
      <c r="F3315" s="134">
        <v>60339107583.360001</v>
      </c>
      <c r="G3315" s="126">
        <f t="shared" si="83"/>
        <v>0.20716249378947035</v>
      </c>
      <c r="H3315" s="120"/>
      <c r="J3315" s="116"/>
      <c r="K3315" s="116"/>
      <c r="L3315" s="116"/>
      <c r="M3315" s="116"/>
      <c r="N3315" s="116"/>
      <c r="O3315" s="116"/>
      <c r="P3315" s="116"/>
    </row>
    <row r="3316" spans="2:16" s="108" customFormat="1" ht="36.75" hidden="1" customHeight="1">
      <c r="B3316" s="109"/>
      <c r="C3316" s="122"/>
      <c r="D3316" s="57" t="s">
        <v>2299</v>
      </c>
      <c r="E3316" s="136">
        <v>240000000</v>
      </c>
      <c r="F3316" s="134">
        <v>60339107583.360001</v>
      </c>
      <c r="G3316" s="126">
        <f t="shared" si="83"/>
        <v>0.3977519880757831</v>
      </c>
      <c r="H3316" s="120"/>
      <c r="I3316" s="798"/>
      <c r="J3316" s="116"/>
      <c r="K3316" s="116"/>
      <c r="L3316" s="116"/>
      <c r="M3316" s="116"/>
      <c r="N3316" s="116"/>
      <c r="O3316" s="116"/>
      <c r="P3316" s="116"/>
    </row>
    <row r="3317" spans="2:16" s="108" customFormat="1" ht="21.75" hidden="1" customHeight="1">
      <c r="B3317" s="109"/>
      <c r="C3317" s="122"/>
      <c r="D3317" s="57" t="s">
        <v>2300</v>
      </c>
      <c r="E3317" s="136">
        <v>240000000</v>
      </c>
      <c r="F3317" s="134">
        <v>60339107583.360001</v>
      </c>
      <c r="G3317" s="126">
        <f t="shared" si="83"/>
        <v>0.3977519880757831</v>
      </c>
      <c r="H3317" s="120"/>
      <c r="I3317" s="798"/>
      <c r="J3317" s="116"/>
      <c r="K3317" s="116"/>
      <c r="L3317" s="116"/>
      <c r="M3317" s="116"/>
      <c r="N3317" s="116"/>
      <c r="O3317" s="116"/>
      <c r="P3317" s="116"/>
    </row>
    <row r="3318" spans="2:16" s="108" customFormat="1" ht="21.75" hidden="1" customHeight="1">
      <c r="B3318" s="109"/>
      <c r="C3318" s="122"/>
      <c r="D3318" s="111" t="s">
        <v>116</v>
      </c>
      <c r="E3318" s="135">
        <f>SUM(E3319:E3319)</f>
        <v>180000000</v>
      </c>
      <c r="F3318" s="134">
        <v>60339107583.360001</v>
      </c>
      <c r="G3318" s="126">
        <f t="shared" si="83"/>
        <v>0.29831399105683731</v>
      </c>
      <c r="H3318" s="120"/>
      <c r="I3318" s="798"/>
      <c r="J3318" s="116"/>
      <c r="K3318" s="116"/>
      <c r="L3318" s="116"/>
      <c r="M3318" s="116"/>
      <c r="N3318" s="116"/>
      <c r="O3318" s="116"/>
      <c r="P3318" s="116"/>
    </row>
    <row r="3319" spans="2:16" s="108" customFormat="1" ht="21.75" hidden="1" customHeight="1">
      <c r="B3319" s="109"/>
      <c r="C3319" s="122"/>
      <c r="D3319" s="123" t="s">
        <v>2301</v>
      </c>
      <c r="E3319" s="136">
        <v>180000000</v>
      </c>
      <c r="F3319" s="134">
        <v>60339107583.360001</v>
      </c>
      <c r="G3319" s="126">
        <f t="shared" si="83"/>
        <v>0.29831399105683731</v>
      </c>
      <c r="H3319" s="120"/>
      <c r="I3319" s="798"/>
      <c r="J3319" s="116"/>
      <c r="K3319" s="116"/>
      <c r="L3319" s="116"/>
      <c r="M3319" s="116"/>
      <c r="N3319" s="116"/>
      <c r="O3319" s="116"/>
      <c r="P3319" s="116"/>
    </row>
    <row r="3320" spans="2:16" s="108" customFormat="1" ht="21.75" hidden="1" customHeight="1">
      <c r="B3320" s="109"/>
      <c r="C3320" s="122"/>
      <c r="D3320" s="111" t="s">
        <v>95</v>
      </c>
      <c r="E3320" s="135">
        <f>SUM(E3321:E3324)</f>
        <v>443000000</v>
      </c>
      <c r="F3320" s="134">
        <v>60339107583.360001</v>
      </c>
      <c r="G3320" s="126">
        <f t="shared" si="83"/>
        <v>0.73418387798988294</v>
      </c>
      <c r="H3320" s="120"/>
      <c r="I3320" s="798"/>
      <c r="J3320" s="116"/>
      <c r="K3320" s="116"/>
      <c r="L3320" s="116"/>
      <c r="M3320" s="116"/>
      <c r="N3320" s="116"/>
      <c r="O3320" s="116"/>
      <c r="P3320" s="116"/>
    </row>
    <row r="3321" spans="2:16" s="108" customFormat="1" ht="21.75" hidden="1" customHeight="1">
      <c r="B3321" s="109"/>
      <c r="C3321" s="122"/>
      <c r="D3321" s="123" t="s">
        <v>2302</v>
      </c>
      <c r="E3321" s="136">
        <v>88000000</v>
      </c>
      <c r="F3321" s="134">
        <v>60339107583.360001</v>
      </c>
      <c r="G3321" s="126">
        <f t="shared" si="83"/>
        <v>0.14584239562778711</v>
      </c>
      <c r="H3321" s="120"/>
      <c r="I3321" s="798"/>
      <c r="J3321" s="116"/>
      <c r="K3321" s="116"/>
      <c r="L3321" s="116"/>
      <c r="M3321" s="116"/>
      <c r="N3321" s="116"/>
      <c r="O3321" s="116"/>
      <c r="P3321" s="116"/>
    </row>
    <row r="3322" spans="2:16" s="108" customFormat="1" ht="21.75" hidden="1" customHeight="1">
      <c r="B3322" s="109"/>
      <c r="C3322" s="122"/>
      <c r="D3322" s="123" t="s">
        <v>2303</v>
      </c>
      <c r="E3322" s="136">
        <v>100000000</v>
      </c>
      <c r="F3322" s="134">
        <v>60339107583.360001</v>
      </c>
      <c r="G3322" s="126">
        <f t="shared" si="83"/>
        <v>0.16572999503157629</v>
      </c>
      <c r="H3322" s="120"/>
      <c r="I3322" s="798"/>
      <c r="J3322" s="116"/>
      <c r="K3322" s="116"/>
      <c r="L3322" s="116"/>
      <c r="M3322" s="116"/>
      <c r="N3322" s="116"/>
      <c r="O3322" s="116"/>
      <c r="P3322" s="116"/>
    </row>
    <row r="3323" spans="2:16" s="108" customFormat="1" ht="36.75" hidden="1" customHeight="1">
      <c r="B3323" s="109"/>
      <c r="C3323" s="122"/>
      <c r="D3323" s="123" t="s">
        <v>2304</v>
      </c>
      <c r="E3323" s="136">
        <v>135000000</v>
      </c>
      <c r="F3323" s="134">
        <v>60339107583.360001</v>
      </c>
      <c r="G3323" s="126">
        <f t="shared" si="83"/>
        <v>0.22373549329262801</v>
      </c>
      <c r="H3323" s="120"/>
      <c r="I3323" s="798"/>
      <c r="J3323" s="116"/>
      <c r="K3323" s="116"/>
      <c r="L3323" s="116"/>
      <c r="M3323" s="116"/>
      <c r="N3323" s="116"/>
      <c r="O3323" s="116"/>
      <c r="P3323" s="116"/>
    </row>
    <row r="3324" spans="2:16" s="108" customFormat="1" ht="21.75" hidden="1" customHeight="1">
      <c r="B3324" s="109"/>
      <c r="C3324" s="122"/>
      <c r="D3324" s="123" t="s">
        <v>2305</v>
      </c>
      <c r="E3324" s="136">
        <v>120000000</v>
      </c>
      <c r="F3324" s="134">
        <v>60339107583.360001</v>
      </c>
      <c r="G3324" s="126">
        <f t="shared" si="83"/>
        <v>0.19887599403789155</v>
      </c>
      <c r="H3324" s="120"/>
      <c r="I3324" s="136"/>
      <c r="J3324" s="116"/>
      <c r="K3324" s="116"/>
      <c r="L3324" s="116"/>
      <c r="M3324" s="116"/>
      <c r="N3324" s="116"/>
      <c r="O3324" s="116"/>
      <c r="P3324" s="116"/>
    </row>
    <row r="3325" spans="2:16" s="108" customFormat="1" ht="21.75" hidden="1" customHeight="1">
      <c r="B3325" s="109"/>
      <c r="C3325" s="122"/>
      <c r="D3325" s="111" t="s">
        <v>131</v>
      </c>
      <c r="E3325" s="135">
        <f>SUM(E3326:E3329)</f>
        <v>334000000</v>
      </c>
      <c r="F3325" s="134">
        <v>60339107583.360001</v>
      </c>
      <c r="G3325" s="126">
        <f t="shared" si="83"/>
        <v>0.55353818340546479</v>
      </c>
      <c r="H3325" s="120"/>
      <c r="I3325" s="798"/>
      <c r="J3325" s="116"/>
      <c r="K3325" s="116"/>
      <c r="L3325" s="116"/>
      <c r="M3325" s="116"/>
      <c r="N3325" s="116"/>
      <c r="O3325" s="116"/>
      <c r="P3325" s="116"/>
    </row>
    <row r="3326" spans="2:16" s="108" customFormat="1" ht="21.75" hidden="1" customHeight="1">
      <c r="B3326" s="109"/>
      <c r="C3326" s="122"/>
      <c r="D3326" s="123" t="s">
        <v>2306</v>
      </c>
      <c r="E3326" s="136">
        <v>120000000</v>
      </c>
      <c r="F3326" s="134">
        <v>60339107583.360001</v>
      </c>
      <c r="G3326" s="126">
        <f t="shared" si="83"/>
        <v>0.19887599403789155</v>
      </c>
      <c r="H3326" s="120"/>
      <c r="I3326" s="798"/>
      <c r="J3326" s="116"/>
      <c r="K3326" s="116"/>
      <c r="L3326" s="116"/>
      <c r="M3326" s="116"/>
      <c r="N3326" s="116"/>
      <c r="O3326" s="116"/>
      <c r="P3326" s="116"/>
    </row>
    <row r="3327" spans="2:16" s="108" customFormat="1" ht="37.5" hidden="1" customHeight="1">
      <c r="B3327" s="109"/>
      <c r="C3327" s="122"/>
      <c r="D3327" s="123" t="s">
        <v>2307</v>
      </c>
      <c r="E3327" s="136">
        <v>54000000</v>
      </c>
      <c r="F3327" s="134">
        <v>60339107583.360001</v>
      </c>
      <c r="G3327" s="126">
        <f t="shared" si="83"/>
        <v>8.9494197317051202E-2</v>
      </c>
      <c r="H3327" s="120"/>
      <c r="I3327" s="798"/>
      <c r="J3327" s="116"/>
      <c r="K3327" s="116"/>
      <c r="L3327" s="116"/>
      <c r="M3327" s="116"/>
      <c r="N3327" s="116"/>
      <c r="O3327" s="116"/>
      <c r="P3327" s="116"/>
    </row>
    <row r="3328" spans="2:16" s="108" customFormat="1" ht="21.75" hidden="1" customHeight="1">
      <c r="B3328" s="109"/>
      <c r="C3328" s="122"/>
      <c r="D3328" s="123" t="s">
        <v>2303</v>
      </c>
      <c r="E3328" s="136">
        <v>40000000</v>
      </c>
      <c r="F3328" s="134">
        <v>60339107583.360001</v>
      </c>
      <c r="G3328" s="126">
        <f t="shared" si="83"/>
        <v>6.6291998012630513E-2</v>
      </c>
      <c r="H3328" s="120"/>
      <c r="I3328" s="798"/>
      <c r="J3328" s="116"/>
      <c r="K3328" s="116"/>
      <c r="L3328" s="116"/>
      <c r="M3328" s="116"/>
      <c r="N3328" s="116"/>
      <c r="O3328" s="116"/>
      <c r="P3328" s="116"/>
    </row>
    <row r="3329" spans="2:16" s="108" customFormat="1" ht="21.75" hidden="1" customHeight="1">
      <c r="B3329" s="109"/>
      <c r="C3329" s="122"/>
      <c r="D3329" s="123" t="s">
        <v>2305</v>
      </c>
      <c r="E3329" s="136">
        <v>120000000</v>
      </c>
      <c r="F3329" s="134">
        <v>60339107583.360001</v>
      </c>
      <c r="G3329" s="126">
        <f t="shared" si="83"/>
        <v>0.19887599403789155</v>
      </c>
      <c r="H3329" s="120"/>
      <c r="I3329" s="798"/>
      <c r="J3329" s="116"/>
      <c r="K3329" s="116"/>
      <c r="L3329" s="116"/>
      <c r="M3329" s="116"/>
      <c r="N3329" s="116"/>
      <c r="O3329" s="116"/>
      <c r="P3329" s="116"/>
    </row>
    <row r="3330" spans="2:16" s="108" customFormat="1" ht="21.75" hidden="1" customHeight="1">
      <c r="B3330" s="109"/>
      <c r="C3330" s="122"/>
      <c r="D3330" s="111" t="s">
        <v>2308</v>
      </c>
      <c r="E3330" s="135">
        <f>SUM(E3331)</f>
        <v>3600000000</v>
      </c>
      <c r="F3330" s="134">
        <v>60339107583.360001</v>
      </c>
      <c r="G3330" s="126">
        <f t="shared" si="83"/>
        <v>5.9662798211367463</v>
      </c>
      <c r="H3330" s="120"/>
      <c r="I3330" s="798"/>
      <c r="J3330" s="116"/>
      <c r="K3330" s="116"/>
      <c r="L3330" s="116"/>
      <c r="M3330" s="116"/>
      <c r="N3330" s="116"/>
      <c r="O3330" s="116"/>
      <c r="P3330" s="116"/>
    </row>
    <row r="3331" spans="2:16" s="108" customFormat="1" ht="31.5" hidden="1" customHeight="1">
      <c r="B3331" s="109"/>
      <c r="C3331" s="122"/>
      <c r="D3331" s="123" t="s">
        <v>2309</v>
      </c>
      <c r="E3331" s="136">
        <v>3600000000</v>
      </c>
      <c r="F3331" s="134">
        <v>60339107583.360001</v>
      </c>
      <c r="G3331" s="126">
        <f t="shared" si="83"/>
        <v>5.9662798211367463</v>
      </c>
      <c r="H3331" s="120"/>
      <c r="I3331" s="798"/>
      <c r="J3331" s="116"/>
      <c r="K3331" s="116"/>
      <c r="L3331" s="116"/>
      <c r="M3331" s="116"/>
      <c r="N3331" s="116"/>
      <c r="O3331" s="116"/>
      <c r="P3331" s="116"/>
    </row>
    <row r="3332" spans="2:16" s="108" customFormat="1" ht="21.75" hidden="1" customHeight="1">
      <c r="B3332" s="109"/>
      <c r="C3332" s="122"/>
      <c r="D3332" s="123"/>
      <c r="E3332" s="136"/>
      <c r="F3332" s="134">
        <v>60339107583.360001</v>
      </c>
      <c r="G3332" s="126">
        <f t="shared" si="83"/>
        <v>0</v>
      </c>
      <c r="H3332" s="120"/>
      <c r="I3332" s="120"/>
      <c r="J3332" s="116"/>
      <c r="K3332" s="116"/>
      <c r="L3332" s="116"/>
      <c r="M3332" s="116"/>
      <c r="N3332" s="116"/>
      <c r="O3332" s="116"/>
      <c r="P3332" s="116"/>
    </row>
    <row r="3333" spans="2:16" s="108" customFormat="1" ht="21.75" hidden="1" customHeight="1">
      <c r="B3333" s="109"/>
      <c r="C3333" s="122"/>
      <c r="D3333" s="148" t="s">
        <v>161</v>
      </c>
      <c r="E3333" s="135">
        <f>E3334+E3336+E3338</f>
        <v>2770000000</v>
      </c>
      <c r="F3333" s="134">
        <v>60339107583.360001</v>
      </c>
      <c r="G3333" s="126">
        <f t="shared" si="83"/>
        <v>4.5907208623746625</v>
      </c>
      <c r="H3333" s="120"/>
      <c r="I3333" s="120"/>
      <c r="J3333" s="116"/>
      <c r="K3333" s="116"/>
      <c r="L3333" s="116"/>
      <c r="M3333" s="116"/>
      <c r="N3333" s="116"/>
      <c r="O3333" s="116"/>
      <c r="P3333" s="116"/>
    </row>
    <row r="3334" spans="2:16" s="108" customFormat="1" ht="21.75" hidden="1" customHeight="1">
      <c r="B3334" s="109"/>
      <c r="C3334" s="122"/>
      <c r="D3334" s="111" t="s">
        <v>162</v>
      </c>
      <c r="E3334" s="135">
        <f>E3335</f>
        <v>1010000000</v>
      </c>
      <c r="F3334" s="134">
        <v>60339107583.360001</v>
      </c>
      <c r="G3334" s="126">
        <f t="shared" si="83"/>
        <v>1.6738729498189207</v>
      </c>
      <c r="H3334" s="120"/>
      <c r="I3334" s="120"/>
      <c r="J3334" s="116"/>
      <c r="K3334" s="116"/>
      <c r="L3334" s="116"/>
      <c r="M3334" s="116"/>
      <c r="N3334" s="116"/>
      <c r="O3334" s="116"/>
      <c r="P3334" s="116"/>
    </row>
    <row r="3335" spans="2:16" s="108" customFormat="1" ht="21.75" hidden="1" customHeight="1">
      <c r="B3335" s="109"/>
      <c r="C3335" s="122"/>
      <c r="D3335" s="123" t="s">
        <v>677</v>
      </c>
      <c r="E3335" s="136">
        <v>1010000000</v>
      </c>
      <c r="F3335" s="134">
        <v>60339107583.360001</v>
      </c>
      <c r="G3335" s="126">
        <f t="shared" si="83"/>
        <v>1.6738729498189207</v>
      </c>
      <c r="H3335" s="120"/>
      <c r="I3335" s="120"/>
      <c r="J3335" s="116"/>
      <c r="K3335" s="116"/>
      <c r="L3335" s="116"/>
      <c r="M3335" s="116"/>
      <c r="N3335" s="116"/>
      <c r="O3335" s="116"/>
      <c r="P3335" s="116"/>
    </row>
    <row r="3336" spans="2:16" s="108" customFormat="1" ht="21.75" hidden="1" customHeight="1">
      <c r="B3336" s="109"/>
      <c r="C3336" s="122"/>
      <c r="D3336" s="111" t="s">
        <v>173</v>
      </c>
      <c r="E3336" s="135">
        <f>E3337</f>
        <v>750000000</v>
      </c>
      <c r="F3336" s="134">
        <v>60339107583.360001</v>
      </c>
      <c r="G3336" s="126">
        <f t="shared" si="83"/>
        <v>1.2429749627368223</v>
      </c>
      <c r="H3336" s="120"/>
      <c r="I3336" s="120"/>
      <c r="J3336" s="116"/>
      <c r="K3336" s="116"/>
      <c r="L3336" s="116"/>
      <c r="M3336" s="116"/>
      <c r="N3336" s="116"/>
      <c r="O3336" s="116"/>
      <c r="P3336" s="116"/>
    </row>
    <row r="3337" spans="2:16" s="108" customFormat="1" ht="21.75" hidden="1" customHeight="1">
      <c r="B3337" s="109"/>
      <c r="C3337" s="122"/>
      <c r="D3337" s="123" t="s">
        <v>684</v>
      </c>
      <c r="E3337" s="136">
        <v>750000000</v>
      </c>
      <c r="F3337" s="134">
        <v>60339107583.360001</v>
      </c>
      <c r="G3337" s="126">
        <f t="shared" si="83"/>
        <v>1.2429749627368223</v>
      </c>
      <c r="H3337" s="120"/>
      <c r="I3337" s="120"/>
      <c r="J3337" s="116"/>
      <c r="K3337" s="116"/>
      <c r="L3337" s="116"/>
      <c r="M3337" s="116"/>
      <c r="N3337" s="116"/>
      <c r="O3337" s="116"/>
      <c r="P3337" s="116"/>
    </row>
    <row r="3338" spans="2:16" s="108" customFormat="1" ht="21.75" hidden="1" customHeight="1">
      <c r="B3338" s="109"/>
      <c r="C3338" s="122"/>
      <c r="D3338" s="111" t="s">
        <v>953</v>
      </c>
      <c r="E3338" s="135">
        <f>E3339</f>
        <v>1010000000</v>
      </c>
      <c r="F3338" s="134">
        <v>60339107583.360001</v>
      </c>
      <c r="G3338" s="126">
        <f t="shared" si="83"/>
        <v>1.6738729498189207</v>
      </c>
      <c r="H3338" s="120"/>
      <c r="I3338" s="120"/>
      <c r="J3338" s="116"/>
      <c r="K3338" s="116"/>
      <c r="L3338" s="116"/>
      <c r="M3338" s="116"/>
      <c r="N3338" s="116"/>
      <c r="O3338" s="116"/>
      <c r="P3338" s="116"/>
    </row>
    <row r="3339" spans="2:16" s="108" customFormat="1" ht="21.75" hidden="1" customHeight="1">
      <c r="B3339" s="109"/>
      <c r="C3339" s="122"/>
      <c r="D3339" s="123" t="s">
        <v>2310</v>
      </c>
      <c r="E3339" s="136">
        <v>1010000000</v>
      </c>
      <c r="F3339" s="134">
        <v>60339107583.360001</v>
      </c>
      <c r="G3339" s="126">
        <f t="shared" si="83"/>
        <v>1.6738729498189207</v>
      </c>
      <c r="H3339" s="120"/>
      <c r="I3339" s="120"/>
      <c r="J3339" s="116"/>
      <c r="K3339" s="116"/>
      <c r="L3339" s="116"/>
      <c r="M3339" s="116"/>
      <c r="N3339" s="116"/>
      <c r="O3339" s="116"/>
      <c r="P3339" s="116"/>
    </row>
    <row r="3340" spans="2:16" s="108" customFormat="1" ht="21.75" hidden="1" customHeight="1">
      <c r="B3340" s="109"/>
      <c r="C3340" s="122"/>
      <c r="D3340" s="123"/>
      <c r="E3340" s="136"/>
      <c r="F3340" s="134">
        <v>60339107583.360001</v>
      </c>
      <c r="G3340" s="126">
        <f t="shared" si="83"/>
        <v>0</v>
      </c>
      <c r="H3340" s="120"/>
      <c r="I3340" s="120"/>
      <c r="J3340" s="116"/>
      <c r="K3340" s="116"/>
      <c r="L3340" s="116"/>
      <c r="M3340" s="116"/>
      <c r="N3340" s="116"/>
      <c r="O3340" s="116"/>
      <c r="P3340" s="116"/>
    </row>
    <row r="3341" spans="2:16" s="108" customFormat="1" ht="21.75" hidden="1" customHeight="1">
      <c r="B3341" s="109"/>
      <c r="C3341" s="122"/>
      <c r="D3341" s="148" t="s">
        <v>2311</v>
      </c>
      <c r="E3341" s="135">
        <f>E3342</f>
        <v>5352000000</v>
      </c>
      <c r="F3341" s="134">
        <v>60339107583.360001</v>
      </c>
      <c r="G3341" s="126">
        <f t="shared" si="83"/>
        <v>8.8698693340899624</v>
      </c>
      <c r="H3341" s="120"/>
      <c r="I3341" s="120"/>
      <c r="J3341" s="116"/>
      <c r="K3341" s="116"/>
      <c r="L3341" s="116"/>
      <c r="M3341" s="116"/>
      <c r="N3341" s="116"/>
      <c r="O3341" s="116"/>
      <c r="P3341" s="116"/>
    </row>
    <row r="3342" spans="2:16" s="108" customFormat="1" ht="21.75" hidden="1" customHeight="1">
      <c r="B3342" s="109"/>
      <c r="C3342" s="122"/>
      <c r="D3342" s="111" t="s">
        <v>173</v>
      </c>
      <c r="E3342" s="135">
        <f>E3343</f>
        <v>5352000000</v>
      </c>
      <c r="F3342" s="134">
        <v>60339107583.360001</v>
      </c>
      <c r="G3342" s="126">
        <f t="shared" si="83"/>
        <v>8.8698693340899624</v>
      </c>
      <c r="H3342" s="120"/>
      <c r="I3342" s="120"/>
      <c r="J3342" s="116"/>
      <c r="K3342" s="116"/>
      <c r="L3342" s="116"/>
      <c r="M3342" s="116"/>
      <c r="N3342" s="116"/>
      <c r="O3342" s="116"/>
      <c r="P3342" s="116"/>
    </row>
    <row r="3343" spans="2:16" s="108" customFormat="1" ht="21.75" hidden="1" customHeight="1">
      <c r="B3343" s="109"/>
      <c r="C3343" s="122"/>
      <c r="D3343" s="123" t="s">
        <v>2312</v>
      </c>
      <c r="E3343" s="136">
        <v>5352000000</v>
      </c>
      <c r="F3343" s="134">
        <v>60339107583.360001</v>
      </c>
      <c r="G3343" s="126">
        <f t="shared" si="83"/>
        <v>8.8698693340899624</v>
      </c>
      <c r="H3343" s="120"/>
      <c r="I3343" s="120"/>
      <c r="J3343" s="116"/>
      <c r="K3343" s="116"/>
      <c r="L3343" s="116"/>
      <c r="M3343" s="116"/>
      <c r="N3343" s="116"/>
      <c r="O3343" s="116"/>
      <c r="P3343" s="116"/>
    </row>
    <row r="3344" spans="2:16" s="108" customFormat="1" ht="21.75" hidden="1" customHeight="1">
      <c r="B3344" s="109"/>
      <c r="C3344" s="122"/>
      <c r="D3344" s="123"/>
      <c r="E3344" s="136"/>
      <c r="F3344" s="134">
        <v>60339107583.360001</v>
      </c>
      <c r="G3344" s="126">
        <f t="shared" si="83"/>
        <v>0</v>
      </c>
      <c r="H3344" s="120"/>
      <c r="I3344" s="120"/>
      <c r="J3344" s="116"/>
      <c r="K3344" s="116"/>
      <c r="L3344" s="116"/>
      <c r="M3344" s="116"/>
      <c r="N3344" s="116"/>
      <c r="O3344" s="116"/>
      <c r="P3344" s="116"/>
    </row>
    <row r="3345" spans="2:16" s="108" customFormat="1" ht="21.75" hidden="1" customHeight="1">
      <c r="B3345" s="109"/>
      <c r="C3345" s="122"/>
      <c r="D3345" s="111" t="s">
        <v>489</v>
      </c>
      <c r="E3345" s="135">
        <f>E3346</f>
        <v>3325000000</v>
      </c>
      <c r="F3345" s="134">
        <v>60339107583.360001</v>
      </c>
      <c r="G3345" s="126">
        <f t="shared" si="83"/>
        <v>5.5105223347999122</v>
      </c>
      <c r="H3345" s="120"/>
      <c r="I3345" s="120"/>
      <c r="J3345" s="116"/>
      <c r="K3345" s="116"/>
      <c r="L3345" s="116"/>
      <c r="M3345" s="116"/>
      <c r="N3345" s="116"/>
      <c r="O3345" s="116"/>
      <c r="P3345" s="116"/>
    </row>
    <row r="3346" spans="2:16" s="108" customFormat="1" ht="21.75" hidden="1" customHeight="1">
      <c r="B3346" s="109"/>
      <c r="C3346" s="122"/>
      <c r="D3346" s="111" t="s">
        <v>1529</v>
      </c>
      <c r="E3346" s="135">
        <f>E3347</f>
        <v>3325000000</v>
      </c>
      <c r="F3346" s="134">
        <v>60339107583.360001</v>
      </c>
      <c r="G3346" s="126">
        <f t="shared" si="83"/>
        <v>5.5105223347999122</v>
      </c>
      <c r="H3346" s="120"/>
      <c r="I3346" s="120"/>
      <c r="J3346" s="116"/>
      <c r="K3346" s="116"/>
      <c r="L3346" s="116"/>
      <c r="M3346" s="116"/>
      <c r="N3346" s="116"/>
      <c r="O3346" s="116"/>
      <c r="P3346" s="116"/>
    </row>
    <row r="3347" spans="2:16" s="108" customFormat="1" ht="21.75" hidden="1" customHeight="1">
      <c r="B3347" s="109"/>
      <c r="C3347" s="122"/>
      <c r="D3347" s="123" t="s">
        <v>2174</v>
      </c>
      <c r="E3347" s="136">
        <v>3325000000</v>
      </c>
      <c r="F3347" s="134">
        <v>60339107583.360001</v>
      </c>
      <c r="G3347" s="126">
        <f t="shared" si="83"/>
        <v>5.5105223347999122</v>
      </c>
      <c r="H3347" s="120"/>
      <c r="I3347" s="120"/>
      <c r="J3347" s="116"/>
      <c r="K3347" s="116"/>
      <c r="L3347" s="116"/>
      <c r="M3347" s="116"/>
      <c r="N3347" s="116"/>
      <c r="O3347" s="116"/>
      <c r="P3347" s="116"/>
    </row>
    <row r="3348" spans="2:16" s="108" customFormat="1" ht="21.75" hidden="1" customHeight="1">
      <c r="B3348" s="109"/>
      <c r="C3348" s="122"/>
      <c r="D3348" s="123"/>
      <c r="E3348" s="136"/>
      <c r="F3348" s="134">
        <v>60339107583.360001</v>
      </c>
      <c r="G3348" s="126">
        <f t="shared" si="83"/>
        <v>0</v>
      </c>
      <c r="H3348" s="120"/>
      <c r="I3348" s="120"/>
      <c r="J3348" s="116"/>
      <c r="K3348" s="116"/>
      <c r="L3348" s="116"/>
      <c r="M3348" s="116"/>
      <c r="N3348" s="116"/>
      <c r="O3348" s="116"/>
      <c r="P3348" s="116"/>
    </row>
    <row r="3349" spans="2:16" s="108" customFormat="1" ht="21.75" hidden="1" customHeight="1">
      <c r="B3349" s="109"/>
      <c r="C3349" s="122"/>
      <c r="D3349" s="111" t="s">
        <v>965</v>
      </c>
      <c r="E3349" s="135">
        <f>E3350</f>
        <v>4817190556.6700001</v>
      </c>
      <c r="F3349" s="134">
        <v>60339107583.360001</v>
      </c>
      <c r="G3349" s="126">
        <f t="shared" si="83"/>
        <v>7.9835296702307534</v>
      </c>
      <c r="H3349" s="120"/>
      <c r="I3349" s="120"/>
      <c r="J3349" s="116"/>
      <c r="K3349" s="116"/>
      <c r="L3349" s="116"/>
      <c r="M3349" s="116"/>
      <c r="N3349" s="116"/>
      <c r="O3349" s="116"/>
      <c r="P3349" s="116"/>
    </row>
    <row r="3350" spans="2:16" s="108" customFormat="1" ht="21.75" hidden="1" customHeight="1">
      <c r="B3350" s="109"/>
      <c r="C3350" s="122"/>
      <c r="D3350" s="111" t="s">
        <v>1563</v>
      </c>
      <c r="E3350" s="135">
        <f>E3351</f>
        <v>4817190556.6700001</v>
      </c>
      <c r="F3350" s="134">
        <v>60339107583.360001</v>
      </c>
      <c r="G3350" s="126">
        <f t="shared" si="83"/>
        <v>7.9835296702307534</v>
      </c>
      <c r="H3350" s="120"/>
      <c r="I3350" s="120"/>
      <c r="J3350" s="116"/>
      <c r="K3350" s="116"/>
      <c r="L3350" s="116"/>
      <c r="M3350" s="116"/>
      <c r="N3350" s="116"/>
      <c r="O3350" s="116"/>
      <c r="P3350" s="116"/>
    </row>
    <row r="3351" spans="2:16" s="108" customFormat="1" ht="21.75" hidden="1" customHeight="1">
      <c r="B3351" s="109"/>
      <c r="C3351" s="122"/>
      <c r="D3351" s="123" t="s">
        <v>966</v>
      </c>
      <c r="E3351" s="136">
        <v>4817190556.6700001</v>
      </c>
      <c r="F3351" s="134">
        <v>60339107583.360001</v>
      </c>
      <c r="G3351" s="126">
        <f t="shared" si="83"/>
        <v>7.9835296702307534</v>
      </c>
      <c r="H3351" s="120"/>
      <c r="I3351" s="120"/>
      <c r="J3351" s="116"/>
      <c r="K3351" s="116"/>
      <c r="L3351" s="116"/>
      <c r="M3351" s="116"/>
      <c r="N3351" s="116"/>
      <c r="O3351" s="116"/>
      <c r="P3351" s="116"/>
    </row>
    <row r="3352" spans="2:16" s="108" customFormat="1" ht="21.75" hidden="1" customHeight="1">
      <c r="B3352" s="109"/>
      <c r="C3352" s="122"/>
      <c r="D3352" s="123"/>
      <c r="E3352" s="136"/>
      <c r="F3352" s="134">
        <v>60339107583.360001</v>
      </c>
      <c r="G3352" s="126">
        <f t="shared" si="83"/>
        <v>0</v>
      </c>
      <c r="H3352" s="120"/>
      <c r="I3352" s="120"/>
      <c r="J3352" s="116"/>
      <c r="K3352" s="116"/>
      <c r="L3352" s="116"/>
      <c r="M3352" s="116"/>
      <c r="N3352" s="116"/>
      <c r="O3352" s="116"/>
      <c r="P3352" s="116"/>
    </row>
    <row r="3353" spans="2:16" s="108" customFormat="1" ht="21.75" hidden="1" customHeight="1">
      <c r="B3353" s="109"/>
      <c r="C3353" s="122"/>
      <c r="D3353" s="111" t="s">
        <v>525</v>
      </c>
      <c r="E3353" s="135">
        <f>E3354</f>
        <v>3000000000</v>
      </c>
      <c r="F3353" s="134">
        <v>60339107583.360001</v>
      </c>
      <c r="G3353" s="126">
        <f t="shared" ref="G3353:G3416" si="84">+E3353/F3353*100</f>
        <v>4.9718998509472891</v>
      </c>
      <c r="H3353" s="120"/>
      <c r="I3353" s="120"/>
      <c r="J3353" s="116"/>
      <c r="K3353" s="116"/>
      <c r="L3353" s="116"/>
      <c r="M3353" s="116"/>
      <c r="N3353" s="116"/>
      <c r="O3353" s="116"/>
      <c r="P3353" s="116"/>
    </row>
    <row r="3354" spans="2:16" s="108" customFormat="1" ht="21.75" hidden="1" customHeight="1">
      <c r="B3354" s="109"/>
      <c r="C3354" s="122"/>
      <c r="D3354" s="111" t="s">
        <v>2313</v>
      </c>
      <c r="E3354" s="135">
        <f>SUM(E3355)</f>
        <v>3000000000</v>
      </c>
      <c r="F3354" s="134">
        <v>60339107583.360001</v>
      </c>
      <c r="G3354" s="126">
        <f t="shared" si="84"/>
        <v>4.9718998509472891</v>
      </c>
      <c r="H3354" s="120"/>
      <c r="I3354" s="120"/>
      <c r="J3354" s="116"/>
      <c r="K3354" s="116"/>
      <c r="L3354" s="116"/>
      <c r="M3354" s="116"/>
      <c r="N3354" s="116"/>
      <c r="O3354" s="116"/>
      <c r="P3354" s="116"/>
    </row>
    <row r="3355" spans="2:16" s="108" customFormat="1" ht="21.75" hidden="1" customHeight="1">
      <c r="B3355" s="109"/>
      <c r="C3355" s="122"/>
      <c r="D3355" s="123" t="s">
        <v>1953</v>
      </c>
      <c r="E3355" s="136">
        <v>3000000000</v>
      </c>
      <c r="F3355" s="134">
        <v>60339107583.360001</v>
      </c>
      <c r="G3355" s="126">
        <f t="shared" si="84"/>
        <v>4.9718998509472891</v>
      </c>
      <c r="H3355" s="120"/>
      <c r="I3355" s="120"/>
      <c r="J3355" s="116"/>
      <c r="K3355" s="116"/>
      <c r="L3355" s="116"/>
      <c r="M3355" s="116"/>
      <c r="N3355" s="116"/>
      <c r="O3355" s="116"/>
      <c r="P3355" s="116"/>
    </row>
    <row r="3356" spans="2:16" s="108" customFormat="1" ht="21.75" hidden="1" customHeight="1">
      <c r="B3356" s="109"/>
      <c r="C3356" s="122"/>
      <c r="D3356" s="123"/>
      <c r="E3356" s="136"/>
      <c r="F3356" s="134">
        <v>60339107583.360001</v>
      </c>
      <c r="G3356" s="126">
        <f t="shared" si="84"/>
        <v>0</v>
      </c>
      <c r="H3356" s="120"/>
      <c r="I3356" s="120"/>
      <c r="J3356" s="116"/>
      <c r="K3356" s="116"/>
      <c r="L3356" s="116"/>
      <c r="M3356" s="116"/>
      <c r="N3356" s="116"/>
      <c r="O3356" s="116"/>
      <c r="P3356" s="116"/>
    </row>
    <row r="3357" spans="2:16" s="108" customFormat="1" ht="21.75" hidden="1" customHeight="1">
      <c r="B3357" s="109"/>
      <c r="C3357" s="122"/>
      <c r="D3357" s="111" t="s">
        <v>2043</v>
      </c>
      <c r="E3357" s="135">
        <f>E3358</f>
        <v>222000000</v>
      </c>
      <c r="F3357" s="134">
        <v>60339107583.360001</v>
      </c>
      <c r="G3357" s="126">
        <f t="shared" si="84"/>
        <v>0.36792058897009933</v>
      </c>
      <c r="H3357" s="120"/>
      <c r="I3357" s="120"/>
      <c r="J3357" s="116"/>
      <c r="K3357" s="116"/>
      <c r="L3357" s="116"/>
      <c r="M3357" s="116"/>
      <c r="N3357" s="116"/>
      <c r="O3357" s="116"/>
      <c r="P3357" s="116"/>
    </row>
    <row r="3358" spans="2:16" s="108" customFormat="1" ht="21.75" hidden="1" customHeight="1">
      <c r="B3358" s="109"/>
      <c r="C3358" s="122"/>
      <c r="D3358" s="111" t="s">
        <v>536</v>
      </c>
      <c r="E3358" s="135">
        <f>SUM(E3359)</f>
        <v>222000000</v>
      </c>
      <c r="F3358" s="134">
        <v>60339107583.360001</v>
      </c>
      <c r="G3358" s="126">
        <f t="shared" si="84"/>
        <v>0.36792058897009933</v>
      </c>
      <c r="H3358" s="120"/>
      <c r="I3358" s="120"/>
      <c r="J3358" s="116"/>
      <c r="K3358" s="116"/>
      <c r="L3358" s="116"/>
      <c r="M3358" s="116"/>
      <c r="N3358" s="116"/>
      <c r="O3358" s="116"/>
      <c r="P3358" s="116"/>
    </row>
    <row r="3359" spans="2:16" s="108" customFormat="1" ht="21.75" hidden="1" customHeight="1">
      <c r="B3359" s="109"/>
      <c r="C3359" s="122"/>
      <c r="D3359" s="123" t="s">
        <v>2096</v>
      </c>
      <c r="E3359" s="136">
        <v>222000000</v>
      </c>
      <c r="F3359" s="134">
        <v>60339107583.360001</v>
      </c>
      <c r="G3359" s="126">
        <f t="shared" si="84"/>
        <v>0.36792058897009933</v>
      </c>
      <c r="H3359" s="120"/>
      <c r="I3359" s="120"/>
      <c r="J3359" s="116"/>
      <c r="K3359" s="116"/>
      <c r="L3359" s="116"/>
      <c r="M3359" s="116"/>
      <c r="N3359" s="116"/>
      <c r="O3359" s="116"/>
      <c r="P3359" s="116"/>
    </row>
    <row r="3360" spans="2:16" s="108" customFormat="1" ht="21.75" hidden="1" customHeight="1">
      <c r="B3360" s="109"/>
      <c r="C3360" s="122"/>
      <c r="D3360" s="123"/>
      <c r="E3360" s="136"/>
      <c r="F3360" s="134">
        <v>60339107583.360001</v>
      </c>
      <c r="G3360" s="126">
        <f t="shared" si="84"/>
        <v>0</v>
      </c>
      <c r="H3360" s="120"/>
      <c r="I3360" s="120"/>
      <c r="J3360" s="116"/>
      <c r="K3360" s="116"/>
      <c r="L3360" s="116"/>
      <c r="M3360" s="116"/>
      <c r="N3360" s="116"/>
      <c r="O3360" s="116"/>
      <c r="P3360" s="116"/>
    </row>
    <row r="3361" spans="2:16" s="108" customFormat="1" ht="21.75" hidden="1" customHeight="1">
      <c r="B3361" s="109"/>
      <c r="C3361" s="122"/>
      <c r="D3361" s="111" t="s">
        <v>522</v>
      </c>
      <c r="E3361" s="135">
        <f>E3362+E3364</f>
        <v>1549212592.5</v>
      </c>
      <c r="F3361" s="134">
        <v>60339107583.360001</v>
      </c>
      <c r="G3361" s="126">
        <f t="shared" si="84"/>
        <v>2.5675099525788041</v>
      </c>
      <c r="H3361" s="120"/>
      <c r="I3361" s="120"/>
      <c r="J3361" s="116"/>
      <c r="K3361" s="116"/>
      <c r="L3361" s="116"/>
      <c r="M3361" s="116"/>
      <c r="N3361" s="116"/>
      <c r="O3361" s="116"/>
      <c r="P3361" s="116"/>
    </row>
    <row r="3362" spans="2:16" s="108" customFormat="1" ht="21.75" hidden="1" customHeight="1">
      <c r="B3362" s="109"/>
      <c r="C3362" s="122"/>
      <c r="D3362" s="111" t="s">
        <v>1635</v>
      </c>
      <c r="E3362" s="135">
        <f>E3363</f>
        <v>620346455</v>
      </c>
      <c r="F3362" s="134">
        <v>60339107583.360001</v>
      </c>
      <c r="G3362" s="126">
        <f t="shared" si="84"/>
        <v>1.0281001490500596</v>
      </c>
      <c r="H3362" s="120"/>
      <c r="I3362" s="120"/>
      <c r="J3362" s="116"/>
      <c r="K3362" s="116"/>
      <c r="L3362" s="116"/>
      <c r="M3362" s="116"/>
      <c r="N3362" s="116"/>
      <c r="O3362" s="116"/>
      <c r="P3362" s="116"/>
    </row>
    <row r="3363" spans="2:16" s="108" customFormat="1" ht="39" hidden="1" customHeight="1">
      <c r="B3363" s="109"/>
      <c r="C3363" s="122"/>
      <c r="D3363" s="123" t="s">
        <v>2134</v>
      </c>
      <c r="E3363" s="136">
        <v>620346455</v>
      </c>
      <c r="F3363" s="134">
        <v>60339107583.360001</v>
      </c>
      <c r="G3363" s="126">
        <f t="shared" si="84"/>
        <v>1.0281001490500596</v>
      </c>
      <c r="H3363" s="120"/>
      <c r="I3363" s="120"/>
      <c r="J3363" s="116"/>
      <c r="K3363" s="116"/>
      <c r="L3363" s="116"/>
      <c r="M3363" s="116"/>
      <c r="N3363" s="116"/>
      <c r="O3363" s="116"/>
      <c r="P3363" s="116"/>
    </row>
    <row r="3364" spans="2:16" s="108" customFormat="1" ht="21.75" hidden="1" customHeight="1">
      <c r="B3364" s="109"/>
      <c r="C3364" s="122"/>
      <c r="D3364" s="111" t="s">
        <v>973</v>
      </c>
      <c r="E3364" s="135">
        <f>E3365</f>
        <v>928866137.5</v>
      </c>
      <c r="F3364" s="134">
        <v>60339107583.360001</v>
      </c>
      <c r="G3364" s="126">
        <f t="shared" si="84"/>
        <v>1.5394098035287445</v>
      </c>
      <c r="H3364" s="120"/>
      <c r="I3364" s="120"/>
      <c r="J3364" s="116"/>
      <c r="K3364" s="116"/>
      <c r="L3364" s="116"/>
      <c r="M3364" s="116"/>
      <c r="N3364" s="116"/>
      <c r="O3364" s="116"/>
      <c r="P3364" s="116"/>
    </row>
    <row r="3365" spans="2:16" s="108" customFormat="1" ht="21.75" hidden="1" customHeight="1">
      <c r="B3365" s="109"/>
      <c r="C3365" s="122"/>
      <c r="D3365" s="123" t="s">
        <v>2314</v>
      </c>
      <c r="E3365" s="136">
        <v>928866137.5</v>
      </c>
      <c r="F3365" s="134">
        <v>60339107583.360001</v>
      </c>
      <c r="G3365" s="126">
        <f t="shared" si="84"/>
        <v>1.5394098035287445</v>
      </c>
      <c r="H3365" s="120"/>
      <c r="I3365" s="120"/>
      <c r="J3365" s="116"/>
      <c r="K3365" s="116"/>
      <c r="L3365" s="116"/>
      <c r="M3365" s="116"/>
      <c r="N3365" s="116"/>
      <c r="O3365" s="116"/>
      <c r="P3365" s="116"/>
    </row>
    <row r="3366" spans="2:16" s="108" customFormat="1" ht="21.75" hidden="1" customHeight="1">
      <c r="B3366" s="109"/>
      <c r="C3366" s="122"/>
      <c r="D3366" s="123"/>
      <c r="E3366" s="136"/>
      <c r="F3366" s="134">
        <v>60339107583.360001</v>
      </c>
      <c r="G3366" s="126">
        <f t="shared" si="84"/>
        <v>0</v>
      </c>
      <c r="H3366" s="120"/>
      <c r="I3366" s="120"/>
      <c r="J3366" s="116"/>
      <c r="K3366" s="116"/>
      <c r="L3366" s="116"/>
      <c r="M3366" s="116"/>
      <c r="N3366" s="116"/>
      <c r="O3366" s="116"/>
      <c r="P3366" s="116"/>
    </row>
    <row r="3367" spans="2:16" s="108" customFormat="1" ht="21.75" hidden="1" customHeight="1">
      <c r="B3367" s="109"/>
      <c r="C3367" s="122"/>
      <c r="D3367" s="111" t="s">
        <v>967</v>
      </c>
      <c r="E3367" s="135">
        <f>E3368</f>
        <v>2155600000</v>
      </c>
      <c r="F3367" s="134">
        <v>60339107583.360001</v>
      </c>
      <c r="G3367" s="126">
        <f t="shared" si="84"/>
        <v>3.5724757729006589</v>
      </c>
      <c r="H3367" s="120"/>
      <c r="I3367" s="120"/>
      <c r="J3367" s="116"/>
      <c r="K3367" s="116"/>
      <c r="L3367" s="116"/>
      <c r="M3367" s="116"/>
      <c r="N3367" s="116"/>
      <c r="O3367" s="116"/>
      <c r="P3367" s="116"/>
    </row>
    <row r="3368" spans="2:16" s="108" customFormat="1" ht="21.75" hidden="1" customHeight="1">
      <c r="B3368" s="109"/>
      <c r="C3368" s="122"/>
      <c r="D3368" s="111" t="s">
        <v>1849</v>
      </c>
      <c r="E3368" s="135">
        <f>SUM(E3369:E3371)</f>
        <v>2155600000</v>
      </c>
      <c r="F3368" s="134">
        <v>60339107583.360001</v>
      </c>
      <c r="G3368" s="126">
        <f t="shared" si="84"/>
        <v>3.5724757729006589</v>
      </c>
      <c r="H3368" s="120"/>
      <c r="I3368" s="120"/>
      <c r="J3368" s="116"/>
      <c r="K3368" s="116"/>
      <c r="L3368" s="116"/>
      <c r="M3368" s="116"/>
      <c r="N3368" s="116"/>
      <c r="O3368" s="116"/>
      <c r="P3368" s="116"/>
    </row>
    <row r="3369" spans="2:16" s="108" customFormat="1" ht="21.75" hidden="1" customHeight="1">
      <c r="B3369" s="109"/>
      <c r="C3369" s="122"/>
      <c r="D3369" s="123" t="s">
        <v>2315</v>
      </c>
      <c r="E3369" s="136">
        <v>620000000</v>
      </c>
      <c r="F3369" s="134">
        <v>60339107583.360001</v>
      </c>
      <c r="G3369" s="126">
        <f t="shared" si="84"/>
        <v>1.027525969195773</v>
      </c>
      <c r="H3369" s="120"/>
      <c r="I3369" s="120"/>
      <c r="J3369" s="116"/>
      <c r="K3369" s="116"/>
      <c r="L3369" s="116"/>
      <c r="M3369" s="116"/>
      <c r="N3369" s="116"/>
      <c r="O3369" s="116"/>
      <c r="P3369" s="116"/>
    </row>
    <row r="3370" spans="2:16" s="108" customFormat="1" ht="39.75" hidden="1" customHeight="1">
      <c r="B3370" s="109"/>
      <c r="C3370" s="122"/>
      <c r="D3370" s="123" t="s">
        <v>2316</v>
      </c>
      <c r="E3370" s="136">
        <v>620000000</v>
      </c>
      <c r="F3370" s="134">
        <v>60339107583.360001</v>
      </c>
      <c r="G3370" s="126">
        <f t="shared" si="84"/>
        <v>1.027525969195773</v>
      </c>
      <c r="H3370" s="120"/>
      <c r="I3370" s="120"/>
      <c r="J3370" s="116"/>
      <c r="K3370" s="116"/>
      <c r="L3370" s="116"/>
      <c r="M3370" s="116"/>
      <c r="N3370" s="116"/>
      <c r="O3370" s="116"/>
      <c r="P3370" s="116"/>
    </row>
    <row r="3371" spans="2:16" s="108" customFormat="1" ht="21.75" hidden="1" customHeight="1">
      <c r="B3371" s="109"/>
      <c r="C3371" s="122"/>
      <c r="D3371" s="123" t="s">
        <v>2317</v>
      </c>
      <c r="E3371" s="136">
        <v>915600000</v>
      </c>
      <c r="F3371" s="134">
        <v>60339107583.360001</v>
      </c>
      <c r="G3371" s="126">
        <f t="shared" si="84"/>
        <v>1.5174238345091124</v>
      </c>
      <c r="H3371" s="120"/>
      <c r="I3371" s="120"/>
      <c r="J3371" s="116"/>
      <c r="K3371" s="116"/>
      <c r="L3371" s="116"/>
      <c r="M3371" s="116"/>
      <c r="N3371" s="116"/>
      <c r="O3371" s="116"/>
      <c r="P3371" s="116"/>
    </row>
    <row r="3372" spans="2:16" s="108" customFormat="1" ht="21.75" hidden="1" customHeight="1">
      <c r="B3372" s="109"/>
      <c r="C3372" s="122"/>
      <c r="D3372" s="123"/>
      <c r="E3372" s="136"/>
      <c r="F3372" s="134">
        <v>60339107583.360001</v>
      </c>
      <c r="G3372" s="126">
        <f t="shared" si="84"/>
        <v>0</v>
      </c>
      <c r="H3372" s="120"/>
      <c r="I3372" s="120"/>
      <c r="J3372" s="116"/>
      <c r="K3372" s="116"/>
      <c r="L3372" s="116"/>
      <c r="M3372" s="116"/>
      <c r="N3372" s="116"/>
      <c r="O3372" s="116"/>
      <c r="P3372" s="116"/>
    </row>
    <row r="3373" spans="2:16" s="108" customFormat="1" ht="21.75" hidden="1" customHeight="1">
      <c r="B3373" s="109"/>
      <c r="C3373" s="122"/>
      <c r="D3373" s="111" t="s">
        <v>762</v>
      </c>
      <c r="E3373" s="135">
        <f>E3374</f>
        <v>1014400000</v>
      </c>
      <c r="F3373" s="134">
        <v>60339107583.360001</v>
      </c>
      <c r="G3373" s="126">
        <f t="shared" si="84"/>
        <v>1.68116506960031</v>
      </c>
      <c r="H3373" s="120"/>
      <c r="I3373" s="120"/>
      <c r="J3373" s="116"/>
      <c r="K3373" s="116"/>
      <c r="L3373" s="116"/>
      <c r="M3373" s="116"/>
      <c r="N3373" s="116"/>
      <c r="O3373" s="116"/>
      <c r="P3373" s="116"/>
    </row>
    <row r="3374" spans="2:16" s="108" customFormat="1" ht="21.75" hidden="1" customHeight="1">
      <c r="B3374" s="109"/>
      <c r="C3374" s="122"/>
      <c r="D3374" s="111" t="s">
        <v>2089</v>
      </c>
      <c r="E3374" s="135">
        <f>E3375</f>
        <v>1014400000</v>
      </c>
      <c r="F3374" s="134">
        <v>60339107583.360001</v>
      </c>
      <c r="G3374" s="126">
        <f t="shared" si="84"/>
        <v>1.68116506960031</v>
      </c>
      <c r="H3374" s="120"/>
      <c r="I3374" s="120"/>
      <c r="J3374" s="116"/>
      <c r="K3374" s="116"/>
      <c r="L3374" s="116"/>
      <c r="M3374" s="116"/>
      <c r="N3374" s="116"/>
      <c r="O3374" s="116"/>
      <c r="P3374" s="116"/>
    </row>
    <row r="3375" spans="2:16" s="108" customFormat="1" ht="21.75" hidden="1" customHeight="1">
      <c r="B3375" s="109"/>
      <c r="C3375" s="122"/>
      <c r="D3375" s="123" t="s">
        <v>2318</v>
      </c>
      <c r="E3375" s="136">
        <v>1014400000</v>
      </c>
      <c r="F3375" s="134">
        <v>60339107583.360001</v>
      </c>
      <c r="G3375" s="126">
        <f t="shared" si="84"/>
        <v>1.68116506960031</v>
      </c>
      <c r="H3375" s="120"/>
      <c r="I3375" s="120"/>
      <c r="J3375" s="116"/>
      <c r="K3375" s="116"/>
      <c r="L3375" s="116"/>
      <c r="M3375" s="116"/>
      <c r="N3375" s="116"/>
      <c r="O3375" s="116"/>
      <c r="P3375" s="116"/>
    </row>
    <row r="3376" spans="2:16" s="108" customFormat="1" ht="21.75" hidden="1" customHeight="1">
      <c r="B3376" s="109"/>
      <c r="C3376" s="122"/>
      <c r="D3376" s="123"/>
      <c r="E3376" s="136"/>
      <c r="F3376" s="134">
        <v>60339107583.360001</v>
      </c>
      <c r="G3376" s="126">
        <f t="shared" si="84"/>
        <v>0</v>
      </c>
      <c r="H3376" s="120"/>
      <c r="I3376" s="120"/>
      <c r="J3376" s="116"/>
      <c r="K3376" s="116"/>
      <c r="L3376" s="116"/>
      <c r="M3376" s="116"/>
      <c r="N3376" s="116"/>
      <c r="O3376" s="116"/>
      <c r="P3376" s="116"/>
    </row>
    <row r="3377" spans="2:16" s="108" customFormat="1" ht="21.75" hidden="1" customHeight="1">
      <c r="B3377" s="109"/>
      <c r="C3377" s="122"/>
      <c r="D3377" s="111" t="s">
        <v>1828</v>
      </c>
      <c r="E3377" s="135">
        <f>E3378</f>
        <v>984782151.66999996</v>
      </c>
      <c r="F3377" s="134">
        <v>60339107583.360001</v>
      </c>
      <c r="G3377" s="126">
        <f t="shared" si="84"/>
        <v>1.6320794110345409</v>
      </c>
      <c r="H3377" s="120"/>
      <c r="I3377" s="120"/>
      <c r="J3377" s="116"/>
      <c r="K3377" s="116"/>
      <c r="L3377" s="116"/>
      <c r="M3377" s="116"/>
      <c r="N3377" s="116"/>
      <c r="O3377" s="116"/>
      <c r="P3377" s="116"/>
    </row>
    <row r="3378" spans="2:16" s="108" customFormat="1" ht="21.75" hidden="1" customHeight="1">
      <c r="B3378" s="109"/>
      <c r="C3378" s="122"/>
      <c r="D3378" s="111" t="s">
        <v>1205</v>
      </c>
      <c r="E3378" s="135">
        <f>E3379</f>
        <v>984782151.66999996</v>
      </c>
      <c r="F3378" s="134">
        <v>60339107583.360001</v>
      </c>
      <c r="G3378" s="126">
        <f t="shared" si="84"/>
        <v>1.6320794110345409</v>
      </c>
      <c r="H3378" s="120"/>
      <c r="I3378" s="120"/>
      <c r="J3378" s="116"/>
      <c r="K3378" s="116"/>
      <c r="L3378" s="116"/>
      <c r="M3378" s="116"/>
      <c r="N3378" s="116"/>
      <c r="O3378" s="116"/>
      <c r="P3378" s="116"/>
    </row>
    <row r="3379" spans="2:16" s="108" customFormat="1" ht="33.75" hidden="1" customHeight="1">
      <c r="B3379" s="109"/>
      <c r="C3379" s="122"/>
      <c r="D3379" s="123" t="s">
        <v>2319</v>
      </c>
      <c r="E3379" s="136">
        <v>984782151.66999996</v>
      </c>
      <c r="F3379" s="134">
        <v>60339107583.360001</v>
      </c>
      <c r="G3379" s="126">
        <f t="shared" si="84"/>
        <v>1.6320794110345409</v>
      </c>
      <c r="H3379" s="120"/>
      <c r="I3379" s="120"/>
      <c r="J3379" s="116"/>
      <c r="K3379" s="116"/>
      <c r="L3379" s="116"/>
      <c r="M3379" s="116"/>
      <c r="N3379" s="116"/>
      <c r="O3379" s="116"/>
      <c r="P3379" s="116"/>
    </row>
    <row r="3380" spans="2:16" s="108" customFormat="1" ht="21.75" hidden="1" customHeight="1">
      <c r="B3380" s="109"/>
      <c r="C3380" s="122"/>
      <c r="D3380" s="123"/>
      <c r="E3380" s="136"/>
      <c r="F3380" s="134">
        <v>60339107583.360001</v>
      </c>
      <c r="G3380" s="126">
        <f t="shared" si="84"/>
        <v>0</v>
      </c>
      <c r="H3380" s="120"/>
      <c r="I3380" s="120"/>
      <c r="J3380" s="116"/>
      <c r="K3380" s="116"/>
      <c r="L3380" s="116"/>
      <c r="M3380" s="116"/>
      <c r="N3380" s="116"/>
      <c r="O3380" s="116"/>
      <c r="P3380" s="116"/>
    </row>
    <row r="3381" spans="2:16" s="108" customFormat="1" ht="21.75" hidden="1" customHeight="1">
      <c r="B3381" s="109"/>
      <c r="C3381" s="122"/>
      <c r="D3381" s="111" t="s">
        <v>518</v>
      </c>
      <c r="E3381" s="135">
        <f>E3382</f>
        <v>1900000000</v>
      </c>
      <c r="F3381" s="134">
        <v>60339107583.360001</v>
      </c>
      <c r="G3381" s="126">
        <f t="shared" si="84"/>
        <v>3.1488699055999492</v>
      </c>
      <c r="H3381" s="120"/>
      <c r="I3381" s="120"/>
      <c r="J3381" s="116"/>
      <c r="K3381" s="116"/>
      <c r="L3381" s="116"/>
      <c r="M3381" s="116"/>
      <c r="N3381" s="116"/>
      <c r="O3381" s="116"/>
      <c r="P3381" s="116"/>
    </row>
    <row r="3382" spans="2:16" s="108" customFormat="1" ht="21.75" hidden="1" customHeight="1">
      <c r="B3382" s="109"/>
      <c r="C3382" s="122"/>
      <c r="D3382" s="111" t="s">
        <v>2320</v>
      </c>
      <c r="E3382" s="135">
        <f>SUM(E3383:E3384)</f>
        <v>1900000000</v>
      </c>
      <c r="F3382" s="134">
        <v>60339107583.360001</v>
      </c>
      <c r="G3382" s="126">
        <f t="shared" si="84"/>
        <v>3.1488699055999492</v>
      </c>
      <c r="H3382" s="120"/>
      <c r="I3382" s="120"/>
      <c r="J3382" s="116"/>
      <c r="K3382" s="116"/>
      <c r="L3382" s="116"/>
      <c r="M3382" s="116"/>
      <c r="N3382" s="116"/>
      <c r="O3382" s="116"/>
      <c r="P3382" s="116"/>
    </row>
    <row r="3383" spans="2:16" s="108" customFormat="1" ht="21.75" hidden="1" customHeight="1">
      <c r="B3383" s="109"/>
      <c r="C3383" s="122"/>
      <c r="D3383" s="123" t="s">
        <v>2321</v>
      </c>
      <c r="E3383" s="136">
        <v>1010000000</v>
      </c>
      <c r="F3383" s="134">
        <v>60339107583.360001</v>
      </c>
      <c r="G3383" s="126">
        <f t="shared" si="84"/>
        <v>1.6738729498189207</v>
      </c>
      <c r="H3383" s="120"/>
      <c r="I3383" s="120"/>
      <c r="J3383" s="116"/>
      <c r="K3383" s="116"/>
      <c r="L3383" s="116"/>
      <c r="M3383" s="116"/>
      <c r="N3383" s="116"/>
      <c r="O3383" s="116"/>
      <c r="P3383" s="116"/>
    </row>
    <row r="3384" spans="2:16" s="108" customFormat="1" ht="21.75" hidden="1" customHeight="1">
      <c r="B3384" s="109"/>
      <c r="C3384" s="122"/>
      <c r="D3384" s="123" t="s">
        <v>2322</v>
      </c>
      <c r="E3384" s="136">
        <v>890000000</v>
      </c>
      <c r="F3384" s="134">
        <v>60339107583.360001</v>
      </c>
      <c r="G3384" s="126">
        <f t="shared" si="84"/>
        <v>1.474996955781029</v>
      </c>
      <c r="H3384" s="120"/>
      <c r="I3384" s="120"/>
      <c r="J3384" s="116"/>
      <c r="K3384" s="116"/>
      <c r="L3384" s="116"/>
      <c r="M3384" s="116"/>
      <c r="N3384" s="116"/>
      <c r="O3384" s="116"/>
      <c r="P3384" s="116"/>
    </row>
    <row r="3385" spans="2:16" s="108" customFormat="1" ht="21.75" hidden="1" customHeight="1">
      <c r="B3385" s="109"/>
      <c r="C3385" s="122"/>
      <c r="D3385" s="123"/>
      <c r="E3385" s="136"/>
      <c r="F3385" s="134">
        <v>60339107583.360001</v>
      </c>
      <c r="G3385" s="126">
        <f t="shared" si="84"/>
        <v>0</v>
      </c>
      <c r="H3385" s="120"/>
      <c r="I3385" s="120"/>
      <c r="J3385" s="116"/>
      <c r="K3385" s="116"/>
      <c r="L3385" s="116"/>
      <c r="M3385" s="116"/>
      <c r="N3385" s="116"/>
      <c r="O3385" s="116"/>
      <c r="P3385" s="116"/>
    </row>
    <row r="3386" spans="2:16" s="108" customFormat="1" ht="21.75" hidden="1" customHeight="1">
      <c r="B3386" s="109"/>
      <c r="C3386" s="122"/>
      <c r="D3386" s="111" t="s">
        <v>2323</v>
      </c>
      <c r="E3386" s="135">
        <f>E3387</f>
        <v>1011230960</v>
      </c>
      <c r="F3386" s="134">
        <v>60339107583.360001</v>
      </c>
      <c r="G3386" s="126">
        <f t="shared" si="84"/>
        <v>1.6759130197657612</v>
      </c>
      <c r="H3386" s="120"/>
      <c r="I3386" s="120"/>
      <c r="J3386" s="116"/>
      <c r="K3386" s="116"/>
      <c r="L3386" s="116"/>
      <c r="M3386" s="116"/>
      <c r="N3386" s="116"/>
      <c r="O3386" s="116"/>
      <c r="P3386" s="116"/>
    </row>
    <row r="3387" spans="2:16" s="108" customFormat="1" ht="21.75" hidden="1" customHeight="1">
      <c r="B3387" s="109"/>
      <c r="C3387" s="122"/>
      <c r="D3387" s="111" t="s">
        <v>1443</v>
      </c>
      <c r="E3387" s="135">
        <f>SUM(E3388)</f>
        <v>1011230960</v>
      </c>
      <c r="F3387" s="134">
        <v>60339107583.360001</v>
      </c>
      <c r="G3387" s="126">
        <f t="shared" si="84"/>
        <v>1.6759130197657612</v>
      </c>
      <c r="H3387" s="120"/>
      <c r="I3387" s="120"/>
      <c r="J3387" s="116"/>
      <c r="K3387" s="116"/>
      <c r="L3387" s="116"/>
      <c r="M3387" s="116"/>
      <c r="N3387" s="116"/>
      <c r="O3387" s="116"/>
      <c r="P3387" s="116"/>
    </row>
    <row r="3388" spans="2:16" s="108" customFormat="1" ht="21.75" hidden="1" customHeight="1">
      <c r="B3388" s="109"/>
      <c r="C3388" s="122"/>
      <c r="D3388" s="123" t="s">
        <v>2109</v>
      </c>
      <c r="E3388" s="136">
        <v>1011230960</v>
      </c>
      <c r="F3388" s="134">
        <v>60339107583.360001</v>
      </c>
      <c r="G3388" s="126">
        <f t="shared" si="84"/>
        <v>1.6759130197657612</v>
      </c>
      <c r="H3388" s="120"/>
      <c r="I3388" s="120"/>
      <c r="J3388" s="116"/>
      <c r="K3388" s="116"/>
      <c r="L3388" s="116"/>
      <c r="M3388" s="116"/>
      <c r="N3388" s="116"/>
      <c r="O3388" s="116"/>
      <c r="P3388" s="116"/>
    </row>
    <row r="3389" spans="2:16" s="108" customFormat="1" ht="21.75" hidden="1" customHeight="1">
      <c r="B3389" s="109"/>
      <c r="C3389" s="122"/>
      <c r="D3389" s="123"/>
      <c r="E3389" s="136"/>
      <c r="F3389" s="134">
        <v>60339107583.360001</v>
      </c>
      <c r="G3389" s="126">
        <f t="shared" si="84"/>
        <v>0</v>
      </c>
      <c r="H3389" s="120"/>
      <c r="I3389" s="120"/>
      <c r="J3389" s="116"/>
      <c r="K3389" s="116"/>
      <c r="L3389" s="116"/>
      <c r="M3389" s="116"/>
      <c r="N3389" s="116"/>
      <c r="O3389" s="116"/>
      <c r="P3389" s="116"/>
    </row>
    <row r="3390" spans="2:16" s="108" customFormat="1" ht="21.75" hidden="1" customHeight="1">
      <c r="B3390" s="109"/>
      <c r="C3390" s="122"/>
      <c r="D3390" s="111" t="s">
        <v>2324</v>
      </c>
      <c r="E3390" s="135">
        <f>E3391+E3395</f>
        <v>1575276895.8</v>
      </c>
      <c r="F3390" s="134">
        <v>60339107583.360001</v>
      </c>
      <c r="G3390" s="126">
        <f t="shared" si="84"/>
        <v>2.6107063211429091</v>
      </c>
      <c r="H3390" s="120"/>
      <c r="I3390" s="120"/>
      <c r="J3390" s="116"/>
      <c r="K3390" s="116"/>
      <c r="L3390" s="116"/>
      <c r="M3390" s="116"/>
      <c r="N3390" s="116"/>
      <c r="O3390" s="116"/>
      <c r="P3390" s="116"/>
    </row>
    <row r="3391" spans="2:16" s="108" customFormat="1" ht="39" hidden="1" customHeight="1">
      <c r="B3391" s="109"/>
      <c r="C3391" s="122"/>
      <c r="D3391" s="111" t="s">
        <v>546</v>
      </c>
      <c r="E3391" s="135">
        <f>SUM(E3392:E3394)</f>
        <v>1305276895.8</v>
      </c>
      <c r="F3391" s="134">
        <v>60339107583.360001</v>
      </c>
      <c r="G3391" s="126">
        <f t="shared" si="84"/>
        <v>2.1632353345576534</v>
      </c>
      <c r="H3391" s="120"/>
      <c r="I3391" s="120"/>
      <c r="J3391" s="116"/>
      <c r="K3391" s="116"/>
      <c r="L3391" s="116"/>
      <c r="M3391" s="116"/>
      <c r="N3391" s="116"/>
      <c r="O3391" s="116"/>
      <c r="P3391" s="116"/>
    </row>
    <row r="3392" spans="2:16" s="108" customFormat="1" ht="41.25" hidden="1" customHeight="1">
      <c r="B3392" s="109"/>
      <c r="C3392" s="122"/>
      <c r="D3392" s="123" t="s">
        <v>2325</v>
      </c>
      <c r="E3392" s="136">
        <v>282000000</v>
      </c>
      <c r="F3392" s="134">
        <v>60339107583.360001</v>
      </c>
      <c r="G3392" s="126">
        <f t="shared" si="84"/>
        <v>0.46735858598904512</v>
      </c>
      <c r="H3392" s="120"/>
      <c r="I3392" s="120"/>
      <c r="J3392" s="116"/>
      <c r="K3392" s="116"/>
      <c r="L3392" s="116"/>
      <c r="M3392" s="116"/>
      <c r="N3392" s="116"/>
      <c r="O3392" s="116"/>
      <c r="P3392" s="116"/>
    </row>
    <row r="3393" spans="2:16" s="108" customFormat="1" ht="21.75" hidden="1" customHeight="1">
      <c r="B3393" s="109"/>
      <c r="C3393" s="122"/>
      <c r="D3393" s="57" t="s">
        <v>2326</v>
      </c>
      <c r="E3393" s="136">
        <v>673276895.79999995</v>
      </c>
      <c r="F3393" s="134">
        <v>60339107583.360001</v>
      </c>
      <c r="G3393" s="126">
        <f t="shared" si="84"/>
        <v>1.1158217659580911</v>
      </c>
      <c r="H3393" s="120"/>
      <c r="I3393" s="120"/>
      <c r="J3393" s="116"/>
      <c r="K3393" s="116"/>
      <c r="L3393" s="116"/>
      <c r="M3393" s="116"/>
      <c r="N3393" s="116"/>
      <c r="O3393" s="116"/>
      <c r="P3393" s="116"/>
    </row>
    <row r="3394" spans="2:16" s="108" customFormat="1" ht="21.75" hidden="1" customHeight="1">
      <c r="B3394" s="109"/>
      <c r="C3394" s="122"/>
      <c r="D3394" s="57" t="s">
        <v>2327</v>
      </c>
      <c r="E3394" s="136">
        <v>350000000</v>
      </c>
      <c r="F3394" s="134">
        <v>60339107583.360001</v>
      </c>
      <c r="G3394" s="126">
        <f t="shared" si="84"/>
        <v>0.58005498261051702</v>
      </c>
      <c r="H3394" s="120"/>
      <c r="I3394" s="120"/>
      <c r="J3394" s="116"/>
      <c r="K3394" s="116"/>
      <c r="L3394" s="116"/>
      <c r="M3394" s="116"/>
      <c r="N3394" s="116"/>
      <c r="O3394" s="116"/>
      <c r="P3394" s="116"/>
    </row>
    <row r="3395" spans="2:16" s="108" customFormat="1" ht="21.75" hidden="1" customHeight="1">
      <c r="B3395" s="109"/>
      <c r="C3395" s="122"/>
      <c r="D3395" s="111" t="s">
        <v>1433</v>
      </c>
      <c r="E3395" s="135">
        <f>SUM(E3396)</f>
        <v>270000000</v>
      </c>
      <c r="F3395" s="134">
        <v>60339107583.360001</v>
      </c>
      <c r="G3395" s="126">
        <f t="shared" si="84"/>
        <v>0.44747098658525603</v>
      </c>
      <c r="H3395" s="120"/>
      <c r="I3395" s="120"/>
      <c r="J3395" s="116"/>
      <c r="K3395" s="116"/>
      <c r="L3395" s="116"/>
      <c r="M3395" s="116"/>
      <c r="N3395" s="116"/>
      <c r="O3395" s="116"/>
      <c r="P3395" s="116"/>
    </row>
    <row r="3396" spans="2:16" s="108" customFormat="1" ht="35.25" hidden="1" customHeight="1">
      <c r="B3396" s="109"/>
      <c r="C3396" s="122"/>
      <c r="D3396" s="57" t="s">
        <v>2328</v>
      </c>
      <c r="E3396" s="136">
        <v>270000000</v>
      </c>
      <c r="F3396" s="134">
        <v>60339107583.360001</v>
      </c>
      <c r="G3396" s="126">
        <f t="shared" si="84"/>
        <v>0.44747098658525603</v>
      </c>
      <c r="H3396" s="120"/>
      <c r="I3396" s="120"/>
      <c r="J3396" s="116"/>
      <c r="K3396" s="116"/>
      <c r="L3396" s="116"/>
      <c r="M3396" s="116"/>
      <c r="N3396" s="116"/>
      <c r="O3396" s="116"/>
      <c r="P3396" s="116"/>
    </row>
    <row r="3397" spans="2:16" s="108" customFormat="1" ht="21.75" hidden="1" customHeight="1">
      <c r="B3397" s="109"/>
      <c r="C3397" s="122"/>
      <c r="D3397" s="57"/>
      <c r="E3397" s="136"/>
      <c r="F3397" s="134">
        <v>60339107583.360001</v>
      </c>
      <c r="G3397" s="126">
        <f t="shared" si="84"/>
        <v>0</v>
      </c>
      <c r="H3397" s="120"/>
      <c r="I3397" s="120"/>
      <c r="J3397" s="116"/>
      <c r="K3397" s="116"/>
      <c r="L3397" s="116"/>
      <c r="M3397" s="116"/>
      <c r="N3397" s="116"/>
      <c r="O3397" s="116"/>
      <c r="P3397" s="116"/>
    </row>
    <row r="3398" spans="2:16" s="108" customFormat="1" ht="21.75" hidden="1" customHeight="1">
      <c r="B3398" s="109"/>
      <c r="C3398" s="122"/>
      <c r="D3398" s="111" t="s">
        <v>2329</v>
      </c>
      <c r="E3398" s="135">
        <f>E3399</f>
        <v>1004564000</v>
      </c>
      <c r="F3398" s="134">
        <v>60339107583.360001</v>
      </c>
      <c r="G3398" s="126">
        <f t="shared" si="84"/>
        <v>1.6648638672890039</v>
      </c>
      <c r="H3398" s="120"/>
      <c r="I3398" s="120"/>
      <c r="J3398" s="116"/>
      <c r="K3398" s="116"/>
      <c r="L3398" s="116"/>
      <c r="M3398" s="116"/>
      <c r="N3398" s="116"/>
      <c r="O3398" s="116"/>
      <c r="P3398" s="116"/>
    </row>
    <row r="3399" spans="2:16" s="108" customFormat="1" ht="21.75" hidden="1" customHeight="1">
      <c r="B3399" s="109"/>
      <c r="C3399" s="122"/>
      <c r="D3399" s="111" t="s">
        <v>1876</v>
      </c>
      <c r="E3399" s="135">
        <f>E3400</f>
        <v>1004564000</v>
      </c>
      <c r="F3399" s="134">
        <v>60339107583.360001</v>
      </c>
      <c r="G3399" s="126">
        <f t="shared" si="84"/>
        <v>1.6648638672890039</v>
      </c>
      <c r="H3399" s="120"/>
      <c r="I3399" s="120"/>
      <c r="J3399" s="116"/>
      <c r="K3399" s="116"/>
      <c r="L3399" s="116"/>
      <c r="M3399" s="116"/>
      <c r="N3399" s="116"/>
      <c r="O3399" s="116"/>
      <c r="P3399" s="116"/>
    </row>
    <row r="3400" spans="2:16" s="108" customFormat="1" ht="21.75" hidden="1" customHeight="1">
      <c r="B3400" s="109"/>
      <c r="C3400" s="122"/>
      <c r="D3400" s="123" t="s">
        <v>2330</v>
      </c>
      <c r="E3400" s="136">
        <v>1004564000</v>
      </c>
      <c r="F3400" s="134">
        <v>60339107583.360001</v>
      </c>
      <c r="G3400" s="126">
        <f t="shared" si="84"/>
        <v>1.6648638672890039</v>
      </c>
      <c r="H3400" s="120"/>
      <c r="I3400" s="120"/>
      <c r="J3400" s="116"/>
      <c r="K3400" s="116"/>
      <c r="L3400" s="116"/>
      <c r="M3400" s="116"/>
      <c r="N3400" s="116"/>
      <c r="O3400" s="116"/>
      <c r="P3400" s="116"/>
    </row>
    <row r="3401" spans="2:16" s="108" customFormat="1" ht="21.75" hidden="1" customHeight="1">
      <c r="B3401" s="109"/>
      <c r="C3401" s="122"/>
      <c r="D3401" s="123"/>
      <c r="E3401" s="136"/>
      <c r="F3401" s="134">
        <v>60339107583.360001</v>
      </c>
      <c r="G3401" s="126">
        <f t="shared" si="84"/>
        <v>0</v>
      </c>
      <c r="H3401" s="120"/>
      <c r="I3401" s="120"/>
      <c r="J3401" s="116"/>
      <c r="K3401" s="116"/>
      <c r="L3401" s="116"/>
      <c r="M3401" s="116"/>
      <c r="N3401" s="116"/>
      <c r="O3401" s="116"/>
      <c r="P3401" s="116"/>
    </row>
    <row r="3402" spans="2:16" s="108" customFormat="1" ht="21.75" hidden="1" customHeight="1">
      <c r="B3402" s="109"/>
      <c r="C3402" s="122"/>
      <c r="D3402" s="111" t="s">
        <v>69</v>
      </c>
      <c r="E3402" s="135">
        <f>E3403</f>
        <v>2589000000</v>
      </c>
      <c r="F3402" s="134">
        <v>60339107583.360001</v>
      </c>
      <c r="G3402" s="126">
        <f t="shared" si="84"/>
        <v>4.2907495713675106</v>
      </c>
      <c r="H3402" s="120"/>
      <c r="I3402" s="120"/>
      <c r="J3402" s="116"/>
      <c r="K3402" s="116"/>
      <c r="L3402" s="116"/>
      <c r="M3402" s="116"/>
      <c r="N3402" s="116"/>
      <c r="O3402" s="116"/>
      <c r="P3402" s="116"/>
    </row>
    <row r="3403" spans="2:16" s="108" customFormat="1" ht="21.75" hidden="1" customHeight="1">
      <c r="B3403" s="109"/>
      <c r="C3403" s="122"/>
      <c r="D3403" s="111" t="s">
        <v>1843</v>
      </c>
      <c r="E3403" s="135">
        <f>E3404+E3405+E3406</f>
        <v>2589000000</v>
      </c>
      <c r="F3403" s="134">
        <v>60339107583.360001</v>
      </c>
      <c r="G3403" s="126">
        <f t="shared" si="84"/>
        <v>4.2907495713675106</v>
      </c>
      <c r="H3403" s="120"/>
      <c r="I3403" s="120"/>
      <c r="J3403" s="116"/>
      <c r="K3403" s="116"/>
      <c r="L3403" s="116"/>
      <c r="M3403" s="116"/>
      <c r="N3403" s="116"/>
      <c r="O3403" s="116"/>
      <c r="P3403" s="116"/>
    </row>
    <row r="3404" spans="2:16" s="108" customFormat="1" ht="21.75" hidden="1" customHeight="1">
      <c r="B3404" s="109"/>
      <c r="C3404" s="122"/>
      <c r="D3404" s="123" t="s">
        <v>712</v>
      </c>
      <c r="E3404" s="136">
        <v>1091500000</v>
      </c>
      <c r="F3404" s="134">
        <v>60339107583.360001</v>
      </c>
      <c r="G3404" s="126">
        <f t="shared" si="84"/>
        <v>1.8089428957696552</v>
      </c>
      <c r="H3404" s="120"/>
      <c r="I3404" s="120"/>
      <c r="J3404" s="116"/>
      <c r="K3404" s="116"/>
      <c r="L3404" s="116"/>
      <c r="M3404" s="116"/>
      <c r="N3404" s="116"/>
      <c r="O3404" s="116"/>
      <c r="P3404" s="116"/>
    </row>
    <row r="3405" spans="2:16" s="108" customFormat="1" ht="21.75" hidden="1" customHeight="1">
      <c r="B3405" s="109"/>
      <c r="C3405" s="122"/>
      <c r="D3405" s="123" t="s">
        <v>2331</v>
      </c>
      <c r="E3405" s="136">
        <v>1037500000</v>
      </c>
      <c r="F3405" s="134">
        <v>60339107583.360001</v>
      </c>
      <c r="G3405" s="126">
        <f t="shared" si="84"/>
        <v>1.7194486984526038</v>
      </c>
      <c r="H3405" s="120"/>
      <c r="I3405" s="120"/>
      <c r="J3405" s="116"/>
      <c r="K3405" s="116"/>
      <c r="L3405" s="116"/>
      <c r="M3405" s="116"/>
      <c r="N3405" s="116"/>
      <c r="O3405" s="116"/>
      <c r="P3405" s="116"/>
    </row>
    <row r="3406" spans="2:16" s="108" customFormat="1" ht="21.75" hidden="1" customHeight="1">
      <c r="B3406" s="109"/>
      <c r="C3406" s="122"/>
      <c r="D3406" s="123" t="s">
        <v>2332</v>
      </c>
      <c r="E3406" s="136">
        <v>460000000</v>
      </c>
      <c r="F3406" s="134">
        <v>60339107583.360001</v>
      </c>
      <c r="G3406" s="126">
        <f t="shared" si="84"/>
        <v>0.762357977145251</v>
      </c>
      <c r="H3406" s="120"/>
      <c r="I3406" s="120"/>
      <c r="J3406" s="116"/>
      <c r="K3406" s="116"/>
      <c r="L3406" s="116"/>
      <c r="M3406" s="116"/>
      <c r="N3406" s="116"/>
      <c r="O3406" s="116"/>
      <c r="P3406" s="116"/>
    </row>
    <row r="3407" spans="2:16" s="108" customFormat="1" ht="21.75" hidden="1" customHeight="1">
      <c r="B3407" s="109"/>
      <c r="C3407" s="122"/>
      <c r="D3407" s="123"/>
      <c r="E3407" s="136"/>
      <c r="F3407" s="134">
        <v>60339107583.360001</v>
      </c>
      <c r="G3407" s="126">
        <f t="shared" si="84"/>
        <v>0</v>
      </c>
      <c r="H3407" s="120"/>
      <c r="I3407" s="120"/>
      <c r="J3407" s="116"/>
      <c r="K3407" s="116"/>
      <c r="L3407" s="116"/>
      <c r="M3407" s="116"/>
      <c r="N3407" s="116"/>
      <c r="O3407" s="116"/>
      <c r="P3407" s="116"/>
    </row>
    <row r="3408" spans="2:16" s="108" customFormat="1" ht="21.75" hidden="1" customHeight="1">
      <c r="B3408" s="109"/>
      <c r="C3408" s="122"/>
      <c r="D3408" s="111" t="s">
        <v>503</v>
      </c>
      <c r="E3408" s="135">
        <f>E3409+E3411</f>
        <v>1737000000</v>
      </c>
      <c r="F3408" s="134">
        <v>60339107583.360001</v>
      </c>
      <c r="G3408" s="126">
        <f t="shared" si="84"/>
        <v>2.8787300136984801</v>
      </c>
      <c r="H3408" s="120"/>
      <c r="I3408" s="120"/>
      <c r="J3408" s="116"/>
      <c r="K3408" s="116"/>
      <c r="L3408" s="116"/>
      <c r="M3408" s="116"/>
      <c r="N3408" s="116"/>
      <c r="O3408" s="116"/>
      <c r="P3408" s="116"/>
    </row>
    <row r="3409" spans="2:16" s="108" customFormat="1" ht="21.75" hidden="1" customHeight="1">
      <c r="B3409" s="109"/>
      <c r="C3409" s="122"/>
      <c r="D3409" s="111" t="s">
        <v>286</v>
      </c>
      <c r="E3409" s="135">
        <f>E3410</f>
        <v>625000000</v>
      </c>
      <c r="F3409" s="134">
        <v>60339107583.360001</v>
      </c>
      <c r="G3409" s="126">
        <f t="shared" si="84"/>
        <v>1.0358124689473518</v>
      </c>
      <c r="H3409" s="120"/>
      <c r="I3409" s="120"/>
      <c r="J3409" s="116"/>
      <c r="K3409" s="116"/>
      <c r="L3409" s="116"/>
      <c r="M3409" s="116"/>
      <c r="N3409" s="116"/>
      <c r="O3409" s="116"/>
      <c r="P3409" s="116"/>
    </row>
    <row r="3410" spans="2:16" s="108" customFormat="1" ht="21.75" hidden="1" customHeight="1">
      <c r="B3410" s="109"/>
      <c r="C3410" s="122"/>
      <c r="D3410" s="123" t="s">
        <v>2333</v>
      </c>
      <c r="E3410" s="136">
        <v>625000000</v>
      </c>
      <c r="F3410" s="134">
        <v>60339107583.360001</v>
      </c>
      <c r="G3410" s="126">
        <f t="shared" si="84"/>
        <v>1.0358124689473518</v>
      </c>
      <c r="H3410" s="120"/>
      <c r="I3410" s="120"/>
      <c r="J3410" s="116"/>
      <c r="K3410" s="116"/>
      <c r="L3410" s="116"/>
      <c r="M3410" s="116"/>
      <c r="N3410" s="116"/>
      <c r="O3410" s="116"/>
      <c r="P3410" s="116"/>
    </row>
    <row r="3411" spans="2:16" s="108" customFormat="1" ht="21.75" hidden="1" customHeight="1">
      <c r="B3411" s="109"/>
      <c r="C3411" s="122"/>
      <c r="D3411" s="111" t="s">
        <v>1839</v>
      </c>
      <c r="E3411" s="135">
        <f>E3412</f>
        <v>1112000000</v>
      </c>
      <c r="F3411" s="134">
        <v>60339107583.360001</v>
      </c>
      <c r="G3411" s="126">
        <f t="shared" si="84"/>
        <v>1.8429175447511283</v>
      </c>
      <c r="H3411" s="120"/>
      <c r="I3411" s="120"/>
      <c r="J3411" s="116"/>
      <c r="K3411" s="116"/>
      <c r="L3411" s="116"/>
      <c r="M3411" s="116"/>
      <c r="N3411" s="116"/>
      <c r="O3411" s="116"/>
      <c r="P3411" s="116"/>
    </row>
    <row r="3412" spans="2:16" s="108" customFormat="1" ht="21.75" hidden="1" customHeight="1">
      <c r="B3412" s="109"/>
      <c r="C3412" s="122"/>
      <c r="D3412" s="123" t="s">
        <v>2334</v>
      </c>
      <c r="E3412" s="136">
        <v>1112000000</v>
      </c>
      <c r="F3412" s="134">
        <v>60339107583.360001</v>
      </c>
      <c r="G3412" s="126">
        <f t="shared" si="84"/>
        <v>1.8429175447511283</v>
      </c>
      <c r="H3412" s="120"/>
      <c r="I3412" s="120"/>
      <c r="J3412" s="116"/>
      <c r="K3412" s="116"/>
      <c r="L3412" s="116"/>
      <c r="M3412" s="116"/>
      <c r="N3412" s="116"/>
      <c r="O3412" s="116"/>
      <c r="P3412" s="116"/>
    </row>
    <row r="3413" spans="2:16" s="108" customFormat="1" ht="21.75" hidden="1" customHeight="1">
      <c r="B3413" s="109"/>
      <c r="C3413" s="122"/>
      <c r="D3413" s="123"/>
      <c r="E3413" s="136"/>
      <c r="F3413" s="134">
        <v>60339107583.360001</v>
      </c>
      <c r="G3413" s="126">
        <f t="shared" si="84"/>
        <v>0</v>
      </c>
      <c r="H3413" s="120"/>
      <c r="I3413" s="120"/>
      <c r="J3413" s="116"/>
      <c r="K3413" s="116"/>
      <c r="L3413" s="116"/>
      <c r="M3413" s="116"/>
      <c r="N3413" s="116"/>
      <c r="O3413" s="116"/>
      <c r="P3413" s="116"/>
    </row>
    <row r="3414" spans="2:16" s="108" customFormat="1" ht="21.75" hidden="1" customHeight="1">
      <c r="B3414" s="109"/>
      <c r="C3414" s="122"/>
      <c r="D3414" s="111" t="s">
        <v>464</v>
      </c>
      <c r="E3414" s="135">
        <f>E3415+E3417+E3420</f>
        <v>4683500000</v>
      </c>
      <c r="F3414" s="134">
        <v>60339107583.360001</v>
      </c>
      <c r="G3414" s="126">
        <f t="shared" si="84"/>
        <v>7.7619643173038755</v>
      </c>
      <c r="H3414" s="120"/>
      <c r="I3414" s="120"/>
      <c r="J3414" s="116"/>
      <c r="K3414" s="116"/>
      <c r="L3414" s="116"/>
      <c r="M3414" s="116"/>
      <c r="N3414" s="116"/>
      <c r="O3414" s="116"/>
      <c r="P3414" s="116"/>
    </row>
    <row r="3415" spans="2:16" s="108" customFormat="1" ht="21.75" hidden="1" customHeight="1">
      <c r="B3415" s="109"/>
      <c r="C3415" s="122"/>
      <c r="D3415" s="111" t="s">
        <v>912</v>
      </c>
      <c r="E3415" s="135">
        <f>E3416</f>
        <v>410000000</v>
      </c>
      <c r="F3415" s="134">
        <v>60339107583.360001</v>
      </c>
      <c r="G3415" s="126">
        <f t="shared" si="84"/>
        <v>0.67949297962946287</v>
      </c>
      <c r="H3415" s="120"/>
      <c r="I3415" s="120"/>
      <c r="J3415" s="116"/>
      <c r="K3415" s="116"/>
      <c r="L3415" s="116"/>
      <c r="M3415" s="116"/>
      <c r="N3415" s="116"/>
      <c r="O3415" s="116"/>
      <c r="P3415" s="116"/>
    </row>
    <row r="3416" spans="2:16" s="108" customFormat="1" ht="21.75" hidden="1" customHeight="1">
      <c r="B3416" s="109"/>
      <c r="C3416" s="122"/>
      <c r="D3416" s="123" t="s">
        <v>1509</v>
      </c>
      <c r="E3416" s="136">
        <v>410000000</v>
      </c>
      <c r="F3416" s="134">
        <v>60339107583.360001</v>
      </c>
      <c r="G3416" s="126">
        <f t="shared" si="84"/>
        <v>0.67949297962946287</v>
      </c>
      <c r="H3416" s="120"/>
      <c r="I3416" s="120"/>
      <c r="J3416" s="116"/>
      <c r="K3416" s="116"/>
      <c r="L3416" s="116"/>
      <c r="M3416" s="116"/>
      <c r="N3416" s="116"/>
      <c r="O3416" s="116"/>
      <c r="P3416" s="116"/>
    </row>
    <row r="3417" spans="2:16" s="108" customFormat="1" ht="21.75" hidden="1" customHeight="1">
      <c r="B3417" s="109"/>
      <c r="C3417" s="122"/>
      <c r="D3417" s="111" t="s">
        <v>310</v>
      </c>
      <c r="E3417" s="135">
        <f>SUM(E3418:E3419)</f>
        <v>825000000</v>
      </c>
      <c r="F3417" s="134">
        <v>60339107583.360001</v>
      </c>
      <c r="G3417" s="126">
        <f t="shared" ref="G3417:G3440" si="85">+E3417/F3417*100</f>
        <v>1.3672724590105043</v>
      </c>
      <c r="H3417" s="120"/>
      <c r="I3417" s="120"/>
      <c r="J3417" s="116"/>
      <c r="K3417" s="116"/>
      <c r="L3417" s="116"/>
      <c r="M3417" s="116"/>
      <c r="N3417" s="116"/>
      <c r="O3417" s="116"/>
      <c r="P3417" s="116"/>
    </row>
    <row r="3418" spans="2:16" s="108" customFormat="1" ht="21.75" hidden="1" customHeight="1">
      <c r="B3418" s="109"/>
      <c r="C3418" s="122"/>
      <c r="D3418" s="123" t="s">
        <v>2335</v>
      </c>
      <c r="E3418" s="136">
        <v>300000000</v>
      </c>
      <c r="F3418" s="134">
        <v>60339107583.360001</v>
      </c>
      <c r="G3418" s="126">
        <f t="shared" si="85"/>
        <v>0.49718998509472884</v>
      </c>
      <c r="H3418" s="120"/>
      <c r="I3418" s="120"/>
      <c r="J3418" s="116"/>
      <c r="K3418" s="116"/>
      <c r="L3418" s="116"/>
      <c r="M3418" s="116"/>
      <c r="N3418" s="116"/>
      <c r="O3418" s="116"/>
      <c r="P3418" s="116"/>
    </row>
    <row r="3419" spans="2:16" s="108" customFormat="1" ht="21.75" hidden="1" customHeight="1">
      <c r="B3419" s="109"/>
      <c r="C3419" s="122"/>
      <c r="D3419" s="123" t="s">
        <v>2336</v>
      </c>
      <c r="E3419" s="136">
        <v>525000000</v>
      </c>
      <c r="F3419" s="134">
        <v>60339107583.360001</v>
      </c>
      <c r="G3419" s="126">
        <f t="shared" si="85"/>
        <v>0.87008247391577553</v>
      </c>
      <c r="H3419" s="120"/>
      <c r="I3419" s="120"/>
      <c r="J3419" s="116"/>
      <c r="K3419" s="116"/>
      <c r="L3419" s="116"/>
      <c r="M3419" s="116"/>
      <c r="N3419" s="116"/>
      <c r="O3419" s="116"/>
      <c r="P3419" s="116"/>
    </row>
    <row r="3420" spans="2:16" s="108" customFormat="1" ht="21.75" hidden="1" customHeight="1">
      <c r="B3420" s="109"/>
      <c r="C3420" s="122"/>
      <c r="D3420" s="111" t="s">
        <v>321</v>
      </c>
      <c r="E3420" s="135">
        <f>SUM(E3421:E3425)</f>
        <v>3448500000</v>
      </c>
      <c r="F3420" s="134">
        <v>60339107583.360001</v>
      </c>
      <c r="G3420" s="126">
        <f t="shared" si="85"/>
        <v>5.7151988786639079</v>
      </c>
      <c r="H3420" s="120"/>
      <c r="I3420" s="120"/>
      <c r="J3420" s="116"/>
      <c r="K3420" s="116"/>
      <c r="L3420" s="116"/>
      <c r="M3420" s="116"/>
      <c r="N3420" s="116"/>
      <c r="O3420" s="116"/>
      <c r="P3420" s="116"/>
    </row>
    <row r="3421" spans="2:16" s="108" customFormat="1" ht="21.75" hidden="1" customHeight="1">
      <c r="B3421" s="109"/>
      <c r="C3421" s="122"/>
      <c r="D3421" s="123" t="s">
        <v>720</v>
      </c>
      <c r="E3421" s="136">
        <v>1476000000</v>
      </c>
      <c r="F3421" s="134">
        <v>60339107583.360001</v>
      </c>
      <c r="G3421" s="126">
        <f t="shared" si="85"/>
        <v>2.4461747266660661</v>
      </c>
      <c r="H3421" s="120"/>
      <c r="I3421" s="120"/>
      <c r="J3421" s="116"/>
      <c r="K3421" s="116"/>
      <c r="L3421" s="116"/>
      <c r="M3421" s="116"/>
      <c r="N3421" s="116"/>
      <c r="O3421" s="116"/>
      <c r="P3421" s="116"/>
    </row>
    <row r="3422" spans="2:16" s="108" customFormat="1" ht="21.75" hidden="1" customHeight="1">
      <c r="B3422" s="109"/>
      <c r="C3422" s="122"/>
      <c r="D3422" s="123" t="s">
        <v>322</v>
      </c>
      <c r="E3422" s="136">
        <v>545000000</v>
      </c>
      <c r="F3422" s="134">
        <v>60339107583.360001</v>
      </c>
      <c r="G3422" s="126">
        <f t="shared" si="85"/>
        <v>0.90322847292209074</v>
      </c>
      <c r="H3422" s="120"/>
      <c r="I3422" s="120"/>
      <c r="J3422" s="116"/>
      <c r="K3422" s="116"/>
      <c r="L3422" s="116"/>
      <c r="M3422" s="116"/>
      <c r="N3422" s="116"/>
      <c r="O3422" s="116"/>
      <c r="P3422" s="116"/>
    </row>
    <row r="3423" spans="2:16" s="108" customFormat="1" ht="21.75" hidden="1" customHeight="1">
      <c r="B3423" s="109"/>
      <c r="C3423" s="122"/>
      <c r="D3423" s="123" t="s">
        <v>1662</v>
      </c>
      <c r="E3423" s="136">
        <v>500000000</v>
      </c>
      <c r="F3423" s="134">
        <v>60339107583.360001</v>
      </c>
      <c r="G3423" s="126">
        <f t="shared" si="85"/>
        <v>0.82864997515788141</v>
      </c>
      <c r="H3423" s="120"/>
      <c r="I3423" s="120"/>
      <c r="J3423" s="116"/>
      <c r="K3423" s="116"/>
      <c r="L3423" s="116"/>
      <c r="M3423" s="116"/>
      <c r="N3423" s="116"/>
      <c r="O3423" s="116"/>
      <c r="P3423" s="116"/>
    </row>
    <row r="3424" spans="2:16" s="108" customFormat="1" ht="21.75" hidden="1" customHeight="1">
      <c r="B3424" s="109"/>
      <c r="C3424" s="122"/>
      <c r="D3424" s="123" t="s">
        <v>2337</v>
      </c>
      <c r="E3424" s="136">
        <v>427500000</v>
      </c>
      <c r="F3424" s="134">
        <v>60339107583.360001</v>
      </c>
      <c r="G3424" s="126">
        <f t="shared" si="85"/>
        <v>0.70849572875998856</v>
      </c>
      <c r="H3424" s="120"/>
      <c r="I3424" s="120"/>
      <c r="J3424" s="116"/>
      <c r="K3424" s="116"/>
      <c r="L3424" s="116"/>
      <c r="M3424" s="116"/>
      <c r="N3424" s="116"/>
      <c r="O3424" s="116"/>
      <c r="P3424" s="116"/>
    </row>
    <row r="3425" spans="2:16" s="108" customFormat="1" ht="21.75" hidden="1" customHeight="1">
      <c r="B3425" s="109"/>
      <c r="C3425" s="122"/>
      <c r="D3425" s="123" t="s">
        <v>2338</v>
      </c>
      <c r="E3425" s="136">
        <v>500000000</v>
      </c>
      <c r="F3425" s="134">
        <v>60339107583.360001</v>
      </c>
      <c r="G3425" s="126">
        <f t="shared" si="85"/>
        <v>0.82864997515788141</v>
      </c>
      <c r="H3425" s="120"/>
      <c r="I3425" s="120"/>
      <c r="J3425" s="116"/>
      <c r="K3425" s="116"/>
      <c r="L3425" s="116"/>
      <c r="M3425" s="116"/>
      <c r="N3425" s="116"/>
      <c r="O3425" s="116"/>
      <c r="P3425" s="116"/>
    </row>
    <row r="3426" spans="2:16" s="108" customFormat="1" ht="21.75" hidden="1" customHeight="1">
      <c r="B3426" s="109"/>
      <c r="C3426" s="122"/>
      <c r="D3426" s="123"/>
      <c r="E3426" s="136"/>
      <c r="F3426" s="134">
        <v>60339107583.360001</v>
      </c>
      <c r="G3426" s="126">
        <f t="shared" si="85"/>
        <v>0</v>
      </c>
      <c r="H3426" s="120"/>
      <c r="I3426" s="120"/>
      <c r="J3426" s="116"/>
      <c r="K3426" s="116"/>
      <c r="L3426" s="116"/>
      <c r="M3426" s="116"/>
      <c r="N3426" s="116"/>
      <c r="O3426" s="116"/>
      <c r="P3426" s="116"/>
    </row>
    <row r="3427" spans="2:16" s="108" customFormat="1" ht="21.75" hidden="1" customHeight="1">
      <c r="B3427" s="109"/>
      <c r="C3427" s="122"/>
      <c r="D3427" s="111" t="s">
        <v>987</v>
      </c>
      <c r="E3427" s="135">
        <f>E3428+E3430+E3433</f>
        <v>2344400000.0500002</v>
      </c>
      <c r="F3427" s="134">
        <v>60339107583.360001</v>
      </c>
      <c r="G3427" s="126">
        <f t="shared" si="85"/>
        <v>3.8853740036031397</v>
      </c>
      <c r="H3427" s="120"/>
      <c r="I3427" s="120"/>
      <c r="J3427" s="116"/>
      <c r="K3427" s="116"/>
      <c r="L3427" s="116"/>
      <c r="M3427" s="116"/>
      <c r="N3427" s="116"/>
      <c r="O3427" s="116"/>
      <c r="P3427" s="116"/>
    </row>
    <row r="3428" spans="2:16" s="108" customFormat="1" ht="21.75" hidden="1" customHeight="1">
      <c r="B3428" s="109"/>
      <c r="C3428" s="122"/>
      <c r="D3428" s="111" t="s">
        <v>1653</v>
      </c>
      <c r="E3428" s="135">
        <f>E3429</f>
        <v>458300000</v>
      </c>
      <c r="F3428" s="134">
        <v>60339107583.360001</v>
      </c>
      <c r="G3428" s="126">
        <f t="shared" si="85"/>
        <v>0.75954056722971408</v>
      </c>
      <c r="H3428" s="120"/>
      <c r="I3428" s="120"/>
      <c r="J3428" s="116"/>
      <c r="K3428" s="116"/>
      <c r="L3428" s="116"/>
      <c r="M3428" s="116"/>
      <c r="N3428" s="116"/>
      <c r="O3428" s="116"/>
      <c r="P3428" s="116"/>
    </row>
    <row r="3429" spans="2:16" s="108" customFormat="1" ht="37.5" hidden="1" customHeight="1">
      <c r="B3429" s="109"/>
      <c r="C3429" s="122"/>
      <c r="D3429" s="123" t="s">
        <v>539</v>
      </c>
      <c r="E3429" s="136">
        <v>458300000</v>
      </c>
      <c r="F3429" s="134">
        <v>60339107583.360001</v>
      </c>
      <c r="G3429" s="126">
        <f t="shared" si="85"/>
        <v>0.75954056722971408</v>
      </c>
      <c r="H3429" s="120"/>
      <c r="I3429" s="120"/>
      <c r="J3429" s="116"/>
      <c r="K3429" s="116"/>
      <c r="L3429" s="116"/>
      <c r="M3429" s="116"/>
      <c r="N3429" s="116"/>
      <c r="O3429" s="116"/>
      <c r="P3429" s="116"/>
    </row>
    <row r="3430" spans="2:16" s="108" customFormat="1" ht="21.75" hidden="1" customHeight="1">
      <c r="B3430" s="109"/>
      <c r="C3430" s="122"/>
      <c r="D3430" s="111" t="s">
        <v>1859</v>
      </c>
      <c r="E3430" s="135">
        <f>E3431+E3432</f>
        <v>1456100000</v>
      </c>
      <c r="F3430" s="134">
        <v>60339107583.360001</v>
      </c>
      <c r="G3430" s="126">
        <f t="shared" si="85"/>
        <v>2.4131944576547824</v>
      </c>
      <c r="H3430" s="120"/>
      <c r="I3430" s="120"/>
      <c r="J3430" s="116"/>
      <c r="K3430" s="116"/>
      <c r="L3430" s="116"/>
      <c r="M3430" s="116"/>
      <c r="N3430" s="116"/>
      <c r="O3430" s="116"/>
      <c r="P3430" s="116"/>
    </row>
    <row r="3431" spans="2:16" s="108" customFormat="1" ht="21.75" hidden="1" customHeight="1">
      <c r="B3431" s="109"/>
      <c r="C3431" s="122"/>
      <c r="D3431" s="123" t="s">
        <v>2339</v>
      </c>
      <c r="E3431" s="136">
        <v>240100000</v>
      </c>
      <c r="F3431" s="134">
        <v>60339107583.360001</v>
      </c>
      <c r="G3431" s="126">
        <f t="shared" si="85"/>
        <v>0.39791771807081466</v>
      </c>
      <c r="H3431" s="120"/>
      <c r="I3431" s="120"/>
      <c r="J3431" s="116"/>
      <c r="K3431" s="116"/>
      <c r="L3431" s="116"/>
      <c r="M3431" s="116"/>
      <c r="N3431" s="116"/>
      <c r="O3431" s="116"/>
      <c r="P3431" s="116"/>
    </row>
    <row r="3432" spans="2:16" s="108" customFormat="1" ht="21.75" hidden="1" customHeight="1">
      <c r="B3432" s="109"/>
      <c r="C3432" s="122"/>
      <c r="D3432" s="123" t="s">
        <v>2340</v>
      </c>
      <c r="E3432" s="136">
        <v>1216000000</v>
      </c>
      <c r="F3432" s="134">
        <v>60339107583.360001</v>
      </c>
      <c r="G3432" s="126">
        <f t="shared" si="85"/>
        <v>2.0152767395839675</v>
      </c>
      <c r="H3432" s="120"/>
      <c r="I3432" s="120"/>
      <c r="J3432" s="116"/>
      <c r="K3432" s="116"/>
      <c r="L3432" s="116"/>
      <c r="M3432" s="116"/>
      <c r="N3432" s="116"/>
      <c r="O3432" s="116"/>
      <c r="P3432" s="116"/>
    </row>
    <row r="3433" spans="2:16" s="108" customFormat="1" ht="21.75" hidden="1" customHeight="1">
      <c r="B3433" s="109"/>
      <c r="C3433" s="122"/>
      <c r="D3433" s="111" t="s">
        <v>1811</v>
      </c>
      <c r="E3433" s="135">
        <f>E3434</f>
        <v>430000000.05000001</v>
      </c>
      <c r="F3433" s="134">
        <v>60339107583.360001</v>
      </c>
      <c r="G3433" s="126">
        <f t="shared" si="85"/>
        <v>0.71263897871864312</v>
      </c>
      <c r="H3433" s="120"/>
      <c r="I3433" s="120"/>
      <c r="J3433" s="116"/>
      <c r="K3433" s="116"/>
      <c r="L3433" s="116"/>
      <c r="M3433" s="116"/>
      <c r="N3433" s="116"/>
      <c r="O3433" s="116"/>
      <c r="P3433" s="116"/>
    </row>
    <row r="3434" spans="2:16" s="108" customFormat="1" ht="38.25" hidden="1" customHeight="1">
      <c r="B3434" s="109"/>
      <c r="C3434" s="122"/>
      <c r="D3434" s="123" t="s">
        <v>2341</v>
      </c>
      <c r="E3434" s="136">
        <v>430000000.05000001</v>
      </c>
      <c r="F3434" s="134">
        <v>60339107583.360001</v>
      </c>
      <c r="G3434" s="126">
        <f t="shared" si="85"/>
        <v>0.71263897871864312</v>
      </c>
      <c r="H3434" s="120"/>
      <c r="I3434" s="120"/>
      <c r="J3434" s="116"/>
      <c r="K3434" s="116"/>
      <c r="L3434" s="116"/>
      <c r="M3434" s="116"/>
      <c r="N3434" s="116"/>
      <c r="O3434" s="116"/>
      <c r="P3434" s="116"/>
    </row>
    <row r="3435" spans="2:16" s="108" customFormat="1" ht="21.75" hidden="1" customHeight="1">
      <c r="B3435" s="109"/>
      <c r="C3435" s="122"/>
      <c r="D3435" s="123"/>
      <c r="E3435" s="136"/>
      <c r="F3435" s="134">
        <v>60339107583.360001</v>
      </c>
      <c r="G3435" s="126">
        <f t="shared" si="85"/>
        <v>0</v>
      </c>
      <c r="H3435" s="120"/>
      <c r="I3435" s="120"/>
      <c r="J3435" s="116"/>
      <c r="K3435" s="116"/>
      <c r="L3435" s="116"/>
      <c r="M3435" s="116"/>
      <c r="N3435" s="116"/>
      <c r="O3435" s="116"/>
      <c r="P3435" s="116"/>
    </row>
    <row r="3436" spans="2:16" s="108" customFormat="1" ht="21.75" hidden="1" customHeight="1">
      <c r="B3436" s="109"/>
      <c r="C3436" s="122"/>
      <c r="D3436" s="111" t="s">
        <v>366</v>
      </c>
      <c r="E3436" s="135">
        <f>E3437+E3439</f>
        <v>1206782151.6700001</v>
      </c>
      <c r="F3436" s="134">
        <v>60339107583.360001</v>
      </c>
      <c r="G3436" s="126">
        <f t="shared" si="85"/>
        <v>2.0000000000046403</v>
      </c>
      <c r="H3436" s="120"/>
      <c r="I3436" s="120"/>
      <c r="J3436" s="116"/>
      <c r="K3436" s="116"/>
      <c r="L3436" s="116"/>
      <c r="M3436" s="116"/>
      <c r="N3436" s="116"/>
      <c r="O3436" s="116"/>
      <c r="P3436" s="116"/>
    </row>
    <row r="3437" spans="2:16" s="108" customFormat="1" ht="21.75" hidden="1" customHeight="1">
      <c r="B3437" s="109"/>
      <c r="C3437" s="122"/>
      <c r="D3437" s="111" t="s">
        <v>2342</v>
      </c>
      <c r="E3437" s="135">
        <f>E3438</f>
        <v>293282151.67000002</v>
      </c>
      <c r="F3437" s="113">
        <v>60339107583.360001</v>
      </c>
      <c r="G3437" s="126">
        <f t="shared" si="85"/>
        <v>0.48605649539119106</v>
      </c>
      <c r="H3437" s="120"/>
      <c r="I3437" s="120"/>
      <c r="J3437" s="116"/>
      <c r="K3437" s="116"/>
      <c r="L3437" s="116"/>
      <c r="M3437" s="116"/>
      <c r="N3437" s="116"/>
      <c r="O3437" s="116"/>
      <c r="P3437" s="116"/>
    </row>
    <row r="3438" spans="2:16" s="108" customFormat="1" ht="38.25" hidden="1" customHeight="1">
      <c r="B3438" s="109"/>
      <c r="C3438" s="122"/>
      <c r="D3438" s="123" t="s">
        <v>1537</v>
      </c>
      <c r="E3438" s="136">
        <v>293282151.67000002</v>
      </c>
      <c r="F3438" s="113">
        <v>60339107583.360001</v>
      </c>
      <c r="G3438" s="126">
        <f t="shared" si="85"/>
        <v>0.48605649539119106</v>
      </c>
      <c r="H3438" s="120"/>
      <c r="I3438" s="120"/>
      <c r="J3438" s="116"/>
      <c r="K3438" s="116"/>
      <c r="L3438" s="116"/>
      <c r="M3438" s="116"/>
      <c r="N3438" s="116"/>
      <c r="O3438" s="116"/>
      <c r="P3438" s="116"/>
    </row>
    <row r="3439" spans="2:16" s="108" customFormat="1" ht="21.75" hidden="1" customHeight="1">
      <c r="B3439" s="109"/>
      <c r="C3439" s="122"/>
      <c r="D3439" s="111" t="s">
        <v>1462</v>
      </c>
      <c r="E3439" s="135">
        <f>E3440</f>
        <v>913500000</v>
      </c>
      <c r="F3439" s="113">
        <v>60339107583.360001</v>
      </c>
      <c r="G3439" s="126">
        <f t="shared" si="85"/>
        <v>1.5139435046134493</v>
      </c>
      <c r="H3439" s="120"/>
      <c r="I3439" s="120"/>
      <c r="J3439" s="116"/>
      <c r="K3439" s="116"/>
      <c r="L3439" s="116"/>
      <c r="M3439" s="116"/>
      <c r="N3439" s="116"/>
      <c r="O3439" s="116"/>
      <c r="P3439" s="116"/>
    </row>
    <row r="3440" spans="2:16" s="108" customFormat="1" ht="49.5" hidden="1" customHeight="1">
      <c r="B3440" s="109"/>
      <c r="C3440" s="122"/>
      <c r="D3440" s="123" t="s">
        <v>2343</v>
      </c>
      <c r="E3440" s="136">
        <v>913500000</v>
      </c>
      <c r="F3440" s="113">
        <v>60339107583.360001</v>
      </c>
      <c r="G3440" s="126">
        <f t="shared" si="85"/>
        <v>1.5139435046134493</v>
      </c>
      <c r="H3440" s="120"/>
      <c r="I3440" s="120"/>
      <c r="J3440" s="116"/>
      <c r="K3440" s="116"/>
      <c r="L3440" s="116"/>
      <c r="M3440" s="116"/>
      <c r="N3440" s="116"/>
      <c r="O3440" s="116"/>
      <c r="P3440" s="116"/>
    </row>
    <row r="3441" spans="2:16" s="108" customFormat="1" ht="21.75" hidden="1" customHeight="1">
      <c r="B3441" s="109"/>
      <c r="C3441" s="122"/>
      <c r="D3441" s="123"/>
      <c r="E3441" s="125"/>
      <c r="F3441" s="113"/>
      <c r="G3441" s="126"/>
      <c r="H3441" s="120"/>
      <c r="I3441" s="120"/>
      <c r="J3441" s="116"/>
      <c r="K3441" s="116"/>
      <c r="L3441" s="116"/>
      <c r="M3441" s="116"/>
      <c r="N3441" s="116"/>
      <c r="O3441" s="116"/>
      <c r="P3441" s="116"/>
    </row>
    <row r="3442" spans="2:16" s="117" customFormat="1" ht="21.75" hidden="1" customHeight="1">
      <c r="B3442" s="118"/>
      <c r="C3442" s="110" t="s">
        <v>2344</v>
      </c>
      <c r="D3442" s="111" t="s">
        <v>2345</v>
      </c>
      <c r="E3442" s="135">
        <f>+E3443+E3455+E3459+E3463+E3467+E3473+E3481+E3490+E3496+E3511+E3525+E3530+E3477</f>
        <v>31867021099</v>
      </c>
      <c r="F3442" s="232">
        <v>1557405258400.0002</v>
      </c>
      <c r="G3442" s="127">
        <f>+E3442/F3442*100</f>
        <v>2.0461611341763781</v>
      </c>
      <c r="H3442" s="120"/>
      <c r="I3442" s="120"/>
      <c r="J3442" s="121"/>
      <c r="K3442" s="121"/>
      <c r="L3442" s="121"/>
      <c r="M3442" s="121"/>
      <c r="N3442" s="121"/>
      <c r="O3442" s="121"/>
      <c r="P3442" s="121"/>
    </row>
    <row r="3443" spans="2:16" s="108" customFormat="1" ht="21.75" hidden="1" customHeight="1">
      <c r="B3443" s="109"/>
      <c r="C3443" s="122"/>
      <c r="D3443" s="111" t="s">
        <v>161</v>
      </c>
      <c r="E3443" s="232">
        <f>E3444+E3449+E3451+E3447</f>
        <v>4780053165</v>
      </c>
      <c r="F3443" s="232">
        <v>31867021099</v>
      </c>
      <c r="G3443" s="126">
        <f>+E3443/F3443*100</f>
        <v>15.000000000470706</v>
      </c>
      <c r="H3443" s="120"/>
      <c r="I3443" s="120"/>
      <c r="J3443" s="116"/>
      <c r="K3443" s="116"/>
      <c r="L3443" s="116"/>
      <c r="M3443" s="116"/>
      <c r="N3443" s="116"/>
      <c r="O3443" s="116"/>
      <c r="P3443" s="116"/>
    </row>
    <row r="3444" spans="2:16" s="117" customFormat="1" ht="21.75" hidden="1" customHeight="1">
      <c r="B3444" s="118"/>
      <c r="C3444" s="110"/>
      <c r="D3444" s="111" t="s">
        <v>173</v>
      </c>
      <c r="E3444" s="232">
        <f>SUM(E3445:E3446)</f>
        <v>677665000</v>
      </c>
      <c r="F3444" s="232">
        <v>31867021099</v>
      </c>
      <c r="G3444" s="127">
        <f t="shared" ref="G3444:G3453" si="86">+E3444/F3444*100</f>
        <v>2.1265401553999204</v>
      </c>
      <c r="H3444" s="120"/>
      <c r="I3444" s="120"/>
      <c r="J3444" s="121"/>
      <c r="K3444" s="121"/>
      <c r="L3444" s="121"/>
      <c r="M3444" s="121"/>
      <c r="N3444" s="121"/>
      <c r="O3444" s="121"/>
      <c r="P3444" s="121"/>
    </row>
    <row r="3445" spans="2:16" s="108" customFormat="1" ht="21.75" hidden="1" customHeight="1">
      <c r="B3445" s="109"/>
      <c r="C3445" s="122"/>
      <c r="D3445" s="123" t="s">
        <v>2346</v>
      </c>
      <c r="E3445" s="233">
        <v>375000000</v>
      </c>
      <c r="F3445" s="232">
        <v>31867021099</v>
      </c>
      <c r="G3445" s="126">
        <f t="shared" si="86"/>
        <v>1.1767651542797253</v>
      </c>
      <c r="H3445" s="120"/>
      <c r="I3445" s="120"/>
      <c r="J3445" s="116"/>
      <c r="K3445" s="116"/>
      <c r="L3445" s="116"/>
      <c r="M3445" s="116"/>
      <c r="N3445" s="116"/>
      <c r="O3445" s="116"/>
      <c r="P3445" s="116"/>
    </row>
    <row r="3446" spans="2:16" s="108" customFormat="1" ht="21.75" hidden="1" customHeight="1">
      <c r="B3446" s="109"/>
      <c r="C3446" s="122"/>
      <c r="D3446" s="123" t="s">
        <v>2347</v>
      </c>
      <c r="E3446" s="233">
        <v>302665000</v>
      </c>
      <c r="F3446" s="232">
        <v>31867021099</v>
      </c>
      <c r="G3446" s="126">
        <f t="shared" si="86"/>
        <v>0.94977500112019486</v>
      </c>
      <c r="H3446" s="120"/>
      <c r="I3446" s="120"/>
      <c r="J3446" s="116"/>
      <c r="K3446" s="116"/>
      <c r="L3446" s="116"/>
      <c r="M3446" s="116"/>
      <c r="N3446" s="116"/>
      <c r="O3446" s="116"/>
      <c r="P3446" s="116"/>
    </row>
    <row r="3447" spans="2:16" s="117" customFormat="1" ht="21.75" hidden="1" customHeight="1">
      <c r="B3447" s="118"/>
      <c r="C3447" s="110"/>
      <c r="D3447" s="111" t="s">
        <v>192</v>
      </c>
      <c r="E3447" s="232">
        <f>SUM(E3448:E3448)</f>
        <v>125000000</v>
      </c>
      <c r="F3447" s="232">
        <v>31867021099</v>
      </c>
      <c r="G3447" s="127">
        <f t="shared" si="86"/>
        <v>0.39225505142657507</v>
      </c>
      <c r="H3447" s="120"/>
      <c r="I3447" s="120"/>
      <c r="J3447" s="121"/>
      <c r="K3447" s="121"/>
      <c r="L3447" s="121"/>
      <c r="M3447" s="121"/>
      <c r="N3447" s="121"/>
      <c r="O3447" s="121"/>
      <c r="P3447" s="121"/>
    </row>
    <row r="3448" spans="2:16" s="108" customFormat="1" ht="21.75" hidden="1" customHeight="1">
      <c r="B3448" s="109"/>
      <c r="C3448" s="122"/>
      <c r="D3448" s="123" t="s">
        <v>2348</v>
      </c>
      <c r="E3448" s="233">
        <v>125000000</v>
      </c>
      <c r="F3448" s="232">
        <v>31867021099</v>
      </c>
      <c r="G3448" s="126">
        <f t="shared" si="86"/>
        <v>0.39225505142657507</v>
      </c>
      <c r="H3448" s="120"/>
      <c r="I3448" s="120"/>
      <c r="J3448" s="116"/>
      <c r="K3448" s="116"/>
      <c r="L3448" s="116"/>
      <c r="M3448" s="116"/>
      <c r="N3448" s="116"/>
      <c r="O3448" s="116"/>
      <c r="P3448" s="116"/>
    </row>
    <row r="3449" spans="2:16" s="117" customFormat="1" ht="21.75" hidden="1" customHeight="1">
      <c r="B3449" s="118"/>
      <c r="C3449" s="110"/>
      <c r="D3449" s="111" t="s">
        <v>953</v>
      </c>
      <c r="E3449" s="232">
        <f>SUM(E3450:E3450)</f>
        <v>1600000000</v>
      </c>
      <c r="F3449" s="232">
        <v>31867021099</v>
      </c>
      <c r="G3449" s="127">
        <f t="shared" si="86"/>
        <v>5.0208646582601615</v>
      </c>
      <c r="H3449" s="120"/>
      <c r="I3449" s="120"/>
      <c r="J3449" s="121"/>
      <c r="K3449" s="121"/>
      <c r="L3449" s="121"/>
      <c r="M3449" s="121"/>
      <c r="N3449" s="121"/>
      <c r="O3449" s="121"/>
      <c r="P3449" s="121"/>
    </row>
    <row r="3450" spans="2:16" s="108" customFormat="1" ht="21.75" hidden="1" customHeight="1">
      <c r="B3450" s="109"/>
      <c r="C3450" s="122"/>
      <c r="D3450" s="123" t="s">
        <v>2349</v>
      </c>
      <c r="E3450" s="233">
        <v>1600000000</v>
      </c>
      <c r="F3450" s="232">
        <v>31867021099</v>
      </c>
      <c r="G3450" s="126">
        <f t="shared" si="86"/>
        <v>5.0208646582601615</v>
      </c>
      <c r="H3450" s="120"/>
      <c r="I3450" s="120"/>
      <c r="J3450" s="116"/>
      <c r="K3450" s="116"/>
      <c r="L3450" s="116"/>
      <c r="M3450" s="116"/>
      <c r="N3450" s="116"/>
      <c r="O3450" s="116"/>
      <c r="P3450" s="116"/>
    </row>
    <row r="3451" spans="2:16" s="117" customFormat="1" ht="21.75" hidden="1" customHeight="1">
      <c r="B3451" s="118"/>
      <c r="C3451" s="110"/>
      <c r="D3451" s="111" t="s">
        <v>1501</v>
      </c>
      <c r="E3451" s="232">
        <f>SUM(E3452:E3453)</f>
        <v>2377388165</v>
      </c>
      <c r="F3451" s="232">
        <v>31867021099</v>
      </c>
      <c r="G3451" s="127">
        <f t="shared" si="86"/>
        <v>7.4603401353840484</v>
      </c>
      <c r="H3451" s="120"/>
      <c r="I3451" s="120"/>
      <c r="J3451" s="121"/>
      <c r="K3451" s="121"/>
      <c r="L3451" s="121"/>
      <c r="M3451" s="121"/>
      <c r="N3451" s="121"/>
      <c r="O3451" s="121"/>
      <c r="P3451" s="121"/>
    </row>
    <row r="3452" spans="2:16" s="108" customFormat="1" ht="21.75" hidden="1" customHeight="1">
      <c r="B3452" s="109"/>
      <c r="C3452" s="122"/>
      <c r="D3452" s="123" t="s">
        <v>2003</v>
      </c>
      <c r="E3452" s="233">
        <v>643700000</v>
      </c>
      <c r="F3452" s="232">
        <v>31867021099</v>
      </c>
      <c r="G3452" s="126">
        <f t="shared" si="86"/>
        <v>2.0199566128262911</v>
      </c>
      <c r="H3452" s="120"/>
      <c r="I3452" s="120"/>
      <c r="J3452" s="116"/>
      <c r="K3452" s="116"/>
      <c r="L3452" s="116"/>
      <c r="M3452" s="116"/>
      <c r="N3452" s="116"/>
      <c r="O3452" s="116"/>
      <c r="P3452" s="116"/>
    </row>
    <row r="3453" spans="2:16" s="108" customFormat="1" ht="61.5" hidden="1" customHeight="1">
      <c r="B3453" s="109"/>
      <c r="C3453" s="122"/>
      <c r="D3453" s="123" t="s">
        <v>2036</v>
      </c>
      <c r="E3453" s="233">
        <v>1733688165</v>
      </c>
      <c r="F3453" s="232">
        <v>31867021099</v>
      </c>
      <c r="G3453" s="126">
        <f t="shared" si="86"/>
        <v>5.4403835225577577</v>
      </c>
      <c r="H3453" s="120"/>
      <c r="I3453" s="120"/>
      <c r="J3453" s="116"/>
      <c r="K3453" s="116"/>
      <c r="L3453" s="116"/>
      <c r="M3453" s="116"/>
      <c r="N3453" s="116"/>
      <c r="O3453" s="116"/>
      <c r="P3453" s="116"/>
    </row>
    <row r="3454" spans="2:16" s="108" customFormat="1" ht="21.75" hidden="1" customHeight="1">
      <c r="B3454" s="109"/>
      <c r="C3454" s="122"/>
      <c r="D3454" s="123"/>
      <c r="E3454" s="233"/>
      <c r="F3454" s="232"/>
      <c r="G3454" s="126"/>
      <c r="H3454" s="120"/>
      <c r="I3454" s="120"/>
      <c r="J3454" s="116"/>
      <c r="K3454" s="116"/>
      <c r="L3454" s="116"/>
      <c r="M3454" s="116"/>
      <c r="N3454" s="116"/>
      <c r="O3454" s="116"/>
      <c r="P3454" s="116"/>
    </row>
    <row r="3455" spans="2:16" s="108" customFormat="1" ht="21.75" hidden="1" customHeight="1">
      <c r="B3455" s="109"/>
      <c r="C3455" s="122"/>
      <c r="D3455" s="111" t="s">
        <v>2350</v>
      </c>
      <c r="E3455" s="232">
        <f>+E3456</f>
        <v>6373404219</v>
      </c>
      <c r="F3455" s="232">
        <v>31867021099</v>
      </c>
      <c r="G3455" s="126">
        <f t="shared" ref="G3455:G3518" si="87">+E3455/F3455*100</f>
        <v>19.999999997489567</v>
      </c>
      <c r="H3455" s="120"/>
      <c r="I3455" s="120"/>
      <c r="J3455" s="116"/>
      <c r="K3455" s="116"/>
      <c r="L3455" s="116"/>
      <c r="M3455" s="116"/>
      <c r="N3455" s="116"/>
      <c r="O3455" s="116"/>
      <c r="P3455" s="116"/>
    </row>
    <row r="3456" spans="2:16" s="117" customFormat="1" ht="21.75" hidden="1" customHeight="1">
      <c r="B3456" s="118"/>
      <c r="C3456" s="110"/>
      <c r="D3456" s="111" t="s">
        <v>498</v>
      </c>
      <c r="E3456" s="232">
        <f>SUM(E3457:E3457)</f>
        <v>6373404219</v>
      </c>
      <c r="F3456" s="232">
        <v>31867021099</v>
      </c>
      <c r="G3456" s="127">
        <f t="shared" si="87"/>
        <v>19.999999997489567</v>
      </c>
      <c r="H3456" s="120"/>
      <c r="I3456" s="120"/>
      <c r="J3456" s="121"/>
      <c r="K3456" s="121"/>
      <c r="L3456" s="121"/>
      <c r="M3456" s="121"/>
      <c r="N3456" s="121"/>
      <c r="O3456" s="121"/>
      <c r="P3456" s="121"/>
    </row>
    <row r="3457" spans="2:16" s="108" customFormat="1" ht="21.75" hidden="1" customHeight="1">
      <c r="B3457" s="109"/>
      <c r="C3457" s="122"/>
      <c r="D3457" s="123" t="s">
        <v>2351</v>
      </c>
      <c r="E3457" s="233">
        <v>6373404219</v>
      </c>
      <c r="F3457" s="232">
        <v>31867021099</v>
      </c>
      <c r="G3457" s="126">
        <f t="shared" si="87"/>
        <v>19.999999997489567</v>
      </c>
      <c r="H3457" s="120"/>
      <c r="I3457" s="120"/>
      <c r="J3457" s="116"/>
      <c r="K3457" s="116"/>
      <c r="L3457" s="116"/>
      <c r="M3457" s="116"/>
      <c r="N3457" s="116"/>
      <c r="O3457" s="116"/>
      <c r="P3457" s="116"/>
    </row>
    <row r="3458" spans="2:16" s="108" customFormat="1" ht="21.75" hidden="1" customHeight="1">
      <c r="B3458" s="109"/>
      <c r="C3458" s="122"/>
      <c r="D3458" s="123"/>
      <c r="E3458" s="233"/>
      <c r="F3458" s="232"/>
      <c r="G3458" s="126"/>
      <c r="H3458" s="120"/>
      <c r="I3458" s="120"/>
      <c r="J3458" s="116"/>
      <c r="K3458" s="116"/>
      <c r="L3458" s="116"/>
      <c r="M3458" s="116"/>
      <c r="N3458" s="116"/>
      <c r="O3458" s="116"/>
      <c r="P3458" s="116"/>
    </row>
    <row r="3459" spans="2:16" s="108" customFormat="1" ht="21.75" hidden="1" customHeight="1">
      <c r="B3459" s="109"/>
      <c r="C3459" s="122"/>
      <c r="D3459" s="111" t="s">
        <v>525</v>
      </c>
      <c r="E3459" s="232">
        <f>+E3460</f>
        <v>300000000</v>
      </c>
      <c r="F3459" s="232">
        <v>31867021099</v>
      </c>
      <c r="G3459" s="126">
        <f t="shared" si="87"/>
        <v>0.94141212342378033</v>
      </c>
      <c r="H3459" s="120"/>
      <c r="I3459" s="120"/>
      <c r="J3459" s="116"/>
      <c r="K3459" s="116"/>
      <c r="L3459" s="116"/>
      <c r="M3459" s="116"/>
      <c r="N3459" s="116"/>
      <c r="O3459" s="116"/>
      <c r="P3459" s="116"/>
    </row>
    <row r="3460" spans="2:16" s="117" customFormat="1" ht="21.75" hidden="1" customHeight="1">
      <c r="B3460" s="118"/>
      <c r="C3460" s="110"/>
      <c r="D3460" s="111" t="s">
        <v>2352</v>
      </c>
      <c r="E3460" s="232">
        <f>SUM(E3461:E3461)</f>
        <v>300000000</v>
      </c>
      <c r="F3460" s="232">
        <v>31867021099</v>
      </c>
      <c r="G3460" s="127">
        <f t="shared" si="87"/>
        <v>0.94141212342378033</v>
      </c>
      <c r="H3460" s="120"/>
      <c r="I3460" s="120"/>
      <c r="J3460" s="121"/>
      <c r="K3460" s="121"/>
      <c r="L3460" s="121"/>
      <c r="M3460" s="121"/>
      <c r="N3460" s="121"/>
      <c r="O3460" s="121"/>
      <c r="P3460" s="121"/>
    </row>
    <row r="3461" spans="2:16" s="108" customFormat="1" ht="34.5" hidden="1" customHeight="1">
      <c r="B3461" s="109"/>
      <c r="C3461" s="122"/>
      <c r="D3461" s="123" t="s">
        <v>2353</v>
      </c>
      <c r="E3461" s="233">
        <v>300000000</v>
      </c>
      <c r="F3461" s="232">
        <v>31867021099</v>
      </c>
      <c r="G3461" s="126">
        <f t="shared" si="87"/>
        <v>0.94141212342378033</v>
      </c>
      <c r="H3461" s="120"/>
      <c r="I3461" s="120"/>
      <c r="J3461" s="116"/>
      <c r="K3461" s="116"/>
      <c r="L3461" s="116"/>
      <c r="M3461" s="116"/>
      <c r="N3461" s="116"/>
      <c r="O3461" s="116"/>
      <c r="P3461" s="116"/>
    </row>
    <row r="3462" spans="2:16" s="108" customFormat="1" ht="15" hidden="1" customHeight="1">
      <c r="B3462" s="109"/>
      <c r="C3462" s="122"/>
      <c r="D3462" s="123"/>
      <c r="E3462" s="233"/>
      <c r="F3462" s="232"/>
      <c r="G3462" s="126"/>
      <c r="H3462" s="120"/>
      <c r="I3462" s="120"/>
      <c r="J3462" s="116"/>
      <c r="K3462" s="116"/>
      <c r="L3462" s="116"/>
      <c r="M3462" s="116"/>
      <c r="N3462" s="116"/>
      <c r="O3462" s="116"/>
      <c r="P3462" s="116"/>
    </row>
    <row r="3463" spans="2:16" s="108" customFormat="1" ht="21.75" hidden="1" customHeight="1">
      <c r="B3463" s="109"/>
      <c r="C3463" s="122"/>
      <c r="D3463" s="111" t="s">
        <v>2043</v>
      </c>
      <c r="E3463" s="232">
        <f>E3464</f>
        <v>150000000</v>
      </c>
      <c r="F3463" s="232">
        <v>31867021099</v>
      </c>
      <c r="G3463" s="126">
        <f t="shared" si="87"/>
        <v>0.47070606171189017</v>
      </c>
      <c r="H3463" s="120"/>
      <c r="I3463" s="120"/>
      <c r="J3463" s="116"/>
      <c r="K3463" s="116"/>
      <c r="L3463" s="116"/>
      <c r="M3463" s="116"/>
      <c r="N3463" s="116"/>
      <c r="O3463" s="116"/>
      <c r="P3463" s="116"/>
    </row>
    <row r="3464" spans="2:16" s="117" customFormat="1" ht="21.75" hidden="1" customHeight="1">
      <c r="B3464" s="118"/>
      <c r="C3464" s="110"/>
      <c r="D3464" s="111" t="s">
        <v>536</v>
      </c>
      <c r="E3464" s="232">
        <f>E3465</f>
        <v>150000000</v>
      </c>
      <c r="F3464" s="232">
        <v>31867021099</v>
      </c>
      <c r="G3464" s="127">
        <f t="shared" si="87"/>
        <v>0.47070606171189017</v>
      </c>
      <c r="H3464" s="120"/>
      <c r="I3464" s="120"/>
      <c r="J3464" s="121"/>
      <c r="K3464" s="121"/>
      <c r="L3464" s="121"/>
      <c r="M3464" s="121"/>
      <c r="N3464" s="121"/>
      <c r="O3464" s="121"/>
      <c r="P3464" s="121"/>
    </row>
    <row r="3465" spans="2:16" s="108" customFormat="1" ht="21.75" hidden="1" customHeight="1">
      <c r="B3465" s="109"/>
      <c r="C3465" s="122"/>
      <c r="D3465" s="123" t="s">
        <v>1477</v>
      </c>
      <c r="E3465" s="233">
        <v>150000000</v>
      </c>
      <c r="F3465" s="232">
        <v>31867021099</v>
      </c>
      <c r="G3465" s="126">
        <f t="shared" si="87"/>
        <v>0.47070606171189017</v>
      </c>
      <c r="H3465" s="120"/>
      <c r="I3465" s="120"/>
      <c r="J3465" s="116"/>
      <c r="K3465" s="116"/>
      <c r="L3465" s="116"/>
      <c r="M3465" s="116"/>
      <c r="N3465" s="116"/>
      <c r="O3465" s="116"/>
      <c r="P3465" s="116"/>
    </row>
    <row r="3466" spans="2:16" s="108" customFormat="1" ht="21.75" hidden="1" customHeight="1">
      <c r="B3466" s="109"/>
      <c r="C3466" s="122"/>
      <c r="D3466" s="123"/>
      <c r="E3466" s="233"/>
      <c r="F3466" s="232"/>
      <c r="G3466" s="126"/>
      <c r="H3466" s="120"/>
      <c r="I3466" s="120"/>
      <c r="J3466" s="116"/>
      <c r="K3466" s="116"/>
      <c r="L3466" s="116"/>
      <c r="M3466" s="116"/>
      <c r="N3466" s="116"/>
      <c r="O3466" s="116"/>
      <c r="P3466" s="116"/>
    </row>
    <row r="3467" spans="2:16" s="108" customFormat="1" ht="38.25" hidden="1" customHeight="1">
      <c r="B3467" s="109"/>
      <c r="C3467" s="122"/>
      <c r="D3467" s="111" t="s">
        <v>2354</v>
      </c>
      <c r="E3467" s="232">
        <f>E3468+E3470</f>
        <v>448536000</v>
      </c>
      <c r="F3467" s="232">
        <v>31867021099</v>
      </c>
      <c r="G3467" s="126">
        <f t="shared" si="87"/>
        <v>1.4075240939733624</v>
      </c>
      <c r="H3467" s="120"/>
      <c r="I3467" s="120"/>
      <c r="J3467" s="116"/>
      <c r="K3467" s="116"/>
      <c r="L3467" s="116"/>
      <c r="M3467" s="116"/>
      <c r="N3467" s="116"/>
      <c r="O3467" s="116"/>
      <c r="P3467" s="116"/>
    </row>
    <row r="3468" spans="2:16" s="117" customFormat="1" ht="21.75" hidden="1" customHeight="1">
      <c r="B3468" s="118"/>
      <c r="C3468" s="110"/>
      <c r="D3468" s="111" t="s">
        <v>429</v>
      </c>
      <c r="E3468" s="232">
        <f>SUM(E3469)</f>
        <v>282800000</v>
      </c>
      <c r="F3468" s="232">
        <v>31867021099</v>
      </c>
      <c r="G3468" s="127">
        <f t="shared" si="87"/>
        <v>0.88743782834748364</v>
      </c>
      <c r="H3468" s="120"/>
      <c r="I3468" s="120"/>
      <c r="J3468" s="121"/>
      <c r="K3468" s="121"/>
      <c r="L3468" s="121"/>
      <c r="M3468" s="121"/>
      <c r="N3468" s="121"/>
      <c r="O3468" s="121"/>
      <c r="P3468" s="121"/>
    </row>
    <row r="3469" spans="2:16" s="108" customFormat="1" ht="38.25" hidden="1" customHeight="1">
      <c r="B3469" s="109"/>
      <c r="C3469" s="122"/>
      <c r="D3469" s="123" t="s">
        <v>1739</v>
      </c>
      <c r="E3469" s="233">
        <v>282800000</v>
      </c>
      <c r="F3469" s="232">
        <v>31867021099</v>
      </c>
      <c r="G3469" s="126">
        <f t="shared" si="87"/>
        <v>0.88743782834748364</v>
      </c>
      <c r="H3469" s="120"/>
      <c r="I3469" s="120"/>
      <c r="J3469" s="116"/>
      <c r="K3469" s="116"/>
      <c r="L3469" s="116"/>
      <c r="M3469" s="116"/>
      <c r="N3469" s="116"/>
      <c r="O3469" s="116"/>
      <c r="P3469" s="116"/>
    </row>
    <row r="3470" spans="2:16" s="117" customFormat="1" ht="21.75" hidden="1" customHeight="1">
      <c r="B3470" s="118"/>
      <c r="C3470" s="110"/>
      <c r="D3470" s="111" t="s">
        <v>973</v>
      </c>
      <c r="E3470" s="232">
        <f>SUM(E3471:E3471)</f>
        <v>165736000</v>
      </c>
      <c r="F3470" s="232">
        <v>31867021099</v>
      </c>
      <c r="G3470" s="127">
        <f t="shared" si="87"/>
        <v>0.52008626562587879</v>
      </c>
      <c r="H3470" s="120"/>
      <c r="I3470" s="120"/>
      <c r="J3470" s="121"/>
      <c r="K3470" s="121"/>
      <c r="L3470" s="121"/>
      <c r="M3470" s="121"/>
      <c r="N3470" s="121"/>
      <c r="O3470" s="121"/>
      <c r="P3470" s="121"/>
    </row>
    <row r="3471" spans="2:16" s="108" customFormat="1" ht="21.75" hidden="1" customHeight="1">
      <c r="B3471" s="109"/>
      <c r="C3471" s="122"/>
      <c r="D3471" s="123" t="s">
        <v>2355</v>
      </c>
      <c r="E3471" s="233">
        <v>165736000</v>
      </c>
      <c r="F3471" s="232">
        <v>31867021099</v>
      </c>
      <c r="G3471" s="126">
        <f t="shared" si="87"/>
        <v>0.52008626562587879</v>
      </c>
      <c r="H3471" s="120"/>
      <c r="I3471" s="120"/>
      <c r="J3471" s="116"/>
      <c r="K3471" s="116"/>
      <c r="L3471" s="116"/>
      <c r="M3471" s="116"/>
      <c r="N3471" s="116"/>
      <c r="O3471" s="116"/>
      <c r="P3471" s="116"/>
    </row>
    <row r="3472" spans="2:16" s="108" customFormat="1" ht="21.75" hidden="1" customHeight="1">
      <c r="B3472" s="109"/>
      <c r="C3472" s="122"/>
      <c r="D3472" s="123"/>
      <c r="E3472" s="233"/>
      <c r="F3472" s="232">
        <v>31867021099</v>
      </c>
      <c r="G3472" s="126">
        <f t="shared" si="87"/>
        <v>0</v>
      </c>
      <c r="H3472" s="120"/>
      <c r="I3472" s="120"/>
      <c r="J3472" s="116"/>
      <c r="K3472" s="116"/>
      <c r="L3472" s="116"/>
      <c r="M3472" s="116"/>
      <c r="N3472" s="116"/>
      <c r="O3472" s="116"/>
      <c r="P3472" s="116"/>
    </row>
    <row r="3473" spans="2:16" s="108" customFormat="1" ht="21.75" hidden="1" customHeight="1">
      <c r="B3473" s="109"/>
      <c r="C3473" s="122"/>
      <c r="D3473" s="111" t="s">
        <v>1828</v>
      </c>
      <c r="E3473" s="232">
        <f>E3474</f>
        <v>487340422</v>
      </c>
      <c r="F3473" s="232">
        <v>31867021099</v>
      </c>
      <c r="G3473" s="126">
        <f t="shared" si="87"/>
        <v>1.5292939383508706</v>
      </c>
      <c r="H3473" s="120"/>
      <c r="I3473" s="120"/>
      <c r="J3473" s="116"/>
      <c r="K3473" s="116"/>
      <c r="L3473" s="116"/>
      <c r="M3473" s="116"/>
      <c r="N3473" s="116"/>
      <c r="O3473" s="116"/>
      <c r="P3473" s="116"/>
    </row>
    <row r="3474" spans="2:16" s="117" customFormat="1" ht="21.75" hidden="1" customHeight="1">
      <c r="B3474" s="118"/>
      <c r="C3474" s="110"/>
      <c r="D3474" s="111" t="s">
        <v>1205</v>
      </c>
      <c r="E3474" s="232">
        <f>E3475</f>
        <v>487340422</v>
      </c>
      <c r="F3474" s="232">
        <v>31867021099</v>
      </c>
      <c r="G3474" s="127">
        <f t="shared" si="87"/>
        <v>1.5292939383508706</v>
      </c>
      <c r="H3474" s="120"/>
      <c r="I3474" s="120"/>
      <c r="J3474" s="121"/>
      <c r="K3474" s="121"/>
      <c r="L3474" s="121"/>
      <c r="M3474" s="121"/>
      <c r="N3474" s="121"/>
      <c r="O3474" s="121"/>
      <c r="P3474" s="121"/>
    </row>
    <row r="3475" spans="2:16" s="108" customFormat="1" ht="32.25" hidden="1" customHeight="1">
      <c r="B3475" s="109"/>
      <c r="C3475" s="122"/>
      <c r="D3475" s="123" t="s">
        <v>2319</v>
      </c>
      <c r="E3475" s="233">
        <v>487340422</v>
      </c>
      <c r="F3475" s="232">
        <v>31867021099</v>
      </c>
      <c r="G3475" s="126">
        <f t="shared" si="87"/>
        <v>1.5292939383508706</v>
      </c>
      <c r="H3475" s="120"/>
      <c r="I3475" s="120"/>
      <c r="J3475" s="116"/>
      <c r="K3475" s="116"/>
      <c r="L3475" s="116"/>
      <c r="M3475" s="116"/>
      <c r="N3475" s="116"/>
      <c r="O3475" s="116"/>
      <c r="P3475" s="116"/>
    </row>
    <row r="3476" spans="2:16" s="108" customFormat="1" ht="21.75" hidden="1" customHeight="1">
      <c r="B3476" s="109"/>
      <c r="C3476" s="122"/>
      <c r="D3476" s="123"/>
      <c r="E3476" s="233"/>
      <c r="F3476" s="232"/>
      <c r="G3476" s="126"/>
      <c r="H3476" s="120"/>
      <c r="I3476" s="120"/>
      <c r="J3476" s="116"/>
      <c r="K3476" s="116"/>
      <c r="L3476" s="116"/>
      <c r="M3476" s="116"/>
      <c r="N3476" s="116"/>
      <c r="O3476" s="116"/>
      <c r="P3476" s="116"/>
    </row>
    <row r="3477" spans="2:16" s="108" customFormat="1" ht="21.75" hidden="1" customHeight="1">
      <c r="B3477" s="109"/>
      <c r="C3477" s="122"/>
      <c r="D3477" s="111" t="s">
        <v>573</v>
      </c>
      <c r="E3477" s="232">
        <f>E3478</f>
        <v>563485266</v>
      </c>
      <c r="F3477" s="232">
        <v>31867021099</v>
      </c>
      <c r="G3477" s="126">
        <f t="shared" si="87"/>
        <v>1.768239535943579</v>
      </c>
      <c r="H3477" s="120"/>
      <c r="I3477" s="120"/>
      <c r="J3477" s="116"/>
      <c r="K3477" s="116"/>
      <c r="L3477" s="116"/>
      <c r="M3477" s="116"/>
      <c r="N3477" s="116"/>
      <c r="O3477" s="116"/>
      <c r="P3477" s="116"/>
    </row>
    <row r="3478" spans="2:16" s="117" customFormat="1" ht="38.25" hidden="1" customHeight="1">
      <c r="B3478" s="118"/>
      <c r="C3478" s="110"/>
      <c r="D3478" s="111" t="s">
        <v>2356</v>
      </c>
      <c r="E3478" s="232">
        <f>E3479</f>
        <v>563485266</v>
      </c>
      <c r="F3478" s="232">
        <v>31867021099</v>
      </c>
      <c r="G3478" s="127">
        <f t="shared" si="87"/>
        <v>1.768239535943579</v>
      </c>
      <c r="H3478" s="120"/>
      <c r="I3478" s="120"/>
      <c r="J3478" s="121"/>
      <c r="K3478" s="121"/>
      <c r="L3478" s="121"/>
      <c r="M3478" s="121"/>
      <c r="N3478" s="121"/>
      <c r="O3478" s="121"/>
      <c r="P3478" s="121"/>
    </row>
    <row r="3479" spans="2:16" s="108" customFormat="1" ht="33.75" hidden="1" customHeight="1">
      <c r="B3479" s="109"/>
      <c r="C3479" s="122"/>
      <c r="D3479" s="123" t="s">
        <v>2357</v>
      </c>
      <c r="E3479" s="233">
        <v>563485266</v>
      </c>
      <c r="F3479" s="232">
        <v>31867021099</v>
      </c>
      <c r="G3479" s="126">
        <f t="shared" si="87"/>
        <v>1.768239535943579</v>
      </c>
      <c r="H3479" s="120"/>
      <c r="I3479" s="120"/>
      <c r="J3479" s="116"/>
      <c r="K3479" s="116"/>
      <c r="L3479" s="116"/>
      <c r="M3479" s="116"/>
      <c r="N3479" s="116"/>
      <c r="O3479" s="116"/>
      <c r="P3479" s="116"/>
    </row>
    <row r="3480" spans="2:16" s="108" customFormat="1" ht="21.75" hidden="1" customHeight="1">
      <c r="B3480" s="109"/>
      <c r="C3480" s="122"/>
      <c r="D3480" s="123"/>
      <c r="E3480" s="233"/>
      <c r="F3480" s="232"/>
      <c r="G3480" s="126"/>
      <c r="H3480" s="120"/>
      <c r="I3480" s="120"/>
      <c r="J3480" s="116"/>
      <c r="K3480" s="116"/>
      <c r="L3480" s="116"/>
      <c r="M3480" s="116"/>
      <c r="N3480" s="116"/>
      <c r="O3480" s="116"/>
      <c r="P3480" s="116"/>
    </row>
    <row r="3481" spans="2:16" s="108" customFormat="1" ht="21.75" hidden="1" customHeight="1">
      <c r="B3481" s="109"/>
      <c r="C3481" s="122"/>
      <c r="D3481" s="111" t="s">
        <v>503</v>
      </c>
      <c r="E3481" s="232">
        <f>E3482+E3484+E3487</f>
        <v>2366755275</v>
      </c>
      <c r="F3481" s="232">
        <v>31867021099</v>
      </c>
      <c r="G3481" s="126">
        <f t="shared" si="87"/>
        <v>7.4269736968739437</v>
      </c>
      <c r="H3481" s="120"/>
      <c r="I3481" s="120"/>
      <c r="J3481" s="116"/>
      <c r="K3481" s="116"/>
      <c r="L3481" s="116"/>
      <c r="M3481" s="116"/>
      <c r="N3481" s="116"/>
      <c r="O3481" s="116"/>
      <c r="P3481" s="116"/>
    </row>
    <row r="3482" spans="2:16" s="117" customFormat="1" ht="21.75" hidden="1" customHeight="1">
      <c r="B3482" s="118"/>
      <c r="C3482" s="110"/>
      <c r="D3482" s="111" t="s">
        <v>286</v>
      </c>
      <c r="E3482" s="232">
        <f>SUM(E3483)</f>
        <v>213912700</v>
      </c>
      <c r="F3482" s="232">
        <v>31867021099</v>
      </c>
      <c r="G3482" s="127">
        <f t="shared" si="87"/>
        <v>0.67126669711438036</v>
      </c>
      <c r="H3482" s="120"/>
      <c r="I3482" s="120"/>
      <c r="J3482" s="121"/>
      <c r="K3482" s="121"/>
      <c r="L3482" s="121"/>
      <c r="M3482" s="121"/>
      <c r="N3482" s="121"/>
      <c r="O3482" s="121"/>
      <c r="P3482" s="121"/>
    </row>
    <row r="3483" spans="2:16" s="108" customFormat="1" ht="21.75" hidden="1" customHeight="1">
      <c r="B3483" s="109"/>
      <c r="C3483" s="122"/>
      <c r="D3483" s="123" t="s">
        <v>1514</v>
      </c>
      <c r="E3483" s="233">
        <v>213912700</v>
      </c>
      <c r="F3483" s="232">
        <v>31867021099</v>
      </c>
      <c r="G3483" s="126">
        <f t="shared" si="87"/>
        <v>0.67126669711438036</v>
      </c>
      <c r="H3483" s="120"/>
      <c r="I3483" s="120"/>
      <c r="J3483" s="116"/>
      <c r="K3483" s="116"/>
      <c r="L3483" s="116"/>
      <c r="M3483" s="116"/>
      <c r="N3483" s="116"/>
      <c r="O3483" s="116"/>
      <c r="P3483" s="116"/>
    </row>
    <row r="3484" spans="2:16" s="117" customFormat="1" ht="38.25" hidden="1" customHeight="1">
      <c r="B3484" s="118"/>
      <c r="C3484" s="110"/>
      <c r="D3484" s="111" t="s">
        <v>506</v>
      </c>
      <c r="E3484" s="232">
        <f>SUM(E3485:E3486)</f>
        <v>1855173675</v>
      </c>
      <c r="F3484" s="232">
        <v>31867021099</v>
      </c>
      <c r="G3484" s="127">
        <f t="shared" si="87"/>
        <v>5.8216099623388269</v>
      </c>
      <c r="H3484" s="120"/>
      <c r="I3484" s="120"/>
      <c r="J3484" s="121"/>
      <c r="K3484" s="121"/>
      <c r="L3484" s="121"/>
      <c r="M3484" s="121"/>
      <c r="N3484" s="121"/>
      <c r="O3484" s="121"/>
      <c r="P3484" s="121"/>
    </row>
    <row r="3485" spans="2:16" s="108" customFormat="1" ht="21.75" hidden="1" customHeight="1">
      <c r="B3485" s="109"/>
      <c r="C3485" s="122"/>
      <c r="D3485" s="123" t="s">
        <v>2358</v>
      </c>
      <c r="E3485" s="233">
        <v>375902800</v>
      </c>
      <c r="F3485" s="232">
        <v>31867021099</v>
      </c>
      <c r="G3485" s="126">
        <f t="shared" si="87"/>
        <v>1.1795981771631487</v>
      </c>
      <c r="H3485" s="120"/>
      <c r="I3485" s="120"/>
      <c r="J3485" s="116"/>
      <c r="K3485" s="116"/>
      <c r="L3485" s="116"/>
      <c r="M3485" s="116"/>
      <c r="N3485" s="116"/>
      <c r="O3485" s="116"/>
      <c r="P3485" s="116"/>
    </row>
    <row r="3486" spans="2:16" s="108" customFormat="1" ht="21.75" hidden="1" customHeight="1">
      <c r="B3486" s="109"/>
      <c r="C3486" s="122"/>
      <c r="D3486" s="123" t="s">
        <v>623</v>
      </c>
      <c r="E3486" s="233">
        <v>1479270875</v>
      </c>
      <c r="F3486" s="232">
        <v>31867021099</v>
      </c>
      <c r="G3486" s="126">
        <f t="shared" si="87"/>
        <v>4.6420117851756784</v>
      </c>
      <c r="H3486" s="120"/>
      <c r="I3486" s="120"/>
      <c r="J3486" s="116"/>
      <c r="K3486" s="116"/>
      <c r="L3486" s="116"/>
      <c r="M3486" s="116"/>
      <c r="N3486" s="116"/>
      <c r="O3486" s="116"/>
      <c r="P3486" s="116"/>
    </row>
    <row r="3487" spans="2:16" s="117" customFormat="1" ht="38.25" hidden="1" customHeight="1">
      <c r="B3487" s="118"/>
      <c r="C3487" s="110"/>
      <c r="D3487" s="111" t="s">
        <v>1839</v>
      </c>
      <c r="E3487" s="232">
        <f>SUM(E3488)</f>
        <v>297668900</v>
      </c>
      <c r="F3487" s="232">
        <v>31867021099</v>
      </c>
      <c r="G3487" s="127">
        <f t="shared" si="87"/>
        <v>0.93409703742073635</v>
      </c>
      <c r="H3487" s="120"/>
      <c r="I3487" s="120"/>
      <c r="J3487" s="121"/>
      <c r="K3487" s="121"/>
      <c r="L3487" s="121"/>
      <c r="M3487" s="121"/>
      <c r="N3487" s="121"/>
      <c r="O3487" s="121"/>
      <c r="P3487" s="121"/>
    </row>
    <row r="3488" spans="2:16" s="108" customFormat="1" ht="21.75" hidden="1" customHeight="1">
      <c r="B3488" s="109"/>
      <c r="C3488" s="122"/>
      <c r="D3488" s="123" t="s">
        <v>1431</v>
      </c>
      <c r="E3488" s="233">
        <v>297668900</v>
      </c>
      <c r="F3488" s="232">
        <v>31867021099</v>
      </c>
      <c r="G3488" s="126">
        <f t="shared" si="87"/>
        <v>0.93409703742073635</v>
      </c>
      <c r="H3488" s="120"/>
      <c r="I3488" s="120"/>
      <c r="J3488" s="116"/>
      <c r="K3488" s="116"/>
      <c r="L3488" s="116"/>
      <c r="M3488" s="116"/>
      <c r="N3488" s="116"/>
      <c r="O3488" s="116"/>
      <c r="P3488" s="116"/>
    </row>
    <row r="3489" spans="2:16" s="108" customFormat="1" ht="38.25" hidden="1" customHeight="1">
      <c r="B3489" s="109"/>
      <c r="C3489" s="122"/>
      <c r="D3489" s="123"/>
      <c r="E3489" s="233"/>
      <c r="F3489" s="232"/>
      <c r="G3489" s="126"/>
      <c r="H3489" s="120"/>
      <c r="I3489" s="120"/>
      <c r="J3489" s="116"/>
      <c r="K3489" s="116"/>
      <c r="L3489" s="116"/>
      <c r="M3489" s="116"/>
      <c r="N3489" s="116"/>
      <c r="O3489" s="116"/>
      <c r="P3489" s="116"/>
    </row>
    <row r="3490" spans="2:16" s="108" customFormat="1" ht="21.75" hidden="1" customHeight="1">
      <c r="B3490" s="109"/>
      <c r="C3490" s="122"/>
      <c r="D3490" s="111" t="s">
        <v>901</v>
      </c>
      <c r="E3490" s="232">
        <f>E3491</f>
        <v>1500000000</v>
      </c>
      <c r="F3490" s="232">
        <v>31867021099</v>
      </c>
      <c r="G3490" s="126">
        <f t="shared" si="87"/>
        <v>4.7070606171189011</v>
      </c>
      <c r="H3490" s="120"/>
      <c r="I3490" s="120"/>
      <c r="J3490" s="116"/>
      <c r="K3490" s="116"/>
      <c r="L3490" s="116"/>
      <c r="M3490" s="116"/>
      <c r="N3490" s="116"/>
      <c r="O3490" s="116"/>
      <c r="P3490" s="116"/>
    </row>
    <row r="3491" spans="2:16" s="117" customFormat="1" ht="21.75" hidden="1" customHeight="1">
      <c r="B3491" s="118"/>
      <c r="C3491" s="110"/>
      <c r="D3491" s="111" t="s">
        <v>1843</v>
      </c>
      <c r="E3491" s="232">
        <f>SUM(E3492:E3494)</f>
        <v>1500000000</v>
      </c>
      <c r="F3491" s="232">
        <v>31867021099</v>
      </c>
      <c r="G3491" s="127">
        <f t="shared" si="87"/>
        <v>4.7070606171189011</v>
      </c>
      <c r="H3491" s="120"/>
      <c r="I3491" s="120"/>
      <c r="J3491" s="121"/>
      <c r="K3491" s="121"/>
      <c r="L3491" s="121"/>
      <c r="M3491" s="121"/>
      <c r="N3491" s="121"/>
      <c r="O3491" s="121"/>
      <c r="P3491" s="121"/>
    </row>
    <row r="3492" spans="2:16" s="108" customFormat="1" ht="21.75" hidden="1" customHeight="1">
      <c r="B3492" s="109"/>
      <c r="C3492" s="122"/>
      <c r="D3492" s="123" t="s">
        <v>2359</v>
      </c>
      <c r="E3492" s="233">
        <v>650000000</v>
      </c>
      <c r="F3492" s="232">
        <v>31867021099</v>
      </c>
      <c r="G3492" s="126">
        <f t="shared" si="87"/>
        <v>2.0397262674181906</v>
      </c>
      <c r="H3492" s="120"/>
      <c r="I3492" s="120"/>
      <c r="J3492" s="116"/>
      <c r="K3492" s="116"/>
      <c r="L3492" s="116"/>
      <c r="M3492" s="116"/>
      <c r="N3492" s="116"/>
      <c r="O3492" s="116"/>
      <c r="P3492" s="116"/>
    </row>
    <row r="3493" spans="2:16" s="108" customFormat="1" ht="21.75" hidden="1" customHeight="1">
      <c r="B3493" s="109"/>
      <c r="C3493" s="122"/>
      <c r="D3493" s="123" t="s">
        <v>2360</v>
      </c>
      <c r="E3493" s="233">
        <v>200000000</v>
      </c>
      <c r="F3493" s="232">
        <v>31867021099</v>
      </c>
      <c r="G3493" s="126">
        <f t="shared" si="87"/>
        <v>0.62760808228252019</v>
      </c>
      <c r="H3493" s="120"/>
      <c r="I3493" s="120"/>
      <c r="J3493" s="116"/>
      <c r="K3493" s="116"/>
      <c r="L3493" s="116"/>
      <c r="M3493" s="116"/>
      <c r="N3493" s="116"/>
      <c r="O3493" s="116"/>
      <c r="P3493" s="116"/>
    </row>
    <row r="3494" spans="2:16" s="108" customFormat="1" ht="21.75" hidden="1" customHeight="1">
      <c r="B3494" s="109"/>
      <c r="C3494" s="122"/>
      <c r="D3494" s="123" t="s">
        <v>2361</v>
      </c>
      <c r="E3494" s="233">
        <v>650000000</v>
      </c>
      <c r="F3494" s="232">
        <v>31867021099</v>
      </c>
      <c r="G3494" s="126">
        <f t="shared" si="87"/>
        <v>2.0397262674181906</v>
      </c>
      <c r="H3494" s="120"/>
      <c r="I3494" s="120"/>
      <c r="J3494" s="116"/>
      <c r="K3494" s="116"/>
      <c r="L3494" s="116"/>
      <c r="M3494" s="116"/>
      <c r="N3494" s="116"/>
      <c r="O3494" s="116"/>
      <c r="P3494" s="116"/>
    </row>
    <row r="3495" spans="2:16" s="108" customFormat="1" ht="21.75" hidden="1" customHeight="1">
      <c r="B3495" s="109"/>
      <c r="C3495" s="122"/>
      <c r="D3495" s="123"/>
      <c r="E3495" s="233"/>
      <c r="F3495" s="232"/>
      <c r="G3495" s="126"/>
      <c r="H3495" s="120"/>
      <c r="I3495" s="120"/>
      <c r="J3495" s="116"/>
      <c r="K3495" s="116"/>
      <c r="L3495" s="116"/>
      <c r="M3495" s="116"/>
      <c r="N3495" s="116"/>
      <c r="O3495" s="116"/>
      <c r="P3495" s="116"/>
    </row>
    <row r="3496" spans="2:16" s="108" customFormat="1" ht="21.75" hidden="1" customHeight="1">
      <c r="B3496" s="109"/>
      <c r="C3496" s="122"/>
      <c r="D3496" s="111" t="s">
        <v>2362</v>
      </c>
      <c r="E3496" s="232">
        <f>E3497+E3499+E3501+E3505+E3507</f>
        <v>2200000000</v>
      </c>
      <c r="F3496" s="232">
        <v>31867021099</v>
      </c>
      <c r="G3496" s="126">
        <f t="shared" si="87"/>
        <v>6.9036889051077228</v>
      </c>
      <c r="H3496" s="120"/>
      <c r="I3496" s="120"/>
      <c r="J3496" s="116"/>
      <c r="K3496" s="116"/>
      <c r="L3496" s="116"/>
      <c r="M3496" s="116"/>
      <c r="N3496" s="116"/>
      <c r="O3496" s="116"/>
      <c r="P3496" s="116"/>
    </row>
    <row r="3497" spans="2:16" s="117" customFormat="1" ht="21.75" hidden="1" customHeight="1">
      <c r="B3497" s="118"/>
      <c r="C3497" s="110"/>
      <c r="D3497" s="111" t="s">
        <v>912</v>
      </c>
      <c r="E3497" s="232">
        <f>SUM(E3498:E3498)</f>
        <v>322547000</v>
      </c>
      <c r="F3497" s="232">
        <v>31867021099</v>
      </c>
      <c r="G3497" s="127">
        <f t="shared" si="87"/>
        <v>1.0121655205799003</v>
      </c>
      <c r="H3497" s="120"/>
      <c r="I3497" s="120"/>
      <c r="J3497" s="121"/>
      <c r="K3497" s="121"/>
      <c r="L3497" s="121"/>
      <c r="M3497" s="121"/>
      <c r="N3497" s="121"/>
      <c r="O3497" s="121"/>
      <c r="P3497" s="121"/>
    </row>
    <row r="3498" spans="2:16" s="108" customFormat="1" ht="21.75" hidden="1" customHeight="1">
      <c r="B3498" s="109"/>
      <c r="C3498" s="122"/>
      <c r="D3498" s="123" t="s">
        <v>2363</v>
      </c>
      <c r="E3498" s="233">
        <v>322547000</v>
      </c>
      <c r="F3498" s="232">
        <v>31867021099</v>
      </c>
      <c r="G3498" s="126">
        <f t="shared" si="87"/>
        <v>1.0121655205799003</v>
      </c>
      <c r="H3498" s="120"/>
      <c r="I3498" s="120"/>
      <c r="J3498" s="116"/>
      <c r="K3498" s="116"/>
      <c r="L3498" s="116"/>
      <c r="M3498" s="116"/>
      <c r="N3498" s="116"/>
      <c r="O3498" s="116"/>
      <c r="P3498" s="116"/>
    </row>
    <row r="3499" spans="2:16" s="117" customFormat="1" ht="21.75" hidden="1" customHeight="1">
      <c r="B3499" s="118"/>
      <c r="C3499" s="110"/>
      <c r="D3499" s="111" t="s">
        <v>1849</v>
      </c>
      <c r="E3499" s="232">
        <f>SUM(E3500:E3500)</f>
        <v>460640000</v>
      </c>
      <c r="F3499" s="232">
        <v>31867021099</v>
      </c>
      <c r="G3499" s="127">
        <f t="shared" si="87"/>
        <v>1.4455069351131005</v>
      </c>
      <c r="H3499" s="120"/>
      <c r="I3499" s="120"/>
      <c r="J3499" s="121"/>
      <c r="K3499" s="121"/>
      <c r="L3499" s="121"/>
      <c r="M3499" s="121"/>
      <c r="N3499" s="121"/>
      <c r="O3499" s="121"/>
      <c r="P3499" s="121"/>
    </row>
    <row r="3500" spans="2:16" s="108" customFormat="1" ht="21.75" hidden="1" customHeight="1">
      <c r="B3500" s="109"/>
      <c r="C3500" s="122"/>
      <c r="D3500" s="123" t="s">
        <v>2053</v>
      </c>
      <c r="E3500" s="233">
        <v>460640000</v>
      </c>
      <c r="F3500" s="232">
        <v>31867021099</v>
      </c>
      <c r="G3500" s="126">
        <f t="shared" si="87"/>
        <v>1.4455069351131005</v>
      </c>
      <c r="H3500" s="120"/>
      <c r="I3500" s="120"/>
      <c r="J3500" s="116"/>
      <c r="K3500" s="116"/>
      <c r="L3500" s="116"/>
      <c r="M3500" s="116"/>
      <c r="N3500" s="116"/>
      <c r="O3500" s="116"/>
      <c r="P3500" s="116"/>
    </row>
    <row r="3501" spans="2:16" s="117" customFormat="1" ht="21.75" hidden="1" customHeight="1">
      <c r="B3501" s="118"/>
      <c r="C3501" s="110"/>
      <c r="D3501" s="111" t="s">
        <v>312</v>
      </c>
      <c r="E3501" s="232">
        <f>SUM(E3502:E3504)</f>
        <v>662280000</v>
      </c>
      <c r="F3501" s="232">
        <v>31867021099</v>
      </c>
      <c r="G3501" s="127">
        <f t="shared" si="87"/>
        <v>2.0782614036703375</v>
      </c>
      <c r="H3501" s="120"/>
      <c r="I3501" s="120"/>
      <c r="J3501" s="121"/>
      <c r="K3501" s="121"/>
      <c r="L3501" s="121"/>
      <c r="M3501" s="121"/>
      <c r="N3501" s="121"/>
      <c r="O3501" s="121"/>
      <c r="P3501" s="121"/>
    </row>
    <row r="3502" spans="2:16" s="108" customFormat="1" ht="21.75" hidden="1" customHeight="1">
      <c r="B3502" s="109"/>
      <c r="C3502" s="122"/>
      <c r="D3502" s="123" t="s">
        <v>313</v>
      </c>
      <c r="E3502" s="233">
        <v>146550000</v>
      </c>
      <c r="F3502" s="232">
        <v>31867021099</v>
      </c>
      <c r="G3502" s="126">
        <f t="shared" si="87"/>
        <v>0.45987982229251673</v>
      </c>
      <c r="H3502" s="120"/>
      <c r="I3502" s="120"/>
      <c r="J3502" s="116"/>
      <c r="K3502" s="116"/>
      <c r="L3502" s="116"/>
      <c r="M3502" s="116"/>
      <c r="N3502" s="116"/>
      <c r="O3502" s="116"/>
      <c r="P3502" s="116"/>
    </row>
    <row r="3503" spans="2:16" s="108" customFormat="1" ht="21.75" hidden="1" customHeight="1">
      <c r="B3503" s="109"/>
      <c r="C3503" s="122"/>
      <c r="D3503" s="123" t="s">
        <v>637</v>
      </c>
      <c r="E3503" s="233">
        <v>185730000</v>
      </c>
      <c r="F3503" s="232">
        <v>31867021099</v>
      </c>
      <c r="G3503" s="126">
        <f t="shared" si="87"/>
        <v>0.58282824561166247</v>
      </c>
      <c r="H3503" s="120"/>
      <c r="I3503" s="120"/>
      <c r="J3503" s="116"/>
      <c r="K3503" s="116"/>
      <c r="L3503" s="116"/>
      <c r="M3503" s="116"/>
      <c r="N3503" s="116"/>
      <c r="O3503" s="116"/>
      <c r="P3503" s="116"/>
    </row>
    <row r="3504" spans="2:16" s="108" customFormat="1" ht="21.75" hidden="1" customHeight="1">
      <c r="B3504" s="109"/>
      <c r="C3504" s="122"/>
      <c r="D3504" s="123" t="s">
        <v>2364</v>
      </c>
      <c r="E3504" s="233">
        <v>330000000</v>
      </c>
      <c r="F3504" s="232">
        <v>31867021099</v>
      </c>
      <c r="G3504" s="126">
        <f t="shared" si="87"/>
        <v>1.0355533357661584</v>
      </c>
      <c r="H3504" s="120"/>
      <c r="I3504" s="120"/>
      <c r="J3504" s="116"/>
      <c r="K3504" s="116"/>
      <c r="L3504" s="116"/>
      <c r="M3504" s="116"/>
      <c r="N3504" s="116"/>
      <c r="O3504" s="116"/>
      <c r="P3504" s="116"/>
    </row>
    <row r="3505" spans="2:16" s="117" customFormat="1" ht="21.75" hidden="1" customHeight="1">
      <c r="B3505" s="118"/>
      <c r="C3505" s="110"/>
      <c r="D3505" s="111" t="s">
        <v>317</v>
      </c>
      <c r="E3505" s="232">
        <f>SUM(E3506:E3506)</f>
        <v>250000000</v>
      </c>
      <c r="F3505" s="232">
        <v>31867021099</v>
      </c>
      <c r="G3505" s="127">
        <f t="shared" si="87"/>
        <v>0.78451010285315015</v>
      </c>
      <c r="H3505" s="120"/>
      <c r="I3505" s="120"/>
      <c r="J3505" s="121"/>
      <c r="K3505" s="121"/>
      <c r="L3505" s="121"/>
      <c r="M3505" s="121"/>
      <c r="N3505" s="121"/>
      <c r="O3505" s="121"/>
      <c r="P3505" s="121"/>
    </row>
    <row r="3506" spans="2:16" s="108" customFormat="1" ht="21.75" hidden="1" customHeight="1">
      <c r="B3506" s="109"/>
      <c r="C3506" s="122"/>
      <c r="D3506" s="123" t="s">
        <v>318</v>
      </c>
      <c r="E3506" s="233">
        <v>250000000</v>
      </c>
      <c r="F3506" s="232">
        <v>31867021099</v>
      </c>
      <c r="G3506" s="126">
        <f t="shared" si="87"/>
        <v>0.78451010285315015</v>
      </c>
      <c r="H3506" s="120"/>
      <c r="I3506" s="120"/>
      <c r="J3506" s="116"/>
      <c r="K3506" s="116"/>
      <c r="L3506" s="116"/>
      <c r="M3506" s="116"/>
      <c r="N3506" s="116"/>
      <c r="O3506" s="116"/>
      <c r="P3506" s="116"/>
    </row>
    <row r="3507" spans="2:16" s="117" customFormat="1" ht="21.75" hidden="1" customHeight="1">
      <c r="B3507" s="118"/>
      <c r="C3507" s="110"/>
      <c r="D3507" s="111" t="s">
        <v>321</v>
      </c>
      <c r="E3507" s="232">
        <f>SUM(E3508:E3509)</f>
        <v>504533000</v>
      </c>
      <c r="F3507" s="232">
        <v>31867021099</v>
      </c>
      <c r="G3507" s="127">
        <f t="shared" si="87"/>
        <v>1.5832449428912339</v>
      </c>
      <c r="H3507" s="120"/>
      <c r="I3507" s="120"/>
      <c r="J3507" s="121"/>
      <c r="K3507" s="121"/>
      <c r="L3507" s="121"/>
      <c r="M3507" s="121"/>
      <c r="N3507" s="121"/>
      <c r="O3507" s="121"/>
      <c r="P3507" s="121"/>
    </row>
    <row r="3508" spans="2:16" s="108" customFormat="1" ht="21.75" hidden="1" customHeight="1">
      <c r="B3508" s="109"/>
      <c r="C3508" s="122"/>
      <c r="D3508" s="123" t="s">
        <v>1662</v>
      </c>
      <c r="E3508" s="233">
        <v>204533000</v>
      </c>
      <c r="F3508" s="232">
        <v>31867021099</v>
      </c>
      <c r="G3508" s="126">
        <f t="shared" si="87"/>
        <v>0.64183281946745352</v>
      </c>
      <c r="H3508" s="120"/>
      <c r="I3508" s="120"/>
      <c r="J3508" s="116"/>
      <c r="K3508" s="116"/>
      <c r="L3508" s="116"/>
      <c r="M3508" s="116"/>
      <c r="N3508" s="116"/>
      <c r="O3508" s="116"/>
      <c r="P3508" s="116"/>
    </row>
    <row r="3509" spans="2:16" s="108" customFormat="1" ht="21.75" hidden="1" customHeight="1">
      <c r="B3509" s="109"/>
      <c r="C3509" s="122"/>
      <c r="D3509" s="123" t="s">
        <v>2337</v>
      </c>
      <c r="E3509" s="233">
        <v>300000000</v>
      </c>
      <c r="F3509" s="232">
        <v>31867021099</v>
      </c>
      <c r="G3509" s="126">
        <f t="shared" si="87"/>
        <v>0.94141212342378033</v>
      </c>
      <c r="H3509" s="120"/>
      <c r="I3509" s="120"/>
      <c r="J3509" s="116"/>
      <c r="K3509" s="116"/>
      <c r="L3509" s="116"/>
      <c r="M3509" s="116"/>
      <c r="N3509" s="116"/>
      <c r="O3509" s="116"/>
      <c r="P3509" s="116"/>
    </row>
    <row r="3510" spans="2:16" s="108" customFormat="1" ht="21.75" hidden="1" customHeight="1">
      <c r="B3510" s="109"/>
      <c r="C3510" s="122"/>
      <c r="D3510" s="123"/>
      <c r="E3510" s="233"/>
      <c r="F3510" s="232"/>
      <c r="G3510" s="126"/>
      <c r="H3510" s="120"/>
      <c r="I3510" s="120"/>
      <c r="J3510" s="116"/>
      <c r="K3510" s="116"/>
      <c r="L3510" s="116"/>
      <c r="M3510" s="116"/>
      <c r="N3510" s="116"/>
      <c r="O3510" s="116"/>
      <c r="P3510" s="116"/>
    </row>
    <row r="3511" spans="2:16" s="108" customFormat="1" ht="38.25" hidden="1" customHeight="1">
      <c r="B3511" s="109"/>
      <c r="C3511" s="122"/>
      <c r="D3511" s="111" t="s">
        <v>2365</v>
      </c>
      <c r="E3511" s="232">
        <f>E3512+E3515+E3517+E3519+E3521</f>
        <v>1700000000</v>
      </c>
      <c r="F3511" s="232">
        <v>31867021099</v>
      </c>
      <c r="G3511" s="126">
        <f t="shared" si="87"/>
        <v>5.3346686994014219</v>
      </c>
      <c r="H3511" s="120"/>
      <c r="I3511" s="120"/>
      <c r="J3511" s="116"/>
      <c r="K3511" s="116"/>
      <c r="L3511" s="116"/>
      <c r="M3511" s="116"/>
      <c r="N3511" s="116"/>
      <c r="O3511" s="116"/>
      <c r="P3511" s="116"/>
    </row>
    <row r="3512" spans="2:16" s="117" customFormat="1" ht="33" hidden="1" customHeight="1">
      <c r="B3512" s="118"/>
      <c r="C3512" s="110"/>
      <c r="D3512" s="111" t="s">
        <v>546</v>
      </c>
      <c r="E3512" s="232">
        <f>SUM(E3513:E3514)</f>
        <v>410837000</v>
      </c>
      <c r="F3512" s="232">
        <v>31867021099</v>
      </c>
      <c r="G3512" s="127">
        <f t="shared" si="87"/>
        <v>1.2892231085035188</v>
      </c>
      <c r="H3512" s="120"/>
      <c r="I3512" s="120"/>
      <c r="J3512" s="121"/>
      <c r="K3512" s="121"/>
      <c r="L3512" s="121"/>
      <c r="M3512" s="121"/>
      <c r="N3512" s="121"/>
      <c r="O3512" s="121"/>
      <c r="P3512" s="121"/>
    </row>
    <row r="3513" spans="2:16" s="108" customFormat="1" ht="33.75" hidden="1" customHeight="1">
      <c r="B3513" s="109"/>
      <c r="C3513" s="122"/>
      <c r="D3513" s="123" t="s">
        <v>2366</v>
      </c>
      <c r="E3513" s="233">
        <v>240247000</v>
      </c>
      <c r="F3513" s="232">
        <v>31867021099</v>
      </c>
      <c r="G3513" s="126">
        <f t="shared" si="87"/>
        <v>0.7539047947206432</v>
      </c>
      <c r="H3513" s="120"/>
      <c r="I3513" s="120"/>
      <c r="J3513" s="116"/>
      <c r="K3513" s="116"/>
      <c r="L3513" s="116"/>
      <c r="M3513" s="116"/>
      <c r="N3513" s="116"/>
      <c r="O3513" s="116"/>
      <c r="P3513" s="116"/>
    </row>
    <row r="3514" spans="2:16" s="108" customFormat="1" ht="21.75" hidden="1" customHeight="1">
      <c r="B3514" s="109"/>
      <c r="C3514" s="122"/>
      <c r="D3514" s="123" t="s">
        <v>2367</v>
      </c>
      <c r="E3514" s="233">
        <v>170590000</v>
      </c>
      <c r="F3514" s="232">
        <v>31867021099</v>
      </c>
      <c r="G3514" s="126">
        <f t="shared" si="87"/>
        <v>0.53531831378287564</v>
      </c>
      <c r="H3514" s="120"/>
      <c r="I3514" s="120"/>
      <c r="J3514" s="116"/>
      <c r="K3514" s="116"/>
      <c r="L3514" s="116"/>
      <c r="M3514" s="116"/>
      <c r="N3514" s="116"/>
      <c r="O3514" s="116"/>
      <c r="P3514" s="116"/>
    </row>
    <row r="3515" spans="2:16" s="117" customFormat="1" ht="21.75" hidden="1" customHeight="1">
      <c r="B3515" s="118"/>
      <c r="C3515" s="110"/>
      <c r="D3515" s="111" t="s">
        <v>548</v>
      </c>
      <c r="E3515" s="232">
        <f>SUM(E3516:E3516)</f>
        <v>414456000</v>
      </c>
      <c r="F3515" s="232">
        <v>31867021099</v>
      </c>
      <c r="G3515" s="127">
        <f t="shared" si="87"/>
        <v>1.3005796767524211</v>
      </c>
      <c r="H3515" s="120"/>
      <c r="I3515" s="120"/>
      <c r="J3515" s="121"/>
      <c r="K3515" s="121"/>
      <c r="L3515" s="121"/>
      <c r="M3515" s="121"/>
      <c r="N3515" s="121"/>
      <c r="O3515" s="121"/>
      <c r="P3515" s="121"/>
    </row>
    <row r="3516" spans="2:16" s="108" customFormat="1" ht="35.25" hidden="1" customHeight="1">
      <c r="B3516" s="109"/>
      <c r="C3516" s="122"/>
      <c r="D3516" s="123" t="s">
        <v>2368</v>
      </c>
      <c r="E3516" s="233">
        <v>414456000</v>
      </c>
      <c r="F3516" s="232">
        <v>31867021099</v>
      </c>
      <c r="G3516" s="126">
        <f t="shared" si="87"/>
        <v>1.3005796767524211</v>
      </c>
      <c r="H3516" s="120"/>
      <c r="I3516" s="120"/>
      <c r="J3516" s="116"/>
      <c r="K3516" s="116"/>
      <c r="L3516" s="116"/>
      <c r="M3516" s="116"/>
      <c r="N3516" s="116"/>
      <c r="O3516" s="116"/>
      <c r="P3516" s="116"/>
    </row>
    <row r="3517" spans="2:16" s="117" customFormat="1" ht="21.75" hidden="1" customHeight="1">
      <c r="B3517" s="118"/>
      <c r="C3517" s="110"/>
      <c r="D3517" s="111" t="s">
        <v>1433</v>
      </c>
      <c r="E3517" s="232">
        <f>E3518</f>
        <v>142309000</v>
      </c>
      <c r="F3517" s="232">
        <v>31867021099</v>
      </c>
      <c r="G3517" s="127">
        <f t="shared" si="87"/>
        <v>0.44657139290771586</v>
      </c>
      <c r="H3517" s="120"/>
      <c r="I3517" s="120"/>
      <c r="J3517" s="121"/>
      <c r="K3517" s="121"/>
      <c r="L3517" s="121"/>
      <c r="M3517" s="121"/>
      <c r="N3517" s="121"/>
      <c r="O3517" s="121"/>
      <c r="P3517" s="121"/>
    </row>
    <row r="3518" spans="2:16" s="108" customFormat="1" ht="35.25" hidden="1" customHeight="1">
      <c r="B3518" s="109"/>
      <c r="C3518" s="122"/>
      <c r="D3518" s="123" t="s">
        <v>2369</v>
      </c>
      <c r="E3518" s="233">
        <v>142309000</v>
      </c>
      <c r="F3518" s="232">
        <v>31867021099</v>
      </c>
      <c r="G3518" s="126">
        <f t="shared" si="87"/>
        <v>0.44657139290771586</v>
      </c>
      <c r="H3518" s="120"/>
      <c r="I3518" s="120"/>
      <c r="J3518" s="116"/>
      <c r="K3518" s="116"/>
      <c r="L3518" s="116"/>
      <c r="M3518" s="116"/>
      <c r="N3518" s="116"/>
      <c r="O3518" s="116"/>
      <c r="P3518" s="116"/>
    </row>
    <row r="3519" spans="2:16" s="117" customFormat="1" ht="21.75" hidden="1" customHeight="1">
      <c r="B3519" s="118"/>
      <c r="C3519" s="110"/>
      <c r="D3519" s="111" t="s">
        <v>1859</v>
      </c>
      <c r="E3519" s="232">
        <f>SUM(E3520:E3520)</f>
        <v>109485000</v>
      </c>
      <c r="F3519" s="232">
        <v>31867021099</v>
      </c>
      <c r="G3519" s="127">
        <f t="shared" ref="G3519:G3532" si="88">+E3519/F3519*100</f>
        <v>0.34356835444350864</v>
      </c>
      <c r="H3519" s="120"/>
      <c r="I3519" s="120"/>
      <c r="J3519" s="121"/>
      <c r="K3519" s="121"/>
      <c r="L3519" s="121"/>
      <c r="M3519" s="121"/>
      <c r="N3519" s="121"/>
      <c r="O3519" s="121"/>
      <c r="P3519" s="121"/>
    </row>
    <row r="3520" spans="2:16" s="108" customFormat="1" ht="21.75" hidden="1" customHeight="1">
      <c r="B3520" s="109"/>
      <c r="C3520" s="122"/>
      <c r="D3520" s="123" t="s">
        <v>2370</v>
      </c>
      <c r="E3520" s="233">
        <v>109485000</v>
      </c>
      <c r="F3520" s="232">
        <v>31867021099</v>
      </c>
      <c r="G3520" s="126">
        <f t="shared" si="88"/>
        <v>0.34356835444350864</v>
      </c>
      <c r="H3520" s="120"/>
      <c r="I3520" s="120"/>
      <c r="J3520" s="116"/>
      <c r="K3520" s="116"/>
      <c r="L3520" s="116"/>
      <c r="M3520" s="116"/>
      <c r="N3520" s="116"/>
      <c r="O3520" s="116"/>
      <c r="P3520" s="116"/>
    </row>
    <row r="3521" spans="2:16" s="117" customFormat="1" ht="21.75" hidden="1" customHeight="1">
      <c r="B3521" s="118"/>
      <c r="C3521" s="110"/>
      <c r="D3521" s="111" t="s">
        <v>1653</v>
      </c>
      <c r="E3521" s="232">
        <f>SUM(E3522:E3523)</f>
        <v>622913000</v>
      </c>
      <c r="F3521" s="232">
        <v>31867021099</v>
      </c>
      <c r="G3521" s="127">
        <f t="shared" si="88"/>
        <v>1.9547261667942577</v>
      </c>
      <c r="H3521" s="120"/>
      <c r="I3521" s="120"/>
      <c r="J3521" s="121"/>
      <c r="K3521" s="121"/>
      <c r="L3521" s="121"/>
      <c r="M3521" s="121"/>
      <c r="N3521" s="121"/>
      <c r="O3521" s="121"/>
      <c r="P3521" s="121"/>
    </row>
    <row r="3522" spans="2:16" s="108" customFormat="1" ht="36" hidden="1" customHeight="1">
      <c r="B3522" s="109"/>
      <c r="C3522" s="122"/>
      <c r="D3522" s="123" t="s">
        <v>539</v>
      </c>
      <c r="E3522" s="233">
        <v>453273200</v>
      </c>
      <c r="F3522" s="232">
        <v>31867021099</v>
      </c>
      <c r="G3522" s="126">
        <f t="shared" si="88"/>
        <v>1.4223896190103062</v>
      </c>
      <c r="H3522" s="120"/>
      <c r="I3522" s="120"/>
      <c r="J3522" s="116"/>
      <c r="K3522" s="116"/>
      <c r="L3522" s="116"/>
      <c r="M3522" s="116"/>
      <c r="N3522" s="116"/>
      <c r="O3522" s="116"/>
      <c r="P3522" s="116"/>
    </row>
    <row r="3523" spans="2:16" s="108" customFormat="1" ht="35.25" hidden="1" customHeight="1">
      <c r="B3523" s="109"/>
      <c r="C3523" s="122"/>
      <c r="D3523" s="123" t="s">
        <v>2371</v>
      </c>
      <c r="E3523" s="233">
        <v>169639800</v>
      </c>
      <c r="F3523" s="232">
        <v>31867021099</v>
      </c>
      <c r="G3523" s="126">
        <f t="shared" si="88"/>
        <v>0.53233654778395134</v>
      </c>
      <c r="H3523" s="120"/>
      <c r="I3523" s="120"/>
      <c r="J3523" s="116"/>
      <c r="K3523" s="116"/>
      <c r="L3523" s="116"/>
      <c r="M3523" s="116"/>
      <c r="N3523" s="116"/>
      <c r="O3523" s="116"/>
      <c r="P3523" s="116"/>
    </row>
    <row r="3524" spans="2:16" s="108" customFormat="1" ht="21.75" hidden="1" customHeight="1">
      <c r="B3524" s="109"/>
      <c r="C3524" s="122"/>
      <c r="D3524" s="123"/>
      <c r="E3524" s="233"/>
      <c r="F3524" s="232"/>
      <c r="G3524" s="126"/>
      <c r="H3524" s="120"/>
      <c r="I3524" s="120"/>
      <c r="J3524" s="116"/>
      <c r="K3524" s="116"/>
      <c r="L3524" s="116"/>
      <c r="M3524" s="116"/>
      <c r="N3524" s="116"/>
      <c r="O3524" s="116"/>
      <c r="P3524" s="116"/>
    </row>
    <row r="3525" spans="2:16" s="108" customFormat="1" ht="21.75" hidden="1" customHeight="1">
      <c r="B3525" s="109"/>
      <c r="C3525" s="122"/>
      <c r="D3525" s="111" t="s">
        <v>366</v>
      </c>
      <c r="E3525" s="232">
        <f>E3526</f>
        <v>637340422</v>
      </c>
      <c r="F3525" s="232">
        <v>31867021099</v>
      </c>
      <c r="G3525" s="126">
        <f t="shared" si="88"/>
        <v>2.0000000000627609</v>
      </c>
      <c r="H3525" s="120"/>
      <c r="I3525" s="120"/>
      <c r="J3525" s="116"/>
      <c r="K3525" s="116"/>
      <c r="L3525" s="116"/>
      <c r="M3525" s="116"/>
      <c r="N3525" s="116"/>
      <c r="O3525" s="116"/>
      <c r="P3525" s="116"/>
    </row>
    <row r="3526" spans="2:16" s="117" customFormat="1" ht="21.75" hidden="1" customHeight="1">
      <c r="B3526" s="118"/>
      <c r="C3526" s="110"/>
      <c r="D3526" s="111" t="s">
        <v>2372</v>
      </c>
      <c r="E3526" s="232">
        <f>SUM(E3527:E3528)</f>
        <v>637340422</v>
      </c>
      <c r="F3526" s="232">
        <v>31867021099</v>
      </c>
      <c r="G3526" s="127">
        <f t="shared" si="88"/>
        <v>2.0000000000627609</v>
      </c>
      <c r="H3526" s="120"/>
      <c r="I3526" s="120"/>
      <c r="J3526" s="121"/>
      <c r="K3526" s="121"/>
      <c r="L3526" s="121"/>
      <c r="M3526" s="121"/>
      <c r="N3526" s="121"/>
      <c r="O3526" s="121"/>
      <c r="P3526" s="121"/>
    </row>
    <row r="3527" spans="2:16" s="108" customFormat="1" ht="33" hidden="1" customHeight="1">
      <c r="B3527" s="109"/>
      <c r="C3527" s="122"/>
      <c r="D3527" s="123" t="s">
        <v>994</v>
      </c>
      <c r="E3527" s="233">
        <v>167902110</v>
      </c>
      <c r="F3527" s="232">
        <v>31867021099</v>
      </c>
      <c r="G3527" s="126">
        <f t="shared" si="88"/>
        <v>0.52688360634144382</v>
      </c>
      <c r="H3527" s="120"/>
      <c r="I3527" s="120"/>
      <c r="J3527" s="116"/>
      <c r="K3527" s="116"/>
      <c r="L3527" s="116"/>
      <c r="M3527" s="116"/>
      <c r="N3527" s="116"/>
      <c r="O3527" s="116"/>
      <c r="P3527" s="116"/>
    </row>
    <row r="3528" spans="2:16" s="108" customFormat="1" ht="44.25" hidden="1" customHeight="1">
      <c r="B3528" s="109"/>
      <c r="C3528" s="122"/>
      <c r="D3528" s="123" t="s">
        <v>2373</v>
      </c>
      <c r="E3528" s="233">
        <v>469438312</v>
      </c>
      <c r="F3528" s="232">
        <v>31867021099</v>
      </c>
      <c r="G3528" s="126">
        <f t="shared" si="88"/>
        <v>1.473116393721317</v>
      </c>
      <c r="H3528" s="120"/>
      <c r="I3528" s="120"/>
      <c r="J3528" s="116"/>
      <c r="K3528" s="116"/>
      <c r="L3528" s="116"/>
      <c r="M3528" s="116"/>
      <c r="N3528" s="116"/>
      <c r="O3528" s="116"/>
      <c r="P3528" s="116"/>
    </row>
    <row r="3529" spans="2:16" s="108" customFormat="1" ht="21.75" hidden="1" customHeight="1">
      <c r="B3529" s="109"/>
      <c r="C3529" s="122"/>
      <c r="D3529" s="123"/>
      <c r="E3529" s="233"/>
      <c r="F3529" s="232"/>
      <c r="G3529" s="126"/>
      <c r="H3529" s="120"/>
      <c r="I3529" s="120"/>
      <c r="J3529" s="116"/>
      <c r="K3529" s="116"/>
      <c r="L3529" s="116"/>
      <c r="M3529" s="116"/>
      <c r="N3529" s="116"/>
      <c r="O3529" s="116"/>
      <c r="P3529" s="116"/>
    </row>
    <row r="3530" spans="2:16" s="117" customFormat="1" ht="21.75" hidden="1" customHeight="1">
      <c r="B3530" s="118"/>
      <c r="C3530" s="110"/>
      <c r="D3530" s="111" t="s">
        <v>2374</v>
      </c>
      <c r="E3530" s="232">
        <f>SUM(E3531:E3532)</f>
        <v>10360106330</v>
      </c>
      <c r="F3530" s="232">
        <v>31867021099</v>
      </c>
      <c r="G3530" s="127">
        <f t="shared" si="88"/>
        <v>32.510432330071495</v>
      </c>
      <c r="H3530" s="120"/>
      <c r="I3530" s="120"/>
      <c r="J3530" s="121"/>
      <c r="K3530" s="121"/>
      <c r="L3530" s="121"/>
      <c r="M3530" s="121"/>
      <c r="N3530" s="121"/>
      <c r="O3530" s="121"/>
      <c r="P3530" s="121"/>
    </row>
    <row r="3531" spans="2:16" s="108" customFormat="1" ht="21.75" hidden="1" customHeight="1">
      <c r="B3531" s="109"/>
      <c r="C3531" s="122"/>
      <c r="D3531" s="123" t="s">
        <v>2375</v>
      </c>
      <c r="E3531" s="233">
        <v>10160106330</v>
      </c>
      <c r="F3531" s="233">
        <v>31867021099</v>
      </c>
      <c r="G3531" s="126">
        <f t="shared" si="88"/>
        <v>31.882824247788971</v>
      </c>
      <c r="H3531" s="115"/>
      <c r="I3531" s="115"/>
      <c r="J3531" s="116"/>
      <c r="K3531" s="116"/>
      <c r="L3531" s="116"/>
      <c r="M3531" s="116"/>
      <c r="N3531" s="116"/>
      <c r="O3531" s="116"/>
      <c r="P3531" s="116"/>
    </row>
    <row r="3532" spans="2:16" s="108" customFormat="1" ht="21.75" hidden="1" customHeight="1">
      <c r="B3532" s="109"/>
      <c r="C3532" s="122"/>
      <c r="D3532" s="123" t="s">
        <v>2376</v>
      </c>
      <c r="E3532" s="233">
        <v>200000000</v>
      </c>
      <c r="F3532" s="232">
        <v>31867021099</v>
      </c>
      <c r="G3532" s="126">
        <f t="shared" si="88"/>
        <v>0.62760808228252019</v>
      </c>
      <c r="H3532" s="120"/>
      <c r="I3532" s="120"/>
      <c r="J3532" s="116"/>
      <c r="K3532" s="116"/>
      <c r="L3532" s="116"/>
      <c r="M3532" s="116"/>
      <c r="N3532" s="116"/>
      <c r="O3532" s="116"/>
      <c r="P3532" s="116"/>
    </row>
    <row r="3533" spans="2:16" s="108" customFormat="1" ht="15" hidden="1" customHeight="1">
      <c r="B3533" s="109"/>
      <c r="C3533" s="122"/>
      <c r="D3533" s="111"/>
      <c r="E3533" s="786"/>
      <c r="F3533" s="113"/>
      <c r="G3533" s="126"/>
      <c r="H3533" s="120"/>
      <c r="I3533" s="120"/>
      <c r="J3533" s="116"/>
      <c r="K3533" s="116"/>
      <c r="L3533" s="116"/>
      <c r="M3533" s="116"/>
      <c r="N3533" s="116"/>
      <c r="O3533" s="116"/>
      <c r="P3533" s="116"/>
    </row>
    <row r="3534" spans="2:16" s="117" customFormat="1" ht="31.5" customHeight="1">
      <c r="C3534" s="260" t="s">
        <v>2377</v>
      </c>
      <c r="D3534" s="124" t="s">
        <v>63</v>
      </c>
      <c r="E3534" s="120">
        <f>+E3535</f>
        <v>3341938271000</v>
      </c>
      <c r="F3534" s="112">
        <v>5861910600000</v>
      </c>
      <c r="G3534" s="162">
        <f>+E3534/F3534*100</f>
        <v>57.011075382145883</v>
      </c>
      <c r="H3534" s="120"/>
      <c r="I3534" s="120"/>
      <c r="J3534" s="120"/>
      <c r="K3534" s="120"/>
      <c r="L3534" s="120"/>
      <c r="M3534" s="120"/>
      <c r="N3534" s="120"/>
      <c r="O3534" s="120"/>
      <c r="P3534" s="121"/>
    </row>
    <row r="3535" spans="2:16" s="117" customFormat="1" ht="21.75" hidden="1" customHeight="1">
      <c r="C3535" s="260"/>
      <c r="D3535" s="124" t="s">
        <v>2378</v>
      </c>
      <c r="E3535" s="787">
        <f>+E3536+E3545+E3552+E3583+E3595+E3615+E3635+E3655+E3673+E3703+E3722+E3754+E3783</f>
        <v>3341938271000</v>
      </c>
      <c r="F3535" s="112">
        <v>3915154027000</v>
      </c>
      <c r="G3535" s="162">
        <f>+E3535/F3535*100</f>
        <v>85.359049681137861</v>
      </c>
      <c r="H3535" s="120"/>
      <c r="I3535" s="120"/>
      <c r="J3535" s="120"/>
      <c r="K3535" s="120"/>
      <c r="L3535" s="120"/>
      <c r="M3535" s="120"/>
      <c r="N3535" s="120"/>
      <c r="O3535" s="120"/>
      <c r="P3535" s="121"/>
    </row>
    <row r="3536" spans="2:16" s="117" customFormat="1" ht="21.75" hidden="1" customHeight="1">
      <c r="C3536" s="260"/>
      <c r="D3536" s="124" t="s">
        <v>94</v>
      </c>
      <c r="E3536" s="787">
        <f>+E3537+E3539</f>
        <v>976929140000</v>
      </c>
      <c r="F3536" s="112">
        <v>3915154027000</v>
      </c>
      <c r="G3536" s="162">
        <f t="shared" ref="G3536:G3600" si="89">+E3536/F3536*100</f>
        <v>24.952508464873226</v>
      </c>
      <c r="H3536" s="120"/>
      <c r="I3536" s="120"/>
      <c r="J3536" s="120"/>
      <c r="K3536" s="120"/>
      <c r="L3536" s="120"/>
      <c r="M3536" s="120"/>
      <c r="N3536" s="120"/>
      <c r="O3536" s="120"/>
      <c r="P3536" s="121"/>
    </row>
    <row r="3537" spans="3:16" s="117" customFormat="1" ht="21.75" hidden="1" customHeight="1">
      <c r="C3537" s="260"/>
      <c r="D3537" s="124" t="s">
        <v>94</v>
      </c>
      <c r="E3537" s="787">
        <f>+E3538</f>
        <v>947929140000</v>
      </c>
      <c r="F3537" s="112">
        <v>3915154027000</v>
      </c>
      <c r="G3537" s="162">
        <f t="shared" si="89"/>
        <v>24.211796865789058</v>
      </c>
      <c r="H3537" s="120"/>
      <c r="I3537" s="120"/>
      <c r="J3537" s="120"/>
      <c r="K3537" s="120"/>
      <c r="L3537" s="120"/>
      <c r="M3537" s="120"/>
      <c r="N3537" s="120"/>
      <c r="O3537" s="120"/>
      <c r="P3537" s="121"/>
    </row>
    <row r="3538" spans="3:16" s="117" customFormat="1" ht="21.75" hidden="1" customHeight="1">
      <c r="C3538" s="260"/>
      <c r="D3538" s="124" t="s">
        <v>374</v>
      </c>
      <c r="E3538" s="787">
        <v>947929140000</v>
      </c>
      <c r="F3538" s="112">
        <v>3915154027000</v>
      </c>
      <c r="G3538" s="162">
        <f t="shared" si="89"/>
        <v>24.211796865789058</v>
      </c>
      <c r="H3538" s="120"/>
      <c r="I3538" s="120"/>
      <c r="J3538" s="120"/>
      <c r="K3538" s="120"/>
      <c r="L3538" s="120"/>
      <c r="M3538" s="120"/>
      <c r="N3538" s="120"/>
      <c r="O3538" s="120"/>
      <c r="P3538" s="121"/>
    </row>
    <row r="3539" spans="3:16" s="117" customFormat="1" ht="21.75" hidden="1" customHeight="1">
      <c r="C3539" s="260"/>
      <c r="D3539" s="124" t="s">
        <v>94</v>
      </c>
      <c r="E3539" s="787">
        <f>+E3540+E3542</f>
        <v>29000000000</v>
      </c>
      <c r="F3539" s="112">
        <v>3915154027000</v>
      </c>
      <c r="G3539" s="162">
        <f t="shared" si="89"/>
        <v>0.74071159908417061</v>
      </c>
      <c r="H3539" s="120"/>
      <c r="I3539" s="120"/>
      <c r="J3539" s="120"/>
      <c r="K3539" s="120"/>
      <c r="L3539" s="120"/>
      <c r="M3539" s="120"/>
      <c r="N3539" s="120"/>
      <c r="O3539" s="120"/>
      <c r="P3539" s="121"/>
    </row>
    <row r="3540" spans="3:16" s="117" customFormat="1" ht="21.75" hidden="1" customHeight="1">
      <c r="C3540" s="260"/>
      <c r="D3540" s="124" t="s">
        <v>95</v>
      </c>
      <c r="E3540" s="787">
        <f>E3541</f>
        <v>28668940000</v>
      </c>
      <c r="F3540" s="112">
        <v>3915154027000</v>
      </c>
      <c r="G3540" s="162">
        <f t="shared" si="89"/>
        <v>0.73225573763614282</v>
      </c>
      <c r="H3540" s="120"/>
      <c r="I3540" s="120"/>
      <c r="J3540" s="120"/>
      <c r="K3540" s="120"/>
      <c r="L3540" s="120"/>
      <c r="M3540" s="120"/>
      <c r="N3540" s="120"/>
      <c r="O3540" s="120"/>
      <c r="P3540" s="121"/>
    </row>
    <row r="3541" spans="3:16" s="117" customFormat="1" ht="21.75" hidden="1" customHeight="1">
      <c r="C3541" s="260"/>
      <c r="D3541" s="130" t="s">
        <v>2379</v>
      </c>
      <c r="E3541" s="788">
        <v>28668940000</v>
      </c>
      <c r="F3541" s="112">
        <v>3915154027000</v>
      </c>
      <c r="G3541" s="162">
        <f t="shared" si="89"/>
        <v>0.73225573763614282</v>
      </c>
      <c r="H3541" s="120"/>
      <c r="I3541" s="120"/>
      <c r="J3541" s="120"/>
      <c r="K3541" s="120"/>
      <c r="L3541" s="120"/>
      <c r="M3541" s="120"/>
      <c r="N3541" s="120"/>
      <c r="O3541" s="120"/>
      <c r="P3541" s="121"/>
    </row>
    <row r="3542" spans="3:16" s="117" customFormat="1" ht="21.75" hidden="1" customHeight="1">
      <c r="C3542" s="260"/>
      <c r="D3542" s="124" t="s">
        <v>124</v>
      </c>
      <c r="E3542" s="787">
        <f>E3543</f>
        <v>331060000</v>
      </c>
      <c r="F3542" s="112">
        <v>3915154027000</v>
      </c>
      <c r="G3542" s="162">
        <f t="shared" si="89"/>
        <v>8.4558614480277766E-3</v>
      </c>
      <c r="H3542" s="120"/>
      <c r="I3542" s="120"/>
      <c r="J3542" s="120"/>
      <c r="K3542" s="120"/>
      <c r="L3542" s="120"/>
      <c r="M3542" s="120"/>
      <c r="N3542" s="120"/>
      <c r="O3542" s="120"/>
      <c r="P3542" s="121"/>
    </row>
    <row r="3543" spans="3:16" s="117" customFormat="1" ht="21.75" hidden="1" customHeight="1">
      <c r="C3543" s="260"/>
      <c r="D3543" s="130" t="s">
        <v>2380</v>
      </c>
      <c r="E3543" s="788">
        <v>331060000</v>
      </c>
      <c r="F3543" s="112">
        <v>3915154027000</v>
      </c>
      <c r="G3543" s="162">
        <f t="shared" si="89"/>
        <v>8.4558614480277766E-3</v>
      </c>
      <c r="H3543" s="120"/>
      <c r="I3543" s="120"/>
      <c r="J3543" s="120"/>
      <c r="K3543" s="120"/>
      <c r="L3543" s="120"/>
      <c r="M3543" s="120"/>
      <c r="N3543" s="120"/>
      <c r="O3543" s="120"/>
      <c r="P3543" s="121"/>
    </row>
    <row r="3544" spans="3:16" s="117" customFormat="1" ht="15" hidden="1" customHeight="1">
      <c r="C3544" s="260"/>
      <c r="D3544" s="130"/>
      <c r="E3544" s="788"/>
      <c r="F3544" s="112"/>
      <c r="G3544" s="162"/>
      <c r="H3544" s="120"/>
      <c r="I3544" s="120"/>
      <c r="J3544" s="120"/>
      <c r="K3544" s="120"/>
      <c r="L3544" s="120"/>
      <c r="M3544" s="120"/>
      <c r="N3544" s="120"/>
      <c r="O3544" s="120"/>
      <c r="P3544" s="121"/>
    </row>
    <row r="3545" spans="3:16" s="117" customFormat="1" ht="30.75" hidden="1" customHeight="1">
      <c r="C3545" s="260"/>
      <c r="D3545" s="124" t="s">
        <v>161</v>
      </c>
      <c r="E3545" s="787">
        <f>+E3546+E3549</f>
        <v>92991000000</v>
      </c>
      <c r="F3545" s="112">
        <v>3915154027000</v>
      </c>
      <c r="G3545" s="162">
        <f t="shared" si="89"/>
        <v>2.3751555969115898</v>
      </c>
      <c r="H3545" s="120"/>
      <c r="I3545" s="120"/>
      <c r="J3545" s="120"/>
      <c r="K3545" s="120"/>
      <c r="L3545" s="120"/>
      <c r="M3545" s="120"/>
      <c r="N3545" s="120"/>
      <c r="O3545" s="120"/>
      <c r="P3545" s="121"/>
    </row>
    <row r="3546" spans="3:16" s="117" customFormat="1" ht="21.75" hidden="1" customHeight="1">
      <c r="C3546" s="260"/>
      <c r="D3546" s="124" t="s">
        <v>219</v>
      </c>
      <c r="E3546" s="787">
        <f>+E3547+E3548</f>
        <v>80991000000</v>
      </c>
      <c r="F3546" s="112">
        <v>3915154027000</v>
      </c>
      <c r="G3546" s="162">
        <f t="shared" si="89"/>
        <v>2.0686542455664156</v>
      </c>
      <c r="H3546" s="120"/>
      <c r="I3546" s="120"/>
      <c r="J3546" s="120"/>
      <c r="K3546" s="120"/>
      <c r="L3546" s="120"/>
      <c r="M3546" s="120"/>
      <c r="N3546" s="120"/>
      <c r="O3546" s="120"/>
      <c r="P3546" s="121"/>
    </row>
    <row r="3547" spans="3:16" s="117" customFormat="1" ht="21.75" hidden="1" customHeight="1">
      <c r="C3547" s="260"/>
      <c r="D3547" s="130" t="s">
        <v>2381</v>
      </c>
      <c r="E3547" s="788">
        <v>22816000000</v>
      </c>
      <c r="F3547" s="112">
        <v>3915154027000</v>
      </c>
      <c r="G3547" s="162">
        <f t="shared" si="89"/>
        <v>0.58276123602429086</v>
      </c>
      <c r="H3547" s="120"/>
      <c r="I3547" s="120"/>
      <c r="J3547" s="120"/>
      <c r="K3547" s="120"/>
      <c r="L3547" s="120"/>
      <c r="M3547" s="120"/>
      <c r="N3547" s="120"/>
      <c r="O3547" s="120"/>
      <c r="P3547" s="121"/>
    </row>
    <row r="3548" spans="3:16" s="117" customFormat="1" ht="21.75" hidden="1" customHeight="1">
      <c r="C3548" s="260"/>
      <c r="D3548" s="130" t="s">
        <v>2382</v>
      </c>
      <c r="E3548" s="788">
        <v>58175000000</v>
      </c>
      <c r="F3548" s="112">
        <v>3915154027000</v>
      </c>
      <c r="G3548" s="162">
        <f t="shared" si="89"/>
        <v>1.485893009542125</v>
      </c>
      <c r="H3548" s="120"/>
      <c r="I3548" s="120"/>
      <c r="J3548" s="120"/>
      <c r="K3548" s="120"/>
      <c r="L3548" s="120"/>
      <c r="M3548" s="120"/>
      <c r="N3548" s="120"/>
      <c r="O3548" s="120"/>
      <c r="P3548" s="121"/>
    </row>
    <row r="3549" spans="3:16" s="117" customFormat="1" ht="21.75" hidden="1" customHeight="1">
      <c r="C3549" s="260"/>
      <c r="D3549" s="124" t="s">
        <v>245</v>
      </c>
      <c r="E3549" s="787">
        <f>E3550</f>
        <v>12000000000</v>
      </c>
      <c r="F3549" s="112">
        <v>3915154027000</v>
      </c>
      <c r="G3549" s="162">
        <f t="shared" si="89"/>
        <v>0.30650135134517403</v>
      </c>
      <c r="H3549" s="120"/>
      <c r="I3549" s="120"/>
      <c r="J3549" s="120"/>
      <c r="K3549" s="120"/>
      <c r="L3549" s="120"/>
      <c r="M3549" s="120"/>
      <c r="N3549" s="120"/>
      <c r="O3549" s="120"/>
      <c r="P3549" s="121"/>
    </row>
    <row r="3550" spans="3:16" s="117" customFormat="1" ht="31.5" hidden="1" customHeight="1">
      <c r="C3550" s="260"/>
      <c r="D3550" s="130" t="s">
        <v>2383</v>
      </c>
      <c r="E3550" s="788">
        <v>12000000000</v>
      </c>
      <c r="F3550" s="112">
        <v>3915154027000</v>
      </c>
      <c r="G3550" s="162">
        <f t="shared" si="89"/>
        <v>0.30650135134517403</v>
      </c>
      <c r="H3550" s="120"/>
      <c r="I3550" s="120"/>
      <c r="J3550" s="120"/>
      <c r="K3550" s="120"/>
      <c r="L3550" s="120"/>
      <c r="M3550" s="120"/>
      <c r="N3550" s="120"/>
      <c r="O3550" s="120"/>
      <c r="P3550" s="121"/>
    </row>
    <row r="3551" spans="3:16" s="117" customFormat="1" ht="15" hidden="1" customHeight="1">
      <c r="C3551" s="260"/>
      <c r="D3551" s="130"/>
      <c r="E3551" s="788"/>
      <c r="F3551" s="112"/>
      <c r="G3551" s="162"/>
      <c r="H3551" s="120"/>
      <c r="I3551" s="120"/>
      <c r="J3551" s="120"/>
      <c r="K3551" s="120"/>
      <c r="L3551" s="120"/>
      <c r="M3551" s="120"/>
      <c r="N3551" s="120"/>
      <c r="O3551" s="120"/>
      <c r="P3551" s="121"/>
    </row>
    <row r="3552" spans="3:16" s="117" customFormat="1" ht="21.75" hidden="1" customHeight="1">
      <c r="C3552" s="260"/>
      <c r="D3552" s="124" t="s">
        <v>2384</v>
      </c>
      <c r="E3552" s="787">
        <f>+E3553+E3556+E3559+E3561+E3563+E3575+E3578+E3580</f>
        <v>200000000000</v>
      </c>
      <c r="F3552" s="112">
        <v>3915154027000</v>
      </c>
      <c r="G3552" s="162">
        <f t="shared" si="89"/>
        <v>5.1083558557529001</v>
      </c>
      <c r="H3552" s="120"/>
      <c r="I3552" s="120"/>
      <c r="J3552" s="120"/>
      <c r="K3552" s="120"/>
      <c r="L3552" s="120"/>
      <c r="M3552" s="120"/>
      <c r="N3552" s="120"/>
      <c r="O3552" s="120"/>
      <c r="P3552" s="121"/>
    </row>
    <row r="3553" spans="3:16" s="117" customFormat="1" ht="21.75" hidden="1" customHeight="1">
      <c r="C3553" s="260"/>
      <c r="D3553" s="124" t="s">
        <v>887</v>
      </c>
      <c r="E3553" s="787">
        <f>+E3554+E3555</f>
        <v>13123000000</v>
      </c>
      <c r="F3553" s="112">
        <v>3915154027000</v>
      </c>
      <c r="G3553" s="162">
        <f t="shared" si="89"/>
        <v>0.33518476947522657</v>
      </c>
      <c r="H3553" s="120"/>
      <c r="I3553" s="120"/>
      <c r="J3553" s="120"/>
      <c r="K3553" s="120"/>
      <c r="L3553" s="120"/>
      <c r="M3553" s="120"/>
      <c r="N3553" s="120"/>
      <c r="O3553" s="120"/>
      <c r="P3553" s="121"/>
    </row>
    <row r="3554" spans="3:16" s="117" customFormat="1" ht="21.75" hidden="1" customHeight="1">
      <c r="C3554" s="260"/>
      <c r="D3554" s="130" t="s">
        <v>2385</v>
      </c>
      <c r="E3554" s="788">
        <v>5123000000</v>
      </c>
      <c r="F3554" s="112">
        <v>3915154027000</v>
      </c>
      <c r="G3554" s="162">
        <f t="shared" si="89"/>
        <v>0.13085053524511056</v>
      </c>
      <c r="H3554" s="120"/>
      <c r="I3554" s="120"/>
      <c r="J3554" s="120"/>
      <c r="K3554" s="120"/>
      <c r="L3554" s="120"/>
      <c r="M3554" s="120"/>
      <c r="N3554" s="120"/>
      <c r="O3554" s="120"/>
      <c r="P3554" s="121"/>
    </row>
    <row r="3555" spans="3:16" s="117" customFormat="1" ht="21.75" hidden="1" customHeight="1">
      <c r="C3555" s="260"/>
      <c r="D3555" s="130" t="s">
        <v>2386</v>
      </c>
      <c r="E3555" s="788">
        <v>8000000000</v>
      </c>
      <c r="F3555" s="112"/>
      <c r="G3555" s="162"/>
      <c r="H3555" s="120"/>
      <c r="I3555" s="120"/>
      <c r="J3555" s="120"/>
      <c r="K3555" s="120"/>
      <c r="L3555" s="120"/>
      <c r="M3555" s="120"/>
      <c r="N3555" s="120"/>
      <c r="O3555" s="120"/>
      <c r="P3555" s="121"/>
    </row>
    <row r="3556" spans="3:16" s="117" customFormat="1" ht="21.75" hidden="1" customHeight="1">
      <c r="C3556" s="260"/>
      <c r="D3556" s="124" t="s">
        <v>173</v>
      </c>
      <c r="E3556" s="787">
        <f>+E3557+E3558</f>
        <v>19494400000</v>
      </c>
      <c r="F3556" s="112">
        <v>3915154027000</v>
      </c>
      <c r="G3556" s="162">
        <f t="shared" si="89"/>
        <v>0.49792166197194676</v>
      </c>
      <c r="H3556" s="120"/>
      <c r="I3556" s="120"/>
      <c r="J3556" s="120"/>
      <c r="K3556" s="120"/>
      <c r="L3556" s="120"/>
      <c r="M3556" s="120"/>
      <c r="N3556" s="120"/>
      <c r="O3556" s="120"/>
      <c r="P3556" s="121"/>
    </row>
    <row r="3557" spans="3:16" s="117" customFormat="1" ht="21.75" hidden="1" customHeight="1">
      <c r="C3557" s="260"/>
      <c r="D3557" s="130" t="s">
        <v>2387</v>
      </c>
      <c r="E3557" s="788">
        <v>19394400000</v>
      </c>
      <c r="F3557" s="112">
        <v>3915154027000</v>
      </c>
      <c r="G3557" s="162">
        <f t="shared" si="89"/>
        <v>0.49536748404407033</v>
      </c>
      <c r="H3557" s="120"/>
      <c r="I3557" s="120"/>
      <c r="J3557" s="120"/>
      <c r="K3557" s="120"/>
      <c r="L3557" s="120"/>
      <c r="M3557" s="120"/>
      <c r="N3557" s="120"/>
      <c r="O3557" s="120"/>
      <c r="P3557" s="121"/>
    </row>
    <row r="3558" spans="3:16" s="117" customFormat="1" ht="21.75" hidden="1" customHeight="1">
      <c r="C3558" s="260"/>
      <c r="D3558" s="130" t="s">
        <v>2388</v>
      </c>
      <c r="E3558" s="788">
        <v>100000000</v>
      </c>
      <c r="F3558" s="112">
        <v>3915154027000</v>
      </c>
      <c r="G3558" s="162">
        <f t="shared" si="89"/>
        <v>2.5541779278764501E-3</v>
      </c>
      <c r="H3558" s="120"/>
      <c r="I3558" s="120"/>
      <c r="J3558" s="120"/>
      <c r="K3558" s="120"/>
      <c r="L3558" s="120"/>
      <c r="M3558" s="120"/>
      <c r="N3558" s="120"/>
      <c r="O3558" s="120"/>
      <c r="P3558" s="121"/>
    </row>
    <row r="3559" spans="3:16" s="117" customFormat="1" ht="21.75" hidden="1" customHeight="1">
      <c r="C3559" s="260"/>
      <c r="D3559" s="124" t="s">
        <v>186</v>
      </c>
      <c r="E3559" s="787">
        <f>E3560</f>
        <v>200000000</v>
      </c>
      <c r="F3559" s="112">
        <v>3915154027000</v>
      </c>
      <c r="G3559" s="162">
        <f t="shared" si="89"/>
        <v>5.1083558557529002E-3</v>
      </c>
      <c r="H3559" s="120"/>
      <c r="I3559" s="120"/>
      <c r="J3559" s="120"/>
      <c r="K3559" s="120"/>
      <c r="L3559" s="120"/>
      <c r="M3559" s="120"/>
      <c r="N3559" s="120"/>
      <c r="O3559" s="120"/>
      <c r="P3559" s="121"/>
    </row>
    <row r="3560" spans="3:16" s="117" customFormat="1" ht="21.75" hidden="1" customHeight="1">
      <c r="C3560" s="260"/>
      <c r="D3560" s="130" t="s">
        <v>2389</v>
      </c>
      <c r="E3560" s="788">
        <v>200000000</v>
      </c>
      <c r="F3560" s="112">
        <v>3915154027000</v>
      </c>
      <c r="G3560" s="162">
        <f t="shared" si="89"/>
        <v>5.1083558557529002E-3</v>
      </c>
      <c r="H3560" s="120"/>
      <c r="I3560" s="120"/>
      <c r="J3560" s="120"/>
      <c r="K3560" s="120"/>
      <c r="L3560" s="120"/>
      <c r="M3560" s="120"/>
      <c r="N3560" s="120"/>
      <c r="O3560" s="120"/>
      <c r="P3560" s="121"/>
    </row>
    <row r="3561" spans="3:16" s="117" customFormat="1" ht="21.75" hidden="1" customHeight="1">
      <c r="C3561" s="260"/>
      <c r="D3561" s="124" t="s">
        <v>2390</v>
      </c>
      <c r="E3561" s="787">
        <f>E3562</f>
        <v>4366000000</v>
      </c>
      <c r="F3561" s="112">
        <v>3915154027000</v>
      </c>
      <c r="G3561" s="162">
        <f t="shared" si="89"/>
        <v>0.11151540833108581</v>
      </c>
      <c r="H3561" s="120"/>
      <c r="I3561" s="120"/>
      <c r="J3561" s="120"/>
      <c r="K3561" s="120"/>
      <c r="L3561" s="120"/>
      <c r="M3561" s="120"/>
      <c r="N3561" s="120"/>
      <c r="O3561" s="120"/>
      <c r="P3561" s="121"/>
    </row>
    <row r="3562" spans="3:16" s="117" customFormat="1" ht="21.75" hidden="1" customHeight="1">
      <c r="C3562" s="260"/>
      <c r="D3562" s="130" t="s">
        <v>2391</v>
      </c>
      <c r="E3562" s="788">
        <v>4366000000</v>
      </c>
      <c r="F3562" s="112">
        <v>3915154027000</v>
      </c>
      <c r="G3562" s="162">
        <f t="shared" si="89"/>
        <v>0.11151540833108581</v>
      </c>
      <c r="H3562" s="120"/>
      <c r="I3562" s="120"/>
      <c r="J3562" s="120"/>
      <c r="K3562" s="120"/>
      <c r="L3562" s="120"/>
      <c r="M3562" s="120"/>
      <c r="N3562" s="120"/>
      <c r="O3562" s="120"/>
      <c r="P3562" s="121"/>
    </row>
    <row r="3563" spans="3:16" s="117" customFormat="1" ht="31.5" hidden="1" customHeight="1">
      <c r="C3563" s="260"/>
      <c r="D3563" s="124" t="s">
        <v>1414</v>
      </c>
      <c r="E3563" s="787">
        <f>SUM(E3564:E3574)</f>
        <v>110569800000</v>
      </c>
      <c r="F3563" s="112">
        <v>3915154027000</v>
      </c>
      <c r="G3563" s="162">
        <f t="shared" si="89"/>
        <v>2.8241494264971352</v>
      </c>
      <c r="H3563" s="120"/>
      <c r="I3563" s="120"/>
      <c r="J3563" s="120"/>
      <c r="K3563" s="120"/>
      <c r="L3563" s="120"/>
      <c r="M3563" s="120"/>
      <c r="N3563" s="120"/>
      <c r="O3563" s="120"/>
      <c r="P3563" s="121"/>
    </row>
    <row r="3564" spans="3:16" s="117" customFormat="1" ht="21.75" hidden="1" customHeight="1">
      <c r="C3564" s="260"/>
      <c r="D3564" s="130" t="s">
        <v>2082</v>
      </c>
      <c r="E3564" s="788">
        <v>41571881728</v>
      </c>
      <c r="F3564" s="112">
        <v>3915154027000</v>
      </c>
      <c r="G3564" s="162">
        <f t="shared" si="89"/>
        <v>1.061819827299479</v>
      </c>
      <c r="H3564" s="120"/>
      <c r="I3564" s="120"/>
      <c r="J3564" s="120"/>
      <c r="K3564" s="120"/>
      <c r="L3564" s="120"/>
      <c r="M3564" s="120"/>
      <c r="N3564" s="120"/>
      <c r="O3564" s="120"/>
      <c r="P3564" s="121"/>
    </row>
    <row r="3565" spans="3:16" s="117" customFormat="1" ht="21.75" hidden="1" customHeight="1">
      <c r="C3565" s="260"/>
      <c r="D3565" s="130" t="s">
        <v>1417</v>
      </c>
      <c r="E3565" s="788">
        <v>3770925000</v>
      </c>
      <c r="F3565" s="112">
        <v>3915154027000</v>
      </c>
      <c r="G3565" s="162">
        <f t="shared" si="89"/>
        <v>9.6316134026775024E-2</v>
      </c>
      <c r="H3565" s="120"/>
      <c r="I3565" s="120"/>
      <c r="J3565" s="120"/>
      <c r="K3565" s="120"/>
      <c r="L3565" s="120"/>
      <c r="M3565" s="120"/>
      <c r="N3565" s="120"/>
      <c r="O3565" s="120"/>
      <c r="P3565" s="121"/>
    </row>
    <row r="3566" spans="3:16" s="117" customFormat="1" ht="21.75" hidden="1" customHeight="1">
      <c r="C3566" s="260"/>
      <c r="D3566" s="130" t="s">
        <v>478</v>
      </c>
      <c r="E3566" s="788">
        <v>18939361115</v>
      </c>
      <c r="F3566" s="112">
        <v>3915154027000</v>
      </c>
      <c r="G3566" s="162">
        <f t="shared" si="89"/>
        <v>0.4837449812801452</v>
      </c>
      <c r="H3566" s="120"/>
      <c r="I3566" s="120"/>
      <c r="J3566" s="120"/>
      <c r="K3566" s="120"/>
      <c r="L3566" s="120"/>
      <c r="M3566" s="120"/>
      <c r="N3566" s="120"/>
      <c r="O3566" s="120"/>
      <c r="P3566" s="121"/>
    </row>
    <row r="3567" spans="3:16" s="117" customFormat="1" ht="21.75" hidden="1" customHeight="1">
      <c r="C3567" s="260"/>
      <c r="D3567" s="130" t="s">
        <v>2392</v>
      </c>
      <c r="E3567" s="788">
        <v>999405000</v>
      </c>
      <c r="F3567" s="112">
        <v>3915154027000</v>
      </c>
      <c r="G3567" s="162">
        <f t="shared" si="89"/>
        <v>2.5526581920093636E-2</v>
      </c>
      <c r="H3567" s="120"/>
      <c r="I3567" s="120"/>
      <c r="J3567" s="120"/>
      <c r="K3567" s="120"/>
      <c r="L3567" s="120"/>
      <c r="M3567" s="120"/>
      <c r="N3567" s="120"/>
      <c r="O3567" s="120"/>
      <c r="P3567" s="121"/>
    </row>
    <row r="3568" spans="3:16" s="117" customFormat="1" ht="31.5" hidden="1" customHeight="1">
      <c r="C3568" s="260"/>
      <c r="D3568" s="130" t="s">
        <v>2393</v>
      </c>
      <c r="E3568" s="788">
        <v>2454497250</v>
      </c>
      <c r="F3568" s="112">
        <v>3915154027000</v>
      </c>
      <c r="G3568" s="162">
        <f t="shared" si="89"/>
        <v>6.2692226999834455E-2</v>
      </c>
      <c r="H3568" s="120"/>
      <c r="I3568" s="120"/>
      <c r="J3568" s="120"/>
      <c r="K3568" s="120"/>
      <c r="L3568" s="120"/>
      <c r="M3568" s="120"/>
      <c r="N3568" s="120"/>
      <c r="O3568" s="120"/>
      <c r="P3568" s="121"/>
    </row>
    <row r="3569" spans="3:16" s="117" customFormat="1" ht="21.75" hidden="1" customHeight="1">
      <c r="C3569" s="260"/>
      <c r="D3569" s="130" t="s">
        <v>486</v>
      </c>
      <c r="E3569" s="788">
        <v>4358800000</v>
      </c>
      <c r="F3569" s="112">
        <v>3915154027000</v>
      </c>
      <c r="G3569" s="162">
        <f t="shared" si="89"/>
        <v>0.11133150752027871</v>
      </c>
      <c r="H3569" s="120"/>
      <c r="I3569" s="120"/>
      <c r="J3569" s="120"/>
      <c r="K3569" s="120"/>
      <c r="L3569" s="120"/>
      <c r="M3569" s="120"/>
      <c r="N3569" s="120"/>
      <c r="O3569" s="120"/>
      <c r="P3569" s="121"/>
    </row>
    <row r="3570" spans="3:16" s="117" customFormat="1" ht="21.75" hidden="1" customHeight="1">
      <c r="C3570" s="260"/>
      <c r="D3570" s="130" t="s">
        <v>2394</v>
      </c>
      <c r="E3570" s="788">
        <v>2183964635</v>
      </c>
      <c r="F3570" s="112">
        <v>3915154027000</v>
      </c>
      <c r="G3570" s="162">
        <f t="shared" si="89"/>
        <v>5.5782342659797479E-2</v>
      </c>
      <c r="H3570" s="120"/>
      <c r="I3570" s="120"/>
      <c r="J3570" s="120"/>
      <c r="K3570" s="120"/>
      <c r="L3570" s="120"/>
      <c r="M3570" s="120"/>
      <c r="N3570" s="120"/>
      <c r="O3570" s="120"/>
      <c r="P3570" s="121"/>
    </row>
    <row r="3571" spans="3:16" s="117" customFormat="1" ht="21.75" hidden="1" customHeight="1">
      <c r="C3571" s="260"/>
      <c r="D3571" s="130" t="s">
        <v>2395</v>
      </c>
      <c r="E3571" s="788">
        <v>750000000</v>
      </c>
      <c r="F3571" s="112">
        <v>3915154027000</v>
      </c>
      <c r="G3571" s="162">
        <f t="shared" si="89"/>
        <v>1.9156334459073377E-2</v>
      </c>
      <c r="H3571" s="120"/>
      <c r="I3571" s="120"/>
      <c r="J3571" s="120"/>
      <c r="K3571" s="120"/>
      <c r="L3571" s="120"/>
      <c r="M3571" s="120"/>
      <c r="N3571" s="120"/>
      <c r="O3571" s="120"/>
      <c r="P3571" s="121"/>
    </row>
    <row r="3572" spans="3:16" s="117" customFormat="1" ht="21.75" hidden="1" customHeight="1">
      <c r="C3572" s="260"/>
      <c r="D3572" s="130" t="s">
        <v>2396</v>
      </c>
      <c r="E3572" s="788">
        <v>4500965272</v>
      </c>
      <c r="F3572" s="112">
        <v>3915154027000</v>
      </c>
      <c r="G3572" s="162">
        <f t="shared" si="89"/>
        <v>0.11496266151880823</v>
      </c>
      <c r="H3572" s="120"/>
      <c r="I3572" s="120"/>
      <c r="J3572" s="120"/>
      <c r="K3572" s="120"/>
      <c r="L3572" s="120"/>
      <c r="M3572" s="120"/>
      <c r="N3572" s="120"/>
      <c r="O3572" s="120"/>
      <c r="P3572" s="121"/>
    </row>
    <row r="3573" spans="3:16" s="117" customFormat="1" ht="21.75" hidden="1" customHeight="1">
      <c r="C3573" s="260"/>
      <c r="D3573" s="130" t="s">
        <v>2397</v>
      </c>
      <c r="E3573" s="788">
        <v>25350000000</v>
      </c>
      <c r="F3573" s="112">
        <v>3915154027000</v>
      </c>
      <c r="G3573" s="162">
        <f t="shared" si="89"/>
        <v>0.64748410471668016</v>
      </c>
      <c r="H3573" s="120"/>
      <c r="I3573" s="120"/>
      <c r="J3573" s="120"/>
      <c r="K3573" s="120"/>
      <c r="L3573" s="120"/>
      <c r="M3573" s="120"/>
      <c r="N3573" s="120"/>
      <c r="O3573" s="120"/>
      <c r="P3573" s="121"/>
    </row>
    <row r="3574" spans="3:16" s="117" customFormat="1" ht="21.75" hidden="1" customHeight="1">
      <c r="C3574" s="260"/>
      <c r="D3574" s="130" t="s">
        <v>2398</v>
      </c>
      <c r="E3574" s="788">
        <v>5690000000</v>
      </c>
      <c r="F3574" s="112">
        <v>3915154027000</v>
      </c>
      <c r="G3574" s="162">
        <f t="shared" si="89"/>
        <v>0.14533272409617001</v>
      </c>
      <c r="H3574" s="120"/>
      <c r="I3574" s="120"/>
      <c r="J3574" s="120"/>
      <c r="K3574" s="120"/>
      <c r="L3574" s="120"/>
      <c r="M3574" s="120"/>
      <c r="N3574" s="120"/>
      <c r="O3574" s="120"/>
      <c r="P3574" s="121"/>
    </row>
    <row r="3575" spans="3:16" s="117" customFormat="1" ht="31.5" hidden="1" customHeight="1">
      <c r="C3575" s="260"/>
      <c r="D3575" s="124" t="s">
        <v>2399</v>
      </c>
      <c r="E3575" s="787">
        <f>+E3576+E3577</f>
        <v>11046800000</v>
      </c>
      <c r="F3575" s="112">
        <v>3915154027000</v>
      </c>
      <c r="G3575" s="162">
        <f t="shared" si="89"/>
        <v>0.2821549273366557</v>
      </c>
      <c r="H3575" s="120"/>
      <c r="I3575" s="120"/>
      <c r="J3575" s="120"/>
      <c r="K3575" s="120"/>
      <c r="L3575" s="120"/>
      <c r="M3575" s="120"/>
      <c r="N3575" s="120"/>
      <c r="O3575" s="120"/>
      <c r="P3575" s="121"/>
    </row>
    <row r="3576" spans="3:16" s="117" customFormat="1" ht="21.75" hidden="1" customHeight="1">
      <c r="C3576" s="260"/>
      <c r="D3576" s="130" t="s">
        <v>2400</v>
      </c>
      <c r="E3576" s="788">
        <v>3700000000</v>
      </c>
      <c r="F3576" s="112">
        <v>3915154027000</v>
      </c>
      <c r="G3576" s="162">
        <f t="shared" si="89"/>
        <v>9.4504583331428665E-2</v>
      </c>
      <c r="H3576" s="120"/>
      <c r="I3576" s="120"/>
      <c r="J3576" s="120"/>
      <c r="K3576" s="120"/>
      <c r="L3576" s="120"/>
      <c r="M3576" s="120"/>
      <c r="N3576" s="120"/>
      <c r="O3576" s="120"/>
      <c r="P3576" s="121"/>
    </row>
    <row r="3577" spans="3:16" s="117" customFormat="1" ht="21.75" hidden="1" customHeight="1">
      <c r="C3577" s="260"/>
      <c r="D3577" s="130" t="s">
        <v>2401</v>
      </c>
      <c r="E3577" s="788">
        <v>7346800000</v>
      </c>
      <c r="F3577" s="112">
        <v>3915154027000</v>
      </c>
      <c r="G3577" s="162">
        <f t="shared" si="89"/>
        <v>0.18765034400522707</v>
      </c>
      <c r="H3577" s="120"/>
      <c r="I3577" s="120"/>
      <c r="J3577" s="120"/>
      <c r="K3577" s="120"/>
      <c r="L3577" s="120"/>
      <c r="M3577" s="120"/>
      <c r="N3577" s="120"/>
      <c r="O3577" s="120"/>
      <c r="P3577" s="121"/>
    </row>
    <row r="3578" spans="3:16" s="117" customFormat="1" ht="21.75" hidden="1" customHeight="1">
      <c r="C3578" s="260"/>
      <c r="D3578" s="124" t="s">
        <v>219</v>
      </c>
      <c r="E3578" s="787">
        <f>E3579</f>
        <v>41000000000</v>
      </c>
      <c r="F3578" s="112">
        <v>3915154027000</v>
      </c>
      <c r="G3578" s="162">
        <f t="shared" si="89"/>
        <v>1.0472129504293446</v>
      </c>
      <c r="H3578" s="120"/>
      <c r="I3578" s="120"/>
      <c r="J3578" s="120"/>
      <c r="K3578" s="120"/>
      <c r="L3578" s="120"/>
      <c r="M3578" s="120"/>
      <c r="N3578" s="120"/>
      <c r="O3578" s="120"/>
      <c r="P3578" s="121"/>
    </row>
    <row r="3579" spans="3:16" s="117" customFormat="1" ht="21.75" hidden="1" customHeight="1">
      <c r="C3579" s="260"/>
      <c r="D3579" s="130" t="s">
        <v>2402</v>
      </c>
      <c r="E3579" s="788">
        <v>41000000000</v>
      </c>
      <c r="F3579" s="112">
        <v>3915154027000</v>
      </c>
      <c r="G3579" s="162">
        <f t="shared" si="89"/>
        <v>1.0472129504293446</v>
      </c>
      <c r="H3579" s="120"/>
      <c r="I3579" s="120"/>
      <c r="J3579" s="120"/>
      <c r="K3579" s="120"/>
      <c r="L3579" s="120"/>
      <c r="M3579" s="120"/>
      <c r="N3579" s="120"/>
      <c r="O3579" s="120"/>
      <c r="P3579" s="121"/>
    </row>
    <row r="3580" spans="3:16" s="117" customFormat="1" ht="21.75" hidden="1" customHeight="1">
      <c r="C3580" s="260"/>
      <c r="D3580" s="124" t="s">
        <v>221</v>
      </c>
      <c r="E3580" s="787">
        <f>E3581</f>
        <v>200000000</v>
      </c>
      <c r="F3580" s="112">
        <v>3915154027000</v>
      </c>
      <c r="G3580" s="162">
        <f t="shared" si="89"/>
        <v>5.1083558557529002E-3</v>
      </c>
      <c r="H3580" s="120"/>
      <c r="I3580" s="120"/>
      <c r="J3580" s="120"/>
      <c r="K3580" s="120"/>
      <c r="L3580" s="120"/>
      <c r="M3580" s="120"/>
      <c r="N3580" s="120"/>
      <c r="O3580" s="120"/>
      <c r="P3580" s="121"/>
    </row>
    <row r="3581" spans="3:16" s="117" customFormat="1" ht="21.75" hidden="1" customHeight="1">
      <c r="C3581" s="260"/>
      <c r="D3581" s="130" t="s">
        <v>2403</v>
      </c>
      <c r="E3581" s="788">
        <v>200000000</v>
      </c>
      <c r="F3581" s="112">
        <v>3915154027000</v>
      </c>
      <c r="G3581" s="162">
        <f t="shared" si="89"/>
        <v>5.1083558557529002E-3</v>
      </c>
      <c r="H3581" s="120"/>
      <c r="I3581" s="120"/>
      <c r="J3581" s="120"/>
      <c r="K3581" s="120"/>
      <c r="L3581" s="120"/>
      <c r="M3581" s="120"/>
      <c r="N3581" s="120"/>
      <c r="O3581" s="120"/>
      <c r="P3581" s="121"/>
    </row>
    <row r="3582" spans="3:16" s="117" customFormat="1" ht="15" hidden="1" customHeight="1">
      <c r="C3582" s="260"/>
      <c r="D3582" s="130"/>
      <c r="E3582" s="788"/>
      <c r="F3582" s="112"/>
      <c r="G3582" s="162"/>
      <c r="H3582" s="120"/>
      <c r="I3582" s="120"/>
      <c r="J3582" s="120"/>
      <c r="K3582" s="120"/>
      <c r="L3582" s="120"/>
      <c r="M3582" s="120"/>
      <c r="N3582" s="120"/>
      <c r="O3582" s="120"/>
      <c r="P3582" s="121"/>
    </row>
    <row r="3583" spans="3:16" s="117" customFormat="1" ht="21.75" hidden="1" customHeight="1">
      <c r="C3583" s="260"/>
      <c r="D3583" s="124" t="s">
        <v>2404</v>
      </c>
      <c r="E3583" s="787">
        <f>+E3584+E3586+E3591</f>
        <v>141700000000</v>
      </c>
      <c r="F3583" s="112">
        <v>3915154027000</v>
      </c>
      <c r="G3583" s="162">
        <f t="shared" si="89"/>
        <v>3.6192701238009302</v>
      </c>
      <c r="H3583" s="120"/>
      <c r="I3583" s="120"/>
      <c r="J3583" s="120"/>
      <c r="K3583" s="120"/>
      <c r="L3583" s="120"/>
      <c r="M3583" s="120"/>
      <c r="N3583" s="120"/>
      <c r="O3583" s="120"/>
      <c r="P3583" s="121"/>
    </row>
    <row r="3584" spans="3:16" s="117" customFormat="1" ht="21.75" hidden="1" customHeight="1">
      <c r="C3584" s="260"/>
      <c r="D3584" s="124" t="s">
        <v>173</v>
      </c>
      <c r="E3584" s="787">
        <f>E3585</f>
        <v>72757000000</v>
      </c>
      <c r="F3584" s="112">
        <v>3915154027000</v>
      </c>
      <c r="G3584" s="162">
        <f t="shared" si="89"/>
        <v>1.858343234985069</v>
      </c>
      <c r="H3584" s="120"/>
      <c r="I3584" s="120"/>
      <c r="J3584" s="120"/>
      <c r="K3584" s="120"/>
      <c r="L3584" s="120"/>
      <c r="M3584" s="120"/>
      <c r="N3584" s="120"/>
      <c r="O3584" s="120"/>
      <c r="P3584" s="121"/>
    </row>
    <row r="3585" spans="3:16" s="117" customFormat="1" ht="21.75" hidden="1" customHeight="1">
      <c r="C3585" s="260"/>
      <c r="D3585" s="130" t="s">
        <v>2405</v>
      </c>
      <c r="E3585" s="788">
        <v>72757000000</v>
      </c>
      <c r="F3585" s="112">
        <v>3915154027000</v>
      </c>
      <c r="G3585" s="162">
        <f t="shared" si="89"/>
        <v>1.858343234985069</v>
      </c>
      <c r="H3585" s="120"/>
      <c r="I3585" s="120"/>
      <c r="J3585" s="120"/>
      <c r="K3585" s="120"/>
      <c r="L3585" s="120"/>
      <c r="M3585" s="120"/>
      <c r="N3585" s="120"/>
      <c r="O3585" s="120"/>
      <c r="P3585" s="121"/>
    </row>
    <row r="3586" spans="3:16" s="117" customFormat="1" ht="31.5" hidden="1" customHeight="1">
      <c r="C3586" s="260"/>
      <c r="D3586" s="124" t="s">
        <v>1414</v>
      </c>
      <c r="E3586" s="787">
        <f>SUM(E3587:E3590)</f>
        <v>62943000000</v>
      </c>
      <c r="F3586" s="112">
        <v>3915154027000</v>
      </c>
      <c r="G3586" s="162">
        <f t="shared" si="89"/>
        <v>1.607676213143274</v>
      </c>
      <c r="H3586" s="120"/>
      <c r="I3586" s="120"/>
      <c r="J3586" s="120"/>
      <c r="K3586" s="120"/>
      <c r="L3586" s="120"/>
      <c r="M3586" s="120"/>
      <c r="N3586" s="120"/>
      <c r="O3586" s="120"/>
      <c r="P3586" s="121"/>
    </row>
    <row r="3587" spans="3:16" s="117" customFormat="1" ht="21.75" hidden="1" customHeight="1">
      <c r="C3587" s="260"/>
      <c r="D3587" s="130" t="s">
        <v>1417</v>
      </c>
      <c r="E3587" s="788">
        <v>33443000000</v>
      </c>
      <c r="F3587" s="112">
        <v>3915154027000</v>
      </c>
      <c r="G3587" s="162">
        <f t="shared" si="89"/>
        <v>0.85419372441972119</v>
      </c>
      <c r="H3587" s="120"/>
      <c r="I3587" s="120"/>
      <c r="J3587" s="120"/>
      <c r="K3587" s="120"/>
      <c r="L3587" s="120"/>
      <c r="M3587" s="120"/>
      <c r="N3587" s="120"/>
      <c r="O3587" s="120"/>
      <c r="P3587" s="121"/>
    </row>
    <row r="3588" spans="3:16" s="117" customFormat="1" ht="21.75" hidden="1" customHeight="1">
      <c r="C3588" s="260"/>
      <c r="D3588" s="130" t="s">
        <v>478</v>
      </c>
      <c r="E3588" s="788">
        <v>12000000000</v>
      </c>
      <c r="F3588" s="112">
        <v>3915154027000</v>
      </c>
      <c r="G3588" s="162">
        <f t="shared" si="89"/>
        <v>0.30650135134517403</v>
      </c>
      <c r="H3588" s="120"/>
      <c r="I3588" s="120"/>
      <c r="J3588" s="120"/>
      <c r="K3588" s="120"/>
      <c r="L3588" s="120"/>
      <c r="M3588" s="120"/>
      <c r="N3588" s="120"/>
      <c r="O3588" s="120"/>
      <c r="P3588" s="121"/>
    </row>
    <row r="3589" spans="3:16" s="117" customFormat="1" ht="27" hidden="1" customHeight="1">
      <c r="C3589" s="260"/>
      <c r="D3589" s="130" t="s">
        <v>2393</v>
      </c>
      <c r="E3589" s="788">
        <v>9500000000</v>
      </c>
      <c r="F3589" s="112">
        <v>3915154027000</v>
      </c>
      <c r="G3589" s="162">
        <f t="shared" si="89"/>
        <v>0.24264690314826279</v>
      </c>
      <c r="H3589" s="120"/>
      <c r="I3589" s="120"/>
      <c r="J3589" s="120"/>
      <c r="K3589" s="120"/>
      <c r="L3589" s="120"/>
      <c r="M3589" s="120"/>
      <c r="N3589" s="120"/>
      <c r="O3589" s="120"/>
      <c r="P3589" s="121"/>
    </row>
    <row r="3590" spans="3:16" s="117" customFormat="1" ht="21.75" hidden="1" customHeight="1">
      <c r="C3590" s="260"/>
      <c r="D3590" s="130" t="s">
        <v>2396</v>
      </c>
      <c r="E3590" s="788">
        <v>8000000000</v>
      </c>
      <c r="F3590" s="112">
        <v>3915154027000</v>
      </c>
      <c r="G3590" s="162">
        <f t="shared" si="89"/>
        <v>0.20433423423011601</v>
      </c>
      <c r="H3590" s="120"/>
      <c r="I3590" s="120"/>
      <c r="J3590" s="120"/>
      <c r="K3590" s="120"/>
      <c r="L3590" s="120"/>
      <c r="M3590" s="120"/>
      <c r="N3590" s="120"/>
      <c r="O3590" s="120"/>
      <c r="P3590" s="121"/>
    </row>
    <row r="3591" spans="3:16" s="117" customFormat="1" ht="31.5" hidden="1" customHeight="1">
      <c r="C3591" s="260"/>
      <c r="D3591" s="124" t="s">
        <v>2399</v>
      </c>
      <c r="E3591" s="787">
        <f>SUM(E3592:E3593)</f>
        <v>6000000000</v>
      </c>
      <c r="F3591" s="112">
        <v>3915154027000</v>
      </c>
      <c r="G3591" s="162">
        <f t="shared" si="89"/>
        <v>0.15325067567258702</v>
      </c>
      <c r="H3591" s="120"/>
      <c r="I3591" s="120"/>
      <c r="J3591" s="120"/>
      <c r="K3591" s="120"/>
      <c r="L3591" s="120"/>
      <c r="M3591" s="120"/>
      <c r="N3591" s="120"/>
      <c r="O3591" s="120"/>
      <c r="P3591" s="121"/>
    </row>
    <row r="3592" spans="3:16" s="117" customFormat="1" ht="21.75" hidden="1" customHeight="1">
      <c r="C3592" s="260"/>
      <c r="D3592" s="130" t="s">
        <v>2406</v>
      </c>
      <c r="E3592" s="788">
        <v>5000000000</v>
      </c>
      <c r="F3592" s="112">
        <v>3915154027000</v>
      </c>
      <c r="G3592" s="162">
        <f t="shared" si="89"/>
        <v>0.12770889639382252</v>
      </c>
      <c r="H3592" s="120"/>
      <c r="I3592" s="120"/>
      <c r="J3592" s="120"/>
      <c r="K3592" s="120"/>
      <c r="L3592" s="120"/>
      <c r="M3592" s="120"/>
      <c r="N3592" s="120"/>
      <c r="O3592" s="120"/>
      <c r="P3592" s="121"/>
    </row>
    <row r="3593" spans="3:16" s="117" customFormat="1" ht="21.75" hidden="1" customHeight="1">
      <c r="C3593" s="260"/>
      <c r="D3593" s="130" t="s">
        <v>2407</v>
      </c>
      <c r="E3593" s="788">
        <v>1000000000</v>
      </c>
      <c r="F3593" s="112">
        <v>3915154027000</v>
      </c>
      <c r="G3593" s="162">
        <f t="shared" si="89"/>
        <v>2.5541779278764502E-2</v>
      </c>
      <c r="H3593" s="120"/>
      <c r="I3593" s="120"/>
      <c r="J3593" s="120"/>
      <c r="K3593" s="120"/>
      <c r="L3593" s="120"/>
      <c r="M3593" s="120"/>
      <c r="N3593" s="120"/>
      <c r="O3593" s="120"/>
      <c r="P3593" s="121"/>
    </row>
    <row r="3594" spans="3:16" s="117" customFormat="1" ht="15" hidden="1" customHeight="1">
      <c r="C3594" s="260"/>
      <c r="D3594" s="130"/>
      <c r="E3594" s="788"/>
      <c r="F3594" s="112"/>
      <c r="G3594" s="162"/>
      <c r="H3594" s="120"/>
      <c r="I3594" s="120"/>
      <c r="J3594" s="120"/>
      <c r="K3594" s="120"/>
      <c r="L3594" s="120"/>
      <c r="M3594" s="120"/>
      <c r="N3594" s="120"/>
      <c r="O3594" s="120"/>
      <c r="P3594" s="121"/>
    </row>
    <row r="3595" spans="3:16" s="117" customFormat="1" ht="21.75" hidden="1" customHeight="1">
      <c r="C3595" s="260"/>
      <c r="D3595" s="124" t="s">
        <v>2408</v>
      </c>
      <c r="E3595" s="787">
        <f>+E3596+E3598+E3600+E3604+E3606+E3608</f>
        <v>52250000000</v>
      </c>
      <c r="F3595" s="112">
        <v>3915154027000</v>
      </c>
      <c r="G3595" s="162">
        <f t="shared" si="89"/>
        <v>1.3345579673154453</v>
      </c>
      <c r="H3595" s="120"/>
      <c r="I3595" s="120"/>
      <c r="J3595" s="120"/>
      <c r="K3595" s="120"/>
      <c r="L3595" s="120"/>
      <c r="M3595" s="120"/>
      <c r="N3595" s="120"/>
      <c r="O3595" s="120"/>
      <c r="P3595" s="121"/>
    </row>
    <row r="3596" spans="3:16" s="117" customFormat="1" ht="21.75" hidden="1" customHeight="1">
      <c r="C3596" s="260"/>
      <c r="D3596" s="124" t="s">
        <v>887</v>
      </c>
      <c r="E3596" s="787">
        <f>E3597</f>
        <v>3000000000</v>
      </c>
      <c r="F3596" s="112">
        <v>3915154027000</v>
      </c>
      <c r="G3596" s="162">
        <f t="shared" si="89"/>
        <v>7.6625337836293508E-2</v>
      </c>
      <c r="H3596" s="120"/>
      <c r="I3596" s="120"/>
      <c r="J3596" s="120"/>
      <c r="K3596" s="120"/>
      <c r="L3596" s="120"/>
      <c r="M3596" s="120"/>
      <c r="N3596" s="120"/>
      <c r="O3596" s="120"/>
      <c r="P3596" s="121"/>
    </row>
    <row r="3597" spans="3:16" s="117" customFormat="1" ht="21.75" hidden="1" customHeight="1">
      <c r="C3597" s="260"/>
      <c r="D3597" s="130" t="s">
        <v>2409</v>
      </c>
      <c r="E3597" s="788">
        <v>3000000000</v>
      </c>
      <c r="F3597" s="112">
        <v>3915154027000</v>
      </c>
      <c r="G3597" s="162">
        <f t="shared" si="89"/>
        <v>7.6625337836293508E-2</v>
      </c>
      <c r="H3597" s="120"/>
      <c r="I3597" s="120"/>
      <c r="J3597" s="120"/>
      <c r="K3597" s="120"/>
      <c r="L3597" s="120"/>
      <c r="M3597" s="120"/>
      <c r="N3597" s="120"/>
      <c r="O3597" s="120"/>
      <c r="P3597" s="121"/>
    </row>
    <row r="3598" spans="3:16" s="117" customFormat="1" ht="21.75" hidden="1" customHeight="1">
      <c r="C3598" s="260"/>
      <c r="D3598" s="124" t="s">
        <v>1507</v>
      </c>
      <c r="E3598" s="787">
        <f>E3599</f>
        <v>147600</v>
      </c>
      <c r="F3598" s="112">
        <v>3915154027000</v>
      </c>
      <c r="G3598" s="162">
        <f t="shared" si="89"/>
        <v>3.7699666215456407E-6</v>
      </c>
      <c r="H3598" s="120"/>
      <c r="I3598" s="120"/>
      <c r="J3598" s="120"/>
      <c r="K3598" s="120"/>
      <c r="L3598" s="120"/>
      <c r="M3598" s="120"/>
      <c r="N3598" s="120"/>
      <c r="O3598" s="120"/>
      <c r="P3598" s="121"/>
    </row>
    <row r="3599" spans="3:16" s="117" customFormat="1" ht="21.75" hidden="1" customHeight="1">
      <c r="C3599" s="260"/>
      <c r="D3599" s="130" t="s">
        <v>2410</v>
      </c>
      <c r="E3599" s="788">
        <v>147600</v>
      </c>
      <c r="F3599" s="112">
        <v>3915154027000</v>
      </c>
      <c r="G3599" s="162">
        <f t="shared" si="89"/>
        <v>3.7699666215456407E-6</v>
      </c>
      <c r="H3599" s="120"/>
      <c r="I3599" s="120"/>
      <c r="J3599" s="120"/>
      <c r="K3599" s="120"/>
      <c r="L3599" s="120"/>
      <c r="M3599" s="120"/>
      <c r="N3599" s="120"/>
      <c r="O3599" s="120"/>
      <c r="P3599" s="121"/>
    </row>
    <row r="3600" spans="3:16" s="117" customFormat="1" ht="31.5" hidden="1" customHeight="1">
      <c r="C3600" s="260"/>
      <c r="D3600" s="124" t="s">
        <v>1414</v>
      </c>
      <c r="E3600" s="787">
        <f>SUM(E3601:E3603)</f>
        <v>16669200000</v>
      </c>
      <c r="F3600" s="112">
        <v>3915154027000</v>
      </c>
      <c r="G3600" s="162">
        <f t="shared" si="89"/>
        <v>0.42576102715358122</v>
      </c>
      <c r="H3600" s="120"/>
      <c r="I3600" s="120"/>
      <c r="J3600" s="120"/>
      <c r="K3600" s="120"/>
      <c r="L3600" s="120"/>
      <c r="M3600" s="120"/>
      <c r="N3600" s="120"/>
      <c r="O3600" s="120"/>
      <c r="P3600" s="121"/>
    </row>
    <row r="3601" spans="3:16" s="117" customFormat="1" ht="21.75" hidden="1" customHeight="1">
      <c r="C3601" s="260"/>
      <c r="D3601" s="130" t="s">
        <v>2411</v>
      </c>
      <c r="E3601" s="788">
        <v>10900000000</v>
      </c>
      <c r="F3601" s="112">
        <v>3915154027000</v>
      </c>
      <c r="G3601" s="162">
        <f t="shared" ref="G3601:G3664" si="90">+E3601/F3601*100</f>
        <v>0.27840539413853305</v>
      </c>
      <c r="H3601" s="120"/>
      <c r="I3601" s="120"/>
      <c r="J3601" s="120"/>
      <c r="K3601" s="120"/>
      <c r="L3601" s="120"/>
      <c r="M3601" s="120"/>
      <c r="N3601" s="120"/>
      <c r="O3601" s="120"/>
      <c r="P3601" s="121"/>
    </row>
    <row r="3602" spans="3:16" s="117" customFormat="1" ht="21.75" hidden="1" customHeight="1">
      <c r="C3602" s="260"/>
      <c r="D3602" s="130" t="s">
        <v>1417</v>
      </c>
      <c r="E3602" s="788">
        <v>5620000000</v>
      </c>
      <c r="F3602" s="112">
        <v>3915154027000</v>
      </c>
      <c r="G3602" s="162">
        <f t="shared" si="90"/>
        <v>0.14354479954665653</v>
      </c>
      <c r="H3602" s="120"/>
      <c r="I3602" s="120"/>
      <c r="J3602" s="120"/>
      <c r="K3602" s="120"/>
      <c r="L3602" s="120"/>
      <c r="M3602" s="120"/>
      <c r="N3602" s="120"/>
      <c r="O3602" s="120"/>
      <c r="P3602" s="121"/>
    </row>
    <row r="3603" spans="3:16" s="117" customFormat="1" ht="21.75" hidden="1" customHeight="1">
      <c r="C3603" s="260"/>
      <c r="D3603" s="130" t="s">
        <v>486</v>
      </c>
      <c r="E3603" s="788">
        <v>149200000</v>
      </c>
      <c r="F3603" s="112">
        <v>3915154027000</v>
      </c>
      <c r="G3603" s="162">
        <f t="shared" si="90"/>
        <v>3.8108334683916636E-3</v>
      </c>
      <c r="H3603" s="120"/>
      <c r="I3603" s="120"/>
      <c r="J3603" s="120"/>
      <c r="K3603" s="120"/>
      <c r="L3603" s="120"/>
      <c r="M3603" s="120"/>
      <c r="N3603" s="120"/>
      <c r="O3603" s="120"/>
      <c r="P3603" s="121"/>
    </row>
    <row r="3604" spans="3:16" s="117" customFormat="1" ht="31.5" hidden="1" customHeight="1">
      <c r="C3604" s="260"/>
      <c r="D3604" s="124" t="s">
        <v>2399</v>
      </c>
      <c r="E3604" s="787">
        <f>E3605</f>
        <v>100000000</v>
      </c>
      <c r="F3604" s="112">
        <v>3915154027000</v>
      </c>
      <c r="G3604" s="162">
        <f t="shared" si="90"/>
        <v>2.5541779278764501E-3</v>
      </c>
      <c r="H3604" s="120"/>
      <c r="I3604" s="120"/>
      <c r="J3604" s="120"/>
      <c r="K3604" s="120"/>
      <c r="L3604" s="120"/>
      <c r="M3604" s="120"/>
      <c r="N3604" s="120"/>
      <c r="O3604" s="120"/>
      <c r="P3604" s="121"/>
    </row>
    <row r="3605" spans="3:16" s="117" customFormat="1" ht="21.75" hidden="1" customHeight="1">
      <c r="C3605" s="260"/>
      <c r="D3605" s="130" t="s">
        <v>2412</v>
      </c>
      <c r="E3605" s="788">
        <v>100000000</v>
      </c>
      <c r="F3605" s="112">
        <v>3915154027000</v>
      </c>
      <c r="G3605" s="162">
        <f t="shared" si="90"/>
        <v>2.5541779278764501E-3</v>
      </c>
      <c r="H3605" s="120"/>
      <c r="I3605" s="120"/>
      <c r="J3605" s="120"/>
      <c r="K3605" s="120"/>
      <c r="L3605" s="120"/>
      <c r="M3605" s="120"/>
      <c r="N3605" s="120"/>
      <c r="O3605" s="120"/>
      <c r="P3605" s="121"/>
    </row>
    <row r="3606" spans="3:16" s="117" customFormat="1" ht="21.75" hidden="1" customHeight="1">
      <c r="C3606" s="260"/>
      <c r="D3606" s="124" t="s">
        <v>219</v>
      </c>
      <c r="E3606" s="787">
        <f>E3607</f>
        <v>8383500000</v>
      </c>
      <c r="F3606" s="112">
        <v>3915154027000</v>
      </c>
      <c r="G3606" s="162">
        <f t="shared" si="90"/>
        <v>0.2141295065835222</v>
      </c>
      <c r="H3606" s="120"/>
      <c r="I3606" s="120"/>
      <c r="J3606" s="120"/>
      <c r="K3606" s="120"/>
      <c r="L3606" s="120"/>
      <c r="M3606" s="120"/>
      <c r="N3606" s="120"/>
      <c r="O3606" s="120"/>
      <c r="P3606" s="121"/>
    </row>
    <row r="3607" spans="3:16" s="117" customFormat="1" ht="21.75" hidden="1" customHeight="1">
      <c r="C3607" s="260"/>
      <c r="D3607" s="130" t="s">
        <v>2381</v>
      </c>
      <c r="E3607" s="788">
        <v>8383500000</v>
      </c>
      <c r="F3607" s="112">
        <v>3915154027000</v>
      </c>
      <c r="G3607" s="162">
        <f t="shared" si="90"/>
        <v>0.2141295065835222</v>
      </c>
      <c r="H3607" s="120"/>
      <c r="I3607" s="120"/>
      <c r="J3607" s="120"/>
      <c r="K3607" s="120"/>
      <c r="L3607" s="120"/>
      <c r="M3607" s="120"/>
      <c r="N3607" s="120"/>
      <c r="O3607" s="120"/>
      <c r="P3607" s="121"/>
    </row>
    <row r="3608" spans="3:16" s="117" customFormat="1" ht="21.75" hidden="1" customHeight="1">
      <c r="C3608" s="260"/>
      <c r="D3608" s="124" t="s">
        <v>243</v>
      </c>
      <c r="E3608" s="787">
        <f>SUM(E3609:E3613)</f>
        <v>24097152400</v>
      </c>
      <c r="F3608" s="112">
        <v>3915154027000</v>
      </c>
      <c r="G3608" s="162">
        <f t="shared" si="90"/>
        <v>0.61548414784755034</v>
      </c>
      <c r="H3608" s="120"/>
      <c r="I3608" s="120"/>
      <c r="J3608" s="120"/>
      <c r="K3608" s="120"/>
      <c r="L3608" s="120"/>
      <c r="M3608" s="120"/>
      <c r="N3608" s="120"/>
      <c r="O3608" s="120"/>
      <c r="P3608" s="121"/>
    </row>
    <row r="3609" spans="3:16" s="117" customFormat="1" ht="21.75" hidden="1" customHeight="1">
      <c r="C3609" s="260"/>
      <c r="D3609" s="130" t="s">
        <v>244</v>
      </c>
      <c r="E3609" s="788">
        <v>1376000000</v>
      </c>
      <c r="F3609" s="112">
        <v>3915154027000</v>
      </c>
      <c r="G3609" s="162">
        <f t="shared" si="90"/>
        <v>3.5145488287579955E-2</v>
      </c>
      <c r="H3609" s="120"/>
      <c r="I3609" s="120"/>
      <c r="J3609" s="120"/>
      <c r="K3609" s="120"/>
      <c r="L3609" s="120"/>
      <c r="M3609" s="120"/>
      <c r="N3609" s="120"/>
      <c r="O3609" s="120"/>
      <c r="P3609" s="121"/>
    </row>
    <row r="3610" spans="3:16" s="117" customFormat="1" ht="21.75" hidden="1" customHeight="1">
      <c r="C3610" s="260"/>
      <c r="D3610" s="130" t="s">
        <v>2413</v>
      </c>
      <c r="E3610" s="788">
        <v>11694905038</v>
      </c>
      <c r="F3610" s="112">
        <v>3915154027000</v>
      </c>
      <c r="G3610" s="162">
        <f t="shared" si="90"/>
        <v>0.29870868316670696</v>
      </c>
      <c r="H3610" s="120"/>
      <c r="I3610" s="120"/>
      <c r="J3610" s="120"/>
      <c r="K3610" s="120"/>
      <c r="L3610" s="120"/>
      <c r="M3610" s="120"/>
      <c r="N3610" s="120"/>
      <c r="O3610" s="120"/>
      <c r="P3610" s="121"/>
    </row>
    <row r="3611" spans="3:16" s="117" customFormat="1" ht="21.75" hidden="1" customHeight="1">
      <c r="C3611" s="260"/>
      <c r="D3611" s="130" t="s">
        <v>2414</v>
      </c>
      <c r="E3611" s="788">
        <v>1052285826</v>
      </c>
      <c r="F3611" s="112">
        <v>3915154027000</v>
      </c>
      <c r="G3611" s="162">
        <f t="shared" si="90"/>
        <v>2.687725230586439E-2</v>
      </c>
      <c r="H3611" s="120"/>
      <c r="I3611" s="120"/>
      <c r="J3611" s="120"/>
      <c r="K3611" s="120"/>
      <c r="L3611" s="120"/>
      <c r="M3611" s="120"/>
      <c r="N3611" s="120"/>
      <c r="O3611" s="120"/>
      <c r="P3611" s="121"/>
    </row>
    <row r="3612" spans="3:16" s="117" customFormat="1" ht="21.75" hidden="1" customHeight="1">
      <c r="C3612" s="260"/>
      <c r="D3612" s="130" t="s">
        <v>2415</v>
      </c>
      <c r="E3612" s="788">
        <v>3723961536</v>
      </c>
      <c r="F3612" s="112">
        <v>3915154027000</v>
      </c>
      <c r="G3612" s="162">
        <f t="shared" si="90"/>
        <v>9.5116603595120836E-2</v>
      </c>
      <c r="H3612" s="120"/>
      <c r="I3612" s="120"/>
      <c r="J3612" s="120"/>
      <c r="K3612" s="120"/>
      <c r="L3612" s="120"/>
      <c r="M3612" s="120"/>
      <c r="N3612" s="120"/>
      <c r="O3612" s="120"/>
      <c r="P3612" s="121"/>
    </row>
    <row r="3613" spans="3:16" s="117" customFormat="1" ht="21.75" hidden="1" customHeight="1">
      <c r="C3613" s="260"/>
      <c r="D3613" s="130" t="s">
        <v>2416</v>
      </c>
      <c r="E3613" s="788">
        <v>6250000000</v>
      </c>
      <c r="F3613" s="112">
        <v>3915154027000</v>
      </c>
      <c r="G3613" s="162">
        <f t="shared" si="90"/>
        <v>0.15963612049227813</v>
      </c>
      <c r="H3613" s="120"/>
      <c r="I3613" s="120"/>
      <c r="J3613" s="120"/>
      <c r="K3613" s="120"/>
      <c r="L3613" s="120"/>
      <c r="M3613" s="120"/>
      <c r="N3613" s="120"/>
      <c r="O3613" s="120"/>
      <c r="P3613" s="121"/>
    </row>
    <row r="3614" spans="3:16" s="117" customFormat="1" ht="15" hidden="1" customHeight="1">
      <c r="C3614" s="260"/>
      <c r="D3614" s="130"/>
      <c r="E3614" s="788"/>
      <c r="F3614" s="112"/>
      <c r="G3614" s="162"/>
      <c r="H3614" s="120"/>
      <c r="I3614" s="120"/>
      <c r="J3614" s="120"/>
      <c r="K3614" s="120"/>
      <c r="L3614" s="120"/>
      <c r="M3614" s="120"/>
      <c r="N3614" s="120"/>
      <c r="O3614" s="120"/>
      <c r="P3614" s="121"/>
    </row>
    <row r="3615" spans="3:16" s="117" customFormat="1" ht="21.75" hidden="1" customHeight="1">
      <c r="C3615" s="260"/>
      <c r="D3615" s="124" t="s">
        <v>2417</v>
      </c>
      <c r="E3615" s="787">
        <f>+E3616+E3619+E3624+E3630</f>
        <v>39070860000</v>
      </c>
      <c r="F3615" s="112">
        <v>3915154027000</v>
      </c>
      <c r="G3615" s="162">
        <f t="shared" si="90"/>
        <v>0.99793928235150897</v>
      </c>
      <c r="H3615" s="120"/>
      <c r="I3615" s="120"/>
      <c r="J3615" s="120"/>
      <c r="K3615" s="120"/>
      <c r="L3615" s="120"/>
      <c r="M3615" s="120"/>
      <c r="N3615" s="120"/>
      <c r="O3615" s="120"/>
      <c r="P3615" s="121"/>
    </row>
    <row r="3616" spans="3:16" s="117" customFormat="1" ht="21.75" hidden="1" customHeight="1">
      <c r="C3616" s="260"/>
      <c r="D3616" s="124" t="s">
        <v>2418</v>
      </c>
      <c r="E3616" s="787">
        <f>+E3617+E3618</f>
        <v>1322510000</v>
      </c>
      <c r="F3616" s="112">
        <v>3915154027000</v>
      </c>
      <c r="G3616" s="162">
        <f t="shared" si="90"/>
        <v>3.377925851395884E-2</v>
      </c>
      <c r="H3616" s="120"/>
      <c r="I3616" s="120"/>
      <c r="J3616" s="120"/>
      <c r="K3616" s="120"/>
      <c r="L3616" s="120"/>
      <c r="M3616" s="120"/>
      <c r="N3616" s="120"/>
      <c r="O3616" s="120"/>
      <c r="P3616" s="121"/>
    </row>
    <row r="3617" spans="3:16" s="117" customFormat="1" ht="21.75" hidden="1" customHeight="1">
      <c r="C3617" s="260"/>
      <c r="D3617" s="130" t="s">
        <v>2419</v>
      </c>
      <c r="E3617" s="788">
        <v>478260000</v>
      </c>
      <c r="F3617" s="112">
        <v>3915154027000</v>
      </c>
      <c r="G3617" s="162">
        <f t="shared" si="90"/>
        <v>1.2215611357861911E-2</v>
      </c>
      <c r="H3617" s="120"/>
      <c r="I3617" s="120"/>
      <c r="J3617" s="120"/>
      <c r="K3617" s="120"/>
      <c r="L3617" s="120"/>
      <c r="M3617" s="120"/>
      <c r="N3617" s="120"/>
      <c r="O3617" s="120"/>
      <c r="P3617" s="121"/>
    </row>
    <row r="3618" spans="3:16" s="117" customFormat="1" ht="21.75" hidden="1" customHeight="1">
      <c r="C3618" s="260"/>
      <c r="D3618" s="130" t="s">
        <v>2420</v>
      </c>
      <c r="E3618" s="788">
        <v>844250000</v>
      </c>
      <c r="F3618" s="112">
        <v>3915154027000</v>
      </c>
      <c r="G3618" s="162">
        <f t="shared" si="90"/>
        <v>2.1563647156096932E-2</v>
      </c>
      <c r="H3618" s="120"/>
      <c r="I3618" s="120"/>
      <c r="J3618" s="120"/>
      <c r="K3618" s="120"/>
      <c r="L3618" s="120"/>
      <c r="M3618" s="120"/>
      <c r="N3618" s="120"/>
      <c r="O3618" s="120"/>
      <c r="P3618" s="121"/>
    </row>
    <row r="3619" spans="3:16" s="117" customFormat="1" ht="31.5" hidden="1" customHeight="1">
      <c r="C3619" s="260"/>
      <c r="D3619" s="124" t="s">
        <v>2421</v>
      </c>
      <c r="E3619" s="787">
        <f>E3620</f>
        <v>536950000</v>
      </c>
      <c r="F3619" s="112">
        <v>3915154027000</v>
      </c>
      <c r="G3619" s="162">
        <f t="shared" si="90"/>
        <v>1.3714658383732599E-2</v>
      </c>
      <c r="H3619" s="120"/>
      <c r="I3619" s="120"/>
      <c r="J3619" s="120"/>
      <c r="K3619" s="120"/>
      <c r="L3619" s="120"/>
      <c r="M3619" s="120"/>
      <c r="N3619" s="120"/>
      <c r="O3619" s="120"/>
      <c r="P3619" s="121"/>
    </row>
    <row r="3620" spans="3:16" s="117" customFormat="1" ht="21.75" hidden="1" customHeight="1">
      <c r="C3620" s="260"/>
      <c r="D3620" s="130" t="s">
        <v>2422</v>
      </c>
      <c r="E3620" s="788">
        <v>536950000</v>
      </c>
      <c r="F3620" s="112">
        <v>3915154027000</v>
      </c>
      <c r="G3620" s="162">
        <f t="shared" si="90"/>
        <v>1.3714658383732599E-2</v>
      </c>
      <c r="H3620" s="120"/>
      <c r="I3620" s="120"/>
      <c r="J3620" s="120"/>
      <c r="K3620" s="120"/>
      <c r="L3620" s="120"/>
      <c r="M3620" s="120"/>
      <c r="N3620" s="120"/>
      <c r="O3620" s="120"/>
      <c r="P3620" s="121"/>
    </row>
    <row r="3621" spans="3:16" s="117" customFormat="1" ht="21.75" hidden="1" customHeight="1">
      <c r="C3621" s="260"/>
      <c r="D3621" s="124" t="s">
        <v>2423</v>
      </c>
      <c r="E3621" s="787">
        <f>+E3622+E3623</f>
        <v>929140000</v>
      </c>
      <c r="F3621" s="112">
        <v>3915154027000</v>
      </c>
      <c r="G3621" s="162">
        <f t="shared" si="90"/>
        <v>2.3731888799071253E-2</v>
      </c>
      <c r="H3621" s="120"/>
      <c r="I3621" s="120"/>
      <c r="J3621" s="120"/>
      <c r="K3621" s="120"/>
      <c r="L3621" s="120"/>
      <c r="M3621" s="120"/>
      <c r="N3621" s="120"/>
      <c r="O3621" s="120"/>
      <c r="P3621" s="121"/>
    </row>
    <row r="3622" spans="3:16" s="117" customFormat="1" ht="21.75" hidden="1" customHeight="1">
      <c r="C3622" s="260"/>
      <c r="D3622" s="130" t="s">
        <v>2424</v>
      </c>
      <c r="E3622" s="788">
        <v>600000000</v>
      </c>
      <c r="F3622" s="112">
        <v>3915154027000</v>
      </c>
      <c r="G3622" s="162">
        <f t="shared" si="90"/>
        <v>1.5325067567258701E-2</v>
      </c>
      <c r="H3622" s="120"/>
      <c r="I3622" s="120"/>
      <c r="J3622" s="120"/>
      <c r="K3622" s="120"/>
      <c r="L3622" s="120"/>
      <c r="M3622" s="120"/>
      <c r="N3622" s="120"/>
      <c r="O3622" s="120"/>
      <c r="P3622" s="121"/>
    </row>
    <row r="3623" spans="3:16" s="117" customFormat="1" ht="21.75" hidden="1" customHeight="1">
      <c r="C3623" s="260"/>
      <c r="D3623" s="130" t="s">
        <v>2425</v>
      </c>
      <c r="E3623" s="788">
        <v>329140000</v>
      </c>
      <c r="F3623" s="112">
        <v>3915154027000</v>
      </c>
      <c r="G3623" s="162">
        <f t="shared" si="90"/>
        <v>8.4068212318125484E-3</v>
      </c>
      <c r="H3623" s="120"/>
      <c r="I3623" s="120"/>
      <c r="J3623" s="120"/>
      <c r="K3623" s="120"/>
      <c r="L3623" s="120"/>
      <c r="M3623" s="120"/>
      <c r="N3623" s="120"/>
      <c r="O3623" s="120"/>
      <c r="P3623" s="121"/>
    </row>
    <row r="3624" spans="3:16" s="117" customFormat="1" ht="21.75" hidden="1" customHeight="1">
      <c r="C3624" s="260"/>
      <c r="D3624" s="124" t="s">
        <v>556</v>
      </c>
      <c r="E3624" s="787">
        <f>SUM(E3625:E3629)</f>
        <v>10663199750</v>
      </c>
      <c r="F3624" s="112">
        <v>3915154027000</v>
      </c>
      <c r="G3624" s="162">
        <f t="shared" si="90"/>
        <v>0.27235709441987682</v>
      </c>
      <c r="H3624" s="120"/>
      <c r="I3624" s="120"/>
      <c r="J3624" s="120"/>
      <c r="K3624" s="120"/>
      <c r="L3624" s="120"/>
      <c r="M3624" s="120"/>
      <c r="N3624" s="120"/>
      <c r="O3624" s="120"/>
      <c r="P3624" s="121"/>
    </row>
    <row r="3625" spans="3:16" s="117" customFormat="1" ht="21.75" hidden="1" customHeight="1">
      <c r="C3625" s="260"/>
      <c r="D3625" s="130" t="s">
        <v>2426</v>
      </c>
      <c r="E3625" s="788">
        <v>9186299750</v>
      </c>
      <c r="F3625" s="112">
        <v>3915154027000</v>
      </c>
      <c r="G3625" s="162">
        <f t="shared" si="90"/>
        <v>0.23463444060306954</v>
      </c>
      <c r="H3625" s="120"/>
      <c r="I3625" s="120"/>
      <c r="J3625" s="120"/>
      <c r="K3625" s="120"/>
      <c r="L3625" s="120"/>
      <c r="M3625" s="120"/>
      <c r="N3625" s="120"/>
      <c r="O3625" s="120"/>
      <c r="P3625" s="121"/>
    </row>
    <row r="3626" spans="3:16" s="117" customFormat="1" ht="21.75" hidden="1" customHeight="1">
      <c r="C3626" s="260"/>
      <c r="D3626" s="130" t="s">
        <v>2427</v>
      </c>
      <c r="E3626" s="788">
        <v>250750000</v>
      </c>
      <c r="F3626" s="112">
        <v>3915154027000</v>
      </c>
      <c r="G3626" s="162">
        <f t="shared" si="90"/>
        <v>6.4046011541501998E-3</v>
      </c>
      <c r="H3626" s="120"/>
      <c r="I3626" s="120"/>
      <c r="J3626" s="120"/>
      <c r="K3626" s="120"/>
      <c r="L3626" s="120"/>
      <c r="M3626" s="120"/>
      <c r="N3626" s="120"/>
      <c r="O3626" s="120"/>
      <c r="P3626" s="121"/>
    </row>
    <row r="3627" spans="3:16" s="117" customFormat="1" ht="21.75" hidden="1" customHeight="1">
      <c r="C3627" s="260"/>
      <c r="D3627" s="130" t="s">
        <v>2428</v>
      </c>
      <c r="E3627" s="788">
        <v>336750000</v>
      </c>
      <c r="F3627" s="112">
        <v>3915154027000</v>
      </c>
      <c r="G3627" s="162">
        <f t="shared" si="90"/>
        <v>8.6011941721239465E-3</v>
      </c>
      <c r="H3627" s="120"/>
      <c r="I3627" s="120"/>
      <c r="J3627" s="120"/>
      <c r="K3627" s="120"/>
      <c r="L3627" s="120"/>
      <c r="M3627" s="120"/>
      <c r="N3627" s="120"/>
      <c r="O3627" s="120"/>
      <c r="P3627" s="121"/>
    </row>
    <row r="3628" spans="3:16" s="117" customFormat="1" ht="21.75" hidden="1" customHeight="1">
      <c r="C3628" s="260"/>
      <c r="D3628" s="130" t="s">
        <v>2429</v>
      </c>
      <c r="E3628" s="788">
        <v>491200000</v>
      </c>
      <c r="F3628" s="112">
        <v>3915154027000</v>
      </c>
      <c r="G3628" s="162">
        <f t="shared" si="90"/>
        <v>1.2546121981729124E-2</v>
      </c>
      <c r="H3628" s="120"/>
      <c r="I3628" s="120"/>
      <c r="J3628" s="120"/>
      <c r="K3628" s="120"/>
      <c r="L3628" s="120"/>
      <c r="M3628" s="120"/>
      <c r="N3628" s="120"/>
      <c r="O3628" s="120"/>
      <c r="P3628" s="121"/>
    </row>
    <row r="3629" spans="3:16" s="117" customFormat="1" ht="21.75" hidden="1" customHeight="1">
      <c r="C3629" s="260"/>
      <c r="D3629" s="130" t="s">
        <v>2430</v>
      </c>
      <c r="E3629" s="788">
        <v>398200000</v>
      </c>
      <c r="F3629" s="112">
        <v>3915154027000</v>
      </c>
      <c r="G3629" s="162">
        <f t="shared" si="90"/>
        <v>1.0170736508804025E-2</v>
      </c>
      <c r="H3629" s="120"/>
      <c r="I3629" s="120"/>
      <c r="J3629" s="120"/>
      <c r="K3629" s="120"/>
      <c r="L3629" s="120"/>
      <c r="M3629" s="120"/>
      <c r="N3629" s="120"/>
      <c r="O3629" s="120"/>
      <c r="P3629" s="121"/>
    </row>
    <row r="3630" spans="3:16" s="117" customFormat="1" ht="21.75" hidden="1" customHeight="1">
      <c r="C3630" s="260"/>
      <c r="D3630" s="124" t="s">
        <v>558</v>
      </c>
      <c r="E3630" s="787">
        <f>SUM(E3631:E3633)</f>
        <v>26548200250</v>
      </c>
      <c r="F3630" s="112">
        <v>3915154027000</v>
      </c>
      <c r="G3630" s="162">
        <f t="shared" si="90"/>
        <v>0.67808827103394065</v>
      </c>
      <c r="H3630" s="120"/>
      <c r="I3630" s="120"/>
      <c r="J3630" s="120"/>
      <c r="K3630" s="120"/>
      <c r="L3630" s="120"/>
      <c r="M3630" s="120"/>
      <c r="N3630" s="120"/>
      <c r="O3630" s="120"/>
      <c r="P3630" s="121"/>
    </row>
    <row r="3631" spans="3:16" s="117" customFormat="1" ht="21.75" hidden="1" customHeight="1">
      <c r="C3631" s="260"/>
      <c r="D3631" s="130" t="s">
        <v>2431</v>
      </c>
      <c r="E3631" s="788">
        <v>18664000000</v>
      </c>
      <c r="F3631" s="112">
        <v>3915154027000</v>
      </c>
      <c r="G3631" s="162">
        <f t="shared" si="90"/>
        <v>0.47671176845886065</v>
      </c>
      <c r="H3631" s="120"/>
      <c r="I3631" s="120"/>
      <c r="J3631" s="120"/>
      <c r="K3631" s="120"/>
      <c r="L3631" s="120"/>
      <c r="M3631" s="120"/>
      <c r="N3631" s="120"/>
      <c r="O3631" s="120"/>
      <c r="P3631" s="121"/>
    </row>
    <row r="3632" spans="3:16" s="117" customFormat="1" ht="21.75" hidden="1" customHeight="1">
      <c r="C3632" s="260"/>
      <c r="D3632" s="130" t="s">
        <v>2432</v>
      </c>
      <c r="E3632" s="788">
        <v>5400000000</v>
      </c>
      <c r="F3632" s="112">
        <v>3915154027000</v>
      </c>
      <c r="G3632" s="162">
        <f t="shared" si="90"/>
        <v>0.13792560810532831</v>
      </c>
      <c r="H3632" s="120"/>
      <c r="I3632" s="120"/>
      <c r="J3632" s="120"/>
      <c r="K3632" s="120"/>
      <c r="L3632" s="120"/>
      <c r="M3632" s="120"/>
      <c r="N3632" s="120"/>
      <c r="O3632" s="120"/>
      <c r="P3632" s="121"/>
    </row>
    <row r="3633" spans="3:16" s="117" customFormat="1" ht="21.75" hidden="1" customHeight="1">
      <c r="C3633" s="260"/>
      <c r="D3633" s="130" t="s">
        <v>2433</v>
      </c>
      <c r="E3633" s="788">
        <v>2484200250</v>
      </c>
      <c r="F3633" s="112">
        <v>3915154027000</v>
      </c>
      <c r="G3633" s="162">
        <f t="shared" si="90"/>
        <v>6.3450894469751593E-2</v>
      </c>
      <c r="H3633" s="120"/>
      <c r="I3633" s="120"/>
      <c r="J3633" s="120"/>
      <c r="K3633" s="120"/>
      <c r="L3633" s="120"/>
      <c r="M3633" s="120"/>
      <c r="N3633" s="120"/>
      <c r="O3633" s="120"/>
      <c r="P3633" s="121"/>
    </row>
    <row r="3634" spans="3:16" s="117" customFormat="1" ht="15" hidden="1" customHeight="1">
      <c r="C3634" s="260"/>
      <c r="D3634" s="130"/>
      <c r="E3634" s="788"/>
      <c r="F3634" s="112"/>
      <c r="G3634" s="162"/>
      <c r="H3634" s="120"/>
      <c r="I3634" s="120"/>
      <c r="J3634" s="120"/>
      <c r="K3634" s="120"/>
      <c r="L3634" s="120"/>
      <c r="M3634" s="120"/>
      <c r="N3634" s="120"/>
      <c r="O3634" s="120"/>
      <c r="P3634" s="121"/>
    </row>
    <row r="3635" spans="3:16" s="117" customFormat="1" ht="21.75" hidden="1" customHeight="1">
      <c r="C3635" s="260"/>
      <c r="D3635" s="124" t="s">
        <v>69</v>
      </c>
      <c r="E3635" s="787">
        <f>+E3636+E3641+E3645+E3650</f>
        <v>5000000000</v>
      </c>
      <c r="F3635" s="112">
        <v>3915154027000</v>
      </c>
      <c r="G3635" s="162">
        <f t="shared" si="90"/>
        <v>0.12770889639382252</v>
      </c>
      <c r="H3635" s="120"/>
      <c r="I3635" s="120"/>
      <c r="J3635" s="120"/>
      <c r="K3635" s="120"/>
      <c r="L3635" s="120"/>
      <c r="M3635" s="120"/>
      <c r="N3635" s="120"/>
      <c r="O3635" s="120"/>
      <c r="P3635" s="121"/>
    </row>
    <row r="3636" spans="3:16" s="117" customFormat="1" ht="21.75" hidden="1" customHeight="1">
      <c r="C3636" s="260"/>
      <c r="D3636" s="124" t="s">
        <v>902</v>
      </c>
      <c r="E3636" s="787">
        <f>SUM(E3637:E3640)</f>
        <v>1537600180</v>
      </c>
      <c r="F3636" s="112">
        <v>3915154027000</v>
      </c>
      <c r="G3636" s="162">
        <f t="shared" si="90"/>
        <v>3.9273044416548566E-2</v>
      </c>
      <c r="H3636" s="120"/>
      <c r="I3636" s="120"/>
      <c r="J3636" s="120"/>
      <c r="K3636" s="120"/>
      <c r="L3636" s="120"/>
      <c r="M3636" s="120"/>
      <c r="N3636" s="120"/>
      <c r="O3636" s="120"/>
      <c r="P3636" s="121"/>
    </row>
    <row r="3637" spans="3:16" s="117" customFormat="1" ht="21.75" hidden="1" customHeight="1">
      <c r="C3637" s="260"/>
      <c r="D3637" s="130" t="s">
        <v>2434</v>
      </c>
      <c r="E3637" s="788">
        <v>602250000</v>
      </c>
      <c r="F3637" s="112">
        <v>3915154027000</v>
      </c>
      <c r="G3637" s="162">
        <f t="shared" si="90"/>
        <v>1.5382536570635923E-2</v>
      </c>
      <c r="H3637" s="120"/>
      <c r="I3637" s="120"/>
      <c r="J3637" s="120"/>
      <c r="K3637" s="120"/>
      <c r="L3637" s="120"/>
      <c r="M3637" s="120"/>
      <c r="N3637" s="120"/>
      <c r="O3637" s="120"/>
      <c r="P3637" s="121"/>
    </row>
    <row r="3638" spans="3:16" s="117" customFormat="1" ht="21.75" hidden="1" customHeight="1">
      <c r="C3638" s="260"/>
      <c r="D3638" s="130" t="s">
        <v>2435</v>
      </c>
      <c r="E3638" s="788">
        <v>277767800</v>
      </c>
      <c r="F3638" s="112">
        <v>3915154027000</v>
      </c>
      <c r="G3638" s="162">
        <f t="shared" si="90"/>
        <v>7.0946838383480022E-3</v>
      </c>
      <c r="H3638" s="120"/>
      <c r="I3638" s="120"/>
      <c r="J3638" s="120"/>
      <c r="K3638" s="120"/>
      <c r="L3638" s="120"/>
      <c r="M3638" s="120"/>
      <c r="N3638" s="120"/>
      <c r="O3638" s="120"/>
      <c r="P3638" s="121"/>
    </row>
    <row r="3639" spans="3:16" s="117" customFormat="1" ht="21.75" hidden="1" customHeight="1">
      <c r="C3639" s="260"/>
      <c r="D3639" s="130" t="s">
        <v>2436</v>
      </c>
      <c r="E3639" s="788">
        <v>289495000</v>
      </c>
      <c r="F3639" s="112">
        <v>3915154027000</v>
      </c>
      <c r="G3639" s="162">
        <f t="shared" si="90"/>
        <v>7.3942173923059297E-3</v>
      </c>
      <c r="H3639" s="120"/>
      <c r="I3639" s="120"/>
      <c r="J3639" s="120"/>
      <c r="K3639" s="120"/>
      <c r="L3639" s="120"/>
      <c r="M3639" s="120"/>
      <c r="N3639" s="120"/>
      <c r="O3639" s="120"/>
      <c r="P3639" s="121"/>
    </row>
    <row r="3640" spans="3:16" s="117" customFormat="1" ht="21.75" hidden="1" customHeight="1">
      <c r="C3640" s="260"/>
      <c r="D3640" s="130" t="s">
        <v>2437</v>
      </c>
      <c r="E3640" s="788">
        <v>368087380</v>
      </c>
      <c r="F3640" s="112">
        <v>3915154027000</v>
      </c>
      <c r="G3640" s="162">
        <f t="shared" si="90"/>
        <v>9.4016066152587154E-3</v>
      </c>
      <c r="H3640" s="120"/>
      <c r="I3640" s="120"/>
      <c r="J3640" s="120"/>
      <c r="K3640" s="120"/>
      <c r="L3640" s="120"/>
      <c r="M3640" s="120"/>
      <c r="N3640" s="120"/>
      <c r="O3640" s="120"/>
      <c r="P3640" s="121"/>
    </row>
    <row r="3641" spans="3:16" s="117" customFormat="1" ht="21.75" hidden="1" customHeight="1">
      <c r="C3641" s="260"/>
      <c r="D3641" s="124" t="s">
        <v>904</v>
      </c>
      <c r="E3641" s="787">
        <f>SUM(E3642:E3644)</f>
        <v>1150000000</v>
      </c>
      <c r="F3641" s="112">
        <v>3915154027000</v>
      </c>
      <c r="G3641" s="162">
        <f t="shared" si="90"/>
        <v>2.9373046170579179E-2</v>
      </c>
      <c r="H3641" s="120"/>
      <c r="I3641" s="120"/>
      <c r="J3641" s="120"/>
      <c r="K3641" s="120"/>
      <c r="L3641" s="120"/>
      <c r="M3641" s="120"/>
      <c r="N3641" s="120"/>
      <c r="O3641" s="120"/>
      <c r="P3641" s="121"/>
    </row>
    <row r="3642" spans="3:16" s="117" customFormat="1" ht="21.75" hidden="1" customHeight="1">
      <c r="C3642" s="260"/>
      <c r="D3642" s="130" t="s">
        <v>2438</v>
      </c>
      <c r="E3642" s="788">
        <v>150000000</v>
      </c>
      <c r="F3642" s="112">
        <v>3915154027000</v>
      </c>
      <c r="G3642" s="162">
        <f t="shared" si="90"/>
        <v>3.8312668918146753E-3</v>
      </c>
      <c r="H3642" s="120"/>
      <c r="I3642" s="120"/>
      <c r="J3642" s="120"/>
      <c r="K3642" s="120"/>
      <c r="L3642" s="120"/>
      <c r="M3642" s="120"/>
      <c r="N3642" s="120"/>
      <c r="O3642" s="120"/>
      <c r="P3642" s="121"/>
    </row>
    <row r="3643" spans="3:16" s="117" customFormat="1" ht="21.75" hidden="1" customHeight="1">
      <c r="C3643" s="260"/>
      <c r="D3643" s="130" t="s">
        <v>2439</v>
      </c>
      <c r="E3643" s="788">
        <v>200000000</v>
      </c>
      <c r="F3643" s="112">
        <v>3915154027000</v>
      </c>
      <c r="G3643" s="162">
        <f t="shared" si="90"/>
        <v>5.1083558557529002E-3</v>
      </c>
      <c r="H3643" s="120"/>
      <c r="I3643" s="120"/>
      <c r="J3643" s="120"/>
      <c r="K3643" s="120"/>
      <c r="L3643" s="120"/>
      <c r="M3643" s="120"/>
      <c r="N3643" s="120"/>
      <c r="O3643" s="120"/>
      <c r="P3643" s="121"/>
    </row>
    <row r="3644" spans="3:16" s="117" customFormat="1" ht="31.5" hidden="1" customHeight="1">
      <c r="C3644" s="260"/>
      <c r="D3644" s="130" t="s">
        <v>2440</v>
      </c>
      <c r="E3644" s="788">
        <v>800000000</v>
      </c>
      <c r="F3644" s="112">
        <v>3915154027000</v>
      </c>
      <c r="G3644" s="162">
        <f t="shared" si="90"/>
        <v>2.0433423423011601E-2</v>
      </c>
      <c r="H3644" s="120"/>
      <c r="I3644" s="120"/>
      <c r="J3644" s="120"/>
      <c r="K3644" s="120"/>
      <c r="L3644" s="120"/>
      <c r="M3644" s="120"/>
      <c r="N3644" s="120"/>
      <c r="O3644" s="120"/>
      <c r="P3644" s="121"/>
    </row>
    <row r="3645" spans="3:16" s="117" customFormat="1" ht="21.75" hidden="1" customHeight="1">
      <c r="C3645" s="260"/>
      <c r="D3645" s="124" t="s">
        <v>908</v>
      </c>
      <c r="E3645" s="787">
        <f>SUM(E3646:E3649)</f>
        <v>1143152250</v>
      </c>
      <c r="F3645" s="112">
        <v>3915154027000</v>
      </c>
      <c r="G3645" s="162">
        <f t="shared" si="90"/>
        <v>2.9198142451523017E-2</v>
      </c>
      <c r="H3645" s="120"/>
      <c r="I3645" s="120"/>
      <c r="J3645" s="120"/>
      <c r="K3645" s="120"/>
      <c r="L3645" s="120"/>
      <c r="M3645" s="120"/>
      <c r="N3645" s="120"/>
      <c r="O3645" s="120"/>
      <c r="P3645" s="121"/>
    </row>
    <row r="3646" spans="3:16" s="117" customFormat="1" ht="21.75" hidden="1" customHeight="1">
      <c r="C3646" s="260"/>
      <c r="D3646" s="130" t="s">
        <v>2441</v>
      </c>
      <c r="E3646" s="788">
        <v>313542650</v>
      </c>
      <c r="F3646" s="112">
        <v>3915154027000</v>
      </c>
      <c r="G3646" s="162">
        <f t="shared" si="90"/>
        <v>8.0084371607789112E-3</v>
      </c>
      <c r="H3646" s="120"/>
      <c r="I3646" s="120"/>
      <c r="J3646" s="120"/>
      <c r="K3646" s="120"/>
      <c r="L3646" s="120"/>
      <c r="M3646" s="120"/>
      <c r="N3646" s="120"/>
      <c r="O3646" s="120"/>
      <c r="P3646" s="121"/>
    </row>
    <row r="3647" spans="3:16" s="117" customFormat="1" ht="21.75" hidden="1" customHeight="1">
      <c r="C3647" s="260"/>
      <c r="D3647" s="130" t="s">
        <v>2442</v>
      </c>
      <c r="E3647" s="788">
        <v>320400000</v>
      </c>
      <c r="F3647" s="112">
        <v>3915154027000</v>
      </c>
      <c r="G3647" s="162">
        <f t="shared" si="90"/>
        <v>8.1835860809161467E-3</v>
      </c>
      <c r="H3647" s="120"/>
      <c r="I3647" s="120"/>
      <c r="J3647" s="120"/>
      <c r="K3647" s="120"/>
      <c r="L3647" s="120"/>
      <c r="M3647" s="120"/>
      <c r="N3647" s="120"/>
      <c r="O3647" s="120"/>
      <c r="P3647" s="121"/>
    </row>
    <row r="3648" spans="3:16" s="117" customFormat="1" ht="21.75" hidden="1" customHeight="1">
      <c r="C3648" s="260"/>
      <c r="D3648" s="130" t="s">
        <v>2443</v>
      </c>
      <c r="E3648" s="788">
        <v>400400000</v>
      </c>
      <c r="F3648" s="112">
        <v>3915154027000</v>
      </c>
      <c r="G3648" s="162">
        <f t="shared" si="90"/>
        <v>1.0226928423217306E-2</v>
      </c>
      <c r="H3648" s="120"/>
      <c r="I3648" s="120"/>
      <c r="J3648" s="120"/>
      <c r="K3648" s="120"/>
      <c r="L3648" s="120"/>
      <c r="M3648" s="120"/>
      <c r="N3648" s="120"/>
      <c r="O3648" s="120"/>
      <c r="P3648" s="121"/>
    </row>
    <row r="3649" spans="3:16" s="117" customFormat="1" ht="21.75" hidden="1" customHeight="1">
      <c r="C3649" s="260"/>
      <c r="D3649" s="130" t="s">
        <v>2444</v>
      </c>
      <c r="E3649" s="788">
        <v>108809600</v>
      </c>
      <c r="F3649" s="112">
        <v>3915154027000</v>
      </c>
      <c r="G3649" s="162">
        <f t="shared" si="90"/>
        <v>2.7791907866106542E-3</v>
      </c>
      <c r="H3649" s="120"/>
      <c r="I3649" s="120"/>
      <c r="J3649" s="120"/>
      <c r="K3649" s="120"/>
      <c r="L3649" s="120"/>
      <c r="M3649" s="120"/>
      <c r="N3649" s="120"/>
      <c r="O3649" s="120"/>
      <c r="P3649" s="121"/>
    </row>
    <row r="3650" spans="3:16" s="117" customFormat="1" ht="21.75" hidden="1" customHeight="1">
      <c r="C3650" s="260"/>
      <c r="D3650" s="124" t="s">
        <v>2445</v>
      </c>
      <c r="E3650" s="787">
        <f>SUM(E3651:E3653)</f>
        <v>1169247570</v>
      </c>
      <c r="F3650" s="112">
        <v>3915154027000</v>
      </c>
      <c r="G3650" s="162">
        <f t="shared" si="90"/>
        <v>2.9864663355171749E-2</v>
      </c>
      <c r="H3650" s="120"/>
      <c r="I3650" s="120"/>
      <c r="J3650" s="120"/>
      <c r="K3650" s="120"/>
      <c r="L3650" s="120"/>
      <c r="M3650" s="120"/>
      <c r="N3650" s="120"/>
      <c r="O3650" s="120"/>
      <c r="P3650" s="121"/>
    </row>
    <row r="3651" spans="3:16" s="117" customFormat="1" ht="21.75" hidden="1" customHeight="1">
      <c r="C3651" s="260"/>
      <c r="D3651" s="130" t="s">
        <v>2446</v>
      </c>
      <c r="E3651" s="788">
        <v>324244568</v>
      </c>
      <c r="F3651" s="112">
        <v>3915154027000</v>
      </c>
      <c r="G3651" s="162">
        <f t="shared" si="90"/>
        <v>8.2817831881943482E-3</v>
      </c>
      <c r="H3651" s="120"/>
      <c r="I3651" s="120"/>
      <c r="J3651" s="120"/>
      <c r="K3651" s="120"/>
      <c r="L3651" s="120"/>
      <c r="M3651" s="120"/>
      <c r="N3651" s="120"/>
      <c r="O3651" s="120"/>
      <c r="P3651" s="121"/>
    </row>
    <row r="3652" spans="3:16" s="117" customFormat="1" ht="21.75" hidden="1" customHeight="1">
      <c r="C3652" s="260"/>
      <c r="D3652" s="130" t="s">
        <v>2447</v>
      </c>
      <c r="E3652" s="788">
        <v>159808212</v>
      </c>
      <c r="F3652" s="112">
        <v>3915154027000</v>
      </c>
      <c r="G3652" s="162">
        <f t="shared" si="90"/>
        <v>4.0817860778380047E-3</v>
      </c>
      <c r="H3652" s="120"/>
      <c r="I3652" s="120"/>
      <c r="J3652" s="120"/>
      <c r="K3652" s="120"/>
      <c r="L3652" s="120"/>
      <c r="M3652" s="120"/>
      <c r="N3652" s="120"/>
      <c r="O3652" s="120"/>
      <c r="P3652" s="121"/>
    </row>
    <row r="3653" spans="3:16" s="117" customFormat="1" ht="21.75" hidden="1" customHeight="1">
      <c r="C3653" s="260"/>
      <c r="D3653" s="130" t="s">
        <v>2448</v>
      </c>
      <c r="E3653" s="788">
        <v>685194790</v>
      </c>
      <c r="F3653" s="112">
        <v>3915154027000</v>
      </c>
      <c r="G3653" s="162">
        <f t="shared" si="90"/>
        <v>1.7501094089139396E-2</v>
      </c>
      <c r="H3653" s="120"/>
      <c r="I3653" s="120"/>
      <c r="J3653" s="120"/>
      <c r="K3653" s="120"/>
      <c r="L3653" s="120"/>
      <c r="M3653" s="120"/>
      <c r="N3653" s="120"/>
      <c r="O3653" s="120"/>
      <c r="P3653" s="121"/>
    </row>
    <row r="3654" spans="3:16" s="117" customFormat="1" ht="15" hidden="1" customHeight="1">
      <c r="C3654" s="260"/>
      <c r="D3654" s="130"/>
      <c r="E3654" s="788"/>
      <c r="F3654" s="112"/>
      <c r="G3654" s="162"/>
      <c r="H3654" s="120"/>
      <c r="I3654" s="120"/>
      <c r="J3654" s="120"/>
      <c r="K3654" s="120"/>
      <c r="L3654" s="120"/>
      <c r="M3654" s="120"/>
      <c r="N3654" s="120"/>
      <c r="O3654" s="120"/>
      <c r="P3654" s="121"/>
    </row>
    <row r="3655" spans="3:16" s="117" customFormat="1" ht="31.5" hidden="1" customHeight="1">
      <c r="C3655" s="260"/>
      <c r="D3655" s="124" t="s">
        <v>70</v>
      </c>
      <c r="E3655" s="787">
        <f>+E3656+E3658+E3660+E3664+E3667+E3669</f>
        <v>8000000000</v>
      </c>
      <c r="F3655" s="112">
        <v>3915154027000</v>
      </c>
      <c r="G3655" s="162">
        <f t="shared" si="90"/>
        <v>0.20433423423011601</v>
      </c>
      <c r="H3655" s="120"/>
      <c r="I3655" s="120"/>
      <c r="J3655" s="120"/>
      <c r="K3655" s="120"/>
      <c r="L3655" s="120"/>
      <c r="M3655" s="120"/>
      <c r="N3655" s="120"/>
      <c r="O3655" s="120"/>
      <c r="P3655" s="121"/>
    </row>
    <row r="3656" spans="3:16" s="117" customFormat="1" ht="31.5" hidden="1" customHeight="1">
      <c r="C3656" s="260"/>
      <c r="D3656" s="124" t="s">
        <v>2449</v>
      </c>
      <c r="E3656" s="787">
        <f>E3657</f>
        <v>557425000</v>
      </c>
      <c r="F3656" s="112">
        <v>3915154027000</v>
      </c>
      <c r="G3656" s="162">
        <f t="shared" si="90"/>
        <v>1.4237626314465304E-2</v>
      </c>
      <c r="H3656" s="120"/>
      <c r="I3656" s="120"/>
      <c r="J3656" s="120"/>
      <c r="K3656" s="120"/>
      <c r="L3656" s="120"/>
      <c r="M3656" s="120"/>
      <c r="N3656" s="120"/>
      <c r="O3656" s="120"/>
      <c r="P3656" s="121"/>
    </row>
    <row r="3657" spans="3:16" s="117" customFormat="1" ht="21.75" hidden="1" customHeight="1">
      <c r="C3657" s="260"/>
      <c r="D3657" s="130" t="s">
        <v>2450</v>
      </c>
      <c r="E3657" s="788">
        <v>557425000</v>
      </c>
      <c r="F3657" s="112">
        <v>3915154027000</v>
      </c>
      <c r="G3657" s="162">
        <f t="shared" si="90"/>
        <v>1.4237626314465304E-2</v>
      </c>
      <c r="H3657" s="120"/>
      <c r="I3657" s="120"/>
      <c r="J3657" s="120"/>
      <c r="K3657" s="120"/>
      <c r="L3657" s="120"/>
      <c r="M3657" s="120"/>
      <c r="N3657" s="120"/>
      <c r="O3657" s="120"/>
      <c r="P3657" s="121"/>
    </row>
    <row r="3658" spans="3:16" s="117" customFormat="1" ht="21.75" hidden="1" customHeight="1">
      <c r="C3658" s="260"/>
      <c r="D3658" s="124" t="s">
        <v>286</v>
      </c>
      <c r="E3658" s="787">
        <f>E3659</f>
        <v>512425000</v>
      </c>
      <c r="F3658" s="112">
        <v>3915154027000</v>
      </c>
      <c r="G3658" s="162">
        <f t="shared" si="90"/>
        <v>1.30882462469209E-2</v>
      </c>
      <c r="H3658" s="120"/>
      <c r="I3658" s="120"/>
      <c r="J3658" s="120"/>
      <c r="K3658" s="120"/>
      <c r="L3658" s="120"/>
      <c r="M3658" s="120"/>
      <c r="N3658" s="120"/>
      <c r="O3658" s="120"/>
      <c r="P3658" s="121"/>
    </row>
    <row r="3659" spans="3:16" s="117" customFormat="1" ht="21.75" hidden="1" customHeight="1">
      <c r="C3659" s="260"/>
      <c r="D3659" s="130" t="s">
        <v>2451</v>
      </c>
      <c r="E3659" s="788">
        <v>512425000</v>
      </c>
      <c r="F3659" s="112">
        <v>3915154027000</v>
      </c>
      <c r="G3659" s="162">
        <f t="shared" si="90"/>
        <v>1.30882462469209E-2</v>
      </c>
      <c r="H3659" s="120"/>
      <c r="I3659" s="120"/>
      <c r="J3659" s="120"/>
      <c r="K3659" s="120"/>
      <c r="L3659" s="120"/>
      <c r="M3659" s="120"/>
      <c r="N3659" s="120"/>
      <c r="O3659" s="120"/>
      <c r="P3659" s="121"/>
    </row>
    <row r="3660" spans="3:16" s="117" customFormat="1" ht="21.75" hidden="1" customHeight="1">
      <c r="C3660" s="260"/>
      <c r="D3660" s="124" t="s">
        <v>289</v>
      </c>
      <c r="E3660" s="787">
        <f>SUM(E3661:E3663)</f>
        <v>3249100000</v>
      </c>
      <c r="F3660" s="112">
        <v>3915154027000</v>
      </c>
      <c r="G3660" s="162">
        <f t="shared" si="90"/>
        <v>8.2987795054633745E-2</v>
      </c>
      <c r="H3660" s="120"/>
      <c r="I3660" s="120"/>
      <c r="J3660" s="120"/>
      <c r="K3660" s="120"/>
      <c r="L3660" s="120"/>
      <c r="M3660" s="120"/>
      <c r="N3660" s="120"/>
      <c r="O3660" s="120"/>
      <c r="P3660" s="121"/>
    </row>
    <row r="3661" spans="3:16" s="117" customFormat="1" ht="21.75" hidden="1" customHeight="1">
      <c r="C3661" s="260"/>
      <c r="D3661" s="130" t="s">
        <v>2452</v>
      </c>
      <c r="E3661" s="788">
        <v>65600000</v>
      </c>
      <c r="F3661" s="112">
        <v>3915154027000</v>
      </c>
      <c r="G3661" s="162">
        <f t="shared" si="90"/>
        <v>1.6755407206869512E-3</v>
      </c>
      <c r="H3661" s="120"/>
      <c r="I3661" s="120"/>
      <c r="J3661" s="120"/>
      <c r="K3661" s="120"/>
      <c r="L3661" s="120"/>
      <c r="M3661" s="120"/>
      <c r="N3661" s="120"/>
      <c r="O3661" s="120"/>
      <c r="P3661" s="121"/>
    </row>
    <row r="3662" spans="3:16" s="117" customFormat="1" ht="21.75" hidden="1" customHeight="1">
      <c r="C3662" s="260"/>
      <c r="D3662" s="130" t="s">
        <v>2453</v>
      </c>
      <c r="E3662" s="788">
        <v>2720700000</v>
      </c>
      <c r="F3662" s="112">
        <v>3915154027000</v>
      </c>
      <c r="G3662" s="162">
        <f t="shared" si="90"/>
        <v>6.9491518883734588E-2</v>
      </c>
      <c r="H3662" s="120"/>
      <c r="I3662" s="120"/>
      <c r="J3662" s="120"/>
      <c r="K3662" s="120"/>
      <c r="L3662" s="120"/>
      <c r="M3662" s="120"/>
      <c r="N3662" s="120"/>
      <c r="O3662" s="120"/>
      <c r="P3662" s="121"/>
    </row>
    <row r="3663" spans="3:16" s="117" customFormat="1" ht="21.75" hidden="1" customHeight="1">
      <c r="C3663" s="260"/>
      <c r="D3663" s="130" t="s">
        <v>2454</v>
      </c>
      <c r="E3663" s="788">
        <v>462800000</v>
      </c>
      <c r="F3663" s="112">
        <v>3915154027000</v>
      </c>
      <c r="G3663" s="162">
        <f t="shared" si="90"/>
        <v>1.1820735450212212E-2</v>
      </c>
      <c r="H3663" s="120"/>
      <c r="I3663" s="120"/>
      <c r="J3663" s="120"/>
      <c r="K3663" s="120"/>
      <c r="L3663" s="120"/>
      <c r="M3663" s="120"/>
      <c r="N3663" s="120"/>
      <c r="O3663" s="120"/>
      <c r="P3663" s="121"/>
    </row>
    <row r="3664" spans="3:16" s="117" customFormat="1" ht="21.75" hidden="1" customHeight="1">
      <c r="C3664" s="260"/>
      <c r="D3664" s="124" t="s">
        <v>294</v>
      </c>
      <c r="E3664" s="787">
        <f>SUM(E3665:E3666)</f>
        <v>275000000</v>
      </c>
      <c r="F3664" s="112">
        <v>3915154027000</v>
      </c>
      <c r="G3664" s="162">
        <f t="shared" si="90"/>
        <v>7.0239893016602389E-3</v>
      </c>
      <c r="H3664" s="120"/>
      <c r="I3664" s="120"/>
      <c r="J3664" s="120"/>
      <c r="K3664" s="120"/>
      <c r="L3664" s="120"/>
      <c r="M3664" s="120"/>
      <c r="N3664" s="120"/>
      <c r="O3664" s="120"/>
      <c r="P3664" s="121"/>
    </row>
    <row r="3665" spans="3:16" s="117" customFormat="1" ht="21.75" hidden="1" customHeight="1">
      <c r="C3665" s="260"/>
      <c r="D3665" s="130" t="s">
        <v>2455</v>
      </c>
      <c r="E3665" s="788">
        <v>200000000</v>
      </c>
      <c r="F3665" s="112">
        <v>3915154027000</v>
      </c>
      <c r="G3665" s="162">
        <f t="shared" ref="G3665:G3728" si="91">+E3665/F3665*100</f>
        <v>5.1083558557529002E-3</v>
      </c>
      <c r="H3665" s="120"/>
      <c r="I3665" s="120"/>
      <c r="J3665" s="120"/>
      <c r="K3665" s="120"/>
      <c r="L3665" s="120"/>
      <c r="M3665" s="120"/>
      <c r="N3665" s="120"/>
      <c r="O3665" s="120"/>
      <c r="P3665" s="121"/>
    </row>
    <row r="3666" spans="3:16" s="117" customFormat="1" ht="21.75" hidden="1" customHeight="1">
      <c r="C3666" s="260"/>
      <c r="D3666" s="130" t="s">
        <v>2456</v>
      </c>
      <c r="E3666" s="788">
        <v>75000000</v>
      </c>
      <c r="F3666" s="112">
        <v>3915154027000</v>
      </c>
      <c r="G3666" s="162">
        <f t="shared" si="91"/>
        <v>1.9156334459073377E-3</v>
      </c>
      <c r="H3666" s="120"/>
      <c r="I3666" s="120"/>
      <c r="J3666" s="120"/>
      <c r="K3666" s="120"/>
      <c r="L3666" s="120"/>
      <c r="M3666" s="120"/>
      <c r="N3666" s="120"/>
      <c r="O3666" s="120"/>
      <c r="P3666" s="121"/>
    </row>
    <row r="3667" spans="3:16" s="117" customFormat="1" ht="21.75" hidden="1" customHeight="1">
      <c r="C3667" s="260"/>
      <c r="D3667" s="124" t="s">
        <v>297</v>
      </c>
      <c r="E3667" s="787">
        <f>E3668</f>
        <v>1266600000</v>
      </c>
      <c r="F3667" s="112">
        <v>3915154027000</v>
      </c>
      <c r="G3667" s="162">
        <f t="shared" si="91"/>
        <v>3.235121763448312E-2</v>
      </c>
      <c r="H3667" s="120"/>
      <c r="I3667" s="120"/>
      <c r="J3667" s="120"/>
      <c r="K3667" s="120"/>
      <c r="L3667" s="120"/>
      <c r="M3667" s="120"/>
      <c r="N3667" s="120"/>
      <c r="O3667" s="120"/>
      <c r="P3667" s="121"/>
    </row>
    <row r="3668" spans="3:16" s="117" customFormat="1" ht="21.75" hidden="1" customHeight="1">
      <c r="C3668" s="260"/>
      <c r="D3668" s="130" t="s">
        <v>2457</v>
      </c>
      <c r="E3668" s="788">
        <v>1266600000</v>
      </c>
      <c r="F3668" s="112">
        <v>3915154027000</v>
      </c>
      <c r="G3668" s="162">
        <f t="shared" si="91"/>
        <v>3.235121763448312E-2</v>
      </c>
      <c r="H3668" s="120"/>
      <c r="I3668" s="120"/>
      <c r="J3668" s="120"/>
      <c r="K3668" s="120"/>
      <c r="L3668" s="120"/>
      <c r="M3668" s="120"/>
      <c r="N3668" s="120"/>
      <c r="O3668" s="120"/>
      <c r="P3668" s="121"/>
    </row>
    <row r="3669" spans="3:16" s="117" customFormat="1" ht="21.75" hidden="1" customHeight="1">
      <c r="C3669" s="260"/>
      <c r="D3669" s="124" t="s">
        <v>302</v>
      </c>
      <c r="E3669" s="787">
        <f>+E3670+E3671</f>
        <v>2139450000</v>
      </c>
      <c r="F3669" s="112">
        <v>3915154027000</v>
      </c>
      <c r="G3669" s="162">
        <f t="shared" si="91"/>
        <v>5.4645359677952719E-2</v>
      </c>
      <c r="H3669" s="120"/>
      <c r="I3669" s="120"/>
      <c r="J3669" s="120"/>
      <c r="K3669" s="120"/>
      <c r="L3669" s="120"/>
      <c r="M3669" s="120"/>
      <c r="N3669" s="120"/>
      <c r="O3669" s="120"/>
      <c r="P3669" s="121"/>
    </row>
    <row r="3670" spans="3:16" s="117" customFormat="1" ht="21.75" hidden="1" customHeight="1">
      <c r="C3670" s="260"/>
      <c r="D3670" s="130" t="s">
        <v>2458</v>
      </c>
      <c r="E3670" s="788">
        <v>1323550000</v>
      </c>
      <c r="F3670" s="112">
        <v>3915154027000</v>
      </c>
      <c r="G3670" s="162">
        <f t="shared" si="91"/>
        <v>3.3805821964408761E-2</v>
      </c>
      <c r="H3670" s="120"/>
      <c r="I3670" s="120"/>
      <c r="J3670" s="120"/>
      <c r="K3670" s="120"/>
      <c r="L3670" s="120"/>
      <c r="M3670" s="120"/>
      <c r="N3670" s="120"/>
      <c r="O3670" s="120"/>
      <c r="P3670" s="121"/>
    </row>
    <row r="3671" spans="3:16" s="117" customFormat="1" ht="21.75" hidden="1" customHeight="1">
      <c r="C3671" s="260"/>
      <c r="D3671" s="130" t="s">
        <v>2459</v>
      </c>
      <c r="E3671" s="788">
        <v>815900000</v>
      </c>
      <c r="F3671" s="112">
        <v>3915154027000</v>
      </c>
      <c r="G3671" s="162">
        <f t="shared" si="91"/>
        <v>2.0839537713543958E-2</v>
      </c>
      <c r="H3671" s="120"/>
      <c r="I3671" s="120"/>
      <c r="J3671" s="120"/>
      <c r="K3671" s="120"/>
      <c r="L3671" s="120"/>
      <c r="M3671" s="120"/>
      <c r="N3671" s="120"/>
      <c r="O3671" s="120"/>
      <c r="P3671" s="121"/>
    </row>
    <row r="3672" spans="3:16" s="117" customFormat="1" ht="15" hidden="1" customHeight="1">
      <c r="C3672" s="260"/>
      <c r="D3672" s="130"/>
      <c r="E3672" s="788"/>
      <c r="F3672" s="112"/>
      <c r="G3672" s="162"/>
      <c r="H3672" s="120"/>
      <c r="I3672" s="120"/>
      <c r="J3672" s="120"/>
      <c r="K3672" s="120"/>
      <c r="L3672" s="120"/>
      <c r="M3672" s="120"/>
      <c r="N3672" s="120"/>
      <c r="O3672" s="120"/>
      <c r="P3672" s="121"/>
    </row>
    <row r="3673" spans="3:16" s="117" customFormat="1" ht="21.75" hidden="1" customHeight="1">
      <c r="C3673" s="260"/>
      <c r="D3673" s="124" t="s">
        <v>71</v>
      </c>
      <c r="E3673" s="787">
        <f>+E3674+E3683+E3687+E3689+E3692+E3697+E3700</f>
        <v>32000000000</v>
      </c>
      <c r="F3673" s="112">
        <v>3915154027000</v>
      </c>
      <c r="G3673" s="162">
        <f t="shared" si="91"/>
        <v>0.81733693692046405</v>
      </c>
      <c r="H3673" s="120"/>
      <c r="I3673" s="120"/>
      <c r="J3673" s="120"/>
      <c r="K3673" s="120"/>
      <c r="L3673" s="120"/>
      <c r="M3673" s="120"/>
      <c r="N3673" s="120"/>
      <c r="O3673" s="120"/>
      <c r="P3673" s="121"/>
    </row>
    <row r="3674" spans="3:16" s="117" customFormat="1" ht="21.75" hidden="1" customHeight="1">
      <c r="C3674" s="260"/>
      <c r="D3674" s="124" t="s">
        <v>304</v>
      </c>
      <c r="E3674" s="787">
        <f>SUM(E3675:E3682)</f>
        <v>11881060160</v>
      </c>
      <c r="F3674" s="112">
        <v>3915154027000</v>
      </c>
      <c r="G3674" s="162">
        <f t="shared" si="91"/>
        <v>0.3034634162044425</v>
      </c>
      <c r="H3674" s="120"/>
      <c r="I3674" s="120"/>
      <c r="J3674" s="120"/>
      <c r="K3674" s="120"/>
      <c r="L3674" s="120"/>
      <c r="M3674" s="120"/>
      <c r="N3674" s="120"/>
      <c r="O3674" s="120"/>
      <c r="P3674" s="121"/>
    </row>
    <row r="3675" spans="3:16" s="117" customFormat="1" ht="21.75" hidden="1" customHeight="1">
      <c r="C3675" s="260"/>
      <c r="D3675" s="130" t="s">
        <v>2460</v>
      </c>
      <c r="E3675" s="788">
        <v>502667560</v>
      </c>
      <c r="F3675" s="112">
        <v>3915154027000</v>
      </c>
      <c r="G3675" s="162">
        <f t="shared" si="91"/>
        <v>1.2839023868115113E-2</v>
      </c>
      <c r="H3675" s="120"/>
      <c r="I3675" s="120"/>
      <c r="J3675" s="120"/>
      <c r="K3675" s="120"/>
      <c r="L3675" s="120"/>
      <c r="M3675" s="120"/>
      <c r="N3675" s="120"/>
      <c r="O3675" s="120"/>
      <c r="P3675" s="121"/>
    </row>
    <row r="3676" spans="3:16" s="117" customFormat="1" ht="21.75" hidden="1" customHeight="1">
      <c r="C3676" s="260"/>
      <c r="D3676" s="130" t="s">
        <v>2461</v>
      </c>
      <c r="E3676" s="788">
        <v>1400000000</v>
      </c>
      <c r="F3676" s="112">
        <v>3915154027000</v>
      </c>
      <c r="G3676" s="162">
        <f t="shared" si="91"/>
        <v>3.57584909902703E-2</v>
      </c>
      <c r="H3676" s="120"/>
      <c r="I3676" s="120"/>
      <c r="J3676" s="120"/>
      <c r="K3676" s="120"/>
      <c r="L3676" s="120"/>
      <c r="M3676" s="120"/>
      <c r="N3676" s="120"/>
      <c r="O3676" s="120"/>
      <c r="P3676" s="121"/>
    </row>
    <row r="3677" spans="3:16" s="117" customFormat="1" ht="21.75" hidden="1" customHeight="1">
      <c r="C3677" s="260"/>
      <c r="D3677" s="130" t="s">
        <v>2462</v>
      </c>
      <c r="E3677" s="788">
        <v>929300235</v>
      </c>
      <c r="F3677" s="112">
        <v>3915154027000</v>
      </c>
      <c r="G3677" s="162">
        <f t="shared" si="91"/>
        <v>2.3735981486073983E-2</v>
      </c>
      <c r="H3677" s="120"/>
      <c r="I3677" s="120"/>
      <c r="J3677" s="120"/>
      <c r="K3677" s="120"/>
      <c r="L3677" s="120"/>
      <c r="M3677" s="120"/>
      <c r="N3677" s="120"/>
      <c r="O3677" s="120"/>
      <c r="P3677" s="121"/>
    </row>
    <row r="3678" spans="3:16" s="117" customFormat="1" ht="21.75" hidden="1" customHeight="1">
      <c r="C3678" s="260"/>
      <c r="D3678" s="130" t="s">
        <v>2463</v>
      </c>
      <c r="E3678" s="788">
        <v>1349998235</v>
      </c>
      <c r="F3678" s="112">
        <v>3915154027000</v>
      </c>
      <c r="G3678" s="162">
        <f t="shared" si="91"/>
        <v>3.4481356945091649E-2</v>
      </c>
      <c r="H3678" s="120"/>
      <c r="I3678" s="120"/>
      <c r="J3678" s="120"/>
      <c r="K3678" s="120"/>
      <c r="L3678" s="120"/>
      <c r="M3678" s="120"/>
      <c r="N3678" s="120"/>
      <c r="O3678" s="120"/>
      <c r="P3678" s="121"/>
    </row>
    <row r="3679" spans="3:16" s="117" customFormat="1" ht="21.75" hidden="1" customHeight="1">
      <c r="C3679" s="260"/>
      <c r="D3679" s="130" t="s">
        <v>2464</v>
      </c>
      <c r="E3679" s="788">
        <v>1999989885</v>
      </c>
      <c r="F3679" s="112">
        <v>3915154027000</v>
      </c>
      <c r="G3679" s="162">
        <f t="shared" si="91"/>
        <v>5.1083300202431597E-2</v>
      </c>
      <c r="H3679" s="120"/>
      <c r="I3679" s="120"/>
      <c r="J3679" s="120"/>
      <c r="K3679" s="120"/>
      <c r="L3679" s="120"/>
      <c r="M3679" s="120"/>
      <c r="N3679" s="120"/>
      <c r="O3679" s="120"/>
      <c r="P3679" s="121"/>
    </row>
    <row r="3680" spans="3:16" s="117" customFormat="1" ht="21.75" hidden="1" customHeight="1">
      <c r="C3680" s="260"/>
      <c r="D3680" s="130" t="s">
        <v>2465</v>
      </c>
      <c r="E3680" s="788">
        <v>900000000</v>
      </c>
      <c r="F3680" s="112">
        <v>3915154027000</v>
      </c>
      <c r="G3680" s="162">
        <f t="shared" si="91"/>
        <v>2.2987601350888051E-2</v>
      </c>
      <c r="H3680" s="120"/>
      <c r="I3680" s="120"/>
      <c r="J3680" s="120"/>
      <c r="K3680" s="120"/>
      <c r="L3680" s="120"/>
      <c r="M3680" s="120"/>
      <c r="N3680" s="120"/>
      <c r="O3680" s="120"/>
      <c r="P3680" s="121"/>
    </row>
    <row r="3681" spans="3:16" s="117" customFormat="1" ht="21.75" hidden="1" customHeight="1">
      <c r="C3681" s="260"/>
      <c r="D3681" s="130" t="s">
        <v>2466</v>
      </c>
      <c r="E3681" s="788">
        <v>3399104245</v>
      </c>
      <c r="F3681" s="112">
        <v>3915154027000</v>
      </c>
      <c r="G3681" s="162">
        <f t="shared" si="91"/>
        <v>8.6819170371301463E-2</v>
      </c>
      <c r="H3681" s="120"/>
      <c r="I3681" s="120"/>
      <c r="J3681" s="120"/>
      <c r="K3681" s="120"/>
      <c r="L3681" s="120"/>
      <c r="M3681" s="120"/>
      <c r="N3681" s="120"/>
      <c r="O3681" s="120"/>
      <c r="P3681" s="121"/>
    </row>
    <row r="3682" spans="3:16" s="117" customFormat="1" ht="21.75" hidden="1" customHeight="1">
      <c r="C3682" s="260"/>
      <c r="D3682" s="130" t="s">
        <v>2467</v>
      </c>
      <c r="E3682" s="788">
        <v>1400000000</v>
      </c>
      <c r="F3682" s="112">
        <v>3915154027000</v>
      </c>
      <c r="G3682" s="162">
        <f t="shared" si="91"/>
        <v>3.57584909902703E-2</v>
      </c>
      <c r="H3682" s="120"/>
      <c r="I3682" s="120"/>
      <c r="J3682" s="120"/>
      <c r="K3682" s="120"/>
      <c r="L3682" s="120"/>
      <c r="M3682" s="120"/>
      <c r="N3682" s="120"/>
      <c r="O3682" s="120"/>
      <c r="P3682" s="121"/>
    </row>
    <row r="3683" spans="3:16" s="117" customFormat="1" ht="21.75" hidden="1" customHeight="1">
      <c r="C3683" s="260"/>
      <c r="D3683" s="124" t="s">
        <v>308</v>
      </c>
      <c r="E3683" s="787">
        <f>SUM(E3684:E3686)</f>
        <v>4325791455</v>
      </c>
      <c r="F3683" s="112">
        <v>3915154027000</v>
      </c>
      <c r="G3683" s="162">
        <f t="shared" si="91"/>
        <v>0.11048841054957556</v>
      </c>
      <c r="H3683" s="120"/>
      <c r="I3683" s="120"/>
      <c r="J3683" s="120"/>
      <c r="K3683" s="120"/>
      <c r="L3683" s="120"/>
      <c r="M3683" s="120"/>
      <c r="N3683" s="120"/>
      <c r="O3683" s="120"/>
      <c r="P3683" s="121"/>
    </row>
    <row r="3684" spans="3:16" s="117" customFormat="1" ht="21.75" hidden="1" customHeight="1">
      <c r="C3684" s="260"/>
      <c r="D3684" s="130" t="s">
        <v>2468</v>
      </c>
      <c r="E3684" s="788">
        <v>1199991455</v>
      </c>
      <c r="F3684" s="112">
        <v>3915154027000</v>
      </c>
      <c r="G3684" s="162">
        <f t="shared" si="91"/>
        <v>3.0649916880013468E-2</v>
      </c>
      <c r="H3684" s="120"/>
      <c r="I3684" s="120"/>
      <c r="J3684" s="120"/>
      <c r="K3684" s="120"/>
      <c r="L3684" s="120"/>
      <c r="M3684" s="120"/>
      <c r="N3684" s="120"/>
      <c r="O3684" s="120"/>
      <c r="P3684" s="121"/>
    </row>
    <row r="3685" spans="3:16" s="117" customFormat="1" ht="21.75" hidden="1" customHeight="1">
      <c r="C3685" s="260"/>
      <c r="D3685" s="130" t="s">
        <v>2469</v>
      </c>
      <c r="E3685" s="788">
        <v>2400000000</v>
      </c>
      <c r="F3685" s="112">
        <v>3915154027000</v>
      </c>
      <c r="G3685" s="162">
        <f t="shared" si="91"/>
        <v>6.1300270269034805E-2</v>
      </c>
      <c r="H3685" s="120"/>
      <c r="I3685" s="120"/>
      <c r="J3685" s="120"/>
      <c r="K3685" s="120"/>
      <c r="L3685" s="120"/>
      <c r="M3685" s="120"/>
      <c r="N3685" s="120"/>
      <c r="O3685" s="120"/>
      <c r="P3685" s="121"/>
    </row>
    <row r="3686" spans="3:16" s="117" customFormat="1" ht="21.75" hidden="1" customHeight="1">
      <c r="C3686" s="260"/>
      <c r="D3686" s="130" t="s">
        <v>2470</v>
      </c>
      <c r="E3686" s="788">
        <v>725800000</v>
      </c>
      <c r="F3686" s="112">
        <v>3915154027000</v>
      </c>
      <c r="G3686" s="162">
        <f t="shared" si="91"/>
        <v>1.8538223400527274E-2</v>
      </c>
      <c r="H3686" s="120"/>
      <c r="I3686" s="120"/>
      <c r="J3686" s="120"/>
      <c r="K3686" s="120"/>
      <c r="L3686" s="120"/>
      <c r="M3686" s="120"/>
      <c r="N3686" s="120"/>
      <c r="O3686" s="120"/>
      <c r="P3686" s="121"/>
    </row>
    <row r="3687" spans="3:16" s="117" customFormat="1" ht="21.75" hidden="1" customHeight="1">
      <c r="C3687" s="260"/>
      <c r="D3687" s="124" t="s">
        <v>310</v>
      </c>
      <c r="E3687" s="787">
        <f>E3688</f>
        <v>601975000</v>
      </c>
      <c r="F3687" s="112">
        <v>3915154027000</v>
      </c>
      <c r="G3687" s="162">
        <f t="shared" si="91"/>
        <v>1.5375512581334263E-2</v>
      </c>
      <c r="H3687" s="120"/>
      <c r="I3687" s="120"/>
      <c r="J3687" s="120"/>
      <c r="K3687" s="120"/>
      <c r="L3687" s="120"/>
      <c r="M3687" s="120"/>
      <c r="N3687" s="120"/>
      <c r="O3687" s="120"/>
      <c r="P3687" s="121"/>
    </row>
    <row r="3688" spans="3:16" s="117" customFormat="1" ht="21.75" hidden="1" customHeight="1">
      <c r="C3688" s="260"/>
      <c r="D3688" s="130" t="s">
        <v>2471</v>
      </c>
      <c r="E3688" s="788">
        <v>601975000</v>
      </c>
      <c r="F3688" s="112">
        <v>3915154027000</v>
      </c>
      <c r="G3688" s="162">
        <f t="shared" si="91"/>
        <v>1.5375512581334263E-2</v>
      </c>
      <c r="H3688" s="120"/>
      <c r="I3688" s="120"/>
      <c r="J3688" s="120"/>
      <c r="K3688" s="120"/>
      <c r="L3688" s="120"/>
      <c r="M3688" s="120"/>
      <c r="N3688" s="120"/>
      <c r="O3688" s="120"/>
      <c r="P3688" s="121"/>
    </row>
    <row r="3689" spans="3:16" s="117" customFormat="1" ht="21.75" hidden="1" customHeight="1">
      <c r="C3689" s="260"/>
      <c r="D3689" s="124" t="s">
        <v>2472</v>
      </c>
      <c r="E3689" s="787">
        <f>SUM(E3690:E3691)</f>
        <v>3200000000</v>
      </c>
      <c r="F3689" s="112">
        <v>3915154027000</v>
      </c>
      <c r="G3689" s="162">
        <f t="shared" si="91"/>
        <v>8.1733693692046402E-2</v>
      </c>
      <c r="H3689" s="120"/>
      <c r="I3689" s="120"/>
      <c r="J3689" s="120"/>
      <c r="K3689" s="120"/>
      <c r="L3689" s="120"/>
      <c r="M3689" s="120"/>
      <c r="N3689" s="120"/>
      <c r="O3689" s="120"/>
      <c r="P3689" s="121"/>
    </row>
    <row r="3690" spans="3:16" s="117" customFormat="1" ht="21.75" hidden="1" customHeight="1">
      <c r="C3690" s="260"/>
      <c r="D3690" s="130" t="s">
        <v>2473</v>
      </c>
      <c r="E3690" s="788">
        <v>2300000000</v>
      </c>
      <c r="F3690" s="112">
        <v>3915154027000</v>
      </c>
      <c r="G3690" s="162">
        <f t="shared" si="91"/>
        <v>5.8746092341158358E-2</v>
      </c>
      <c r="H3690" s="120"/>
      <c r="I3690" s="120"/>
      <c r="J3690" s="120"/>
      <c r="K3690" s="120"/>
      <c r="L3690" s="120"/>
      <c r="M3690" s="120"/>
      <c r="N3690" s="120"/>
      <c r="O3690" s="120"/>
      <c r="P3690" s="121"/>
    </row>
    <row r="3691" spans="3:16" s="117" customFormat="1" ht="21.75" hidden="1" customHeight="1">
      <c r="C3691" s="260"/>
      <c r="D3691" s="130" t="s">
        <v>2474</v>
      </c>
      <c r="E3691" s="788">
        <v>900000000</v>
      </c>
      <c r="F3691" s="112">
        <v>3915154027000</v>
      </c>
      <c r="G3691" s="162">
        <f t="shared" si="91"/>
        <v>2.2987601350888051E-2</v>
      </c>
      <c r="H3691" s="120"/>
      <c r="I3691" s="120"/>
      <c r="J3691" s="120"/>
      <c r="K3691" s="120"/>
      <c r="L3691" s="120"/>
      <c r="M3691" s="120"/>
      <c r="N3691" s="120"/>
      <c r="O3691" s="120"/>
      <c r="P3691" s="121"/>
    </row>
    <row r="3692" spans="3:16" s="117" customFormat="1" ht="21.75" hidden="1" customHeight="1">
      <c r="C3692" s="260"/>
      <c r="D3692" s="124" t="s">
        <v>328</v>
      </c>
      <c r="E3692" s="787">
        <f>SUM(E3693:E3696)</f>
        <v>2509592839</v>
      </c>
      <c r="F3692" s="112">
        <v>3915154027000</v>
      </c>
      <c r="G3692" s="162">
        <f t="shared" si="91"/>
        <v>6.4099466373305977E-2</v>
      </c>
      <c r="H3692" s="120"/>
      <c r="I3692" s="120"/>
      <c r="J3692" s="120"/>
      <c r="K3692" s="120"/>
      <c r="L3692" s="120"/>
      <c r="M3692" s="120"/>
      <c r="N3692" s="120"/>
      <c r="O3692" s="120"/>
      <c r="P3692" s="121"/>
    </row>
    <row r="3693" spans="3:16" s="117" customFormat="1" ht="21.75" hidden="1" customHeight="1">
      <c r="C3693" s="260"/>
      <c r="D3693" s="130" t="s">
        <v>2475</v>
      </c>
      <c r="E3693" s="788">
        <v>405664314</v>
      </c>
      <c r="F3693" s="112">
        <v>3915154027000</v>
      </c>
      <c r="G3693" s="162">
        <f t="shared" si="91"/>
        <v>1.0361388369459417E-2</v>
      </c>
      <c r="H3693" s="120"/>
      <c r="I3693" s="120"/>
      <c r="J3693" s="120"/>
      <c r="K3693" s="120"/>
      <c r="L3693" s="120"/>
      <c r="M3693" s="120"/>
      <c r="N3693" s="120"/>
      <c r="O3693" s="120"/>
      <c r="P3693" s="121"/>
    </row>
    <row r="3694" spans="3:16" s="117" customFormat="1" ht="21.75" hidden="1" customHeight="1">
      <c r="C3694" s="260"/>
      <c r="D3694" s="130" t="s">
        <v>2476</v>
      </c>
      <c r="E3694" s="788">
        <v>1482850935</v>
      </c>
      <c r="F3694" s="112">
        <v>3915154027000</v>
      </c>
      <c r="G3694" s="162">
        <f t="shared" si="91"/>
        <v>3.7874651285079566E-2</v>
      </c>
      <c r="H3694" s="120"/>
      <c r="I3694" s="120"/>
      <c r="J3694" s="120"/>
      <c r="K3694" s="120"/>
      <c r="L3694" s="120"/>
      <c r="M3694" s="120"/>
      <c r="N3694" s="120"/>
      <c r="O3694" s="120"/>
      <c r="P3694" s="121"/>
    </row>
    <row r="3695" spans="3:16" s="117" customFormat="1" ht="21.75" hidden="1" customHeight="1">
      <c r="C3695" s="260"/>
      <c r="D3695" s="130" t="s">
        <v>2477</v>
      </c>
      <c r="E3695" s="788">
        <v>249476820</v>
      </c>
      <c r="F3695" s="112">
        <v>3915154027000</v>
      </c>
      <c r="G3695" s="162">
        <f t="shared" si="91"/>
        <v>6.3720818716080617E-3</v>
      </c>
      <c r="H3695" s="120"/>
      <c r="I3695" s="120"/>
      <c r="J3695" s="120"/>
      <c r="K3695" s="120"/>
      <c r="L3695" s="120"/>
      <c r="M3695" s="120"/>
      <c r="N3695" s="120"/>
      <c r="O3695" s="120"/>
      <c r="P3695" s="121"/>
    </row>
    <row r="3696" spans="3:16" s="117" customFormat="1" ht="21.75" hidden="1" customHeight="1">
      <c r="C3696" s="260"/>
      <c r="D3696" s="130" t="s">
        <v>2478</v>
      </c>
      <c r="E3696" s="788">
        <v>371600770</v>
      </c>
      <c r="F3696" s="112">
        <v>3915154027000</v>
      </c>
      <c r="G3696" s="162">
        <f t="shared" si="91"/>
        <v>9.4913448471589338E-3</v>
      </c>
      <c r="H3696" s="120"/>
      <c r="I3696" s="120"/>
      <c r="J3696" s="120"/>
      <c r="K3696" s="120"/>
      <c r="L3696" s="120"/>
      <c r="M3696" s="120"/>
      <c r="N3696" s="120"/>
      <c r="O3696" s="120"/>
      <c r="P3696" s="121"/>
    </row>
    <row r="3697" spans="3:16" s="117" customFormat="1" ht="21.75" hidden="1" customHeight="1">
      <c r="C3697" s="260"/>
      <c r="D3697" s="124" t="s">
        <v>2479</v>
      </c>
      <c r="E3697" s="787">
        <f>SUM(E3698:E3699)</f>
        <v>8567311616</v>
      </c>
      <c r="F3697" s="112">
        <v>3915154027000</v>
      </c>
      <c r="G3697" s="162">
        <f t="shared" si="91"/>
        <v>0.21882438230826723</v>
      </c>
      <c r="H3697" s="120"/>
      <c r="I3697" s="120"/>
      <c r="J3697" s="120"/>
      <c r="K3697" s="120"/>
      <c r="L3697" s="120"/>
      <c r="M3697" s="120"/>
      <c r="N3697" s="120"/>
      <c r="O3697" s="120"/>
      <c r="P3697" s="121"/>
    </row>
    <row r="3698" spans="3:16" s="117" customFormat="1" ht="21.75" hidden="1" customHeight="1">
      <c r="C3698" s="260"/>
      <c r="D3698" s="130" t="s">
        <v>2480</v>
      </c>
      <c r="E3698" s="788">
        <v>6877854515</v>
      </c>
      <c r="F3698" s="112">
        <v>3915154027000</v>
      </c>
      <c r="G3698" s="162">
        <f t="shared" si="91"/>
        <v>0.17567264193358387</v>
      </c>
      <c r="H3698" s="120"/>
      <c r="I3698" s="120"/>
      <c r="J3698" s="120"/>
      <c r="K3698" s="120"/>
      <c r="L3698" s="120"/>
      <c r="M3698" s="120"/>
      <c r="N3698" s="120"/>
      <c r="O3698" s="120"/>
      <c r="P3698" s="121"/>
    </row>
    <row r="3699" spans="3:16" s="117" customFormat="1" ht="21.75" hidden="1" customHeight="1">
      <c r="C3699" s="260"/>
      <c r="D3699" s="130" t="s">
        <v>2481</v>
      </c>
      <c r="E3699" s="788">
        <v>1689457101</v>
      </c>
      <c r="F3699" s="112">
        <v>3915154027000</v>
      </c>
      <c r="G3699" s="162">
        <f t="shared" si="91"/>
        <v>4.3151740374683348E-2</v>
      </c>
      <c r="H3699" s="120"/>
      <c r="I3699" s="120"/>
      <c r="J3699" s="120"/>
      <c r="K3699" s="120"/>
      <c r="L3699" s="120"/>
      <c r="M3699" s="120"/>
      <c r="N3699" s="120"/>
      <c r="O3699" s="120"/>
      <c r="P3699" s="121"/>
    </row>
    <row r="3700" spans="3:16" s="117" customFormat="1" ht="21.75" hidden="1" customHeight="1">
      <c r="C3700" s="260"/>
      <c r="D3700" s="124" t="s">
        <v>2482</v>
      </c>
      <c r="E3700" s="787">
        <f>E3701</f>
        <v>914268930</v>
      </c>
      <c r="F3700" s="112">
        <v>3915154027000</v>
      </c>
      <c r="G3700" s="162">
        <f t="shared" si="91"/>
        <v>2.3352055211492195E-2</v>
      </c>
      <c r="H3700" s="120"/>
      <c r="I3700" s="120"/>
      <c r="J3700" s="120"/>
      <c r="K3700" s="120"/>
      <c r="L3700" s="120"/>
      <c r="M3700" s="120"/>
      <c r="N3700" s="120"/>
      <c r="O3700" s="120"/>
      <c r="P3700" s="121"/>
    </row>
    <row r="3701" spans="3:16" s="117" customFormat="1" ht="21.75" hidden="1" customHeight="1">
      <c r="C3701" s="260"/>
      <c r="D3701" s="130" t="s">
        <v>2483</v>
      </c>
      <c r="E3701" s="788">
        <v>914268930</v>
      </c>
      <c r="F3701" s="112">
        <v>3915154027000</v>
      </c>
      <c r="G3701" s="162">
        <f t="shared" si="91"/>
        <v>2.3352055211492195E-2</v>
      </c>
      <c r="H3701" s="120"/>
      <c r="I3701" s="120"/>
      <c r="J3701" s="120"/>
      <c r="K3701" s="120"/>
      <c r="L3701" s="120"/>
      <c r="M3701" s="120"/>
      <c r="N3701" s="120"/>
      <c r="O3701" s="120"/>
      <c r="P3701" s="121"/>
    </row>
    <row r="3702" spans="3:16" s="117" customFormat="1" ht="21.75" hidden="1" customHeight="1">
      <c r="C3702" s="260"/>
      <c r="D3702" s="130"/>
      <c r="E3702" s="788"/>
      <c r="F3702" s="112"/>
      <c r="G3702" s="162"/>
      <c r="H3702" s="120"/>
      <c r="I3702" s="120"/>
      <c r="J3702" s="120"/>
      <c r="K3702" s="120"/>
      <c r="L3702" s="120"/>
      <c r="M3702" s="120"/>
      <c r="N3702" s="120"/>
      <c r="O3702" s="120"/>
      <c r="P3702" s="121"/>
    </row>
    <row r="3703" spans="3:16" s="117" customFormat="1" ht="21.75" hidden="1" customHeight="1">
      <c r="C3703" s="260"/>
      <c r="D3703" s="124" t="s">
        <v>72</v>
      </c>
      <c r="E3703" s="787">
        <f>+E3704+E3710+E3714+E3717+E3719</f>
        <v>8000000000</v>
      </c>
      <c r="F3703" s="112">
        <v>3915154027000</v>
      </c>
      <c r="G3703" s="162">
        <f t="shared" si="91"/>
        <v>0.20433423423011601</v>
      </c>
      <c r="H3703" s="120"/>
      <c r="I3703" s="120"/>
      <c r="J3703" s="120"/>
      <c r="K3703" s="120"/>
      <c r="L3703" s="120"/>
      <c r="M3703" s="120"/>
      <c r="N3703" s="120"/>
      <c r="O3703" s="120"/>
      <c r="P3703" s="121"/>
    </row>
    <row r="3704" spans="3:16" s="117" customFormat="1" ht="21.75" hidden="1" customHeight="1">
      <c r="C3704" s="260"/>
      <c r="D3704" s="124" t="s">
        <v>1910</v>
      </c>
      <c r="E3704" s="787">
        <f>SUM(E3705:E3709)</f>
        <v>3898838991</v>
      </c>
      <c r="F3704" s="112">
        <v>3915154027000</v>
      </c>
      <c r="G3704" s="162">
        <f t="shared" si="91"/>
        <v>9.9583284951562892E-2</v>
      </c>
      <c r="H3704" s="120"/>
      <c r="I3704" s="120"/>
      <c r="J3704" s="120"/>
      <c r="K3704" s="120"/>
      <c r="L3704" s="120"/>
      <c r="M3704" s="120"/>
      <c r="N3704" s="120"/>
      <c r="O3704" s="120"/>
      <c r="P3704" s="121"/>
    </row>
    <row r="3705" spans="3:16" s="117" customFormat="1" ht="21.75" hidden="1" customHeight="1">
      <c r="C3705" s="260"/>
      <c r="D3705" s="130" t="s">
        <v>2484</v>
      </c>
      <c r="E3705" s="788">
        <v>542851855</v>
      </c>
      <c r="F3705" s="112">
        <v>3915154027000</v>
      </c>
      <c r="G3705" s="162">
        <f t="shared" si="91"/>
        <v>1.3865402261477871E-2</v>
      </c>
      <c r="H3705" s="120"/>
      <c r="I3705" s="120"/>
      <c r="J3705" s="120"/>
      <c r="K3705" s="120"/>
      <c r="L3705" s="120"/>
      <c r="M3705" s="120"/>
      <c r="N3705" s="120"/>
      <c r="O3705" s="120"/>
      <c r="P3705" s="121"/>
    </row>
    <row r="3706" spans="3:16" s="117" customFormat="1" ht="21.75" hidden="1" customHeight="1">
      <c r="C3706" s="260"/>
      <c r="D3706" s="130" t="s">
        <v>2485</v>
      </c>
      <c r="E3706" s="788">
        <v>1763384356</v>
      </c>
      <c r="F3706" s="112">
        <v>3915154027000</v>
      </c>
      <c r="G3706" s="162">
        <f t="shared" si="91"/>
        <v>4.5039974004578286E-2</v>
      </c>
      <c r="H3706" s="120"/>
      <c r="I3706" s="120"/>
      <c r="J3706" s="120"/>
      <c r="K3706" s="120"/>
      <c r="L3706" s="120"/>
      <c r="M3706" s="120"/>
      <c r="N3706" s="120"/>
      <c r="O3706" s="120"/>
      <c r="P3706" s="121"/>
    </row>
    <row r="3707" spans="3:16" s="117" customFormat="1" ht="21.75" hidden="1" customHeight="1">
      <c r="C3707" s="260"/>
      <c r="D3707" s="130" t="s">
        <v>2486</v>
      </c>
      <c r="E3707" s="788">
        <v>409983524</v>
      </c>
      <c r="F3707" s="112">
        <v>3915154027000</v>
      </c>
      <c r="G3707" s="162">
        <f t="shared" si="91"/>
        <v>1.0471708677938049E-2</v>
      </c>
      <c r="H3707" s="120"/>
      <c r="I3707" s="120"/>
      <c r="J3707" s="120"/>
      <c r="K3707" s="120"/>
      <c r="L3707" s="120"/>
      <c r="M3707" s="120"/>
      <c r="N3707" s="120"/>
      <c r="O3707" s="120"/>
      <c r="P3707" s="121"/>
    </row>
    <row r="3708" spans="3:16" s="117" customFormat="1" ht="21.75" hidden="1" customHeight="1">
      <c r="C3708" s="260"/>
      <c r="D3708" s="130" t="s">
        <v>2487</v>
      </c>
      <c r="E3708" s="788">
        <v>297132890</v>
      </c>
      <c r="F3708" s="112">
        <v>3915154027000</v>
      </c>
      <c r="G3708" s="162">
        <f t="shared" si="91"/>
        <v>7.5893026928414127E-3</v>
      </c>
      <c r="H3708" s="120"/>
      <c r="I3708" s="120"/>
      <c r="J3708" s="120"/>
      <c r="K3708" s="120"/>
      <c r="L3708" s="120"/>
      <c r="M3708" s="120"/>
      <c r="N3708" s="120"/>
      <c r="O3708" s="120"/>
      <c r="P3708" s="121"/>
    </row>
    <row r="3709" spans="3:16" s="117" customFormat="1" ht="21.75" hidden="1" customHeight="1">
      <c r="C3709" s="260"/>
      <c r="D3709" s="130" t="s">
        <v>2488</v>
      </c>
      <c r="E3709" s="788">
        <v>885486366</v>
      </c>
      <c r="F3709" s="112">
        <v>3915154027000</v>
      </c>
      <c r="G3709" s="162">
        <f t="shared" si="91"/>
        <v>2.2616897314727283E-2</v>
      </c>
      <c r="H3709" s="120"/>
      <c r="I3709" s="120"/>
      <c r="J3709" s="120"/>
      <c r="K3709" s="120"/>
      <c r="L3709" s="120"/>
      <c r="M3709" s="120"/>
      <c r="N3709" s="120"/>
      <c r="O3709" s="120"/>
      <c r="P3709" s="121"/>
    </row>
    <row r="3710" spans="3:16" s="117" customFormat="1" ht="21.75" hidden="1" customHeight="1">
      <c r="C3710" s="260"/>
      <c r="D3710" s="124" t="s">
        <v>2489</v>
      </c>
      <c r="E3710" s="787">
        <f>SUM(E3711:E3713)</f>
        <v>1675290902</v>
      </c>
      <c r="F3710" s="112">
        <v>3915154027000</v>
      </c>
      <c r="G3710" s="162">
        <f t="shared" si="91"/>
        <v>4.2789910446606294E-2</v>
      </c>
      <c r="H3710" s="120"/>
      <c r="I3710" s="120"/>
      <c r="J3710" s="120"/>
      <c r="K3710" s="120"/>
      <c r="L3710" s="120"/>
      <c r="M3710" s="120"/>
      <c r="N3710" s="120"/>
      <c r="O3710" s="120"/>
      <c r="P3710" s="121"/>
    </row>
    <row r="3711" spans="3:16" s="117" customFormat="1" ht="21.75" hidden="1" customHeight="1">
      <c r="C3711" s="260"/>
      <c r="D3711" s="130" t="s">
        <v>2490</v>
      </c>
      <c r="E3711" s="788">
        <v>265388018</v>
      </c>
      <c r="F3711" s="112">
        <v>3915154027000</v>
      </c>
      <c r="G3711" s="162">
        <f t="shared" si="91"/>
        <v>6.7784821789847816E-3</v>
      </c>
      <c r="H3711" s="120"/>
      <c r="I3711" s="120"/>
      <c r="J3711" s="120"/>
      <c r="K3711" s="120"/>
      <c r="L3711" s="120"/>
      <c r="M3711" s="120"/>
      <c r="N3711" s="120"/>
      <c r="O3711" s="120"/>
      <c r="P3711" s="121"/>
    </row>
    <row r="3712" spans="3:16" s="117" customFormat="1" ht="21.75" hidden="1" customHeight="1">
      <c r="C3712" s="260"/>
      <c r="D3712" s="130" t="s">
        <v>2491</v>
      </c>
      <c r="E3712" s="788">
        <v>1113074569</v>
      </c>
      <c r="F3712" s="112">
        <v>3915154027000</v>
      </c>
      <c r="G3712" s="162">
        <f t="shared" si="91"/>
        <v>2.842990496220393E-2</v>
      </c>
      <c r="H3712" s="120"/>
      <c r="I3712" s="120"/>
      <c r="J3712" s="120"/>
      <c r="K3712" s="120"/>
      <c r="L3712" s="120"/>
      <c r="M3712" s="120"/>
      <c r="N3712" s="120"/>
      <c r="O3712" s="120"/>
      <c r="P3712" s="121"/>
    </row>
    <row r="3713" spans="3:16" s="117" customFormat="1" ht="21.75" hidden="1" customHeight="1">
      <c r="C3713" s="260"/>
      <c r="D3713" s="130" t="s">
        <v>2492</v>
      </c>
      <c r="E3713" s="788">
        <v>296828315</v>
      </c>
      <c r="F3713" s="112">
        <v>3915154027000</v>
      </c>
      <c r="G3713" s="162">
        <f t="shared" si="91"/>
        <v>7.5815233054175833E-3</v>
      </c>
      <c r="H3713" s="120"/>
      <c r="I3713" s="120"/>
      <c r="J3713" s="120"/>
      <c r="K3713" s="120"/>
      <c r="L3713" s="120"/>
      <c r="M3713" s="120"/>
      <c r="N3713" s="120"/>
      <c r="O3713" s="120"/>
      <c r="P3713" s="121"/>
    </row>
    <row r="3714" spans="3:16" s="117" customFormat="1" ht="21.75" hidden="1" customHeight="1">
      <c r="C3714" s="260"/>
      <c r="D3714" s="124" t="s">
        <v>2493</v>
      </c>
      <c r="E3714" s="787">
        <f>SUM(E3715:E3716)</f>
        <v>832163595</v>
      </c>
      <c r="F3714" s="112">
        <v>3915154027000</v>
      </c>
      <c r="G3714" s="162">
        <f t="shared" si="91"/>
        <v>2.1254938867313177E-2</v>
      </c>
      <c r="H3714" s="120"/>
      <c r="I3714" s="120"/>
      <c r="J3714" s="120"/>
      <c r="K3714" s="120"/>
      <c r="L3714" s="120"/>
      <c r="M3714" s="120"/>
      <c r="N3714" s="120"/>
      <c r="O3714" s="120"/>
      <c r="P3714" s="121"/>
    </row>
    <row r="3715" spans="3:16" s="117" customFormat="1" ht="21.75" hidden="1" customHeight="1">
      <c r="C3715" s="260"/>
      <c r="D3715" s="130" t="s">
        <v>2494</v>
      </c>
      <c r="E3715" s="788">
        <v>757590750</v>
      </c>
      <c r="F3715" s="112">
        <v>3915154027000</v>
      </c>
      <c r="G3715" s="162">
        <f t="shared" si="91"/>
        <v>1.9350215720133662E-2</v>
      </c>
      <c r="H3715" s="120"/>
      <c r="I3715" s="120"/>
      <c r="J3715" s="120"/>
      <c r="K3715" s="120"/>
      <c r="L3715" s="120"/>
      <c r="M3715" s="120"/>
      <c r="N3715" s="120"/>
      <c r="O3715" s="120"/>
      <c r="P3715" s="121"/>
    </row>
    <row r="3716" spans="3:16" s="117" customFormat="1" ht="21.75" hidden="1" customHeight="1">
      <c r="C3716" s="260"/>
      <c r="D3716" s="130" t="s">
        <v>2495</v>
      </c>
      <c r="E3716" s="788">
        <v>74572845</v>
      </c>
      <c r="F3716" s="112">
        <v>3915154027000</v>
      </c>
      <c r="G3716" s="162">
        <f t="shared" si="91"/>
        <v>1.9047231471795171E-3</v>
      </c>
      <c r="H3716" s="120"/>
      <c r="I3716" s="120"/>
      <c r="J3716" s="120"/>
      <c r="K3716" s="120"/>
      <c r="L3716" s="120"/>
      <c r="M3716" s="120"/>
      <c r="N3716" s="120"/>
      <c r="O3716" s="120"/>
      <c r="P3716" s="121"/>
    </row>
    <row r="3717" spans="3:16" s="117" customFormat="1" ht="21.75" hidden="1" customHeight="1">
      <c r="C3717" s="260"/>
      <c r="D3717" s="124" t="s">
        <v>2496</v>
      </c>
      <c r="E3717" s="787">
        <f>E3718</f>
        <v>93706512</v>
      </c>
      <c r="F3717" s="112">
        <v>3915154027000</v>
      </c>
      <c r="G3717" s="162">
        <f t="shared" si="91"/>
        <v>2.3934310464868973E-3</v>
      </c>
      <c r="H3717" s="120"/>
      <c r="I3717" s="120"/>
      <c r="J3717" s="120"/>
      <c r="K3717" s="120"/>
      <c r="L3717" s="120"/>
      <c r="M3717" s="120"/>
      <c r="N3717" s="120"/>
      <c r="O3717" s="120"/>
      <c r="P3717" s="121"/>
    </row>
    <row r="3718" spans="3:16" s="117" customFormat="1" ht="21.75" hidden="1" customHeight="1">
      <c r="C3718" s="260"/>
      <c r="D3718" s="130" t="s">
        <v>2497</v>
      </c>
      <c r="E3718" s="788">
        <v>93706512</v>
      </c>
      <c r="F3718" s="112">
        <v>3915154027000</v>
      </c>
      <c r="G3718" s="162">
        <f t="shared" si="91"/>
        <v>2.3934310464868973E-3</v>
      </c>
      <c r="H3718" s="120"/>
      <c r="I3718" s="120"/>
      <c r="J3718" s="120"/>
      <c r="K3718" s="120"/>
      <c r="L3718" s="120"/>
      <c r="M3718" s="120"/>
      <c r="N3718" s="120"/>
      <c r="O3718" s="120"/>
      <c r="P3718" s="121"/>
    </row>
    <row r="3719" spans="3:16" s="117" customFormat="1" ht="21.75" hidden="1" customHeight="1">
      <c r="C3719" s="260"/>
      <c r="D3719" s="124" t="s">
        <v>343</v>
      </c>
      <c r="E3719" s="787">
        <f>E3720</f>
        <v>1500000000</v>
      </c>
      <c r="F3719" s="112">
        <v>3915154027000</v>
      </c>
      <c r="G3719" s="162">
        <f t="shared" si="91"/>
        <v>3.8312668918146754E-2</v>
      </c>
      <c r="H3719" s="120"/>
      <c r="I3719" s="120"/>
      <c r="J3719" s="120"/>
      <c r="K3719" s="120"/>
      <c r="L3719" s="120"/>
      <c r="M3719" s="120"/>
      <c r="N3719" s="120"/>
      <c r="O3719" s="120"/>
      <c r="P3719" s="121"/>
    </row>
    <row r="3720" spans="3:16" s="117" customFormat="1" ht="21.75" hidden="1" customHeight="1">
      <c r="C3720" s="260"/>
      <c r="D3720" s="130" t="s">
        <v>2498</v>
      </c>
      <c r="E3720" s="788">
        <v>1500000000</v>
      </c>
      <c r="F3720" s="112">
        <v>3915154027000</v>
      </c>
      <c r="G3720" s="162">
        <f t="shared" si="91"/>
        <v>3.8312668918146754E-2</v>
      </c>
      <c r="H3720" s="120"/>
      <c r="I3720" s="120"/>
      <c r="J3720" s="120"/>
      <c r="K3720" s="120"/>
      <c r="L3720" s="120"/>
      <c r="M3720" s="120"/>
      <c r="N3720" s="120"/>
      <c r="O3720" s="120"/>
      <c r="P3720" s="121"/>
    </row>
    <row r="3721" spans="3:16" s="117" customFormat="1" ht="15" hidden="1" customHeight="1">
      <c r="C3721" s="260"/>
      <c r="D3721" s="130"/>
      <c r="E3721" s="788"/>
      <c r="F3721" s="112"/>
      <c r="G3721" s="162"/>
      <c r="H3721" s="120"/>
      <c r="I3721" s="120"/>
      <c r="J3721" s="120"/>
      <c r="K3721" s="120"/>
      <c r="L3721" s="120"/>
      <c r="M3721" s="120"/>
      <c r="N3721" s="120"/>
      <c r="O3721" s="120"/>
      <c r="P3721" s="121"/>
    </row>
    <row r="3722" spans="3:16" s="117" customFormat="1" ht="31.5" hidden="1" customHeight="1">
      <c r="C3722" s="260"/>
      <c r="D3722" s="124" t="s">
        <v>73</v>
      </c>
      <c r="E3722" s="787">
        <f>+E3723+E3727+E3734+E3741+E3749+E3751</f>
        <v>32154027000</v>
      </c>
      <c r="F3722" s="112">
        <v>3915154027000</v>
      </c>
      <c r="G3722" s="162">
        <f t="shared" si="91"/>
        <v>0.82127106055743437</v>
      </c>
      <c r="H3722" s="120"/>
      <c r="I3722" s="120"/>
      <c r="J3722" s="120"/>
      <c r="K3722" s="120"/>
      <c r="L3722" s="120"/>
      <c r="M3722" s="120"/>
      <c r="N3722" s="120"/>
      <c r="O3722" s="120"/>
      <c r="P3722" s="121"/>
    </row>
    <row r="3723" spans="3:16" s="117" customFormat="1" ht="21.75" hidden="1" customHeight="1">
      <c r="C3723" s="260"/>
      <c r="D3723" s="124" t="s">
        <v>2499</v>
      </c>
      <c r="E3723" s="787">
        <f>SUM(E3724:E3726)</f>
        <v>1599007225</v>
      </c>
      <c r="F3723" s="112">
        <v>3915154027000</v>
      </c>
      <c r="G3723" s="162">
        <f t="shared" si="91"/>
        <v>4.0841489606099728E-2</v>
      </c>
      <c r="H3723" s="120"/>
      <c r="I3723" s="120"/>
      <c r="J3723" s="120"/>
      <c r="K3723" s="120"/>
      <c r="L3723" s="120"/>
      <c r="M3723" s="120"/>
      <c r="N3723" s="120"/>
      <c r="O3723" s="120"/>
      <c r="P3723" s="121"/>
    </row>
    <row r="3724" spans="3:16" s="117" customFormat="1" ht="21.75" hidden="1" customHeight="1">
      <c r="C3724" s="260"/>
      <c r="D3724" s="130" t="s">
        <v>2500</v>
      </c>
      <c r="E3724" s="788">
        <v>999006080</v>
      </c>
      <c r="F3724" s="112">
        <v>3915154027000</v>
      </c>
      <c r="G3724" s="162">
        <f t="shared" si="91"/>
        <v>2.5516392793503755E-2</v>
      </c>
      <c r="H3724" s="120"/>
      <c r="I3724" s="120"/>
      <c r="J3724" s="120"/>
      <c r="K3724" s="120"/>
      <c r="L3724" s="120"/>
      <c r="M3724" s="120"/>
      <c r="N3724" s="120"/>
      <c r="O3724" s="120"/>
      <c r="P3724" s="121"/>
    </row>
    <row r="3725" spans="3:16" s="117" customFormat="1" ht="21.75" hidden="1" customHeight="1">
      <c r="C3725" s="260"/>
      <c r="D3725" s="130" t="s">
        <v>2501</v>
      </c>
      <c r="E3725" s="788">
        <v>399999995</v>
      </c>
      <c r="F3725" s="112">
        <v>3915154027000</v>
      </c>
      <c r="G3725" s="162">
        <f t="shared" si="91"/>
        <v>1.0216711583796905E-2</v>
      </c>
      <c r="H3725" s="120"/>
      <c r="I3725" s="120"/>
      <c r="J3725" s="120"/>
      <c r="K3725" s="120"/>
      <c r="L3725" s="120"/>
      <c r="M3725" s="120"/>
      <c r="N3725" s="120"/>
      <c r="O3725" s="120"/>
      <c r="P3725" s="121"/>
    </row>
    <row r="3726" spans="3:16" s="117" customFormat="1" ht="21.75" hidden="1" customHeight="1">
      <c r="C3726" s="260"/>
      <c r="D3726" s="130" t="s">
        <v>2502</v>
      </c>
      <c r="E3726" s="788">
        <v>200001150</v>
      </c>
      <c r="F3726" s="112">
        <v>3915154027000</v>
      </c>
      <c r="G3726" s="162">
        <f t="shared" si="91"/>
        <v>5.1083852287990708E-3</v>
      </c>
      <c r="H3726" s="120"/>
      <c r="I3726" s="120"/>
      <c r="J3726" s="120"/>
      <c r="K3726" s="120"/>
      <c r="L3726" s="120"/>
      <c r="M3726" s="120"/>
      <c r="N3726" s="120"/>
      <c r="O3726" s="120"/>
      <c r="P3726" s="121"/>
    </row>
    <row r="3727" spans="3:16" s="117" customFormat="1" ht="21.75" hidden="1" customHeight="1">
      <c r="C3727" s="260"/>
      <c r="D3727" s="124" t="s">
        <v>2503</v>
      </c>
      <c r="E3727" s="787">
        <f>SUM(E3728:E3733)</f>
        <v>4501709231</v>
      </c>
      <c r="F3727" s="112">
        <v>3915154027000</v>
      </c>
      <c r="G3727" s="162">
        <f t="shared" si="91"/>
        <v>0.11498166355537869</v>
      </c>
      <c r="H3727" s="120"/>
      <c r="I3727" s="120"/>
      <c r="J3727" s="120"/>
      <c r="K3727" s="120"/>
      <c r="L3727" s="120"/>
      <c r="M3727" s="120"/>
      <c r="N3727" s="120"/>
      <c r="O3727" s="120"/>
      <c r="P3727" s="121"/>
    </row>
    <row r="3728" spans="3:16" s="117" customFormat="1" ht="21.75" hidden="1" customHeight="1">
      <c r="C3728" s="260"/>
      <c r="D3728" s="130" t="s">
        <v>2504</v>
      </c>
      <c r="E3728" s="788">
        <v>283721300</v>
      </c>
      <c r="F3728" s="112">
        <v>3915154027000</v>
      </c>
      <c r="G3728" s="162">
        <f t="shared" si="91"/>
        <v>7.2467468212841267E-3</v>
      </c>
      <c r="H3728" s="120"/>
      <c r="I3728" s="120"/>
      <c r="J3728" s="120"/>
      <c r="K3728" s="120"/>
      <c r="L3728" s="120"/>
      <c r="M3728" s="120"/>
      <c r="N3728" s="120"/>
      <c r="O3728" s="120"/>
      <c r="P3728" s="121"/>
    </row>
    <row r="3729" spans="3:16" s="117" customFormat="1" ht="21.75" hidden="1" customHeight="1">
      <c r="C3729" s="260"/>
      <c r="D3729" s="130" t="s">
        <v>2505</v>
      </c>
      <c r="E3729" s="788">
        <v>743380000</v>
      </c>
      <c r="F3729" s="112">
        <v>3915154027000</v>
      </c>
      <c r="G3729" s="162">
        <f t="shared" ref="G3729:G3789" si="92">+E3729/F3729*100</f>
        <v>1.8987247880247957E-2</v>
      </c>
      <c r="H3729" s="120"/>
      <c r="I3729" s="120"/>
      <c r="J3729" s="120"/>
      <c r="K3729" s="120"/>
      <c r="L3729" s="120"/>
      <c r="M3729" s="120"/>
      <c r="N3729" s="120"/>
      <c r="O3729" s="120"/>
      <c r="P3729" s="121"/>
    </row>
    <row r="3730" spans="3:16" s="117" customFormat="1" ht="21.75" hidden="1" customHeight="1">
      <c r="C3730" s="260"/>
      <c r="D3730" s="130" t="s">
        <v>2506</v>
      </c>
      <c r="E3730" s="788">
        <v>1328929900</v>
      </c>
      <c r="F3730" s="112">
        <v>3915154027000</v>
      </c>
      <c r="G3730" s="162">
        <f t="shared" si="92"/>
        <v>3.3943234182750581E-2</v>
      </c>
      <c r="H3730" s="120"/>
      <c r="I3730" s="120"/>
      <c r="J3730" s="120"/>
      <c r="K3730" s="120"/>
      <c r="L3730" s="120"/>
      <c r="M3730" s="120"/>
      <c r="N3730" s="120"/>
      <c r="O3730" s="120"/>
      <c r="P3730" s="121"/>
    </row>
    <row r="3731" spans="3:16" s="117" customFormat="1" ht="21.75" hidden="1" customHeight="1">
      <c r="C3731" s="260"/>
      <c r="D3731" s="130" t="s">
        <v>2507</v>
      </c>
      <c r="E3731" s="788">
        <v>445711011</v>
      </c>
      <c r="F3731" s="112">
        <v>3915154027000</v>
      </c>
      <c r="G3731" s="162">
        <f t="shared" si="92"/>
        <v>1.1384252265076977E-2</v>
      </c>
      <c r="H3731" s="120"/>
      <c r="I3731" s="120"/>
      <c r="J3731" s="120"/>
      <c r="K3731" s="120"/>
      <c r="L3731" s="120"/>
      <c r="M3731" s="120"/>
      <c r="N3731" s="120"/>
      <c r="O3731" s="120"/>
      <c r="P3731" s="121"/>
    </row>
    <row r="3732" spans="3:16" s="117" customFormat="1" ht="21.75" hidden="1" customHeight="1">
      <c r="C3732" s="260"/>
      <c r="D3732" s="130" t="s">
        <v>2508</v>
      </c>
      <c r="E3732" s="788">
        <v>1167623150</v>
      </c>
      <c r="F3732" s="112">
        <v>3915154027000</v>
      </c>
      <c r="G3732" s="162">
        <f t="shared" si="92"/>
        <v>2.9823172778075734E-2</v>
      </c>
      <c r="H3732" s="120"/>
      <c r="I3732" s="120"/>
      <c r="J3732" s="120"/>
      <c r="K3732" s="120"/>
      <c r="L3732" s="120"/>
      <c r="M3732" s="120"/>
      <c r="N3732" s="120"/>
      <c r="O3732" s="120"/>
      <c r="P3732" s="121"/>
    </row>
    <row r="3733" spans="3:16" s="117" customFormat="1" ht="21.75" hidden="1" customHeight="1">
      <c r="C3733" s="260"/>
      <c r="D3733" s="130" t="s">
        <v>2509</v>
      </c>
      <c r="E3733" s="788">
        <v>532343870</v>
      </c>
      <c r="F3733" s="112">
        <v>3915154027000</v>
      </c>
      <c r="G3733" s="162">
        <f t="shared" si="92"/>
        <v>1.3597009627943303E-2</v>
      </c>
      <c r="H3733" s="120"/>
      <c r="I3733" s="120"/>
      <c r="J3733" s="120"/>
      <c r="K3733" s="120"/>
      <c r="L3733" s="120"/>
      <c r="M3733" s="120"/>
      <c r="N3733" s="120"/>
      <c r="O3733" s="120"/>
      <c r="P3733" s="121"/>
    </row>
    <row r="3734" spans="3:16" s="117" customFormat="1" ht="21.75" hidden="1" customHeight="1">
      <c r="C3734" s="260"/>
      <c r="D3734" s="124" t="s">
        <v>2510</v>
      </c>
      <c r="E3734" s="787">
        <f>SUM(E3735:E3740)</f>
        <v>4925936959</v>
      </c>
      <c r="F3734" s="112">
        <v>3915154027000</v>
      </c>
      <c r="G3734" s="162">
        <f t="shared" si="92"/>
        <v>0.12581719454788642</v>
      </c>
      <c r="H3734" s="120"/>
      <c r="I3734" s="120"/>
      <c r="J3734" s="120"/>
      <c r="K3734" s="120"/>
      <c r="L3734" s="120"/>
      <c r="M3734" s="120"/>
      <c r="N3734" s="120"/>
      <c r="O3734" s="120"/>
      <c r="P3734" s="121"/>
    </row>
    <row r="3735" spans="3:16" s="117" customFormat="1" ht="21.75" hidden="1" customHeight="1">
      <c r="C3735" s="260"/>
      <c r="D3735" s="130" t="s">
        <v>2511</v>
      </c>
      <c r="E3735" s="788">
        <v>504000000</v>
      </c>
      <c r="F3735" s="112">
        <v>3915154027000</v>
      </c>
      <c r="G3735" s="162">
        <f t="shared" si="92"/>
        <v>1.287305675649731E-2</v>
      </c>
      <c r="H3735" s="120"/>
      <c r="I3735" s="120"/>
      <c r="J3735" s="120"/>
      <c r="K3735" s="120"/>
      <c r="L3735" s="120"/>
      <c r="M3735" s="120"/>
      <c r="N3735" s="120"/>
      <c r="O3735" s="120"/>
      <c r="P3735" s="121"/>
    </row>
    <row r="3736" spans="3:16" s="117" customFormat="1" ht="21.75" hidden="1" customHeight="1">
      <c r="C3736" s="260"/>
      <c r="D3736" s="130" t="s">
        <v>2512</v>
      </c>
      <c r="E3736" s="788">
        <v>1400000000</v>
      </c>
      <c r="F3736" s="112">
        <v>3915154027000</v>
      </c>
      <c r="G3736" s="162">
        <f t="shared" si="92"/>
        <v>3.57584909902703E-2</v>
      </c>
      <c r="H3736" s="120"/>
      <c r="I3736" s="120"/>
      <c r="J3736" s="120"/>
      <c r="K3736" s="120"/>
      <c r="L3736" s="120"/>
      <c r="M3736" s="120"/>
      <c r="N3736" s="120"/>
      <c r="O3736" s="120"/>
      <c r="P3736" s="121"/>
    </row>
    <row r="3737" spans="3:16" s="117" customFormat="1" ht="31.5" hidden="1" customHeight="1">
      <c r="C3737" s="260"/>
      <c r="D3737" s="130" t="s">
        <v>2513</v>
      </c>
      <c r="E3737" s="788">
        <v>1008768899</v>
      </c>
      <c r="F3737" s="112">
        <v>3915154027000</v>
      </c>
      <c r="G3737" s="162">
        <f t="shared" si="92"/>
        <v>2.5765752561540282E-2</v>
      </c>
      <c r="H3737" s="120"/>
      <c r="I3737" s="120"/>
      <c r="J3737" s="120"/>
      <c r="K3737" s="120"/>
      <c r="L3737" s="120"/>
      <c r="M3737" s="120"/>
      <c r="N3737" s="120"/>
      <c r="O3737" s="120"/>
      <c r="P3737" s="121"/>
    </row>
    <row r="3738" spans="3:16" s="117" customFormat="1" ht="21.75" hidden="1" customHeight="1">
      <c r="C3738" s="260"/>
      <c r="D3738" s="130" t="s">
        <v>2514</v>
      </c>
      <c r="E3738" s="788">
        <v>312000000</v>
      </c>
      <c r="F3738" s="112">
        <v>3915154027000</v>
      </c>
      <c r="G3738" s="162">
        <f t="shared" si="92"/>
        <v>7.9690351349745257E-3</v>
      </c>
      <c r="H3738" s="120"/>
      <c r="I3738" s="120"/>
      <c r="J3738" s="120"/>
      <c r="K3738" s="120"/>
      <c r="L3738" s="120"/>
      <c r="M3738" s="120"/>
      <c r="N3738" s="120"/>
      <c r="O3738" s="120"/>
      <c r="P3738" s="121"/>
    </row>
    <row r="3739" spans="3:16" s="117" customFormat="1" ht="21.75" hidden="1" customHeight="1">
      <c r="C3739" s="260"/>
      <c r="D3739" s="130" t="s">
        <v>2515</v>
      </c>
      <c r="E3739" s="788">
        <v>1026261520</v>
      </c>
      <c r="F3739" s="112">
        <v>3915154027000</v>
      </c>
      <c r="G3739" s="162">
        <f t="shared" si="92"/>
        <v>2.6212545226129362E-2</v>
      </c>
      <c r="H3739" s="120"/>
      <c r="I3739" s="120"/>
      <c r="J3739" s="120"/>
      <c r="K3739" s="120"/>
      <c r="L3739" s="120"/>
      <c r="M3739" s="120"/>
      <c r="N3739" s="120"/>
      <c r="O3739" s="120"/>
      <c r="P3739" s="121"/>
    </row>
    <row r="3740" spans="3:16" s="117" customFormat="1" ht="21.75" hidden="1" customHeight="1">
      <c r="C3740" s="260"/>
      <c r="D3740" s="130" t="s">
        <v>2516</v>
      </c>
      <c r="E3740" s="788">
        <v>674906540</v>
      </c>
      <c r="F3740" s="112">
        <v>3915154027000</v>
      </c>
      <c r="G3740" s="162">
        <f t="shared" si="92"/>
        <v>1.7238313878474645E-2</v>
      </c>
      <c r="H3740" s="120"/>
      <c r="I3740" s="120"/>
      <c r="J3740" s="120"/>
      <c r="K3740" s="120"/>
      <c r="L3740" s="120"/>
      <c r="M3740" s="120"/>
      <c r="N3740" s="120"/>
      <c r="O3740" s="120"/>
      <c r="P3740" s="121"/>
    </row>
    <row r="3741" spans="3:16" s="117" customFormat="1" ht="21.75" hidden="1" customHeight="1">
      <c r="C3741" s="260"/>
      <c r="D3741" s="124" t="s">
        <v>358</v>
      </c>
      <c r="E3741" s="787">
        <f>SUM(E3742:E3748)</f>
        <v>13229504435</v>
      </c>
      <c r="F3741" s="112">
        <v>3915154027000</v>
      </c>
      <c r="G3741" s="162">
        <f t="shared" si="92"/>
        <v>0.33790508224620608</v>
      </c>
      <c r="H3741" s="120"/>
      <c r="I3741" s="120"/>
      <c r="J3741" s="120"/>
      <c r="K3741" s="120"/>
      <c r="L3741" s="120"/>
      <c r="M3741" s="120"/>
      <c r="N3741" s="120"/>
      <c r="O3741" s="120"/>
      <c r="P3741" s="121"/>
    </row>
    <row r="3742" spans="3:16" s="117" customFormat="1" ht="21.75" hidden="1" customHeight="1">
      <c r="C3742" s="260"/>
      <c r="D3742" s="130" t="s">
        <v>2517</v>
      </c>
      <c r="E3742" s="788">
        <v>7847072020</v>
      </c>
      <c r="F3742" s="112">
        <v>3915154027000</v>
      </c>
      <c r="G3742" s="162">
        <f t="shared" si="92"/>
        <v>0.20042818151940872</v>
      </c>
      <c r="H3742" s="120"/>
      <c r="I3742" s="120"/>
      <c r="J3742" s="120"/>
      <c r="K3742" s="120"/>
      <c r="L3742" s="120"/>
      <c r="M3742" s="120"/>
      <c r="N3742" s="120"/>
      <c r="O3742" s="120"/>
      <c r="P3742" s="121"/>
    </row>
    <row r="3743" spans="3:16" s="117" customFormat="1" ht="21.75" hidden="1" customHeight="1">
      <c r="C3743" s="260"/>
      <c r="D3743" s="130" t="s">
        <v>2518</v>
      </c>
      <c r="E3743" s="788">
        <v>1513640000</v>
      </c>
      <c r="F3743" s="112">
        <v>3915154027000</v>
      </c>
      <c r="G3743" s="162">
        <f t="shared" si="92"/>
        <v>3.8661058787509105E-2</v>
      </c>
      <c r="H3743" s="120"/>
      <c r="I3743" s="120"/>
      <c r="J3743" s="120"/>
      <c r="K3743" s="120"/>
      <c r="L3743" s="120"/>
      <c r="M3743" s="120"/>
      <c r="N3743" s="120"/>
      <c r="O3743" s="120"/>
      <c r="P3743" s="121"/>
    </row>
    <row r="3744" spans="3:16" s="117" customFormat="1" ht="21.75" hidden="1" customHeight="1">
      <c r="C3744" s="260"/>
      <c r="D3744" s="130" t="s">
        <v>2519</v>
      </c>
      <c r="E3744" s="788">
        <v>402227440</v>
      </c>
      <c r="F3744" s="112">
        <v>3915154027000</v>
      </c>
      <c r="G3744" s="162">
        <f t="shared" si="92"/>
        <v>1.0273604492342492E-2</v>
      </c>
      <c r="H3744" s="120"/>
      <c r="I3744" s="120"/>
      <c r="J3744" s="120"/>
      <c r="K3744" s="120"/>
      <c r="L3744" s="120"/>
      <c r="M3744" s="120"/>
      <c r="N3744" s="120"/>
      <c r="O3744" s="120"/>
      <c r="P3744" s="121"/>
    </row>
    <row r="3745" spans="3:16" s="117" customFormat="1" ht="21.75" hidden="1" customHeight="1">
      <c r="C3745" s="260"/>
      <c r="D3745" s="130" t="s">
        <v>2520</v>
      </c>
      <c r="E3745" s="788">
        <v>2591564975</v>
      </c>
      <c r="F3745" s="112">
        <v>3915154027000</v>
      </c>
      <c r="G3745" s="162">
        <f t="shared" si="92"/>
        <v>6.6193180578026853E-2</v>
      </c>
      <c r="H3745" s="120"/>
      <c r="I3745" s="120"/>
      <c r="J3745" s="120"/>
      <c r="K3745" s="120"/>
      <c r="L3745" s="120"/>
      <c r="M3745" s="120"/>
      <c r="N3745" s="120"/>
      <c r="O3745" s="120"/>
      <c r="P3745" s="121"/>
    </row>
    <row r="3746" spans="3:16" s="117" customFormat="1" ht="21.75" hidden="1" customHeight="1">
      <c r="C3746" s="260"/>
      <c r="D3746" s="130" t="s">
        <v>359</v>
      </c>
      <c r="E3746" s="788">
        <v>500000000</v>
      </c>
      <c r="F3746" s="112">
        <v>3915154027000</v>
      </c>
      <c r="G3746" s="162">
        <f t="shared" si="92"/>
        <v>1.2770889639382251E-2</v>
      </c>
      <c r="H3746" s="120"/>
      <c r="I3746" s="120"/>
      <c r="J3746" s="120"/>
      <c r="K3746" s="120"/>
      <c r="L3746" s="120"/>
      <c r="M3746" s="120"/>
      <c r="N3746" s="120"/>
      <c r="O3746" s="120"/>
      <c r="P3746" s="121"/>
    </row>
    <row r="3747" spans="3:16" s="117" customFormat="1" ht="31.5" hidden="1" customHeight="1">
      <c r="C3747" s="260"/>
      <c r="D3747" s="130" t="s">
        <v>2521</v>
      </c>
      <c r="E3747" s="788">
        <v>175000000</v>
      </c>
      <c r="F3747" s="112">
        <v>3915154027000</v>
      </c>
      <c r="G3747" s="162">
        <f t="shared" si="92"/>
        <v>4.4698113737837875E-3</v>
      </c>
      <c r="H3747" s="120"/>
      <c r="I3747" s="120"/>
      <c r="J3747" s="120"/>
      <c r="K3747" s="120"/>
      <c r="L3747" s="120"/>
      <c r="M3747" s="120"/>
      <c r="N3747" s="120"/>
      <c r="O3747" s="120"/>
      <c r="P3747" s="121"/>
    </row>
    <row r="3748" spans="3:16" s="117" customFormat="1" ht="31.5" hidden="1" customHeight="1">
      <c r="C3748" s="260"/>
      <c r="D3748" s="130" t="s">
        <v>2522</v>
      </c>
      <c r="E3748" s="788">
        <v>200000000</v>
      </c>
      <c r="F3748" s="112">
        <v>3915154027000</v>
      </c>
      <c r="G3748" s="162">
        <f t="shared" si="92"/>
        <v>5.1083558557529002E-3</v>
      </c>
      <c r="H3748" s="120"/>
      <c r="I3748" s="120"/>
      <c r="J3748" s="120"/>
      <c r="K3748" s="120"/>
      <c r="L3748" s="120"/>
      <c r="M3748" s="120"/>
      <c r="N3748" s="120"/>
      <c r="O3748" s="120"/>
      <c r="P3748" s="121"/>
    </row>
    <row r="3749" spans="3:16" s="117" customFormat="1" ht="21.75" hidden="1" customHeight="1">
      <c r="C3749" s="260"/>
      <c r="D3749" s="124" t="s">
        <v>1423</v>
      </c>
      <c r="E3749" s="787">
        <f>E3750</f>
        <v>147645207</v>
      </c>
      <c r="F3749" s="112">
        <v>3915154027000</v>
      </c>
      <c r="G3749" s="162">
        <f t="shared" si="92"/>
        <v>3.7711212887614957E-3</v>
      </c>
      <c r="H3749" s="120"/>
      <c r="I3749" s="120"/>
      <c r="J3749" s="120"/>
      <c r="K3749" s="120"/>
      <c r="L3749" s="120"/>
      <c r="M3749" s="120"/>
      <c r="N3749" s="120"/>
      <c r="O3749" s="120"/>
      <c r="P3749" s="121"/>
    </row>
    <row r="3750" spans="3:16" s="117" customFormat="1" ht="21.75" hidden="1" customHeight="1">
      <c r="C3750" s="260"/>
      <c r="D3750" s="130" t="s">
        <v>2523</v>
      </c>
      <c r="E3750" s="788">
        <v>147645207</v>
      </c>
      <c r="F3750" s="112">
        <v>3915154027000</v>
      </c>
      <c r="G3750" s="162">
        <f t="shared" si="92"/>
        <v>3.7711212887614957E-3</v>
      </c>
      <c r="H3750" s="120"/>
      <c r="I3750" s="120"/>
      <c r="J3750" s="120"/>
      <c r="K3750" s="120"/>
      <c r="L3750" s="120"/>
      <c r="M3750" s="120"/>
      <c r="N3750" s="120"/>
      <c r="O3750" s="120"/>
      <c r="P3750" s="121"/>
    </row>
    <row r="3751" spans="3:16" s="117" customFormat="1" ht="21.75" hidden="1" customHeight="1">
      <c r="C3751" s="260"/>
      <c r="D3751" s="124" t="s">
        <v>2524</v>
      </c>
      <c r="E3751" s="787">
        <f>E3752</f>
        <v>7750223943</v>
      </c>
      <c r="F3751" s="112">
        <v>3915154027000</v>
      </c>
      <c r="G3751" s="162">
        <f t="shared" si="92"/>
        <v>0.19795450931310191</v>
      </c>
      <c r="H3751" s="120"/>
      <c r="I3751" s="120"/>
      <c r="J3751" s="120"/>
      <c r="K3751" s="120"/>
      <c r="L3751" s="120"/>
      <c r="M3751" s="120"/>
      <c r="N3751" s="120"/>
      <c r="O3751" s="120"/>
      <c r="P3751" s="121"/>
    </row>
    <row r="3752" spans="3:16" s="117" customFormat="1" ht="21.75" hidden="1" customHeight="1">
      <c r="C3752" s="260"/>
      <c r="D3752" s="130" t="s">
        <v>2525</v>
      </c>
      <c r="E3752" s="788">
        <v>7750223943</v>
      </c>
      <c r="F3752" s="112">
        <v>3915154027000</v>
      </c>
      <c r="G3752" s="162">
        <f t="shared" si="92"/>
        <v>0.19795450931310191</v>
      </c>
      <c r="H3752" s="120"/>
      <c r="I3752" s="120"/>
      <c r="J3752" s="120"/>
      <c r="K3752" s="120"/>
      <c r="L3752" s="120"/>
      <c r="M3752" s="120"/>
      <c r="N3752" s="120"/>
      <c r="O3752" s="120"/>
      <c r="P3752" s="121"/>
    </row>
    <row r="3753" spans="3:16" s="117" customFormat="1" ht="15" hidden="1" customHeight="1">
      <c r="C3753" s="260"/>
      <c r="D3753" s="130"/>
      <c r="E3753" s="788"/>
      <c r="F3753" s="112"/>
      <c r="G3753" s="162"/>
      <c r="H3753" s="120"/>
      <c r="I3753" s="120"/>
      <c r="J3753" s="120"/>
      <c r="K3753" s="120"/>
      <c r="L3753" s="120"/>
      <c r="M3753" s="120"/>
      <c r="N3753" s="120"/>
      <c r="O3753" s="120"/>
      <c r="P3753" s="121"/>
    </row>
    <row r="3754" spans="3:16" s="117" customFormat="1" ht="21.75" hidden="1" customHeight="1">
      <c r="C3754" s="260"/>
      <c r="D3754" s="124" t="s">
        <v>2526</v>
      </c>
      <c r="E3754" s="787">
        <f>+E3755+E3765+E3769+E3772</f>
        <v>232400000000</v>
      </c>
      <c r="F3754" s="112">
        <v>3915154027000</v>
      </c>
      <c r="G3754" s="162">
        <f t="shared" si="92"/>
        <v>5.9359095043848704</v>
      </c>
      <c r="H3754" s="120"/>
      <c r="I3754" s="120"/>
      <c r="J3754" s="120"/>
      <c r="K3754" s="120"/>
      <c r="L3754" s="120"/>
      <c r="M3754" s="120"/>
      <c r="N3754" s="120"/>
      <c r="O3754" s="120"/>
      <c r="P3754" s="121"/>
    </row>
    <row r="3755" spans="3:16" s="117" customFormat="1" ht="21.75" hidden="1" customHeight="1">
      <c r="C3755" s="260"/>
      <c r="D3755" s="124" t="s">
        <v>887</v>
      </c>
      <c r="E3755" s="787">
        <f>SUM(E3756:E3764)</f>
        <v>7547384300</v>
      </c>
      <c r="F3755" s="112">
        <v>3915154027000</v>
      </c>
      <c r="G3755" s="162">
        <f t="shared" si="92"/>
        <v>0.19277362392261255</v>
      </c>
      <c r="H3755" s="120"/>
      <c r="I3755" s="120"/>
      <c r="J3755" s="120"/>
      <c r="K3755" s="120"/>
      <c r="L3755" s="120"/>
      <c r="M3755" s="120"/>
      <c r="N3755" s="120"/>
      <c r="O3755" s="120"/>
      <c r="P3755" s="121"/>
    </row>
    <row r="3756" spans="3:16" s="117" customFormat="1" ht="21.75" hidden="1" customHeight="1">
      <c r="C3756" s="260"/>
      <c r="D3756" s="130" t="s">
        <v>2527</v>
      </c>
      <c r="E3756" s="788">
        <v>1047600000</v>
      </c>
      <c r="F3756" s="112">
        <v>3915154027000</v>
      </c>
      <c r="G3756" s="162">
        <f t="shared" si="92"/>
        <v>2.6757567972433692E-2</v>
      </c>
      <c r="H3756" s="120"/>
      <c r="I3756" s="120"/>
      <c r="J3756" s="120"/>
      <c r="K3756" s="120"/>
      <c r="L3756" s="120"/>
      <c r="M3756" s="120"/>
      <c r="N3756" s="120"/>
      <c r="O3756" s="120"/>
      <c r="P3756" s="121"/>
    </row>
    <row r="3757" spans="3:16" s="117" customFormat="1" ht="21.75" hidden="1" customHeight="1">
      <c r="C3757" s="260"/>
      <c r="D3757" s="130" t="s">
        <v>2385</v>
      </c>
      <c r="E3757" s="788">
        <v>871200000</v>
      </c>
      <c r="F3757" s="112">
        <v>3915154027000</v>
      </c>
      <c r="G3757" s="162">
        <f t="shared" si="92"/>
        <v>2.2251998107659637E-2</v>
      </c>
      <c r="H3757" s="120"/>
      <c r="I3757" s="120"/>
      <c r="J3757" s="120"/>
      <c r="K3757" s="120"/>
      <c r="L3757" s="120"/>
      <c r="M3757" s="120"/>
      <c r="N3757" s="120"/>
      <c r="O3757" s="120"/>
      <c r="P3757" s="121"/>
    </row>
    <row r="3758" spans="3:16" s="117" customFormat="1" ht="21.75" hidden="1" customHeight="1">
      <c r="C3758" s="260"/>
      <c r="D3758" s="130" t="s">
        <v>2528</v>
      </c>
      <c r="E3758" s="788">
        <v>37850000</v>
      </c>
      <c r="F3758" s="112">
        <v>3915154027000</v>
      </c>
      <c r="G3758" s="162">
        <f t="shared" si="92"/>
        <v>9.6675634570123634E-4</v>
      </c>
      <c r="H3758" s="120"/>
      <c r="I3758" s="120"/>
      <c r="J3758" s="120"/>
      <c r="K3758" s="120"/>
      <c r="L3758" s="120"/>
      <c r="M3758" s="120"/>
      <c r="N3758" s="120"/>
      <c r="O3758" s="120"/>
      <c r="P3758" s="121"/>
    </row>
    <row r="3759" spans="3:16" s="117" customFormat="1" ht="21.75" hidden="1" customHeight="1">
      <c r="C3759" s="260"/>
      <c r="D3759" s="130" t="s">
        <v>2409</v>
      </c>
      <c r="E3759" s="788">
        <v>1354500000</v>
      </c>
      <c r="F3759" s="112">
        <v>3915154027000</v>
      </c>
      <c r="G3759" s="162">
        <f t="shared" si="92"/>
        <v>3.4596340033086523E-2</v>
      </c>
      <c r="H3759" s="120"/>
      <c r="I3759" s="120"/>
      <c r="J3759" s="120"/>
      <c r="K3759" s="120"/>
      <c r="L3759" s="120"/>
      <c r="M3759" s="120"/>
      <c r="N3759" s="120"/>
      <c r="O3759" s="120"/>
      <c r="P3759" s="121"/>
    </row>
    <row r="3760" spans="3:16" s="117" customFormat="1" ht="21.75" hidden="1" customHeight="1">
      <c r="C3760" s="260"/>
      <c r="D3760" s="130" t="s">
        <v>2529</v>
      </c>
      <c r="E3760" s="788">
        <v>694197400</v>
      </c>
      <c r="F3760" s="112">
        <v>3915154027000</v>
      </c>
      <c r="G3760" s="162">
        <f t="shared" si="92"/>
        <v>1.7731036766692194E-2</v>
      </c>
      <c r="H3760" s="120"/>
      <c r="I3760" s="120"/>
      <c r="J3760" s="120"/>
      <c r="K3760" s="120"/>
      <c r="L3760" s="120"/>
      <c r="M3760" s="120"/>
      <c r="N3760" s="120"/>
      <c r="O3760" s="120"/>
      <c r="P3760" s="121"/>
    </row>
    <row r="3761" spans="3:16" s="117" customFormat="1" ht="21.75" hidden="1" customHeight="1">
      <c r="C3761" s="260"/>
      <c r="D3761" s="130" t="s">
        <v>2530</v>
      </c>
      <c r="E3761" s="788">
        <v>53316900</v>
      </c>
      <c r="F3761" s="112">
        <v>3915154027000</v>
      </c>
      <c r="G3761" s="162">
        <f t="shared" si="92"/>
        <v>1.3618084916279592E-3</v>
      </c>
      <c r="H3761" s="120"/>
      <c r="I3761" s="120"/>
      <c r="J3761" s="120"/>
      <c r="K3761" s="120"/>
      <c r="L3761" s="120"/>
      <c r="M3761" s="120"/>
      <c r="N3761" s="120"/>
      <c r="O3761" s="120"/>
      <c r="P3761" s="121"/>
    </row>
    <row r="3762" spans="3:16" s="117" customFormat="1" ht="21.75" hidden="1" customHeight="1">
      <c r="C3762" s="260"/>
      <c r="D3762" s="130" t="s">
        <v>2531</v>
      </c>
      <c r="E3762" s="788">
        <v>829920000</v>
      </c>
      <c r="F3762" s="112">
        <v>3915154027000</v>
      </c>
      <c r="G3762" s="162">
        <f t="shared" si="92"/>
        <v>2.1197633459032236E-2</v>
      </c>
      <c r="H3762" s="120"/>
      <c r="I3762" s="120"/>
      <c r="J3762" s="120"/>
      <c r="K3762" s="120"/>
      <c r="L3762" s="120"/>
      <c r="M3762" s="120"/>
      <c r="N3762" s="120"/>
      <c r="O3762" s="120"/>
      <c r="P3762" s="121"/>
    </row>
    <row r="3763" spans="3:16" s="117" customFormat="1" ht="21.75" hidden="1" customHeight="1">
      <c r="C3763" s="260"/>
      <c r="D3763" s="130" t="s">
        <v>2532</v>
      </c>
      <c r="E3763" s="788">
        <v>1464000000</v>
      </c>
      <c r="F3763" s="112">
        <v>3915154027000</v>
      </c>
      <c r="G3763" s="162">
        <f t="shared" si="92"/>
        <v>3.7393164864111234E-2</v>
      </c>
      <c r="H3763" s="120"/>
      <c r="I3763" s="120"/>
      <c r="J3763" s="120"/>
      <c r="K3763" s="120"/>
      <c r="L3763" s="120"/>
      <c r="M3763" s="120"/>
      <c r="N3763" s="120"/>
      <c r="O3763" s="120"/>
      <c r="P3763" s="121"/>
    </row>
    <row r="3764" spans="3:16" s="117" customFormat="1" ht="21.75" hidden="1" customHeight="1">
      <c r="C3764" s="260"/>
      <c r="D3764" s="130" t="s">
        <v>2533</v>
      </c>
      <c r="E3764" s="788">
        <v>1194800000</v>
      </c>
      <c r="F3764" s="112">
        <v>3915154027000</v>
      </c>
      <c r="G3764" s="162">
        <f t="shared" si="92"/>
        <v>3.051731788226783E-2</v>
      </c>
      <c r="H3764" s="120"/>
      <c r="I3764" s="120"/>
      <c r="J3764" s="120"/>
      <c r="K3764" s="120"/>
      <c r="L3764" s="120"/>
      <c r="M3764" s="120"/>
      <c r="N3764" s="120"/>
      <c r="O3764" s="120"/>
      <c r="P3764" s="121"/>
    </row>
    <row r="3765" spans="3:16" s="117" customFormat="1" ht="21.75" hidden="1" customHeight="1">
      <c r="C3765" s="260"/>
      <c r="D3765" s="124" t="s">
        <v>888</v>
      </c>
      <c r="E3765" s="787">
        <f>SUM(E3766:E3768)</f>
        <v>4663060000</v>
      </c>
      <c r="F3765" s="112">
        <v>3915154027000</v>
      </c>
      <c r="G3765" s="162">
        <f t="shared" si="92"/>
        <v>0.1191028492836356</v>
      </c>
      <c r="H3765" s="120"/>
      <c r="I3765" s="120"/>
      <c r="J3765" s="120"/>
      <c r="K3765" s="120"/>
      <c r="L3765" s="120"/>
      <c r="M3765" s="120"/>
      <c r="N3765" s="120"/>
      <c r="O3765" s="120"/>
      <c r="P3765" s="121"/>
    </row>
    <row r="3766" spans="3:16" s="117" customFormat="1" ht="21.75" hidden="1" customHeight="1">
      <c r="C3766" s="260"/>
      <c r="D3766" s="130" t="s">
        <v>2534</v>
      </c>
      <c r="E3766" s="788">
        <v>2375280000</v>
      </c>
      <c r="F3766" s="112">
        <v>3915154027000</v>
      </c>
      <c r="G3766" s="162">
        <f t="shared" si="92"/>
        <v>6.0668877485263756E-2</v>
      </c>
      <c r="H3766" s="120"/>
      <c r="I3766" s="120"/>
      <c r="J3766" s="120"/>
      <c r="K3766" s="120"/>
      <c r="L3766" s="120"/>
      <c r="M3766" s="120"/>
      <c r="N3766" s="120"/>
      <c r="O3766" s="120"/>
      <c r="P3766" s="121"/>
    </row>
    <row r="3767" spans="3:16" s="117" customFormat="1" ht="21.75" hidden="1" customHeight="1">
      <c r="C3767" s="260"/>
      <c r="D3767" s="130" t="s">
        <v>889</v>
      </c>
      <c r="E3767" s="788">
        <v>1025600000</v>
      </c>
      <c r="F3767" s="112">
        <v>3915154027000</v>
      </c>
      <c r="G3767" s="162">
        <f t="shared" si="92"/>
        <v>2.6195648828300874E-2</v>
      </c>
      <c r="H3767" s="120"/>
      <c r="I3767" s="120"/>
      <c r="J3767" s="120"/>
      <c r="K3767" s="120"/>
      <c r="L3767" s="120"/>
      <c r="M3767" s="120"/>
      <c r="N3767" s="120"/>
      <c r="O3767" s="120"/>
      <c r="P3767" s="121"/>
    </row>
    <row r="3768" spans="3:16" s="117" customFormat="1" ht="21.75" hidden="1" customHeight="1">
      <c r="C3768" s="260"/>
      <c r="D3768" s="130" t="s">
        <v>2535</v>
      </c>
      <c r="E3768" s="788">
        <v>1262180000</v>
      </c>
      <c r="F3768" s="112">
        <v>3915154027000</v>
      </c>
      <c r="G3768" s="162">
        <f t="shared" si="92"/>
        <v>3.2238322970070982E-2</v>
      </c>
      <c r="H3768" s="120"/>
      <c r="I3768" s="120"/>
      <c r="J3768" s="120"/>
      <c r="K3768" s="120"/>
      <c r="L3768" s="120"/>
      <c r="M3768" s="120"/>
      <c r="N3768" s="120"/>
      <c r="O3768" s="120"/>
      <c r="P3768" s="121"/>
    </row>
    <row r="3769" spans="3:16" s="117" customFormat="1" ht="21.75" hidden="1" customHeight="1">
      <c r="C3769" s="260"/>
      <c r="D3769" s="124" t="s">
        <v>2536</v>
      </c>
      <c r="E3769" s="787">
        <f>SUM(E3770:E3771)</f>
        <v>521000000</v>
      </c>
      <c r="F3769" s="112">
        <v>3915154027000</v>
      </c>
      <c r="G3769" s="162">
        <f t="shared" si="92"/>
        <v>1.3307267004236307E-2</v>
      </c>
      <c r="H3769" s="120"/>
      <c r="I3769" s="120"/>
      <c r="J3769" s="120"/>
      <c r="K3769" s="120"/>
      <c r="L3769" s="120"/>
      <c r="M3769" s="120"/>
      <c r="N3769" s="120"/>
      <c r="O3769" s="120"/>
      <c r="P3769" s="121"/>
    </row>
    <row r="3770" spans="3:16" s="117" customFormat="1" ht="21.75" hidden="1" customHeight="1">
      <c r="C3770" s="260"/>
      <c r="D3770" s="130" t="s">
        <v>2537</v>
      </c>
      <c r="E3770" s="788">
        <v>326000000</v>
      </c>
      <c r="F3770" s="112">
        <v>3915154027000</v>
      </c>
      <c r="G3770" s="162">
        <f t="shared" si="92"/>
        <v>8.3266200448772285E-3</v>
      </c>
      <c r="H3770" s="120"/>
      <c r="I3770" s="120"/>
      <c r="J3770" s="120"/>
      <c r="K3770" s="120"/>
      <c r="L3770" s="120"/>
      <c r="M3770" s="120"/>
      <c r="N3770" s="120"/>
      <c r="O3770" s="120"/>
      <c r="P3770" s="121"/>
    </row>
    <row r="3771" spans="3:16" s="117" customFormat="1" ht="21.75" hidden="1" customHeight="1">
      <c r="C3771" s="260"/>
      <c r="D3771" s="130" t="s">
        <v>2538</v>
      </c>
      <c r="E3771" s="788">
        <v>195000000</v>
      </c>
      <c r="F3771" s="112">
        <v>3915154027000</v>
      </c>
      <c r="G3771" s="162">
        <f t="shared" si="92"/>
        <v>4.9806469593590783E-3</v>
      </c>
      <c r="H3771" s="120"/>
      <c r="I3771" s="120"/>
      <c r="J3771" s="120"/>
      <c r="K3771" s="120"/>
      <c r="L3771" s="120"/>
      <c r="M3771" s="120"/>
      <c r="N3771" s="120"/>
      <c r="O3771" s="120"/>
      <c r="P3771" s="121"/>
    </row>
    <row r="3772" spans="3:16" s="117" customFormat="1" ht="21.75" hidden="1" customHeight="1">
      <c r="C3772" s="260"/>
      <c r="D3772" s="124" t="s">
        <v>2539</v>
      </c>
      <c r="E3772" s="787">
        <f>SUM(E3773:E3781)</f>
        <v>219668555700</v>
      </c>
      <c r="F3772" s="112">
        <v>3915154027000</v>
      </c>
      <c r="G3772" s="162">
        <f t="shared" si="92"/>
        <v>5.6107257641743864</v>
      </c>
      <c r="H3772" s="120"/>
      <c r="I3772" s="120"/>
      <c r="J3772" s="120"/>
      <c r="K3772" s="120"/>
      <c r="L3772" s="120"/>
      <c r="M3772" s="120"/>
      <c r="N3772" s="120"/>
      <c r="O3772" s="120"/>
      <c r="P3772" s="121"/>
    </row>
    <row r="3773" spans="3:16" s="117" customFormat="1" ht="21.75" hidden="1" customHeight="1">
      <c r="C3773" s="260"/>
      <c r="D3773" s="130" t="s">
        <v>2540</v>
      </c>
      <c r="E3773" s="788">
        <v>21604000000</v>
      </c>
      <c r="F3773" s="112">
        <v>3915154027000</v>
      </c>
      <c r="G3773" s="162">
        <f t="shared" si="92"/>
        <v>0.55180459953842831</v>
      </c>
      <c r="H3773" s="120"/>
      <c r="I3773" s="120"/>
      <c r="J3773" s="120"/>
      <c r="K3773" s="120"/>
      <c r="L3773" s="120"/>
      <c r="M3773" s="120"/>
      <c r="N3773" s="120"/>
      <c r="O3773" s="120"/>
      <c r="P3773" s="121"/>
    </row>
    <row r="3774" spans="3:16" s="117" customFormat="1" ht="21.75" hidden="1" customHeight="1">
      <c r="C3774" s="260"/>
      <c r="D3774" s="130" t="s">
        <v>2541</v>
      </c>
      <c r="E3774" s="788">
        <v>11700000000</v>
      </c>
      <c r="F3774" s="112">
        <v>3915154027000</v>
      </c>
      <c r="G3774" s="162">
        <f t="shared" si="92"/>
        <v>0.29883881756154468</v>
      </c>
      <c r="H3774" s="120"/>
      <c r="I3774" s="120"/>
      <c r="J3774" s="120"/>
      <c r="K3774" s="120"/>
      <c r="L3774" s="120"/>
      <c r="M3774" s="120"/>
      <c r="N3774" s="120"/>
      <c r="O3774" s="120"/>
      <c r="P3774" s="121"/>
    </row>
    <row r="3775" spans="3:16" s="117" customFormat="1" ht="21.75" hidden="1" customHeight="1">
      <c r="C3775" s="260"/>
      <c r="D3775" s="130" t="s">
        <v>2542</v>
      </c>
      <c r="E3775" s="788">
        <v>7659000000</v>
      </c>
      <c r="F3775" s="112">
        <v>3915154027000</v>
      </c>
      <c r="G3775" s="162">
        <f t="shared" si="92"/>
        <v>0.19562448749605735</v>
      </c>
      <c r="H3775" s="120"/>
      <c r="I3775" s="120"/>
      <c r="J3775" s="120"/>
      <c r="K3775" s="120"/>
      <c r="L3775" s="120"/>
      <c r="M3775" s="120"/>
      <c r="N3775" s="120"/>
      <c r="O3775" s="120"/>
      <c r="P3775" s="121"/>
    </row>
    <row r="3776" spans="3:16" s="117" customFormat="1" ht="21.75" hidden="1" customHeight="1">
      <c r="C3776" s="260"/>
      <c r="D3776" s="130" t="s">
        <v>2543</v>
      </c>
      <c r="E3776" s="788">
        <v>31028800000</v>
      </c>
      <c r="F3776" s="112">
        <v>3915154027000</v>
      </c>
      <c r="G3776" s="162">
        <f t="shared" si="92"/>
        <v>0.79253076088492791</v>
      </c>
      <c r="H3776" s="120"/>
      <c r="I3776" s="120"/>
      <c r="J3776" s="120"/>
      <c r="K3776" s="120"/>
      <c r="L3776" s="120"/>
      <c r="M3776" s="120"/>
      <c r="N3776" s="120"/>
      <c r="O3776" s="120"/>
      <c r="P3776" s="121"/>
    </row>
    <row r="3777" spans="3:16" s="117" customFormat="1" ht="31.5" hidden="1" customHeight="1">
      <c r="C3777" s="260"/>
      <c r="D3777" s="130" t="s">
        <v>2544</v>
      </c>
      <c r="E3777" s="788">
        <v>32765409600</v>
      </c>
      <c r="F3777" s="112">
        <v>3915154027000</v>
      </c>
      <c r="G3777" s="162">
        <f t="shared" si="92"/>
        <v>0.83688685998151158</v>
      </c>
      <c r="H3777" s="120"/>
      <c r="I3777" s="120"/>
      <c r="J3777" s="120"/>
      <c r="K3777" s="120"/>
      <c r="L3777" s="120"/>
      <c r="M3777" s="120"/>
      <c r="N3777" s="120"/>
      <c r="O3777" s="120"/>
      <c r="P3777" s="121"/>
    </row>
    <row r="3778" spans="3:16" s="117" customFormat="1" ht="21.75" hidden="1" customHeight="1">
      <c r="C3778" s="260"/>
      <c r="D3778" s="130" t="s">
        <v>2545</v>
      </c>
      <c r="E3778" s="788">
        <v>63403000000</v>
      </c>
      <c r="F3778" s="112">
        <v>3915154027000</v>
      </c>
      <c r="G3778" s="162">
        <f t="shared" si="92"/>
        <v>1.619425431611506</v>
      </c>
      <c r="H3778" s="120"/>
      <c r="I3778" s="120"/>
      <c r="J3778" s="120"/>
      <c r="K3778" s="120"/>
      <c r="L3778" s="120"/>
      <c r="M3778" s="120"/>
      <c r="N3778" s="120"/>
      <c r="O3778" s="120"/>
      <c r="P3778" s="121"/>
    </row>
    <row r="3779" spans="3:16" s="117" customFormat="1" ht="21.75" hidden="1" customHeight="1">
      <c r="C3779" s="260"/>
      <c r="D3779" s="130" t="s">
        <v>2546</v>
      </c>
      <c r="E3779" s="788">
        <v>14148346100</v>
      </c>
      <c r="F3779" s="112">
        <v>3915154027000</v>
      </c>
      <c r="G3779" s="162">
        <f t="shared" si="92"/>
        <v>0.36137393324576861</v>
      </c>
      <c r="H3779" s="120"/>
      <c r="I3779" s="120"/>
      <c r="J3779" s="120"/>
      <c r="K3779" s="120"/>
      <c r="L3779" s="120"/>
      <c r="M3779" s="120"/>
      <c r="N3779" s="120"/>
      <c r="O3779" s="120"/>
      <c r="P3779" s="121"/>
    </row>
    <row r="3780" spans="3:16" s="117" customFormat="1" ht="21.75" hidden="1" customHeight="1">
      <c r="C3780" s="260"/>
      <c r="D3780" s="130" t="s">
        <v>2547</v>
      </c>
      <c r="E3780" s="788">
        <v>19360000000</v>
      </c>
      <c r="F3780" s="112">
        <v>3915154027000</v>
      </c>
      <c r="G3780" s="162">
        <f t="shared" si="92"/>
        <v>0.49448884683688077</v>
      </c>
      <c r="H3780" s="120"/>
      <c r="I3780" s="120"/>
      <c r="J3780" s="120"/>
      <c r="K3780" s="120"/>
      <c r="L3780" s="120"/>
      <c r="M3780" s="120"/>
      <c r="N3780" s="120"/>
      <c r="O3780" s="120"/>
      <c r="P3780" s="121"/>
    </row>
    <row r="3781" spans="3:16" s="117" customFormat="1" ht="21.75" hidden="1" customHeight="1">
      <c r="C3781" s="260"/>
      <c r="D3781" s="130" t="s">
        <v>2548</v>
      </c>
      <c r="E3781" s="788">
        <v>18000000000</v>
      </c>
      <c r="F3781" s="112">
        <v>3915154027000</v>
      </c>
      <c r="G3781" s="162">
        <f t="shared" si="92"/>
        <v>0.45975202701776102</v>
      </c>
      <c r="H3781" s="120"/>
      <c r="I3781" s="120"/>
      <c r="J3781" s="120"/>
      <c r="K3781" s="120"/>
      <c r="L3781" s="120"/>
      <c r="M3781" s="120"/>
      <c r="N3781" s="120"/>
      <c r="O3781" s="120"/>
      <c r="P3781" s="121"/>
    </row>
    <row r="3782" spans="3:16" s="117" customFormat="1" ht="15" hidden="1" customHeight="1">
      <c r="C3782" s="260"/>
      <c r="D3782" s="130"/>
      <c r="E3782" s="788"/>
      <c r="F3782" s="112"/>
      <c r="G3782" s="162"/>
      <c r="H3782" s="120"/>
      <c r="I3782" s="120"/>
      <c r="J3782" s="120"/>
      <c r="K3782" s="120"/>
      <c r="L3782" s="120"/>
      <c r="M3782" s="120"/>
      <c r="N3782" s="120"/>
      <c r="O3782" s="120"/>
      <c r="P3782" s="121"/>
    </row>
    <row r="3783" spans="3:16" s="117" customFormat="1" ht="21.75" hidden="1" customHeight="1">
      <c r="C3783" s="260"/>
      <c r="D3783" s="124" t="s">
        <v>373</v>
      </c>
      <c r="E3783" s="787">
        <f>+E3784</f>
        <v>1521443244000</v>
      </c>
      <c r="F3783" s="112">
        <v>3915154027000</v>
      </c>
      <c r="G3783" s="162">
        <f t="shared" si="92"/>
        <v>38.860367523415448</v>
      </c>
      <c r="H3783" s="120"/>
      <c r="I3783" s="120"/>
      <c r="J3783" s="120"/>
      <c r="K3783" s="120"/>
      <c r="L3783" s="120"/>
      <c r="M3783" s="120"/>
      <c r="N3783" s="120"/>
      <c r="O3783" s="120"/>
      <c r="P3783" s="121"/>
    </row>
    <row r="3784" spans="3:16" s="117" customFormat="1" ht="21.75" hidden="1" customHeight="1">
      <c r="C3784" s="260"/>
      <c r="D3784" s="124" t="s">
        <v>374</v>
      </c>
      <c r="E3784" s="787">
        <f>+E3785</f>
        <v>1521443244000</v>
      </c>
      <c r="F3784" s="112">
        <v>3915154027000</v>
      </c>
      <c r="G3784" s="162">
        <f t="shared" si="92"/>
        <v>38.860367523415448</v>
      </c>
      <c r="H3784" s="120"/>
      <c r="I3784" s="120"/>
      <c r="J3784" s="120"/>
      <c r="K3784" s="120"/>
      <c r="L3784" s="120"/>
      <c r="M3784" s="120"/>
      <c r="N3784" s="120"/>
      <c r="O3784" s="120"/>
      <c r="P3784" s="121"/>
    </row>
    <row r="3785" spans="3:16" s="117" customFormat="1" ht="21.75" hidden="1" customHeight="1">
      <c r="C3785" s="260"/>
      <c r="D3785" s="124" t="s">
        <v>375</v>
      </c>
      <c r="E3785" s="787">
        <f>+E3786</f>
        <v>1521443244000</v>
      </c>
      <c r="F3785" s="112">
        <v>3915154027000</v>
      </c>
      <c r="G3785" s="162">
        <f t="shared" si="92"/>
        <v>38.860367523415448</v>
      </c>
      <c r="H3785" s="120"/>
      <c r="I3785" s="120"/>
      <c r="J3785" s="120"/>
      <c r="K3785" s="120"/>
      <c r="L3785" s="120"/>
      <c r="M3785" s="120"/>
      <c r="N3785" s="120"/>
      <c r="O3785" s="120"/>
      <c r="P3785" s="121"/>
    </row>
    <row r="3786" spans="3:16" s="117" customFormat="1" ht="21.75" hidden="1" customHeight="1">
      <c r="C3786" s="260"/>
      <c r="D3786" s="124" t="s">
        <v>376</v>
      </c>
      <c r="E3786" s="787">
        <f>+E3787+E3788+E3789</f>
        <v>1521443244000</v>
      </c>
      <c r="F3786" s="112">
        <v>3915154027000</v>
      </c>
      <c r="G3786" s="162">
        <f t="shared" si="92"/>
        <v>38.860367523415448</v>
      </c>
      <c r="H3786" s="120"/>
      <c r="I3786" s="120"/>
      <c r="J3786" s="120"/>
      <c r="K3786" s="120"/>
      <c r="L3786" s="120"/>
      <c r="M3786" s="120"/>
      <c r="N3786" s="120"/>
      <c r="O3786" s="120"/>
      <c r="P3786" s="121"/>
    </row>
    <row r="3787" spans="3:16" s="117" customFormat="1" ht="21.75" hidden="1" customHeight="1">
      <c r="C3787" s="260"/>
      <c r="D3787" s="130" t="s">
        <v>377</v>
      </c>
      <c r="E3787" s="788">
        <v>975384244000</v>
      </c>
      <c r="F3787" s="112">
        <v>3915154027000</v>
      </c>
      <c r="G3787" s="162">
        <f t="shared" si="92"/>
        <v>24.913049072232578</v>
      </c>
      <c r="H3787" s="120"/>
      <c r="I3787" s="120"/>
      <c r="J3787" s="120"/>
      <c r="K3787" s="120"/>
      <c r="L3787" s="120"/>
      <c r="M3787" s="120"/>
      <c r="N3787" s="120"/>
      <c r="O3787" s="120"/>
      <c r="P3787" s="121"/>
    </row>
    <row r="3788" spans="3:16" s="117" customFormat="1" ht="21.75" hidden="1" customHeight="1">
      <c r="C3788" s="260"/>
      <c r="D3788" s="130" t="s">
        <v>378</v>
      </c>
      <c r="E3788" s="788">
        <v>14009000000</v>
      </c>
      <c r="F3788" s="112">
        <v>3915154027000</v>
      </c>
      <c r="G3788" s="162">
        <f t="shared" si="92"/>
        <v>0.35781478591621191</v>
      </c>
      <c r="H3788" s="120"/>
      <c r="I3788" s="120"/>
      <c r="J3788" s="120"/>
      <c r="K3788" s="120"/>
      <c r="L3788" s="120"/>
      <c r="M3788" s="120"/>
      <c r="N3788" s="120"/>
      <c r="O3788" s="120"/>
      <c r="P3788" s="121"/>
    </row>
    <row r="3789" spans="3:16" s="117" customFormat="1" ht="31.5" hidden="1" customHeight="1">
      <c r="C3789" s="260"/>
      <c r="D3789" s="130" t="s">
        <v>2549</v>
      </c>
      <c r="E3789" s="788">
        <v>532050000000</v>
      </c>
      <c r="F3789" s="112">
        <v>3915154027000</v>
      </c>
      <c r="G3789" s="162">
        <f t="shared" si="92"/>
        <v>13.589503665266653</v>
      </c>
      <c r="H3789" s="120"/>
      <c r="I3789" s="120"/>
      <c r="J3789" s="120"/>
      <c r="K3789" s="120"/>
      <c r="L3789" s="120"/>
      <c r="M3789" s="120"/>
      <c r="N3789" s="120"/>
      <c r="O3789" s="120"/>
      <c r="P3789" s="121"/>
    </row>
    <row r="3790" spans="3:16" s="117" customFormat="1" ht="19.5" hidden="1" customHeight="1">
      <c r="C3790" s="261"/>
      <c r="D3790" s="262"/>
      <c r="E3790" s="789"/>
      <c r="F3790" s="112"/>
      <c r="G3790" s="162"/>
      <c r="H3790" s="263"/>
      <c r="I3790" s="263"/>
      <c r="J3790" s="263"/>
      <c r="K3790" s="263"/>
      <c r="L3790" s="263"/>
      <c r="M3790" s="263"/>
      <c r="N3790" s="263"/>
      <c r="O3790" s="263"/>
      <c r="P3790" s="264"/>
    </row>
    <row r="3791" spans="3:16" s="117" customFormat="1" ht="21.75" customHeight="1">
      <c r="C3791" s="265"/>
      <c r="D3791" s="266" t="s">
        <v>76</v>
      </c>
      <c r="E3791" s="790">
        <f>+E3534+E326+E14</f>
        <v>5288694844000</v>
      </c>
      <c r="F3791" s="267">
        <f>+E3791</f>
        <v>5288694844000</v>
      </c>
      <c r="G3791" s="268">
        <f>+F3791/E3791*100</f>
        <v>100</v>
      </c>
      <c r="H3791" s="269"/>
      <c r="I3791" s="269"/>
      <c r="J3791" s="269"/>
      <c r="K3791" s="269"/>
      <c r="L3791" s="269"/>
      <c r="M3791" s="269"/>
      <c r="N3791" s="269"/>
      <c r="O3791" s="269"/>
      <c r="P3791" s="270"/>
    </row>
    <row r="3794" spans="4:9">
      <c r="E3794" s="1654"/>
      <c r="F3794" s="94"/>
    </row>
    <row r="3795" spans="4:9" ht="29.25" customHeight="1">
      <c r="D3795" s="272"/>
      <c r="E3795" s="1655"/>
      <c r="F3795" s="273"/>
      <c r="G3795" s="274"/>
      <c r="H3795" s="274"/>
      <c r="I3795" s="274"/>
    </row>
    <row r="3796" spans="4:9">
      <c r="E3796" s="1656"/>
      <c r="F3796" s="275"/>
    </row>
    <row r="3797" spans="4:9">
      <c r="E3797" s="1642"/>
      <c r="F3797" s="94"/>
    </row>
    <row r="3798" spans="4:9">
      <c r="D3798" s="691"/>
      <c r="E3798" s="1642"/>
      <c r="F3798" s="94"/>
    </row>
    <row r="3799" spans="4:9">
      <c r="D3799" s="276"/>
      <c r="E3799" s="791"/>
      <c r="F3799" s="94"/>
    </row>
    <row r="3800" spans="4:9">
      <c r="D3800" s="276"/>
      <c r="E3800" s="1642"/>
      <c r="F3800" s="94"/>
    </row>
    <row r="3801" spans="4:9">
      <c r="D3801" s="692"/>
      <c r="E3801" s="791"/>
    </row>
  </sheetData>
  <mergeCells count="11">
    <mergeCell ref="P10:P11"/>
    <mergeCell ref="C2:P2"/>
    <mergeCell ref="C3:P3"/>
    <mergeCell ref="C4:P4"/>
    <mergeCell ref="C5:P5"/>
    <mergeCell ref="P7:P8"/>
    <mergeCell ref="C10:C11"/>
    <mergeCell ref="D10:D11"/>
    <mergeCell ref="E10:G10"/>
    <mergeCell ref="H10:K10"/>
    <mergeCell ref="L10:O10"/>
  </mergeCells>
  <printOptions horizontalCentered="1"/>
  <pageMargins left="0.39370078740157483" right="0" top="0.55118110236220474" bottom="0.35433070866141736" header="0.31496062992125984" footer="0.31496062992125984"/>
  <pageSetup paperSize="258" scale="70" fitToHeight="0" orientation="landscape" horizontalDpi="4294967293" r:id="rId1"/>
  <rowBreaks count="1" manualBreakCount="1">
    <brk id="3782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VR933"/>
  <sheetViews>
    <sheetView view="pageBreakPreview" topLeftCell="A920" zoomScale="90" zoomScaleNormal="90" zoomScaleSheetLayoutView="90" workbookViewId="0">
      <selection activeCell="D930" sqref="D930"/>
    </sheetView>
  </sheetViews>
  <sheetFormatPr defaultColWidth="8.85546875" defaultRowHeight="15"/>
  <cols>
    <col min="1" max="1" width="3.28515625" style="18" customWidth="1"/>
    <col min="2" max="2" width="2.85546875" style="18" customWidth="1"/>
    <col min="3" max="3" width="6.5703125" style="832" customWidth="1"/>
    <col min="4" max="4" width="70.7109375" style="831" customWidth="1"/>
    <col min="5" max="5" width="21.140625" style="619" customWidth="1"/>
    <col min="6" max="6" width="21.140625" style="466" customWidth="1"/>
    <col min="7" max="7" width="11.28515625" style="1185" customWidth="1"/>
    <col min="8" max="8" width="11.5703125" style="619" customWidth="1"/>
    <col min="9" max="9" width="8.140625" style="18" customWidth="1"/>
    <col min="10" max="10" width="2.140625" style="18" customWidth="1"/>
    <col min="11" max="12" width="8.85546875" style="18"/>
    <col min="13" max="13" width="17.28515625" style="18" bestFit="1" customWidth="1"/>
    <col min="14" max="249" width="8.85546875" style="18"/>
    <col min="250" max="250" width="3.28515625" style="18" customWidth="1"/>
    <col min="251" max="251" width="2.85546875" style="18" customWidth="1"/>
    <col min="252" max="252" width="6.5703125" style="18" customWidth="1"/>
    <col min="253" max="253" width="137.28515625" style="18" customWidth="1"/>
    <col min="254" max="254" width="21.28515625" style="18" customWidth="1"/>
    <col min="255" max="255" width="25.28515625" style="18" customWidth="1"/>
    <col min="256" max="256" width="11.7109375" style="18" customWidth="1"/>
    <col min="257" max="260" width="11" style="18" customWidth="1"/>
    <col min="261" max="264" width="12.85546875" style="18" customWidth="1"/>
    <col min="265" max="265" width="17.85546875" style="18" customWidth="1"/>
    <col min="266" max="266" width="2.140625" style="18" customWidth="1"/>
    <col min="267" max="505" width="8.85546875" style="18"/>
    <col min="506" max="506" width="3.28515625" style="18" customWidth="1"/>
    <col min="507" max="507" width="2.85546875" style="18" customWidth="1"/>
    <col min="508" max="508" width="6.5703125" style="18" customWidth="1"/>
    <col min="509" max="509" width="137.28515625" style="18" customWidth="1"/>
    <col min="510" max="510" width="21.28515625" style="18" customWidth="1"/>
    <col min="511" max="511" width="25.28515625" style="18" customWidth="1"/>
    <col min="512" max="512" width="11.7109375" style="18" customWidth="1"/>
    <col min="513" max="516" width="11" style="18" customWidth="1"/>
    <col min="517" max="520" width="12.85546875" style="18" customWidth="1"/>
    <col min="521" max="521" width="17.85546875" style="18" customWidth="1"/>
    <col min="522" max="522" width="2.140625" style="18" customWidth="1"/>
    <col min="523" max="761" width="8.85546875" style="18"/>
    <col min="762" max="762" width="3.28515625" style="18" customWidth="1"/>
    <col min="763" max="763" width="2.85546875" style="18" customWidth="1"/>
    <col min="764" max="764" width="6.5703125" style="18" customWidth="1"/>
    <col min="765" max="765" width="137.28515625" style="18" customWidth="1"/>
    <col min="766" max="766" width="21.28515625" style="18" customWidth="1"/>
    <col min="767" max="767" width="25.28515625" style="18" customWidth="1"/>
    <col min="768" max="768" width="11.7109375" style="18" customWidth="1"/>
    <col min="769" max="772" width="11" style="18" customWidth="1"/>
    <col min="773" max="776" width="12.85546875" style="18" customWidth="1"/>
    <col min="777" max="777" width="17.85546875" style="18" customWidth="1"/>
    <col min="778" max="778" width="2.140625" style="18" customWidth="1"/>
    <col min="779" max="1017" width="8.85546875" style="18"/>
    <col min="1018" max="1018" width="3.28515625" style="18" customWidth="1"/>
    <col min="1019" max="1019" width="2.85546875" style="18" customWidth="1"/>
    <col min="1020" max="1020" width="6.5703125" style="18" customWidth="1"/>
    <col min="1021" max="1021" width="137.28515625" style="18" customWidth="1"/>
    <col min="1022" max="1022" width="21.28515625" style="18" customWidth="1"/>
    <col min="1023" max="1023" width="25.28515625" style="18" customWidth="1"/>
    <col min="1024" max="1024" width="11.7109375" style="18" customWidth="1"/>
    <col min="1025" max="1028" width="11" style="18" customWidth="1"/>
    <col min="1029" max="1032" width="12.85546875" style="18" customWidth="1"/>
    <col min="1033" max="1033" width="17.85546875" style="18" customWidth="1"/>
    <col min="1034" max="1034" width="2.140625" style="18" customWidth="1"/>
    <col min="1035" max="1273" width="8.85546875" style="18"/>
    <col min="1274" max="1274" width="3.28515625" style="18" customWidth="1"/>
    <col min="1275" max="1275" width="2.85546875" style="18" customWidth="1"/>
    <col min="1276" max="1276" width="6.5703125" style="18" customWidth="1"/>
    <col min="1277" max="1277" width="137.28515625" style="18" customWidth="1"/>
    <col min="1278" max="1278" width="21.28515625" style="18" customWidth="1"/>
    <col min="1279" max="1279" width="25.28515625" style="18" customWidth="1"/>
    <col min="1280" max="1280" width="11.7109375" style="18" customWidth="1"/>
    <col min="1281" max="1284" width="11" style="18" customWidth="1"/>
    <col min="1285" max="1288" width="12.85546875" style="18" customWidth="1"/>
    <col min="1289" max="1289" width="17.85546875" style="18" customWidth="1"/>
    <col min="1290" max="1290" width="2.140625" style="18" customWidth="1"/>
    <col min="1291" max="1529" width="8.85546875" style="18"/>
    <col min="1530" max="1530" width="3.28515625" style="18" customWidth="1"/>
    <col min="1531" max="1531" width="2.85546875" style="18" customWidth="1"/>
    <col min="1532" max="1532" width="6.5703125" style="18" customWidth="1"/>
    <col min="1533" max="1533" width="137.28515625" style="18" customWidth="1"/>
    <col min="1534" max="1534" width="21.28515625" style="18" customWidth="1"/>
    <col min="1535" max="1535" width="25.28515625" style="18" customWidth="1"/>
    <col min="1536" max="1536" width="11.7109375" style="18" customWidth="1"/>
    <col min="1537" max="1540" width="11" style="18" customWidth="1"/>
    <col min="1541" max="1544" width="12.85546875" style="18" customWidth="1"/>
    <col min="1545" max="1545" width="17.85546875" style="18" customWidth="1"/>
    <col min="1546" max="1546" width="2.140625" style="18" customWidth="1"/>
    <col min="1547" max="1785" width="8.85546875" style="18"/>
    <col min="1786" max="1786" width="3.28515625" style="18" customWidth="1"/>
    <col min="1787" max="1787" width="2.85546875" style="18" customWidth="1"/>
    <col min="1788" max="1788" width="6.5703125" style="18" customWidth="1"/>
    <col min="1789" max="1789" width="137.28515625" style="18" customWidth="1"/>
    <col min="1790" max="1790" width="21.28515625" style="18" customWidth="1"/>
    <col min="1791" max="1791" width="25.28515625" style="18" customWidth="1"/>
    <col min="1792" max="1792" width="11.7109375" style="18" customWidth="1"/>
    <col min="1793" max="1796" width="11" style="18" customWidth="1"/>
    <col min="1797" max="1800" width="12.85546875" style="18" customWidth="1"/>
    <col min="1801" max="1801" width="17.85546875" style="18" customWidth="1"/>
    <col min="1802" max="1802" width="2.140625" style="18" customWidth="1"/>
    <col min="1803" max="2041" width="8.85546875" style="18"/>
    <col min="2042" max="2042" width="3.28515625" style="18" customWidth="1"/>
    <col min="2043" max="2043" width="2.85546875" style="18" customWidth="1"/>
    <col min="2044" max="2044" width="6.5703125" style="18" customWidth="1"/>
    <col min="2045" max="2045" width="137.28515625" style="18" customWidth="1"/>
    <col min="2046" max="2046" width="21.28515625" style="18" customWidth="1"/>
    <col min="2047" max="2047" width="25.28515625" style="18" customWidth="1"/>
    <col min="2048" max="2048" width="11.7109375" style="18" customWidth="1"/>
    <col min="2049" max="2052" width="11" style="18" customWidth="1"/>
    <col min="2053" max="2056" width="12.85546875" style="18" customWidth="1"/>
    <col min="2057" max="2057" width="17.85546875" style="18" customWidth="1"/>
    <col min="2058" max="2058" width="2.140625" style="18" customWidth="1"/>
    <col min="2059" max="2297" width="8.85546875" style="18"/>
    <col min="2298" max="2298" width="3.28515625" style="18" customWidth="1"/>
    <col min="2299" max="2299" width="2.85546875" style="18" customWidth="1"/>
    <col min="2300" max="2300" width="6.5703125" style="18" customWidth="1"/>
    <col min="2301" max="2301" width="137.28515625" style="18" customWidth="1"/>
    <col min="2302" max="2302" width="21.28515625" style="18" customWidth="1"/>
    <col min="2303" max="2303" width="25.28515625" style="18" customWidth="1"/>
    <col min="2304" max="2304" width="11.7109375" style="18" customWidth="1"/>
    <col min="2305" max="2308" width="11" style="18" customWidth="1"/>
    <col min="2309" max="2312" width="12.85546875" style="18" customWidth="1"/>
    <col min="2313" max="2313" width="17.85546875" style="18" customWidth="1"/>
    <col min="2314" max="2314" width="2.140625" style="18" customWidth="1"/>
    <col min="2315" max="2553" width="8.85546875" style="18"/>
    <col min="2554" max="2554" width="3.28515625" style="18" customWidth="1"/>
    <col min="2555" max="2555" width="2.85546875" style="18" customWidth="1"/>
    <col min="2556" max="2556" width="6.5703125" style="18" customWidth="1"/>
    <col min="2557" max="2557" width="137.28515625" style="18" customWidth="1"/>
    <col min="2558" max="2558" width="21.28515625" style="18" customWidth="1"/>
    <col min="2559" max="2559" width="25.28515625" style="18" customWidth="1"/>
    <col min="2560" max="2560" width="11.7109375" style="18" customWidth="1"/>
    <col min="2561" max="2564" width="11" style="18" customWidth="1"/>
    <col min="2565" max="2568" width="12.85546875" style="18" customWidth="1"/>
    <col min="2569" max="2569" width="17.85546875" style="18" customWidth="1"/>
    <col min="2570" max="2570" width="2.140625" style="18" customWidth="1"/>
    <col min="2571" max="2809" width="8.85546875" style="18"/>
    <col min="2810" max="2810" width="3.28515625" style="18" customWidth="1"/>
    <col min="2811" max="2811" width="2.85546875" style="18" customWidth="1"/>
    <col min="2812" max="2812" width="6.5703125" style="18" customWidth="1"/>
    <col min="2813" max="2813" width="137.28515625" style="18" customWidth="1"/>
    <col min="2814" max="2814" width="21.28515625" style="18" customWidth="1"/>
    <col min="2815" max="2815" width="25.28515625" style="18" customWidth="1"/>
    <col min="2816" max="2816" width="11.7109375" style="18" customWidth="1"/>
    <col min="2817" max="2820" width="11" style="18" customWidth="1"/>
    <col min="2821" max="2824" width="12.85546875" style="18" customWidth="1"/>
    <col min="2825" max="2825" width="17.85546875" style="18" customWidth="1"/>
    <col min="2826" max="2826" width="2.140625" style="18" customWidth="1"/>
    <col min="2827" max="3065" width="8.85546875" style="18"/>
    <col min="3066" max="3066" width="3.28515625" style="18" customWidth="1"/>
    <col min="3067" max="3067" width="2.85546875" style="18" customWidth="1"/>
    <col min="3068" max="3068" width="6.5703125" style="18" customWidth="1"/>
    <col min="3069" max="3069" width="137.28515625" style="18" customWidth="1"/>
    <col min="3070" max="3070" width="21.28515625" style="18" customWidth="1"/>
    <col min="3071" max="3071" width="25.28515625" style="18" customWidth="1"/>
    <col min="3072" max="3072" width="11.7109375" style="18" customWidth="1"/>
    <col min="3073" max="3076" width="11" style="18" customWidth="1"/>
    <col min="3077" max="3080" width="12.85546875" style="18" customWidth="1"/>
    <col min="3081" max="3081" width="17.85546875" style="18" customWidth="1"/>
    <col min="3082" max="3082" width="2.140625" style="18" customWidth="1"/>
    <col min="3083" max="3321" width="8.85546875" style="18"/>
    <col min="3322" max="3322" width="3.28515625" style="18" customWidth="1"/>
    <col min="3323" max="3323" width="2.85546875" style="18" customWidth="1"/>
    <col min="3324" max="3324" width="6.5703125" style="18" customWidth="1"/>
    <col min="3325" max="3325" width="137.28515625" style="18" customWidth="1"/>
    <col min="3326" max="3326" width="21.28515625" style="18" customWidth="1"/>
    <col min="3327" max="3327" width="25.28515625" style="18" customWidth="1"/>
    <col min="3328" max="3328" width="11.7109375" style="18" customWidth="1"/>
    <col min="3329" max="3332" width="11" style="18" customWidth="1"/>
    <col min="3333" max="3336" width="12.85546875" style="18" customWidth="1"/>
    <col min="3337" max="3337" width="17.85546875" style="18" customWidth="1"/>
    <col min="3338" max="3338" width="2.140625" style="18" customWidth="1"/>
    <col min="3339" max="3577" width="8.85546875" style="18"/>
    <col min="3578" max="3578" width="3.28515625" style="18" customWidth="1"/>
    <col min="3579" max="3579" width="2.85546875" style="18" customWidth="1"/>
    <col min="3580" max="3580" width="6.5703125" style="18" customWidth="1"/>
    <col min="3581" max="3581" width="137.28515625" style="18" customWidth="1"/>
    <col min="3582" max="3582" width="21.28515625" style="18" customWidth="1"/>
    <col min="3583" max="3583" width="25.28515625" style="18" customWidth="1"/>
    <col min="3584" max="3584" width="11.7109375" style="18" customWidth="1"/>
    <col min="3585" max="3588" width="11" style="18" customWidth="1"/>
    <col min="3589" max="3592" width="12.85546875" style="18" customWidth="1"/>
    <col min="3593" max="3593" width="17.85546875" style="18" customWidth="1"/>
    <col min="3594" max="3594" width="2.140625" style="18" customWidth="1"/>
    <col min="3595" max="3833" width="8.85546875" style="18"/>
    <col min="3834" max="3834" width="3.28515625" style="18" customWidth="1"/>
    <col min="3835" max="3835" width="2.85546875" style="18" customWidth="1"/>
    <col min="3836" max="3836" width="6.5703125" style="18" customWidth="1"/>
    <col min="3837" max="3837" width="137.28515625" style="18" customWidth="1"/>
    <col min="3838" max="3838" width="21.28515625" style="18" customWidth="1"/>
    <col min="3839" max="3839" width="25.28515625" style="18" customWidth="1"/>
    <col min="3840" max="3840" width="11.7109375" style="18" customWidth="1"/>
    <col min="3841" max="3844" width="11" style="18" customWidth="1"/>
    <col min="3845" max="3848" width="12.85546875" style="18" customWidth="1"/>
    <col min="3849" max="3849" width="17.85546875" style="18" customWidth="1"/>
    <col min="3850" max="3850" width="2.140625" style="18" customWidth="1"/>
    <col min="3851" max="4089" width="8.85546875" style="18"/>
    <col min="4090" max="4090" width="3.28515625" style="18" customWidth="1"/>
    <col min="4091" max="4091" width="2.85546875" style="18" customWidth="1"/>
    <col min="4092" max="4092" width="6.5703125" style="18" customWidth="1"/>
    <col min="4093" max="4093" width="137.28515625" style="18" customWidth="1"/>
    <col min="4094" max="4094" width="21.28515625" style="18" customWidth="1"/>
    <col min="4095" max="4095" width="25.28515625" style="18" customWidth="1"/>
    <col min="4096" max="4096" width="11.7109375" style="18" customWidth="1"/>
    <col min="4097" max="4100" width="11" style="18" customWidth="1"/>
    <col min="4101" max="4104" width="12.85546875" style="18" customWidth="1"/>
    <col min="4105" max="4105" width="17.85546875" style="18" customWidth="1"/>
    <col min="4106" max="4106" width="2.140625" style="18" customWidth="1"/>
    <col min="4107" max="4345" width="8.85546875" style="18"/>
    <col min="4346" max="4346" width="3.28515625" style="18" customWidth="1"/>
    <col min="4347" max="4347" width="2.85546875" style="18" customWidth="1"/>
    <col min="4348" max="4348" width="6.5703125" style="18" customWidth="1"/>
    <col min="4349" max="4349" width="137.28515625" style="18" customWidth="1"/>
    <col min="4350" max="4350" width="21.28515625" style="18" customWidth="1"/>
    <col min="4351" max="4351" width="25.28515625" style="18" customWidth="1"/>
    <col min="4352" max="4352" width="11.7109375" style="18" customWidth="1"/>
    <col min="4353" max="4356" width="11" style="18" customWidth="1"/>
    <col min="4357" max="4360" width="12.85546875" style="18" customWidth="1"/>
    <col min="4361" max="4361" width="17.85546875" style="18" customWidth="1"/>
    <col min="4362" max="4362" width="2.140625" style="18" customWidth="1"/>
    <col min="4363" max="4601" width="8.85546875" style="18"/>
    <col min="4602" max="4602" width="3.28515625" style="18" customWidth="1"/>
    <col min="4603" max="4603" width="2.85546875" style="18" customWidth="1"/>
    <col min="4604" max="4604" width="6.5703125" style="18" customWidth="1"/>
    <col min="4605" max="4605" width="137.28515625" style="18" customWidth="1"/>
    <col min="4606" max="4606" width="21.28515625" style="18" customWidth="1"/>
    <col min="4607" max="4607" width="25.28515625" style="18" customWidth="1"/>
    <col min="4608" max="4608" width="11.7109375" style="18" customWidth="1"/>
    <col min="4609" max="4612" width="11" style="18" customWidth="1"/>
    <col min="4613" max="4616" width="12.85546875" style="18" customWidth="1"/>
    <col min="4617" max="4617" width="17.85546875" style="18" customWidth="1"/>
    <col min="4618" max="4618" width="2.140625" style="18" customWidth="1"/>
    <col min="4619" max="4857" width="8.85546875" style="18"/>
    <col min="4858" max="4858" width="3.28515625" style="18" customWidth="1"/>
    <col min="4859" max="4859" width="2.85546875" style="18" customWidth="1"/>
    <col min="4860" max="4860" width="6.5703125" style="18" customWidth="1"/>
    <col min="4861" max="4861" width="137.28515625" style="18" customWidth="1"/>
    <col min="4862" max="4862" width="21.28515625" style="18" customWidth="1"/>
    <col min="4863" max="4863" width="25.28515625" style="18" customWidth="1"/>
    <col min="4864" max="4864" width="11.7109375" style="18" customWidth="1"/>
    <col min="4865" max="4868" width="11" style="18" customWidth="1"/>
    <col min="4869" max="4872" width="12.85546875" style="18" customWidth="1"/>
    <col min="4873" max="4873" width="17.85546875" style="18" customWidth="1"/>
    <col min="4874" max="4874" width="2.140625" style="18" customWidth="1"/>
    <col min="4875" max="5113" width="8.85546875" style="18"/>
    <col min="5114" max="5114" width="3.28515625" style="18" customWidth="1"/>
    <col min="5115" max="5115" width="2.85546875" style="18" customWidth="1"/>
    <col min="5116" max="5116" width="6.5703125" style="18" customWidth="1"/>
    <col min="5117" max="5117" width="137.28515625" style="18" customWidth="1"/>
    <col min="5118" max="5118" width="21.28515625" style="18" customWidth="1"/>
    <col min="5119" max="5119" width="25.28515625" style="18" customWidth="1"/>
    <col min="5120" max="5120" width="11.7109375" style="18" customWidth="1"/>
    <col min="5121" max="5124" width="11" style="18" customWidth="1"/>
    <col min="5125" max="5128" width="12.85546875" style="18" customWidth="1"/>
    <col min="5129" max="5129" width="17.85546875" style="18" customWidth="1"/>
    <col min="5130" max="5130" width="2.140625" style="18" customWidth="1"/>
    <col min="5131" max="5369" width="8.85546875" style="18"/>
    <col min="5370" max="5370" width="3.28515625" style="18" customWidth="1"/>
    <col min="5371" max="5371" width="2.85546875" style="18" customWidth="1"/>
    <col min="5372" max="5372" width="6.5703125" style="18" customWidth="1"/>
    <col min="5373" max="5373" width="137.28515625" style="18" customWidth="1"/>
    <col min="5374" max="5374" width="21.28515625" style="18" customWidth="1"/>
    <col min="5375" max="5375" width="25.28515625" style="18" customWidth="1"/>
    <col min="5376" max="5376" width="11.7109375" style="18" customWidth="1"/>
    <col min="5377" max="5380" width="11" style="18" customWidth="1"/>
    <col min="5381" max="5384" width="12.85546875" style="18" customWidth="1"/>
    <col min="5385" max="5385" width="17.85546875" style="18" customWidth="1"/>
    <col min="5386" max="5386" width="2.140625" style="18" customWidth="1"/>
    <col min="5387" max="5625" width="8.85546875" style="18"/>
    <col min="5626" max="5626" width="3.28515625" style="18" customWidth="1"/>
    <col min="5627" max="5627" width="2.85546875" style="18" customWidth="1"/>
    <col min="5628" max="5628" width="6.5703125" style="18" customWidth="1"/>
    <col min="5629" max="5629" width="137.28515625" style="18" customWidth="1"/>
    <col min="5630" max="5630" width="21.28515625" style="18" customWidth="1"/>
    <col min="5631" max="5631" width="25.28515625" style="18" customWidth="1"/>
    <col min="5632" max="5632" width="11.7109375" style="18" customWidth="1"/>
    <col min="5633" max="5636" width="11" style="18" customWidth="1"/>
    <col min="5637" max="5640" width="12.85546875" style="18" customWidth="1"/>
    <col min="5641" max="5641" width="17.85546875" style="18" customWidth="1"/>
    <col min="5642" max="5642" width="2.140625" style="18" customWidth="1"/>
    <col min="5643" max="5881" width="8.85546875" style="18"/>
    <col min="5882" max="5882" width="3.28515625" style="18" customWidth="1"/>
    <col min="5883" max="5883" width="2.85546875" style="18" customWidth="1"/>
    <col min="5884" max="5884" width="6.5703125" style="18" customWidth="1"/>
    <col min="5885" max="5885" width="137.28515625" style="18" customWidth="1"/>
    <col min="5886" max="5886" width="21.28515625" style="18" customWidth="1"/>
    <col min="5887" max="5887" width="25.28515625" style="18" customWidth="1"/>
    <col min="5888" max="5888" width="11.7109375" style="18" customWidth="1"/>
    <col min="5889" max="5892" width="11" style="18" customWidth="1"/>
    <col min="5893" max="5896" width="12.85546875" style="18" customWidth="1"/>
    <col min="5897" max="5897" width="17.85546875" style="18" customWidth="1"/>
    <col min="5898" max="5898" width="2.140625" style="18" customWidth="1"/>
    <col min="5899" max="6137" width="8.85546875" style="18"/>
    <col min="6138" max="6138" width="3.28515625" style="18" customWidth="1"/>
    <col min="6139" max="6139" width="2.85546875" style="18" customWidth="1"/>
    <col min="6140" max="6140" width="6.5703125" style="18" customWidth="1"/>
    <col min="6141" max="6141" width="137.28515625" style="18" customWidth="1"/>
    <col min="6142" max="6142" width="21.28515625" style="18" customWidth="1"/>
    <col min="6143" max="6143" width="25.28515625" style="18" customWidth="1"/>
    <col min="6144" max="6144" width="11.7109375" style="18" customWidth="1"/>
    <col min="6145" max="6148" width="11" style="18" customWidth="1"/>
    <col min="6149" max="6152" width="12.85546875" style="18" customWidth="1"/>
    <col min="6153" max="6153" width="17.85546875" style="18" customWidth="1"/>
    <col min="6154" max="6154" width="2.140625" style="18" customWidth="1"/>
    <col min="6155" max="6393" width="8.85546875" style="18"/>
    <col min="6394" max="6394" width="3.28515625" style="18" customWidth="1"/>
    <col min="6395" max="6395" width="2.85546875" style="18" customWidth="1"/>
    <col min="6396" max="6396" width="6.5703125" style="18" customWidth="1"/>
    <col min="6397" max="6397" width="137.28515625" style="18" customWidth="1"/>
    <col min="6398" max="6398" width="21.28515625" style="18" customWidth="1"/>
    <col min="6399" max="6399" width="25.28515625" style="18" customWidth="1"/>
    <col min="6400" max="6400" width="11.7109375" style="18" customWidth="1"/>
    <col min="6401" max="6404" width="11" style="18" customWidth="1"/>
    <col min="6405" max="6408" width="12.85546875" style="18" customWidth="1"/>
    <col min="6409" max="6409" width="17.85546875" style="18" customWidth="1"/>
    <col min="6410" max="6410" width="2.140625" style="18" customWidth="1"/>
    <col min="6411" max="6649" width="8.85546875" style="18"/>
    <col min="6650" max="6650" width="3.28515625" style="18" customWidth="1"/>
    <col min="6651" max="6651" width="2.85546875" style="18" customWidth="1"/>
    <col min="6652" max="6652" width="6.5703125" style="18" customWidth="1"/>
    <col min="6653" max="6653" width="137.28515625" style="18" customWidth="1"/>
    <col min="6654" max="6654" width="21.28515625" style="18" customWidth="1"/>
    <col min="6655" max="6655" width="25.28515625" style="18" customWidth="1"/>
    <col min="6656" max="6656" width="11.7109375" style="18" customWidth="1"/>
    <col min="6657" max="6660" width="11" style="18" customWidth="1"/>
    <col min="6661" max="6664" width="12.85546875" style="18" customWidth="1"/>
    <col min="6665" max="6665" width="17.85546875" style="18" customWidth="1"/>
    <col min="6666" max="6666" width="2.140625" style="18" customWidth="1"/>
    <col min="6667" max="6905" width="8.85546875" style="18"/>
    <col min="6906" max="6906" width="3.28515625" style="18" customWidth="1"/>
    <col min="6907" max="6907" width="2.85546875" style="18" customWidth="1"/>
    <col min="6908" max="6908" width="6.5703125" style="18" customWidth="1"/>
    <col min="6909" max="6909" width="137.28515625" style="18" customWidth="1"/>
    <col min="6910" max="6910" width="21.28515625" style="18" customWidth="1"/>
    <col min="6911" max="6911" width="25.28515625" style="18" customWidth="1"/>
    <col min="6912" max="6912" width="11.7109375" style="18" customWidth="1"/>
    <col min="6913" max="6916" width="11" style="18" customWidth="1"/>
    <col min="6917" max="6920" width="12.85546875" style="18" customWidth="1"/>
    <col min="6921" max="6921" width="17.85546875" style="18" customWidth="1"/>
    <col min="6922" max="6922" width="2.140625" style="18" customWidth="1"/>
    <col min="6923" max="7161" width="8.85546875" style="18"/>
    <col min="7162" max="7162" width="3.28515625" style="18" customWidth="1"/>
    <col min="7163" max="7163" width="2.85546875" style="18" customWidth="1"/>
    <col min="7164" max="7164" width="6.5703125" style="18" customWidth="1"/>
    <col min="7165" max="7165" width="137.28515625" style="18" customWidth="1"/>
    <col min="7166" max="7166" width="21.28515625" style="18" customWidth="1"/>
    <col min="7167" max="7167" width="25.28515625" style="18" customWidth="1"/>
    <col min="7168" max="7168" width="11.7109375" style="18" customWidth="1"/>
    <col min="7169" max="7172" width="11" style="18" customWidth="1"/>
    <col min="7173" max="7176" width="12.85546875" style="18" customWidth="1"/>
    <col min="7177" max="7177" width="17.85546875" style="18" customWidth="1"/>
    <col min="7178" max="7178" width="2.140625" style="18" customWidth="1"/>
    <col min="7179" max="7417" width="8.85546875" style="18"/>
    <col min="7418" max="7418" width="3.28515625" style="18" customWidth="1"/>
    <col min="7419" max="7419" width="2.85546875" style="18" customWidth="1"/>
    <col min="7420" max="7420" width="6.5703125" style="18" customWidth="1"/>
    <col min="7421" max="7421" width="137.28515625" style="18" customWidth="1"/>
    <col min="7422" max="7422" width="21.28515625" style="18" customWidth="1"/>
    <col min="7423" max="7423" width="25.28515625" style="18" customWidth="1"/>
    <col min="7424" max="7424" width="11.7109375" style="18" customWidth="1"/>
    <col min="7425" max="7428" width="11" style="18" customWidth="1"/>
    <col min="7429" max="7432" width="12.85546875" style="18" customWidth="1"/>
    <col min="7433" max="7433" width="17.85546875" style="18" customWidth="1"/>
    <col min="7434" max="7434" width="2.140625" style="18" customWidth="1"/>
    <col min="7435" max="7673" width="8.85546875" style="18"/>
    <col min="7674" max="7674" width="3.28515625" style="18" customWidth="1"/>
    <col min="7675" max="7675" width="2.85546875" style="18" customWidth="1"/>
    <col min="7676" max="7676" width="6.5703125" style="18" customWidth="1"/>
    <col min="7677" max="7677" width="137.28515625" style="18" customWidth="1"/>
    <col min="7678" max="7678" width="21.28515625" style="18" customWidth="1"/>
    <col min="7679" max="7679" width="25.28515625" style="18" customWidth="1"/>
    <col min="7680" max="7680" width="11.7109375" style="18" customWidth="1"/>
    <col min="7681" max="7684" width="11" style="18" customWidth="1"/>
    <col min="7685" max="7688" width="12.85546875" style="18" customWidth="1"/>
    <col min="7689" max="7689" width="17.85546875" style="18" customWidth="1"/>
    <col min="7690" max="7690" width="2.140625" style="18" customWidth="1"/>
    <col min="7691" max="7929" width="8.85546875" style="18"/>
    <col min="7930" max="7930" width="3.28515625" style="18" customWidth="1"/>
    <col min="7931" max="7931" width="2.85546875" style="18" customWidth="1"/>
    <col min="7932" max="7932" width="6.5703125" style="18" customWidth="1"/>
    <col min="7933" max="7933" width="137.28515625" style="18" customWidth="1"/>
    <col min="7934" max="7934" width="21.28515625" style="18" customWidth="1"/>
    <col min="7935" max="7935" width="25.28515625" style="18" customWidth="1"/>
    <col min="7936" max="7936" width="11.7109375" style="18" customWidth="1"/>
    <col min="7937" max="7940" width="11" style="18" customWidth="1"/>
    <col min="7941" max="7944" width="12.85546875" style="18" customWidth="1"/>
    <col min="7945" max="7945" width="17.85546875" style="18" customWidth="1"/>
    <col min="7946" max="7946" width="2.140625" style="18" customWidth="1"/>
    <col min="7947" max="8185" width="8.85546875" style="18"/>
    <col min="8186" max="8186" width="3.28515625" style="18" customWidth="1"/>
    <col min="8187" max="8187" width="2.85546875" style="18" customWidth="1"/>
    <col min="8188" max="8188" width="6.5703125" style="18" customWidth="1"/>
    <col min="8189" max="8189" width="137.28515625" style="18" customWidth="1"/>
    <col min="8190" max="8190" width="21.28515625" style="18" customWidth="1"/>
    <col min="8191" max="8191" width="25.28515625" style="18" customWidth="1"/>
    <col min="8192" max="8192" width="11.7109375" style="18" customWidth="1"/>
    <col min="8193" max="8196" width="11" style="18" customWidth="1"/>
    <col min="8197" max="8200" width="12.85546875" style="18" customWidth="1"/>
    <col min="8201" max="8201" width="17.85546875" style="18" customWidth="1"/>
    <col min="8202" max="8202" width="2.140625" style="18" customWidth="1"/>
    <col min="8203" max="8441" width="8.85546875" style="18"/>
    <col min="8442" max="8442" width="3.28515625" style="18" customWidth="1"/>
    <col min="8443" max="8443" width="2.85546875" style="18" customWidth="1"/>
    <col min="8444" max="8444" width="6.5703125" style="18" customWidth="1"/>
    <col min="8445" max="8445" width="137.28515625" style="18" customWidth="1"/>
    <col min="8446" max="8446" width="21.28515625" style="18" customWidth="1"/>
    <col min="8447" max="8447" width="25.28515625" style="18" customWidth="1"/>
    <col min="8448" max="8448" width="11.7109375" style="18" customWidth="1"/>
    <col min="8449" max="8452" width="11" style="18" customWidth="1"/>
    <col min="8453" max="8456" width="12.85546875" style="18" customWidth="1"/>
    <col min="8457" max="8457" width="17.85546875" style="18" customWidth="1"/>
    <col min="8458" max="8458" width="2.140625" style="18" customWidth="1"/>
    <col min="8459" max="8697" width="8.85546875" style="18"/>
    <col min="8698" max="8698" width="3.28515625" style="18" customWidth="1"/>
    <col min="8699" max="8699" width="2.85546875" style="18" customWidth="1"/>
    <col min="8700" max="8700" width="6.5703125" style="18" customWidth="1"/>
    <col min="8701" max="8701" width="137.28515625" style="18" customWidth="1"/>
    <col min="8702" max="8702" width="21.28515625" style="18" customWidth="1"/>
    <col min="8703" max="8703" width="25.28515625" style="18" customWidth="1"/>
    <col min="8704" max="8704" width="11.7109375" style="18" customWidth="1"/>
    <col min="8705" max="8708" width="11" style="18" customWidth="1"/>
    <col min="8709" max="8712" width="12.85546875" style="18" customWidth="1"/>
    <col min="8713" max="8713" width="17.85546875" style="18" customWidth="1"/>
    <col min="8714" max="8714" width="2.140625" style="18" customWidth="1"/>
    <col min="8715" max="8953" width="8.85546875" style="18"/>
    <col min="8954" max="8954" width="3.28515625" style="18" customWidth="1"/>
    <col min="8955" max="8955" width="2.85546875" style="18" customWidth="1"/>
    <col min="8956" max="8956" width="6.5703125" style="18" customWidth="1"/>
    <col min="8957" max="8957" width="137.28515625" style="18" customWidth="1"/>
    <col min="8958" max="8958" width="21.28515625" style="18" customWidth="1"/>
    <col min="8959" max="8959" width="25.28515625" style="18" customWidth="1"/>
    <col min="8960" max="8960" width="11.7109375" style="18" customWidth="1"/>
    <col min="8961" max="8964" width="11" style="18" customWidth="1"/>
    <col min="8965" max="8968" width="12.85546875" style="18" customWidth="1"/>
    <col min="8969" max="8969" width="17.85546875" style="18" customWidth="1"/>
    <col min="8970" max="8970" width="2.140625" style="18" customWidth="1"/>
    <col min="8971" max="9209" width="8.85546875" style="18"/>
    <col min="9210" max="9210" width="3.28515625" style="18" customWidth="1"/>
    <col min="9211" max="9211" width="2.85546875" style="18" customWidth="1"/>
    <col min="9212" max="9212" width="6.5703125" style="18" customWidth="1"/>
    <col min="9213" max="9213" width="137.28515625" style="18" customWidth="1"/>
    <col min="9214" max="9214" width="21.28515625" style="18" customWidth="1"/>
    <col min="9215" max="9215" width="25.28515625" style="18" customWidth="1"/>
    <col min="9216" max="9216" width="11.7109375" style="18" customWidth="1"/>
    <col min="9217" max="9220" width="11" style="18" customWidth="1"/>
    <col min="9221" max="9224" width="12.85546875" style="18" customWidth="1"/>
    <col min="9225" max="9225" width="17.85546875" style="18" customWidth="1"/>
    <col min="9226" max="9226" width="2.140625" style="18" customWidth="1"/>
    <col min="9227" max="9465" width="8.85546875" style="18"/>
    <col min="9466" max="9466" width="3.28515625" style="18" customWidth="1"/>
    <col min="9467" max="9467" width="2.85546875" style="18" customWidth="1"/>
    <col min="9468" max="9468" width="6.5703125" style="18" customWidth="1"/>
    <col min="9469" max="9469" width="137.28515625" style="18" customWidth="1"/>
    <col min="9470" max="9470" width="21.28515625" style="18" customWidth="1"/>
    <col min="9471" max="9471" width="25.28515625" style="18" customWidth="1"/>
    <col min="9472" max="9472" width="11.7109375" style="18" customWidth="1"/>
    <col min="9473" max="9476" width="11" style="18" customWidth="1"/>
    <col min="9477" max="9480" width="12.85546875" style="18" customWidth="1"/>
    <col min="9481" max="9481" width="17.85546875" style="18" customWidth="1"/>
    <col min="9482" max="9482" width="2.140625" style="18" customWidth="1"/>
    <col min="9483" max="9721" width="8.85546875" style="18"/>
    <col min="9722" max="9722" width="3.28515625" style="18" customWidth="1"/>
    <col min="9723" max="9723" width="2.85546875" style="18" customWidth="1"/>
    <col min="9724" max="9724" width="6.5703125" style="18" customWidth="1"/>
    <col min="9725" max="9725" width="137.28515625" style="18" customWidth="1"/>
    <col min="9726" max="9726" width="21.28515625" style="18" customWidth="1"/>
    <col min="9727" max="9727" width="25.28515625" style="18" customWidth="1"/>
    <col min="9728" max="9728" width="11.7109375" style="18" customWidth="1"/>
    <col min="9729" max="9732" width="11" style="18" customWidth="1"/>
    <col min="9733" max="9736" width="12.85546875" style="18" customWidth="1"/>
    <col min="9737" max="9737" width="17.85546875" style="18" customWidth="1"/>
    <col min="9738" max="9738" width="2.140625" style="18" customWidth="1"/>
    <col min="9739" max="9977" width="8.85546875" style="18"/>
    <col min="9978" max="9978" width="3.28515625" style="18" customWidth="1"/>
    <col min="9979" max="9979" width="2.85546875" style="18" customWidth="1"/>
    <col min="9980" max="9980" width="6.5703125" style="18" customWidth="1"/>
    <col min="9981" max="9981" width="137.28515625" style="18" customWidth="1"/>
    <col min="9982" max="9982" width="21.28515625" style="18" customWidth="1"/>
    <col min="9983" max="9983" width="25.28515625" style="18" customWidth="1"/>
    <col min="9984" max="9984" width="11.7109375" style="18" customWidth="1"/>
    <col min="9985" max="9988" width="11" style="18" customWidth="1"/>
    <col min="9989" max="9992" width="12.85546875" style="18" customWidth="1"/>
    <col min="9993" max="9993" width="17.85546875" style="18" customWidth="1"/>
    <col min="9994" max="9994" width="2.140625" style="18" customWidth="1"/>
    <col min="9995" max="10233" width="8.85546875" style="18"/>
    <col min="10234" max="10234" width="3.28515625" style="18" customWidth="1"/>
    <col min="10235" max="10235" width="2.85546875" style="18" customWidth="1"/>
    <col min="10236" max="10236" width="6.5703125" style="18" customWidth="1"/>
    <col min="10237" max="10237" width="137.28515625" style="18" customWidth="1"/>
    <col min="10238" max="10238" width="21.28515625" style="18" customWidth="1"/>
    <col min="10239" max="10239" width="25.28515625" style="18" customWidth="1"/>
    <col min="10240" max="10240" width="11.7109375" style="18" customWidth="1"/>
    <col min="10241" max="10244" width="11" style="18" customWidth="1"/>
    <col min="10245" max="10248" width="12.85546875" style="18" customWidth="1"/>
    <col min="10249" max="10249" width="17.85546875" style="18" customWidth="1"/>
    <col min="10250" max="10250" width="2.140625" style="18" customWidth="1"/>
    <col min="10251" max="10489" width="8.85546875" style="18"/>
    <col min="10490" max="10490" width="3.28515625" style="18" customWidth="1"/>
    <col min="10491" max="10491" width="2.85546875" style="18" customWidth="1"/>
    <col min="10492" max="10492" width="6.5703125" style="18" customWidth="1"/>
    <col min="10493" max="10493" width="137.28515625" style="18" customWidth="1"/>
    <col min="10494" max="10494" width="21.28515625" style="18" customWidth="1"/>
    <col min="10495" max="10495" width="25.28515625" style="18" customWidth="1"/>
    <col min="10496" max="10496" width="11.7109375" style="18" customWidth="1"/>
    <col min="10497" max="10500" width="11" style="18" customWidth="1"/>
    <col min="10501" max="10504" width="12.85546875" style="18" customWidth="1"/>
    <col min="10505" max="10505" width="17.85546875" style="18" customWidth="1"/>
    <col min="10506" max="10506" width="2.140625" style="18" customWidth="1"/>
    <col min="10507" max="10745" width="8.85546875" style="18"/>
    <col min="10746" max="10746" width="3.28515625" style="18" customWidth="1"/>
    <col min="10747" max="10747" width="2.85546875" style="18" customWidth="1"/>
    <col min="10748" max="10748" width="6.5703125" style="18" customWidth="1"/>
    <col min="10749" max="10749" width="137.28515625" style="18" customWidth="1"/>
    <col min="10750" max="10750" width="21.28515625" style="18" customWidth="1"/>
    <col min="10751" max="10751" width="25.28515625" style="18" customWidth="1"/>
    <col min="10752" max="10752" width="11.7109375" style="18" customWidth="1"/>
    <col min="10753" max="10756" width="11" style="18" customWidth="1"/>
    <col min="10757" max="10760" width="12.85546875" style="18" customWidth="1"/>
    <col min="10761" max="10761" width="17.85546875" style="18" customWidth="1"/>
    <col min="10762" max="10762" width="2.140625" style="18" customWidth="1"/>
    <col min="10763" max="11001" width="8.85546875" style="18"/>
    <col min="11002" max="11002" width="3.28515625" style="18" customWidth="1"/>
    <col min="11003" max="11003" width="2.85546875" style="18" customWidth="1"/>
    <col min="11004" max="11004" width="6.5703125" style="18" customWidth="1"/>
    <col min="11005" max="11005" width="137.28515625" style="18" customWidth="1"/>
    <col min="11006" max="11006" width="21.28515625" style="18" customWidth="1"/>
    <col min="11007" max="11007" width="25.28515625" style="18" customWidth="1"/>
    <col min="11008" max="11008" width="11.7109375" style="18" customWidth="1"/>
    <col min="11009" max="11012" width="11" style="18" customWidth="1"/>
    <col min="11013" max="11016" width="12.85546875" style="18" customWidth="1"/>
    <col min="11017" max="11017" width="17.85546875" style="18" customWidth="1"/>
    <col min="11018" max="11018" width="2.140625" style="18" customWidth="1"/>
    <col min="11019" max="11257" width="8.85546875" style="18"/>
    <col min="11258" max="11258" width="3.28515625" style="18" customWidth="1"/>
    <col min="11259" max="11259" width="2.85546875" style="18" customWidth="1"/>
    <col min="11260" max="11260" width="6.5703125" style="18" customWidth="1"/>
    <col min="11261" max="11261" width="137.28515625" style="18" customWidth="1"/>
    <col min="11262" max="11262" width="21.28515625" style="18" customWidth="1"/>
    <col min="11263" max="11263" width="25.28515625" style="18" customWidth="1"/>
    <col min="11264" max="11264" width="11.7109375" style="18" customWidth="1"/>
    <col min="11265" max="11268" width="11" style="18" customWidth="1"/>
    <col min="11269" max="11272" width="12.85546875" style="18" customWidth="1"/>
    <col min="11273" max="11273" width="17.85546875" style="18" customWidth="1"/>
    <col min="11274" max="11274" width="2.140625" style="18" customWidth="1"/>
    <col min="11275" max="11513" width="8.85546875" style="18"/>
    <col min="11514" max="11514" width="3.28515625" style="18" customWidth="1"/>
    <col min="11515" max="11515" width="2.85546875" style="18" customWidth="1"/>
    <col min="11516" max="11516" width="6.5703125" style="18" customWidth="1"/>
    <col min="11517" max="11517" width="137.28515625" style="18" customWidth="1"/>
    <col min="11518" max="11518" width="21.28515625" style="18" customWidth="1"/>
    <col min="11519" max="11519" width="25.28515625" style="18" customWidth="1"/>
    <col min="11520" max="11520" width="11.7109375" style="18" customWidth="1"/>
    <col min="11521" max="11524" width="11" style="18" customWidth="1"/>
    <col min="11525" max="11528" width="12.85546875" style="18" customWidth="1"/>
    <col min="11529" max="11529" width="17.85546875" style="18" customWidth="1"/>
    <col min="11530" max="11530" width="2.140625" style="18" customWidth="1"/>
    <col min="11531" max="11769" width="8.85546875" style="18"/>
    <col min="11770" max="11770" width="3.28515625" style="18" customWidth="1"/>
    <col min="11771" max="11771" width="2.85546875" style="18" customWidth="1"/>
    <col min="11772" max="11772" width="6.5703125" style="18" customWidth="1"/>
    <col min="11773" max="11773" width="137.28515625" style="18" customWidth="1"/>
    <col min="11774" max="11774" width="21.28515625" style="18" customWidth="1"/>
    <col min="11775" max="11775" width="25.28515625" style="18" customWidth="1"/>
    <col min="11776" max="11776" width="11.7109375" style="18" customWidth="1"/>
    <col min="11777" max="11780" width="11" style="18" customWidth="1"/>
    <col min="11781" max="11784" width="12.85546875" style="18" customWidth="1"/>
    <col min="11785" max="11785" width="17.85546875" style="18" customWidth="1"/>
    <col min="11786" max="11786" width="2.140625" style="18" customWidth="1"/>
    <col min="11787" max="12025" width="8.85546875" style="18"/>
    <col min="12026" max="12026" width="3.28515625" style="18" customWidth="1"/>
    <col min="12027" max="12027" width="2.85546875" style="18" customWidth="1"/>
    <col min="12028" max="12028" width="6.5703125" style="18" customWidth="1"/>
    <col min="12029" max="12029" width="137.28515625" style="18" customWidth="1"/>
    <col min="12030" max="12030" width="21.28515625" style="18" customWidth="1"/>
    <col min="12031" max="12031" width="25.28515625" style="18" customWidth="1"/>
    <col min="12032" max="12032" width="11.7109375" style="18" customWidth="1"/>
    <col min="12033" max="12036" width="11" style="18" customWidth="1"/>
    <col min="12037" max="12040" width="12.85546875" style="18" customWidth="1"/>
    <col min="12041" max="12041" width="17.85546875" style="18" customWidth="1"/>
    <col min="12042" max="12042" width="2.140625" style="18" customWidth="1"/>
    <col min="12043" max="12281" width="8.85546875" style="18"/>
    <col min="12282" max="12282" width="3.28515625" style="18" customWidth="1"/>
    <col min="12283" max="12283" width="2.85546875" style="18" customWidth="1"/>
    <col min="12284" max="12284" width="6.5703125" style="18" customWidth="1"/>
    <col min="12285" max="12285" width="137.28515625" style="18" customWidth="1"/>
    <col min="12286" max="12286" width="21.28515625" style="18" customWidth="1"/>
    <col min="12287" max="12287" width="25.28515625" style="18" customWidth="1"/>
    <col min="12288" max="12288" width="11.7109375" style="18" customWidth="1"/>
    <col min="12289" max="12292" width="11" style="18" customWidth="1"/>
    <col min="12293" max="12296" width="12.85546875" style="18" customWidth="1"/>
    <col min="12297" max="12297" width="17.85546875" style="18" customWidth="1"/>
    <col min="12298" max="12298" width="2.140625" style="18" customWidth="1"/>
    <col min="12299" max="12537" width="8.85546875" style="18"/>
    <col min="12538" max="12538" width="3.28515625" style="18" customWidth="1"/>
    <col min="12539" max="12539" width="2.85546875" style="18" customWidth="1"/>
    <col min="12540" max="12540" width="6.5703125" style="18" customWidth="1"/>
    <col min="12541" max="12541" width="137.28515625" style="18" customWidth="1"/>
    <col min="12542" max="12542" width="21.28515625" style="18" customWidth="1"/>
    <col min="12543" max="12543" width="25.28515625" style="18" customWidth="1"/>
    <col min="12544" max="12544" width="11.7109375" style="18" customWidth="1"/>
    <col min="12545" max="12548" width="11" style="18" customWidth="1"/>
    <col min="12549" max="12552" width="12.85546875" style="18" customWidth="1"/>
    <col min="12553" max="12553" width="17.85546875" style="18" customWidth="1"/>
    <col min="12554" max="12554" width="2.140625" style="18" customWidth="1"/>
    <col min="12555" max="12793" width="8.85546875" style="18"/>
    <col min="12794" max="12794" width="3.28515625" style="18" customWidth="1"/>
    <col min="12795" max="12795" width="2.85546875" style="18" customWidth="1"/>
    <col min="12796" max="12796" width="6.5703125" style="18" customWidth="1"/>
    <col min="12797" max="12797" width="137.28515625" style="18" customWidth="1"/>
    <col min="12798" max="12798" width="21.28515625" style="18" customWidth="1"/>
    <col min="12799" max="12799" width="25.28515625" style="18" customWidth="1"/>
    <col min="12800" max="12800" width="11.7109375" style="18" customWidth="1"/>
    <col min="12801" max="12804" width="11" style="18" customWidth="1"/>
    <col min="12805" max="12808" width="12.85546875" style="18" customWidth="1"/>
    <col min="12809" max="12809" width="17.85546875" style="18" customWidth="1"/>
    <col min="12810" max="12810" width="2.140625" style="18" customWidth="1"/>
    <col min="12811" max="13049" width="8.85546875" style="18"/>
    <col min="13050" max="13050" width="3.28515625" style="18" customWidth="1"/>
    <col min="13051" max="13051" width="2.85546875" style="18" customWidth="1"/>
    <col min="13052" max="13052" width="6.5703125" style="18" customWidth="1"/>
    <col min="13053" max="13053" width="137.28515625" style="18" customWidth="1"/>
    <col min="13054" max="13054" width="21.28515625" style="18" customWidth="1"/>
    <col min="13055" max="13055" width="25.28515625" style="18" customWidth="1"/>
    <col min="13056" max="13056" width="11.7109375" style="18" customWidth="1"/>
    <col min="13057" max="13060" width="11" style="18" customWidth="1"/>
    <col min="13061" max="13064" width="12.85546875" style="18" customWidth="1"/>
    <col min="13065" max="13065" width="17.85546875" style="18" customWidth="1"/>
    <col min="13066" max="13066" width="2.140625" style="18" customWidth="1"/>
    <col min="13067" max="13305" width="8.85546875" style="18"/>
    <col min="13306" max="13306" width="3.28515625" style="18" customWidth="1"/>
    <col min="13307" max="13307" width="2.85546875" style="18" customWidth="1"/>
    <col min="13308" max="13308" width="6.5703125" style="18" customWidth="1"/>
    <col min="13309" max="13309" width="137.28515625" style="18" customWidth="1"/>
    <col min="13310" max="13310" width="21.28515625" style="18" customWidth="1"/>
    <col min="13311" max="13311" width="25.28515625" style="18" customWidth="1"/>
    <col min="13312" max="13312" width="11.7109375" style="18" customWidth="1"/>
    <col min="13313" max="13316" width="11" style="18" customWidth="1"/>
    <col min="13317" max="13320" width="12.85546875" style="18" customWidth="1"/>
    <col min="13321" max="13321" width="17.85546875" style="18" customWidth="1"/>
    <col min="13322" max="13322" width="2.140625" style="18" customWidth="1"/>
    <col min="13323" max="13561" width="8.85546875" style="18"/>
    <col min="13562" max="13562" width="3.28515625" style="18" customWidth="1"/>
    <col min="13563" max="13563" width="2.85546875" style="18" customWidth="1"/>
    <col min="13564" max="13564" width="6.5703125" style="18" customWidth="1"/>
    <col min="13565" max="13565" width="137.28515625" style="18" customWidth="1"/>
    <col min="13566" max="13566" width="21.28515625" style="18" customWidth="1"/>
    <col min="13567" max="13567" width="25.28515625" style="18" customWidth="1"/>
    <col min="13568" max="13568" width="11.7109375" style="18" customWidth="1"/>
    <col min="13569" max="13572" width="11" style="18" customWidth="1"/>
    <col min="13573" max="13576" width="12.85546875" style="18" customWidth="1"/>
    <col min="13577" max="13577" width="17.85546875" style="18" customWidth="1"/>
    <col min="13578" max="13578" width="2.140625" style="18" customWidth="1"/>
    <col min="13579" max="13817" width="8.85546875" style="18"/>
    <col min="13818" max="13818" width="3.28515625" style="18" customWidth="1"/>
    <col min="13819" max="13819" width="2.85546875" style="18" customWidth="1"/>
    <col min="13820" max="13820" width="6.5703125" style="18" customWidth="1"/>
    <col min="13821" max="13821" width="137.28515625" style="18" customWidth="1"/>
    <col min="13822" max="13822" width="21.28515625" style="18" customWidth="1"/>
    <col min="13823" max="13823" width="25.28515625" style="18" customWidth="1"/>
    <col min="13824" max="13824" width="11.7109375" style="18" customWidth="1"/>
    <col min="13825" max="13828" width="11" style="18" customWidth="1"/>
    <col min="13829" max="13832" width="12.85546875" style="18" customWidth="1"/>
    <col min="13833" max="13833" width="17.85546875" style="18" customWidth="1"/>
    <col min="13834" max="13834" width="2.140625" style="18" customWidth="1"/>
    <col min="13835" max="14073" width="8.85546875" style="18"/>
    <col min="14074" max="14074" width="3.28515625" style="18" customWidth="1"/>
    <col min="14075" max="14075" width="2.85546875" style="18" customWidth="1"/>
    <col min="14076" max="14076" width="6.5703125" style="18" customWidth="1"/>
    <col min="14077" max="14077" width="137.28515625" style="18" customWidth="1"/>
    <col min="14078" max="14078" width="21.28515625" style="18" customWidth="1"/>
    <col min="14079" max="14079" width="25.28515625" style="18" customWidth="1"/>
    <col min="14080" max="14080" width="11.7109375" style="18" customWidth="1"/>
    <col min="14081" max="14084" width="11" style="18" customWidth="1"/>
    <col min="14085" max="14088" width="12.85546875" style="18" customWidth="1"/>
    <col min="14089" max="14089" width="17.85546875" style="18" customWidth="1"/>
    <col min="14090" max="14090" width="2.140625" style="18" customWidth="1"/>
    <col min="14091" max="14329" width="8.85546875" style="18"/>
    <col min="14330" max="14330" width="3.28515625" style="18" customWidth="1"/>
    <col min="14331" max="14331" width="2.85546875" style="18" customWidth="1"/>
    <col min="14332" max="14332" width="6.5703125" style="18" customWidth="1"/>
    <col min="14333" max="14333" width="137.28515625" style="18" customWidth="1"/>
    <col min="14334" max="14334" width="21.28515625" style="18" customWidth="1"/>
    <col min="14335" max="14335" width="25.28515625" style="18" customWidth="1"/>
    <col min="14336" max="14336" width="11.7109375" style="18" customWidth="1"/>
    <col min="14337" max="14340" width="11" style="18" customWidth="1"/>
    <col min="14341" max="14344" width="12.85546875" style="18" customWidth="1"/>
    <col min="14345" max="14345" width="17.85546875" style="18" customWidth="1"/>
    <col min="14346" max="14346" width="2.140625" style="18" customWidth="1"/>
    <col min="14347" max="14585" width="8.85546875" style="18"/>
    <col min="14586" max="14586" width="3.28515625" style="18" customWidth="1"/>
    <col min="14587" max="14587" width="2.85546875" style="18" customWidth="1"/>
    <col min="14588" max="14588" width="6.5703125" style="18" customWidth="1"/>
    <col min="14589" max="14589" width="137.28515625" style="18" customWidth="1"/>
    <col min="14590" max="14590" width="21.28515625" style="18" customWidth="1"/>
    <col min="14591" max="14591" width="25.28515625" style="18" customWidth="1"/>
    <col min="14592" max="14592" width="11.7109375" style="18" customWidth="1"/>
    <col min="14593" max="14596" width="11" style="18" customWidth="1"/>
    <col min="14597" max="14600" width="12.85546875" style="18" customWidth="1"/>
    <col min="14601" max="14601" width="17.85546875" style="18" customWidth="1"/>
    <col min="14602" max="14602" width="2.140625" style="18" customWidth="1"/>
    <col min="14603" max="14841" width="8.85546875" style="18"/>
    <col min="14842" max="14842" width="3.28515625" style="18" customWidth="1"/>
    <col min="14843" max="14843" width="2.85546875" style="18" customWidth="1"/>
    <col min="14844" max="14844" width="6.5703125" style="18" customWidth="1"/>
    <col min="14845" max="14845" width="137.28515625" style="18" customWidth="1"/>
    <col min="14846" max="14846" width="21.28515625" style="18" customWidth="1"/>
    <col min="14847" max="14847" width="25.28515625" style="18" customWidth="1"/>
    <col min="14848" max="14848" width="11.7109375" style="18" customWidth="1"/>
    <col min="14849" max="14852" width="11" style="18" customWidth="1"/>
    <col min="14853" max="14856" width="12.85546875" style="18" customWidth="1"/>
    <col min="14857" max="14857" width="17.85546875" style="18" customWidth="1"/>
    <col min="14858" max="14858" width="2.140625" style="18" customWidth="1"/>
    <col min="14859" max="15097" width="8.85546875" style="18"/>
    <col min="15098" max="15098" width="3.28515625" style="18" customWidth="1"/>
    <col min="15099" max="15099" width="2.85546875" style="18" customWidth="1"/>
    <col min="15100" max="15100" width="6.5703125" style="18" customWidth="1"/>
    <col min="15101" max="15101" width="137.28515625" style="18" customWidth="1"/>
    <col min="15102" max="15102" width="21.28515625" style="18" customWidth="1"/>
    <col min="15103" max="15103" width="25.28515625" style="18" customWidth="1"/>
    <col min="15104" max="15104" width="11.7109375" style="18" customWidth="1"/>
    <col min="15105" max="15108" width="11" style="18" customWidth="1"/>
    <col min="15109" max="15112" width="12.85546875" style="18" customWidth="1"/>
    <col min="15113" max="15113" width="17.85546875" style="18" customWidth="1"/>
    <col min="15114" max="15114" width="2.140625" style="18" customWidth="1"/>
    <col min="15115" max="15353" width="8.85546875" style="18"/>
    <col min="15354" max="15354" width="3.28515625" style="18" customWidth="1"/>
    <col min="15355" max="15355" width="2.85546875" style="18" customWidth="1"/>
    <col min="15356" max="15356" width="6.5703125" style="18" customWidth="1"/>
    <col min="15357" max="15357" width="137.28515625" style="18" customWidth="1"/>
    <col min="15358" max="15358" width="21.28515625" style="18" customWidth="1"/>
    <col min="15359" max="15359" width="25.28515625" style="18" customWidth="1"/>
    <col min="15360" max="15360" width="11.7109375" style="18" customWidth="1"/>
    <col min="15361" max="15364" width="11" style="18" customWidth="1"/>
    <col min="15365" max="15368" width="12.85546875" style="18" customWidth="1"/>
    <col min="15369" max="15369" width="17.85546875" style="18" customWidth="1"/>
    <col min="15370" max="15370" width="2.140625" style="18" customWidth="1"/>
    <col min="15371" max="15609" width="8.85546875" style="18"/>
    <col min="15610" max="15610" width="3.28515625" style="18" customWidth="1"/>
    <col min="15611" max="15611" width="2.85546875" style="18" customWidth="1"/>
    <col min="15612" max="15612" width="6.5703125" style="18" customWidth="1"/>
    <col min="15613" max="15613" width="137.28515625" style="18" customWidth="1"/>
    <col min="15614" max="15614" width="21.28515625" style="18" customWidth="1"/>
    <col min="15615" max="15615" width="25.28515625" style="18" customWidth="1"/>
    <col min="15616" max="15616" width="11.7109375" style="18" customWidth="1"/>
    <col min="15617" max="15620" width="11" style="18" customWidth="1"/>
    <col min="15621" max="15624" width="12.85546875" style="18" customWidth="1"/>
    <col min="15625" max="15625" width="17.85546875" style="18" customWidth="1"/>
    <col min="15626" max="15626" width="2.140625" style="18" customWidth="1"/>
    <col min="15627" max="15865" width="8.85546875" style="18"/>
    <col min="15866" max="15866" width="3.28515625" style="18" customWidth="1"/>
    <col min="15867" max="15867" width="2.85546875" style="18" customWidth="1"/>
    <col min="15868" max="15868" width="6.5703125" style="18" customWidth="1"/>
    <col min="15869" max="15869" width="137.28515625" style="18" customWidth="1"/>
    <col min="15870" max="15870" width="21.28515625" style="18" customWidth="1"/>
    <col min="15871" max="15871" width="25.28515625" style="18" customWidth="1"/>
    <col min="15872" max="15872" width="11.7109375" style="18" customWidth="1"/>
    <col min="15873" max="15876" width="11" style="18" customWidth="1"/>
    <col min="15877" max="15880" width="12.85546875" style="18" customWidth="1"/>
    <col min="15881" max="15881" width="17.85546875" style="18" customWidth="1"/>
    <col min="15882" max="15882" width="2.140625" style="18" customWidth="1"/>
    <col min="15883" max="16121" width="8.85546875" style="18"/>
    <col min="16122" max="16122" width="3.28515625" style="18" customWidth="1"/>
    <col min="16123" max="16123" width="2.85546875" style="18" customWidth="1"/>
    <col min="16124" max="16124" width="6.5703125" style="18" customWidth="1"/>
    <col min="16125" max="16125" width="137.28515625" style="18" customWidth="1"/>
    <col min="16126" max="16126" width="21.28515625" style="18" customWidth="1"/>
    <col min="16127" max="16127" width="25.28515625" style="18" customWidth="1"/>
    <col min="16128" max="16128" width="11.7109375" style="18" customWidth="1"/>
    <col min="16129" max="16132" width="11" style="18" customWidth="1"/>
    <col min="16133" max="16136" width="12.85546875" style="18" customWidth="1"/>
    <col min="16137" max="16137" width="17.85546875" style="18" customWidth="1"/>
    <col min="16138" max="16138" width="2.140625" style="18" customWidth="1"/>
    <col min="16139" max="16384" width="8.85546875" style="18"/>
  </cols>
  <sheetData>
    <row r="1" spans="3:9">
      <c r="C1" s="1184"/>
      <c r="D1" s="1183"/>
      <c r="E1" s="1182"/>
      <c r="F1" s="1332"/>
      <c r="G1" s="99"/>
      <c r="H1" s="2"/>
      <c r="I1" s="1180"/>
    </row>
    <row r="2" spans="3:9" ht="14.1" customHeight="1">
      <c r="C2" s="1726"/>
      <c r="D2" s="1726"/>
      <c r="E2" s="1726"/>
      <c r="F2" s="1726"/>
      <c r="G2" s="1726"/>
      <c r="H2" s="1726"/>
      <c r="I2" s="1726"/>
    </row>
    <row r="3" spans="3:9" ht="20.100000000000001" customHeight="1">
      <c r="C3" s="1728" t="s">
        <v>2550</v>
      </c>
      <c r="D3" s="1728"/>
      <c r="E3" s="1728"/>
      <c r="F3" s="1728"/>
      <c r="G3" s="1728"/>
      <c r="H3" s="1728"/>
      <c r="I3" s="1728"/>
    </row>
    <row r="4" spans="3:9" ht="20.100000000000001" customHeight="1">
      <c r="C4" s="1728" t="s">
        <v>78</v>
      </c>
      <c r="D4" s="1728"/>
      <c r="E4" s="1728"/>
      <c r="F4" s="1728"/>
      <c r="G4" s="1728"/>
      <c r="H4" s="1728"/>
      <c r="I4" s="1728"/>
    </row>
    <row r="5" spans="3:9" ht="20.100000000000001" customHeight="1">
      <c r="C5" s="1728" t="s">
        <v>4091</v>
      </c>
      <c r="D5" s="1728"/>
      <c r="E5" s="1728"/>
      <c r="F5" s="1728"/>
      <c r="G5" s="1728"/>
      <c r="H5" s="1728"/>
      <c r="I5" s="1728"/>
    </row>
    <row r="6" spans="3:9" ht="14.1" customHeight="1">
      <c r="E6" s="832"/>
      <c r="F6" s="1331"/>
      <c r="G6" s="832"/>
      <c r="H6" s="18"/>
      <c r="I6" s="832"/>
    </row>
    <row r="7" spans="3:9" ht="14.1" customHeight="1">
      <c r="C7" s="18" t="s">
        <v>80</v>
      </c>
      <c r="E7" s="18"/>
      <c r="F7" s="1330"/>
      <c r="G7" s="832"/>
      <c r="H7" s="1728" t="s">
        <v>4111</v>
      </c>
      <c r="I7" s="1728"/>
    </row>
    <row r="8" spans="3:9" ht="18.75" customHeight="1">
      <c r="C8" s="18" t="s">
        <v>4110</v>
      </c>
      <c r="E8" s="18"/>
      <c r="F8" s="1329"/>
      <c r="G8" s="832"/>
      <c r="H8" s="1728"/>
      <c r="I8" s="1728"/>
    </row>
    <row r="9" spans="3:9" ht="14.1" customHeight="1">
      <c r="C9" s="825"/>
      <c r="E9" s="825"/>
      <c r="F9" s="1329"/>
      <c r="G9" s="832"/>
      <c r="H9" s="18"/>
      <c r="I9" s="825"/>
    </row>
    <row r="10" spans="3:9" ht="35.25" customHeight="1">
      <c r="C10" s="1725" t="s">
        <v>6</v>
      </c>
      <c r="D10" s="1729" t="s">
        <v>7</v>
      </c>
      <c r="E10" s="1730" t="s">
        <v>8</v>
      </c>
      <c r="F10" s="1730"/>
      <c r="G10" s="1730"/>
      <c r="H10" s="1730"/>
      <c r="I10" s="1725" t="s">
        <v>11</v>
      </c>
    </row>
    <row r="11" spans="3:9" ht="59.25" customHeight="1">
      <c r="C11" s="1725"/>
      <c r="D11" s="1729"/>
      <c r="E11" s="1176" t="s">
        <v>14</v>
      </c>
      <c r="F11" s="1328" t="s">
        <v>87</v>
      </c>
      <c r="G11" s="1176" t="s">
        <v>88</v>
      </c>
      <c r="H11" s="1327" t="s">
        <v>89</v>
      </c>
      <c r="I11" s="1725"/>
    </row>
    <row r="12" spans="3:9" s="832" customFormat="1" ht="20.100000000000001" customHeight="1">
      <c r="C12" s="1321" t="s">
        <v>18</v>
      </c>
      <c r="D12" s="1326" t="s">
        <v>19</v>
      </c>
      <c r="E12" s="1325" t="s">
        <v>20</v>
      </c>
      <c r="F12" s="1324" t="s">
        <v>21</v>
      </c>
      <c r="G12" s="1323" t="s">
        <v>22</v>
      </c>
      <c r="H12" s="1322" t="s">
        <v>23</v>
      </c>
      <c r="I12" s="1321" t="s">
        <v>24</v>
      </c>
    </row>
    <row r="13" spans="3:9" s="656" customFormat="1" ht="21.75" customHeight="1">
      <c r="C13" s="1320" t="s">
        <v>92</v>
      </c>
      <c r="D13" s="1319" t="s">
        <v>93</v>
      </c>
      <c r="E13" s="1318">
        <f>E14+E53+E71+E85+E92</f>
        <v>266016422415</v>
      </c>
      <c r="F13" s="1318">
        <f>F14+F53+F71+F85+F92</f>
        <v>236970748636</v>
      </c>
      <c r="G13" s="1317">
        <f>F13/E13*100</f>
        <v>89.081247873604141</v>
      </c>
      <c r="H13" s="1316">
        <f>(H14+H53+H71+H85+H92)/5</f>
        <v>89.404707792207802</v>
      </c>
      <c r="I13" s="1315"/>
    </row>
    <row r="14" spans="3:9" ht="21.75" customHeight="1">
      <c r="C14" s="1304"/>
      <c r="D14" s="1066" t="s">
        <v>444</v>
      </c>
      <c r="E14" s="1200">
        <f>+E15+E23+E25+E31+E34+E43</f>
        <v>97490000000</v>
      </c>
      <c r="F14" s="1200">
        <v>92808762732</v>
      </c>
      <c r="G14" s="1306">
        <f t="shared" ref="G14:G51" si="0">+F14/E14*100</f>
        <v>95.198238518822436</v>
      </c>
      <c r="H14" s="882">
        <f>(H15+H23+H25+H31+H34+H43)/6</f>
        <v>85.205357142857153</v>
      </c>
      <c r="I14" s="659"/>
    </row>
    <row r="15" spans="3:9" ht="20.100000000000001" customHeight="1">
      <c r="C15" s="1304"/>
      <c r="D15" s="1066" t="s">
        <v>95</v>
      </c>
      <c r="E15" s="1200">
        <f>+E16+E17+E18+E19+E20+E21+E22</f>
        <v>25533038150</v>
      </c>
      <c r="F15" s="1200">
        <v>23493410295</v>
      </c>
      <c r="G15" s="1306">
        <f t="shared" si="0"/>
        <v>92.011809002055628</v>
      </c>
      <c r="H15" s="882">
        <f>SUM((H16:H22))/7</f>
        <v>97.857142857142861</v>
      </c>
      <c r="I15" s="659"/>
    </row>
    <row r="16" spans="3:9" ht="20.100000000000001" customHeight="1">
      <c r="C16" s="1304"/>
      <c r="D16" s="1068" t="s">
        <v>98</v>
      </c>
      <c r="E16" s="1198">
        <v>545200000</v>
      </c>
      <c r="F16" s="1198">
        <v>545200000</v>
      </c>
      <c r="G16" s="1306">
        <f t="shared" si="0"/>
        <v>100</v>
      </c>
      <c r="H16" s="882">
        <f>+G16</f>
        <v>100</v>
      </c>
      <c r="I16" s="659"/>
    </row>
    <row r="17" spans="3:9" ht="20.100000000000001" customHeight="1">
      <c r="C17" s="1304"/>
      <c r="D17" s="1068" t="s">
        <v>4089</v>
      </c>
      <c r="E17" s="1198">
        <v>400000000</v>
      </c>
      <c r="F17" s="1198">
        <v>390000000</v>
      </c>
      <c r="G17" s="1306">
        <f t="shared" si="0"/>
        <v>97.5</v>
      </c>
      <c r="H17" s="882">
        <v>100</v>
      </c>
      <c r="I17" s="659"/>
    </row>
    <row r="18" spans="3:9" ht="20.100000000000001" customHeight="1">
      <c r="C18" s="1304"/>
      <c r="D18" s="1068" t="s">
        <v>1482</v>
      </c>
      <c r="E18" s="1198">
        <v>520000000</v>
      </c>
      <c r="F18" s="1198">
        <v>516932800</v>
      </c>
      <c r="G18" s="1306">
        <f t="shared" si="0"/>
        <v>99.410153846153847</v>
      </c>
      <c r="H18" s="882">
        <v>100</v>
      </c>
      <c r="I18" s="659"/>
    </row>
    <row r="19" spans="3:9" ht="20.100000000000001" customHeight="1">
      <c r="C19" s="1304"/>
      <c r="D19" s="1068" t="s">
        <v>4088</v>
      </c>
      <c r="E19" s="1198">
        <v>3776105220</v>
      </c>
      <c r="F19" s="1198">
        <v>3695575000</v>
      </c>
      <c r="G19" s="1306">
        <f t="shared" si="0"/>
        <v>97.867373515614062</v>
      </c>
      <c r="H19" s="882">
        <v>100</v>
      </c>
      <c r="I19" s="659"/>
    </row>
    <row r="20" spans="3:9" ht="20.100000000000001" customHeight="1">
      <c r="C20" s="1304"/>
      <c r="D20" s="1068" t="s">
        <v>4087</v>
      </c>
      <c r="E20" s="1198">
        <v>17515982930</v>
      </c>
      <c r="F20" s="1198">
        <v>15843510695</v>
      </c>
      <c r="G20" s="1306">
        <f t="shared" si="0"/>
        <v>90.451736327422879</v>
      </c>
      <c r="H20" s="882">
        <v>100</v>
      </c>
      <c r="I20" s="659"/>
    </row>
    <row r="21" spans="3:9" ht="20.100000000000001" customHeight="1">
      <c r="C21" s="1304"/>
      <c r="D21" s="1068" t="s">
        <v>102</v>
      </c>
      <c r="E21" s="1198">
        <v>1731250000</v>
      </c>
      <c r="F21" s="1198">
        <v>1551150000</v>
      </c>
      <c r="G21" s="1306">
        <f t="shared" si="0"/>
        <v>89.597111913357395</v>
      </c>
      <c r="H21" s="882">
        <v>90</v>
      </c>
      <c r="I21" s="659"/>
    </row>
    <row r="22" spans="3:9" ht="20.100000000000001" customHeight="1">
      <c r="C22" s="1304"/>
      <c r="D22" s="1068" t="s">
        <v>4086</v>
      </c>
      <c r="E22" s="1198">
        <v>1044500000</v>
      </c>
      <c r="F22" s="1198">
        <v>951041800</v>
      </c>
      <c r="G22" s="1306">
        <f t="shared" si="0"/>
        <v>91.05235040689324</v>
      </c>
      <c r="H22" s="882">
        <v>95</v>
      </c>
      <c r="I22" s="659"/>
    </row>
    <row r="23" spans="3:9" ht="20.100000000000001" customHeight="1">
      <c r="C23" s="1304"/>
      <c r="D23" s="1066" t="s">
        <v>108</v>
      </c>
      <c r="E23" s="1200">
        <v>2349300000</v>
      </c>
      <c r="F23" s="1200">
        <v>2152500000</v>
      </c>
      <c r="G23" s="1306">
        <f t="shared" si="0"/>
        <v>91.623036649214669</v>
      </c>
      <c r="H23" s="882">
        <v>95</v>
      </c>
      <c r="I23" s="659"/>
    </row>
    <row r="24" spans="3:9" ht="20.100000000000001" customHeight="1">
      <c r="C24" s="1304"/>
      <c r="D24" s="1068" t="s">
        <v>109</v>
      </c>
      <c r="E24" s="1198">
        <v>2349300000</v>
      </c>
      <c r="F24" s="1198">
        <v>2152500000</v>
      </c>
      <c r="G24" s="1306">
        <f t="shared" si="0"/>
        <v>91.623036649214669</v>
      </c>
      <c r="H24" s="882">
        <v>95</v>
      </c>
      <c r="I24" s="659"/>
    </row>
    <row r="25" spans="3:9" ht="20.100000000000001" customHeight="1">
      <c r="C25" s="1304"/>
      <c r="D25" s="1066" t="s">
        <v>116</v>
      </c>
      <c r="E25" s="1200">
        <v>52655056280</v>
      </c>
      <c r="F25" s="1200">
        <v>52612230250</v>
      </c>
      <c r="G25" s="1306">
        <f t="shared" si="0"/>
        <v>99.918666823234858</v>
      </c>
      <c r="H25" s="882">
        <v>100</v>
      </c>
      <c r="I25" s="659"/>
    </row>
    <row r="26" spans="3:9" ht="20.100000000000001" customHeight="1">
      <c r="C26" s="1304"/>
      <c r="D26" s="1068" t="s">
        <v>117</v>
      </c>
      <c r="E26" s="1198">
        <v>243100000</v>
      </c>
      <c r="F26" s="1198">
        <v>237386400</v>
      </c>
      <c r="G26" s="1306">
        <f t="shared" si="0"/>
        <v>97.649691484985595</v>
      </c>
      <c r="H26" s="882">
        <v>100</v>
      </c>
      <c r="I26" s="659"/>
    </row>
    <row r="27" spans="3:9" ht="20.100000000000001" customHeight="1">
      <c r="C27" s="1304"/>
      <c r="D27" s="1068" t="s">
        <v>119</v>
      </c>
      <c r="E27" s="1198">
        <v>1245800000</v>
      </c>
      <c r="F27" s="1198">
        <v>1237544800</v>
      </c>
      <c r="G27" s="1306">
        <f t="shared" si="0"/>
        <v>99.337357521271471</v>
      </c>
      <c r="H27" s="882">
        <v>100</v>
      </c>
      <c r="I27" s="659"/>
    </row>
    <row r="28" spans="3:9" ht="20.100000000000001" customHeight="1">
      <c r="C28" s="1304"/>
      <c r="D28" s="1068" t="s">
        <v>2904</v>
      </c>
      <c r="E28" s="1198">
        <v>943700000</v>
      </c>
      <c r="F28" s="1198">
        <v>915078300</v>
      </c>
      <c r="G28" s="1306">
        <f t="shared" si="0"/>
        <v>96.967076401398742</v>
      </c>
      <c r="H28" s="882">
        <v>100</v>
      </c>
      <c r="I28" s="659"/>
    </row>
    <row r="29" spans="3:9" ht="20.100000000000001" customHeight="1">
      <c r="C29" s="1304"/>
      <c r="D29" s="1068" t="s">
        <v>4085</v>
      </c>
      <c r="E29" s="1198">
        <v>50022456280</v>
      </c>
      <c r="F29" s="1198">
        <v>50022240750</v>
      </c>
      <c r="G29" s="1306">
        <f t="shared" si="0"/>
        <v>99.999569133513162</v>
      </c>
      <c r="H29" s="882">
        <f>+G29</f>
        <v>99.999569133513162</v>
      </c>
      <c r="I29" s="659"/>
    </row>
    <row r="30" spans="3:9" ht="20.100000000000001" customHeight="1">
      <c r="C30" s="1304"/>
      <c r="D30" s="1068" t="s">
        <v>4084</v>
      </c>
      <c r="E30" s="1198">
        <v>200000000</v>
      </c>
      <c r="F30" s="1198">
        <v>199980000</v>
      </c>
      <c r="G30" s="1306">
        <f t="shared" si="0"/>
        <v>99.99</v>
      </c>
      <c r="H30" s="882">
        <v>100</v>
      </c>
      <c r="I30" s="659"/>
    </row>
    <row r="31" spans="3:9" ht="20.100000000000001" customHeight="1">
      <c r="C31" s="1304"/>
      <c r="D31" s="1066" t="s">
        <v>2308</v>
      </c>
      <c r="E31" s="1200">
        <v>530000000</v>
      </c>
      <c r="F31" s="1200">
        <v>477142000</v>
      </c>
      <c r="G31" s="1306">
        <f t="shared" si="0"/>
        <v>90.026792452830179</v>
      </c>
      <c r="H31" s="882">
        <v>50</v>
      </c>
      <c r="I31" s="659"/>
    </row>
    <row r="32" spans="3:9" ht="20.100000000000001" customHeight="1">
      <c r="C32" s="1304"/>
      <c r="D32" s="1068" t="s">
        <v>4083</v>
      </c>
      <c r="E32" s="1198">
        <v>50000000</v>
      </c>
      <c r="F32" s="1198">
        <v>0</v>
      </c>
      <c r="G32" s="1306">
        <f t="shared" si="0"/>
        <v>0</v>
      </c>
      <c r="H32" s="882">
        <f>+G32</f>
        <v>0</v>
      </c>
      <c r="I32" s="659"/>
    </row>
    <row r="33" spans="3:9" ht="20.100000000000001" customHeight="1">
      <c r="C33" s="1304"/>
      <c r="D33" s="1068" t="s">
        <v>4082</v>
      </c>
      <c r="E33" s="1198">
        <v>480000000</v>
      </c>
      <c r="F33" s="1198">
        <v>477142000</v>
      </c>
      <c r="G33" s="1306">
        <f t="shared" si="0"/>
        <v>99.404583333333335</v>
      </c>
      <c r="H33" s="882">
        <v>100</v>
      </c>
      <c r="I33" s="659"/>
    </row>
    <row r="34" spans="3:9" ht="20.100000000000001" customHeight="1">
      <c r="C34" s="1304"/>
      <c r="D34" s="1066" t="s">
        <v>124</v>
      </c>
      <c r="E34" s="1200">
        <v>5187467070</v>
      </c>
      <c r="F34" s="1200">
        <v>4704206704</v>
      </c>
      <c r="G34" s="1306">
        <f t="shared" si="0"/>
        <v>90.684078385870109</v>
      </c>
      <c r="H34" s="882">
        <f>SUM((H35:H42))/8</f>
        <v>79.625</v>
      </c>
      <c r="I34" s="659"/>
    </row>
    <row r="35" spans="3:9" ht="20.100000000000001" customHeight="1">
      <c r="C35" s="1304"/>
      <c r="D35" s="1068" t="s">
        <v>126</v>
      </c>
      <c r="E35" s="1198">
        <v>6000000</v>
      </c>
      <c r="F35" s="1198">
        <v>0</v>
      </c>
      <c r="G35" s="1306">
        <f t="shared" si="0"/>
        <v>0</v>
      </c>
      <c r="H35" s="882">
        <f>+G35</f>
        <v>0</v>
      </c>
      <c r="I35" s="659"/>
    </row>
    <row r="36" spans="3:9" ht="20.100000000000001" customHeight="1">
      <c r="C36" s="1304"/>
      <c r="D36" s="1068" t="s">
        <v>129</v>
      </c>
      <c r="E36" s="1198">
        <v>1802567070</v>
      </c>
      <c r="F36" s="1198">
        <v>1635890000</v>
      </c>
      <c r="G36" s="1306">
        <f t="shared" si="0"/>
        <v>90.753349887835242</v>
      </c>
      <c r="H36" s="882">
        <v>92</v>
      </c>
      <c r="I36" s="659"/>
    </row>
    <row r="37" spans="3:9" ht="20.100000000000001" customHeight="1">
      <c r="C37" s="1304"/>
      <c r="D37" s="1068" t="s">
        <v>4081</v>
      </c>
      <c r="E37" s="1198">
        <v>1000000000</v>
      </c>
      <c r="F37" s="1198">
        <v>1000000000</v>
      </c>
      <c r="G37" s="1306">
        <f t="shared" si="0"/>
        <v>100</v>
      </c>
      <c r="H37" s="882">
        <f>+G37</f>
        <v>100</v>
      </c>
      <c r="I37" s="659"/>
    </row>
    <row r="38" spans="3:9" ht="20.100000000000001" customHeight="1">
      <c r="C38" s="1304"/>
      <c r="D38" s="1068" t="s">
        <v>4080</v>
      </c>
      <c r="E38" s="1198">
        <v>290000000</v>
      </c>
      <c r="F38" s="1198">
        <v>216710500</v>
      </c>
      <c r="G38" s="1306">
        <f t="shared" si="0"/>
        <v>74.727758620689656</v>
      </c>
      <c r="H38" s="882">
        <v>75</v>
      </c>
      <c r="I38" s="659"/>
    </row>
    <row r="39" spans="3:9" ht="20.100000000000001" customHeight="1">
      <c r="C39" s="1304"/>
      <c r="D39" s="1068" t="s">
        <v>4079</v>
      </c>
      <c r="E39" s="1198">
        <v>313200000</v>
      </c>
      <c r="F39" s="1198">
        <v>313200000</v>
      </c>
      <c r="G39" s="1306">
        <f t="shared" si="0"/>
        <v>100</v>
      </c>
      <c r="H39" s="882">
        <f>+G39</f>
        <v>100</v>
      </c>
      <c r="I39" s="659"/>
    </row>
    <row r="40" spans="3:9" ht="20.100000000000001" customHeight="1">
      <c r="C40" s="1304"/>
      <c r="D40" s="1068" t="s">
        <v>4078</v>
      </c>
      <c r="E40" s="1198">
        <v>535000000</v>
      </c>
      <c r="F40" s="1198">
        <v>535000000</v>
      </c>
      <c r="G40" s="1306">
        <f t="shared" si="0"/>
        <v>100</v>
      </c>
      <c r="H40" s="882">
        <f>+G40</f>
        <v>100</v>
      </c>
      <c r="I40" s="659"/>
    </row>
    <row r="41" spans="3:9" ht="20.100000000000001" customHeight="1">
      <c r="C41" s="1304"/>
      <c r="D41" s="1068" t="s">
        <v>4077</v>
      </c>
      <c r="E41" s="1198">
        <v>443200000</v>
      </c>
      <c r="F41" s="1198">
        <v>388601100</v>
      </c>
      <c r="G41" s="1306">
        <f t="shared" si="0"/>
        <v>87.680753610108312</v>
      </c>
      <c r="H41" s="882">
        <v>90</v>
      </c>
      <c r="I41" s="659"/>
    </row>
    <row r="42" spans="3:9" ht="20.100000000000001" customHeight="1">
      <c r="C42" s="1304"/>
      <c r="D42" s="1068" t="s">
        <v>4076</v>
      </c>
      <c r="E42" s="1198">
        <v>797500000</v>
      </c>
      <c r="F42" s="1198">
        <v>614805104</v>
      </c>
      <c r="G42" s="1306">
        <f t="shared" si="0"/>
        <v>77.091549090909098</v>
      </c>
      <c r="H42" s="882">
        <v>80</v>
      </c>
      <c r="I42" s="659"/>
    </row>
    <row r="43" spans="3:9" ht="20.100000000000001" customHeight="1">
      <c r="C43" s="1304"/>
      <c r="D43" s="1066" t="s">
        <v>131</v>
      </c>
      <c r="E43" s="1200">
        <v>11235138500</v>
      </c>
      <c r="F43" s="1200">
        <v>9369273483</v>
      </c>
      <c r="G43" s="1306">
        <f t="shared" si="0"/>
        <v>83.392594430411336</v>
      </c>
      <c r="H43" s="882">
        <f>SUM((H44:H51))/8</f>
        <v>88.75</v>
      </c>
      <c r="I43" s="659"/>
    </row>
    <row r="44" spans="3:9" ht="20.100000000000001" customHeight="1">
      <c r="C44" s="1304"/>
      <c r="D44" s="1068" t="s">
        <v>4075</v>
      </c>
      <c r="E44" s="1198">
        <v>4336200000</v>
      </c>
      <c r="F44" s="1198">
        <v>3749550000</v>
      </c>
      <c r="G44" s="1306">
        <f t="shared" si="0"/>
        <v>86.470873114708738</v>
      </c>
      <c r="H44" s="882">
        <v>90</v>
      </c>
      <c r="I44" s="659"/>
    </row>
    <row r="45" spans="3:9" ht="20.100000000000001" customHeight="1">
      <c r="C45" s="1304"/>
      <c r="D45" s="1068" t="s">
        <v>137</v>
      </c>
      <c r="E45" s="1198">
        <v>346500000</v>
      </c>
      <c r="F45" s="1198">
        <v>346270790</v>
      </c>
      <c r="G45" s="1306">
        <f t="shared" si="0"/>
        <v>99.933849927849934</v>
      </c>
      <c r="H45" s="882">
        <v>100</v>
      </c>
      <c r="I45" s="659"/>
    </row>
    <row r="46" spans="3:9" ht="20.100000000000001" customHeight="1">
      <c r="C46" s="1304"/>
      <c r="D46" s="1068" t="s">
        <v>138</v>
      </c>
      <c r="E46" s="1198">
        <v>297900000</v>
      </c>
      <c r="F46" s="1198">
        <v>293847200</v>
      </c>
      <c r="G46" s="1306">
        <f t="shared" si="0"/>
        <v>98.639543470963403</v>
      </c>
      <c r="H46" s="882">
        <v>100</v>
      </c>
      <c r="I46" s="659"/>
    </row>
    <row r="47" spans="3:9" ht="20.100000000000001" customHeight="1">
      <c r="C47" s="1304"/>
      <c r="D47" s="1068" t="s">
        <v>4074</v>
      </c>
      <c r="E47" s="1198">
        <v>1165500000</v>
      </c>
      <c r="F47" s="1198">
        <v>1165039200</v>
      </c>
      <c r="G47" s="1306">
        <f t="shared" si="0"/>
        <v>99.960463320463319</v>
      </c>
      <c r="H47" s="882">
        <v>100</v>
      </c>
      <c r="I47" s="659"/>
    </row>
    <row r="48" spans="3:9" ht="20.100000000000001" customHeight="1">
      <c r="C48" s="1304"/>
      <c r="D48" s="1068" t="s">
        <v>4073</v>
      </c>
      <c r="E48" s="1198">
        <v>1580738500</v>
      </c>
      <c r="F48" s="1198">
        <v>1579738500</v>
      </c>
      <c r="G48" s="1306">
        <f t="shared" si="0"/>
        <v>99.93673842953784</v>
      </c>
      <c r="H48" s="882">
        <v>100</v>
      </c>
      <c r="I48" s="659"/>
    </row>
    <row r="49" spans="3:9" ht="20.100000000000001" customHeight="1">
      <c r="C49" s="1304"/>
      <c r="D49" s="1068" t="s">
        <v>4072</v>
      </c>
      <c r="E49" s="1198">
        <v>1454400000</v>
      </c>
      <c r="F49" s="1198">
        <v>242512316</v>
      </c>
      <c r="G49" s="1306">
        <f t="shared" si="0"/>
        <v>16.674389163916391</v>
      </c>
      <c r="H49" s="882">
        <v>20</v>
      </c>
      <c r="I49" s="659"/>
    </row>
    <row r="50" spans="3:9" ht="20.100000000000001" customHeight="1">
      <c r="C50" s="1304"/>
      <c r="D50" s="1068" t="s">
        <v>140</v>
      </c>
      <c r="E50" s="1198">
        <v>724400000</v>
      </c>
      <c r="F50" s="1198">
        <v>721819277</v>
      </c>
      <c r="G50" s="1306">
        <f t="shared" si="0"/>
        <v>99.643743373826609</v>
      </c>
      <c r="H50" s="882">
        <v>100</v>
      </c>
      <c r="I50" s="659"/>
    </row>
    <row r="51" spans="3:9" ht="20.100000000000001" customHeight="1">
      <c r="C51" s="1304"/>
      <c r="D51" s="1068" t="s">
        <v>4071</v>
      </c>
      <c r="E51" s="1198">
        <v>1329500000</v>
      </c>
      <c r="F51" s="1198">
        <v>1270496200</v>
      </c>
      <c r="G51" s="1306">
        <f t="shared" si="0"/>
        <v>95.561955622414445</v>
      </c>
      <c r="H51" s="882">
        <v>100</v>
      </c>
      <c r="I51" s="659"/>
    </row>
    <row r="52" spans="3:9" ht="20.100000000000001" customHeight="1">
      <c r="C52" s="1304"/>
      <c r="D52" s="982"/>
      <c r="E52" s="1202"/>
      <c r="F52" s="1303"/>
      <c r="G52" s="1204"/>
      <c r="H52" s="659"/>
      <c r="I52" s="659"/>
    </row>
    <row r="53" spans="3:9" ht="21.75" customHeight="1">
      <c r="C53" s="1304"/>
      <c r="D53" s="984" t="s">
        <v>161</v>
      </c>
      <c r="E53" s="1203">
        <f>E54+E56+E67</f>
        <v>18517107815</v>
      </c>
      <c r="F53" s="1203">
        <f>F54+F56+F67</f>
        <v>15380979647</v>
      </c>
      <c r="G53" s="1313">
        <f>F53/E53*100</f>
        <v>83.063617713239523</v>
      </c>
      <c r="H53" s="1300">
        <f>(H54+H56+H67)/3</f>
        <v>83.333333333333329</v>
      </c>
      <c r="I53" s="659"/>
    </row>
    <row r="54" spans="3:9" s="656" customFormat="1" ht="20.100000000000001" customHeight="1">
      <c r="C54" s="1314"/>
      <c r="D54" s="984" t="s">
        <v>179</v>
      </c>
      <c r="E54" s="1200">
        <v>114900000</v>
      </c>
      <c r="F54" s="1200">
        <v>99077400</v>
      </c>
      <c r="G54" s="1306">
        <f>+F54/E54*100</f>
        <v>86.22924281984335</v>
      </c>
      <c r="H54" s="882">
        <v>90</v>
      </c>
      <c r="I54" s="663"/>
    </row>
    <row r="55" spans="3:9" ht="20.100000000000001" customHeight="1">
      <c r="C55" s="1304"/>
      <c r="D55" s="982" t="s">
        <v>182</v>
      </c>
      <c r="E55" s="1198">
        <v>114900000</v>
      </c>
      <c r="F55" s="1198">
        <v>99077400</v>
      </c>
      <c r="G55" s="1306">
        <f>+F55/E55*100</f>
        <v>86.22924281984335</v>
      </c>
      <c r="H55" s="882">
        <v>90</v>
      </c>
      <c r="I55" s="659"/>
    </row>
    <row r="56" spans="3:9" s="656" customFormat="1" ht="20.100000000000001" customHeight="1">
      <c r="C56" s="1314"/>
      <c r="D56" s="984" t="s">
        <v>221</v>
      </c>
      <c r="E56" s="1202">
        <v>17412582815</v>
      </c>
      <c r="F56" s="1307">
        <f>SUM(F57:F66)</f>
        <v>14355823455</v>
      </c>
      <c r="G56" s="1313">
        <f>F56/E56*100</f>
        <v>82.445112293353944</v>
      </c>
      <c r="H56" s="1300">
        <f>SUM((H57:H66))/10</f>
        <v>62.5</v>
      </c>
      <c r="I56" s="663"/>
    </row>
    <row r="57" spans="3:9" ht="20.100000000000001" customHeight="1">
      <c r="C57" s="1304"/>
      <c r="D57" s="982" t="s">
        <v>222</v>
      </c>
      <c r="E57" s="1198">
        <v>3299936000</v>
      </c>
      <c r="F57" s="1198">
        <v>2687040363</v>
      </c>
      <c r="G57" s="1306">
        <f t="shared" ref="G57:G66" si="1">+F57/E57*100</f>
        <v>81.427044736625191</v>
      </c>
      <c r="H57" s="882">
        <v>85</v>
      </c>
      <c r="I57" s="659"/>
    </row>
    <row r="58" spans="3:9" ht="20.100000000000001" customHeight="1">
      <c r="C58" s="1304"/>
      <c r="D58" s="982" t="s">
        <v>225</v>
      </c>
      <c r="E58" s="1198">
        <v>1203546815</v>
      </c>
      <c r="F58" s="1198">
        <v>1036788896</v>
      </c>
      <c r="G58" s="1306">
        <f t="shared" si="1"/>
        <v>86.144459283040021</v>
      </c>
      <c r="H58" s="882">
        <v>90</v>
      </c>
      <c r="I58" s="659"/>
    </row>
    <row r="59" spans="3:9" ht="20.100000000000001" customHeight="1">
      <c r="C59" s="1304"/>
      <c r="D59" s="982" t="s">
        <v>4063</v>
      </c>
      <c r="E59" s="1198">
        <v>300000000</v>
      </c>
      <c r="F59" s="1198">
        <v>299796069</v>
      </c>
      <c r="G59" s="1306">
        <f t="shared" si="1"/>
        <v>99.932023000000001</v>
      </c>
      <c r="H59" s="882">
        <v>100</v>
      </c>
      <c r="I59" s="659"/>
    </row>
    <row r="60" spans="3:9" ht="20.100000000000001" customHeight="1">
      <c r="C60" s="1304"/>
      <c r="D60" s="982" t="s">
        <v>226</v>
      </c>
      <c r="E60" s="1198">
        <v>120000000</v>
      </c>
      <c r="F60" s="1198">
        <v>0</v>
      </c>
      <c r="G60" s="1306">
        <f t="shared" si="1"/>
        <v>0</v>
      </c>
      <c r="H60" s="882">
        <f>+G60</f>
        <v>0</v>
      </c>
      <c r="I60" s="659"/>
    </row>
    <row r="61" spans="3:9" ht="40.5" customHeight="1">
      <c r="C61" s="1304"/>
      <c r="D61" s="982" t="s">
        <v>227</v>
      </c>
      <c r="E61" s="1198">
        <v>200000000</v>
      </c>
      <c r="F61" s="1198">
        <v>192095000</v>
      </c>
      <c r="G61" s="1306">
        <f t="shared" si="1"/>
        <v>96.047499999999999</v>
      </c>
      <c r="H61" s="882">
        <v>100</v>
      </c>
      <c r="I61" s="659"/>
    </row>
    <row r="62" spans="3:9" ht="40.5" customHeight="1">
      <c r="C62" s="1304"/>
      <c r="D62" s="982" t="s">
        <v>229</v>
      </c>
      <c r="E62" s="1198">
        <v>8000000000</v>
      </c>
      <c r="F62" s="1198">
        <v>7116776529</v>
      </c>
      <c r="G62" s="1306">
        <f t="shared" si="1"/>
        <v>88.9597066125</v>
      </c>
      <c r="H62" s="882">
        <v>90</v>
      </c>
      <c r="I62" s="659"/>
    </row>
    <row r="63" spans="3:9" ht="20.100000000000001" customHeight="1">
      <c r="C63" s="1304"/>
      <c r="D63" s="982" t="s">
        <v>4062</v>
      </c>
      <c r="E63" s="1198">
        <v>325000000</v>
      </c>
      <c r="F63" s="1198">
        <v>0</v>
      </c>
      <c r="G63" s="1306">
        <f t="shared" si="1"/>
        <v>0</v>
      </c>
      <c r="H63" s="882">
        <f>+G63</f>
        <v>0</v>
      </c>
      <c r="I63" s="659"/>
    </row>
    <row r="64" spans="3:9" ht="20.100000000000001" customHeight="1">
      <c r="C64" s="1304"/>
      <c r="D64" s="982" t="s">
        <v>4061</v>
      </c>
      <c r="E64" s="1198">
        <v>2860000000</v>
      </c>
      <c r="F64" s="1198">
        <v>2521654202</v>
      </c>
      <c r="G64" s="1306">
        <f t="shared" si="1"/>
        <v>88.169727342657339</v>
      </c>
      <c r="H64" s="882">
        <v>90</v>
      </c>
      <c r="I64" s="659"/>
    </row>
    <row r="65" spans="3:9" ht="20.100000000000001" customHeight="1">
      <c r="C65" s="1304"/>
      <c r="D65" s="982" t="s">
        <v>232</v>
      </c>
      <c r="E65" s="1198">
        <v>754100000</v>
      </c>
      <c r="F65" s="1198">
        <v>501672396</v>
      </c>
      <c r="G65" s="1306">
        <f t="shared" si="1"/>
        <v>66.525977456570757</v>
      </c>
      <c r="H65" s="882">
        <v>70</v>
      </c>
      <c r="I65" s="659"/>
    </row>
    <row r="66" spans="3:9" ht="20.100000000000001" customHeight="1">
      <c r="C66" s="1304"/>
      <c r="D66" s="982" t="s">
        <v>4060</v>
      </c>
      <c r="E66" s="1198">
        <v>350000000</v>
      </c>
      <c r="F66" s="1198">
        <v>0</v>
      </c>
      <c r="G66" s="1306">
        <f t="shared" si="1"/>
        <v>0</v>
      </c>
      <c r="H66" s="882">
        <f>+G66</f>
        <v>0</v>
      </c>
      <c r="I66" s="659"/>
    </row>
    <row r="67" spans="3:9" s="656" customFormat="1" ht="20.100000000000001" customHeight="1">
      <c r="C67" s="1314"/>
      <c r="D67" s="984" t="s">
        <v>235</v>
      </c>
      <c r="E67" s="1202">
        <v>989625000</v>
      </c>
      <c r="F67" s="1307">
        <f>SUM(F68:F69)</f>
        <v>926078792</v>
      </c>
      <c r="G67" s="1313">
        <f>F67/E67*100</f>
        <v>93.578758822786412</v>
      </c>
      <c r="H67" s="1300">
        <f>195/2</f>
        <v>97.5</v>
      </c>
      <c r="I67" s="663"/>
    </row>
    <row r="68" spans="3:9" ht="20.100000000000001" customHeight="1">
      <c r="C68" s="1304"/>
      <c r="D68" s="982" t="s">
        <v>238</v>
      </c>
      <c r="E68" s="1198">
        <v>593500000</v>
      </c>
      <c r="F68" s="1198">
        <v>544227467</v>
      </c>
      <c r="G68" s="1306">
        <f>+F68/E68*100</f>
        <v>91.697972535804553</v>
      </c>
      <c r="H68" s="882">
        <v>95</v>
      </c>
      <c r="I68" s="659"/>
    </row>
    <row r="69" spans="3:9" ht="20.100000000000001" customHeight="1">
      <c r="C69" s="1304"/>
      <c r="D69" s="982" t="s">
        <v>4058</v>
      </c>
      <c r="E69" s="1198">
        <v>396125000</v>
      </c>
      <c r="F69" s="1198">
        <v>381851325</v>
      </c>
      <c r="G69" s="1306">
        <f>+F69/E69*100</f>
        <v>96.39667402966235</v>
      </c>
      <c r="H69" s="882">
        <v>100</v>
      </c>
      <c r="I69" s="659"/>
    </row>
    <row r="70" spans="3:9" ht="20.100000000000001" customHeight="1">
      <c r="C70" s="1304"/>
      <c r="D70" s="984"/>
      <c r="E70" s="1202">
        <v>0</v>
      </c>
      <c r="F70" s="1303"/>
      <c r="G70" s="1204"/>
      <c r="H70" s="659"/>
      <c r="I70" s="659"/>
    </row>
    <row r="71" spans="3:9" ht="33" customHeight="1">
      <c r="C71" s="1304"/>
      <c r="D71" s="984" t="s">
        <v>360</v>
      </c>
      <c r="E71" s="1203">
        <v>6100000000</v>
      </c>
      <c r="F71" s="1312">
        <v>5870306605</v>
      </c>
      <c r="G71" s="1306">
        <f t="shared" ref="G71:G83" si="2">+F71/E71*100</f>
        <v>96.234534508196717</v>
      </c>
      <c r="H71" s="882">
        <f>H72</f>
        <v>96.818181818181813</v>
      </c>
      <c r="I71" s="659"/>
    </row>
    <row r="72" spans="3:9" ht="20.100000000000001" customHeight="1">
      <c r="C72" s="1304"/>
      <c r="D72" s="984" t="s">
        <v>361</v>
      </c>
      <c r="E72" s="1200">
        <v>6100000000</v>
      </c>
      <c r="F72" s="1200">
        <v>5870306605</v>
      </c>
      <c r="G72" s="1306">
        <f t="shared" si="2"/>
        <v>96.234534508196717</v>
      </c>
      <c r="H72" s="882">
        <f>SUM((H73:H83))/11</f>
        <v>96.818181818181813</v>
      </c>
      <c r="I72" s="659"/>
    </row>
    <row r="73" spans="3:9" ht="20.100000000000001" customHeight="1">
      <c r="C73" s="1304"/>
      <c r="D73" s="982" t="s">
        <v>4007</v>
      </c>
      <c r="E73" s="1198">
        <v>300000000</v>
      </c>
      <c r="F73" s="1198">
        <v>297829800</v>
      </c>
      <c r="G73" s="1306">
        <f t="shared" si="2"/>
        <v>99.276600000000002</v>
      </c>
      <c r="H73" s="882">
        <v>100</v>
      </c>
      <c r="I73" s="659"/>
    </row>
    <row r="74" spans="3:9" ht="20.100000000000001" customHeight="1">
      <c r="C74" s="1304"/>
      <c r="D74" s="982" t="s">
        <v>4006</v>
      </c>
      <c r="E74" s="1198">
        <v>200000000</v>
      </c>
      <c r="F74" s="1198">
        <v>200000000</v>
      </c>
      <c r="G74" s="1306">
        <f t="shared" si="2"/>
        <v>100</v>
      </c>
      <c r="H74" s="882">
        <f>+G74</f>
        <v>100</v>
      </c>
      <c r="I74" s="659"/>
    </row>
    <row r="75" spans="3:9" ht="20.100000000000001" customHeight="1">
      <c r="C75" s="1304"/>
      <c r="D75" s="982" t="s">
        <v>362</v>
      </c>
      <c r="E75" s="1198">
        <v>2442000000</v>
      </c>
      <c r="F75" s="1198">
        <v>2437022839</v>
      </c>
      <c r="G75" s="1306">
        <f t="shared" si="2"/>
        <v>99.79618505323505</v>
      </c>
      <c r="H75" s="882">
        <v>100</v>
      </c>
      <c r="I75" s="659"/>
    </row>
    <row r="76" spans="3:9" ht="20.100000000000001" customHeight="1">
      <c r="C76" s="1304"/>
      <c r="D76" s="982" t="s">
        <v>4005</v>
      </c>
      <c r="E76" s="1198">
        <v>993000000</v>
      </c>
      <c r="F76" s="1198">
        <v>952975779</v>
      </c>
      <c r="G76" s="1306">
        <f t="shared" si="2"/>
        <v>95.969363444108751</v>
      </c>
      <c r="H76" s="882">
        <v>95</v>
      </c>
      <c r="I76" s="659"/>
    </row>
    <row r="77" spans="3:9" ht="20.100000000000001" customHeight="1">
      <c r="C77" s="1304"/>
      <c r="D77" s="982" t="s">
        <v>4004</v>
      </c>
      <c r="E77" s="1198">
        <v>250000000</v>
      </c>
      <c r="F77" s="1198">
        <v>230440100</v>
      </c>
      <c r="G77" s="1306">
        <f t="shared" si="2"/>
        <v>92.17604</v>
      </c>
      <c r="H77" s="882">
        <v>95</v>
      </c>
      <c r="I77" s="659"/>
    </row>
    <row r="78" spans="3:9" ht="20.100000000000001" customHeight="1">
      <c r="C78" s="1304"/>
      <c r="D78" s="982" t="s">
        <v>4003</v>
      </c>
      <c r="E78" s="1198">
        <v>618600000</v>
      </c>
      <c r="F78" s="1198">
        <v>544806134</v>
      </c>
      <c r="G78" s="1306">
        <f t="shared" si="2"/>
        <v>88.070826705463958</v>
      </c>
      <c r="H78" s="882">
        <v>90</v>
      </c>
      <c r="I78" s="659"/>
    </row>
    <row r="79" spans="3:9" ht="20.100000000000001" customHeight="1">
      <c r="C79" s="1304"/>
      <c r="D79" s="982" t="s">
        <v>4002</v>
      </c>
      <c r="E79" s="1198">
        <v>400000000</v>
      </c>
      <c r="F79" s="1198">
        <v>327228853</v>
      </c>
      <c r="G79" s="1306">
        <f t="shared" si="2"/>
        <v>81.807213250000004</v>
      </c>
      <c r="H79" s="882">
        <v>85</v>
      </c>
      <c r="I79" s="659"/>
    </row>
    <row r="80" spans="3:9" ht="20.100000000000001" customHeight="1">
      <c r="C80" s="1304"/>
      <c r="D80" s="982" t="s">
        <v>4001</v>
      </c>
      <c r="E80" s="1198">
        <v>200000000</v>
      </c>
      <c r="F80" s="1198">
        <v>191549000</v>
      </c>
      <c r="G80" s="1306">
        <f t="shared" si="2"/>
        <v>95.774499999999989</v>
      </c>
      <c r="H80" s="882">
        <v>100</v>
      </c>
      <c r="I80" s="659"/>
    </row>
    <row r="81" spans="3:9" ht="20.100000000000001" customHeight="1">
      <c r="C81" s="1304"/>
      <c r="D81" s="982" t="s">
        <v>4000</v>
      </c>
      <c r="E81" s="1198">
        <v>271500000</v>
      </c>
      <c r="F81" s="1198">
        <v>264086100</v>
      </c>
      <c r="G81" s="1306">
        <f t="shared" si="2"/>
        <v>97.269281767955803</v>
      </c>
      <c r="H81" s="882">
        <v>100</v>
      </c>
      <c r="I81" s="659"/>
    </row>
    <row r="82" spans="3:9" ht="20.100000000000001" customHeight="1">
      <c r="C82" s="1304"/>
      <c r="D82" s="982" t="s">
        <v>3999</v>
      </c>
      <c r="E82" s="1198">
        <v>200000000</v>
      </c>
      <c r="F82" s="1198">
        <v>199946900</v>
      </c>
      <c r="G82" s="1306">
        <f t="shared" si="2"/>
        <v>99.97345</v>
      </c>
      <c r="H82" s="882">
        <v>100</v>
      </c>
      <c r="I82" s="659"/>
    </row>
    <row r="83" spans="3:9" ht="20.100000000000001" customHeight="1">
      <c r="C83" s="1304"/>
      <c r="D83" s="982" t="s">
        <v>3998</v>
      </c>
      <c r="E83" s="1198">
        <v>224900000</v>
      </c>
      <c r="F83" s="1198">
        <v>224421100</v>
      </c>
      <c r="G83" s="1306">
        <f t="shared" si="2"/>
        <v>99.787060915962655</v>
      </c>
      <c r="H83" s="882">
        <v>100</v>
      </c>
      <c r="I83" s="659"/>
    </row>
    <row r="84" spans="3:9" ht="20.100000000000001" customHeight="1">
      <c r="C84" s="1304"/>
      <c r="D84" s="982"/>
      <c r="E84" s="1202">
        <v>0</v>
      </c>
      <c r="F84" s="1303"/>
      <c r="G84" s="1204"/>
      <c r="H84" s="659"/>
      <c r="I84" s="659"/>
    </row>
    <row r="85" spans="3:9" ht="21.75" customHeight="1">
      <c r="C85" s="1304"/>
      <c r="D85" s="984" t="s">
        <v>2783</v>
      </c>
      <c r="E85" s="1203">
        <v>132709314600</v>
      </c>
      <c r="F85" s="1311">
        <f>+F86</f>
        <v>113379818182</v>
      </c>
      <c r="G85" s="1306">
        <f t="shared" ref="G85:G90" si="3">+F85/E85*100</f>
        <v>85.434710083266452</v>
      </c>
      <c r="H85" s="882">
        <v>90</v>
      </c>
      <c r="I85" s="659"/>
    </row>
    <row r="86" spans="3:9" ht="20.100000000000001" customHeight="1">
      <c r="C86" s="1304"/>
      <c r="D86" s="984" t="s">
        <v>374</v>
      </c>
      <c r="E86" s="1310">
        <f>+E87</f>
        <v>132709314600</v>
      </c>
      <c r="F86" s="999">
        <f>+F87</f>
        <v>113379818182</v>
      </c>
      <c r="G86" s="1306">
        <f t="shared" si="3"/>
        <v>85.434710083266452</v>
      </c>
      <c r="H86" s="882">
        <v>90</v>
      </c>
      <c r="I86" s="659"/>
    </row>
    <row r="87" spans="3:9" ht="20.100000000000001" customHeight="1">
      <c r="C87" s="1304"/>
      <c r="D87" s="984" t="s">
        <v>375</v>
      </c>
      <c r="E87" s="1310">
        <f>+E88</f>
        <v>132709314600</v>
      </c>
      <c r="F87" s="999">
        <f>+F88</f>
        <v>113379818182</v>
      </c>
      <c r="G87" s="1306">
        <f t="shared" si="3"/>
        <v>85.434710083266452</v>
      </c>
      <c r="H87" s="882">
        <v>90</v>
      </c>
      <c r="I87" s="659"/>
    </row>
    <row r="88" spans="3:9" ht="20.100000000000001" customHeight="1">
      <c r="C88" s="1304"/>
      <c r="D88" s="982" t="s">
        <v>376</v>
      </c>
      <c r="E88" s="1309">
        <f>+E89+E90</f>
        <v>132709314600</v>
      </c>
      <c r="F88" s="999">
        <f>+F89</f>
        <v>113379818182</v>
      </c>
      <c r="G88" s="1306">
        <f t="shared" si="3"/>
        <v>85.434710083266452</v>
      </c>
      <c r="H88" s="882">
        <v>90</v>
      </c>
      <c r="I88" s="659"/>
    </row>
    <row r="89" spans="3:9" ht="20.100000000000001" customHeight="1">
      <c r="C89" s="1304"/>
      <c r="D89" s="982" t="s">
        <v>3990</v>
      </c>
      <c r="E89" s="1308">
        <v>132609314600</v>
      </c>
      <c r="F89" s="999">
        <v>113379818182</v>
      </c>
      <c r="G89" s="1306">
        <f t="shared" si="3"/>
        <v>85.499135957377163</v>
      </c>
      <c r="H89" s="882">
        <v>90</v>
      </c>
      <c r="I89" s="659"/>
    </row>
    <row r="90" spans="3:9" ht="20.100000000000001" customHeight="1">
      <c r="C90" s="1304"/>
      <c r="D90" s="982" t="s">
        <v>3989</v>
      </c>
      <c r="E90" s="1308">
        <v>100000000</v>
      </c>
      <c r="F90" s="999"/>
      <c r="G90" s="1306">
        <f t="shared" si="3"/>
        <v>0</v>
      </c>
      <c r="H90" s="882">
        <f>+G90</f>
        <v>0</v>
      </c>
      <c r="I90" s="659"/>
    </row>
    <row r="91" spans="3:9" ht="20.100000000000001" customHeight="1">
      <c r="C91" s="1304"/>
      <c r="D91" s="982"/>
      <c r="E91" s="1202"/>
      <c r="F91" s="1307"/>
      <c r="G91" s="1199"/>
      <c r="H91" s="663"/>
      <c r="I91" s="659"/>
    </row>
    <row r="92" spans="3:9" ht="21.75" customHeight="1">
      <c r="C92" s="1304"/>
      <c r="D92" s="984" t="s">
        <v>379</v>
      </c>
      <c r="E92" s="1203">
        <v>11200000000</v>
      </c>
      <c r="F92" s="318">
        <v>9530881470</v>
      </c>
      <c r="G92" s="1201">
        <v>85.097155982142851</v>
      </c>
      <c r="H92" s="318">
        <v>91.666666666666671</v>
      </c>
      <c r="I92" s="659"/>
    </row>
    <row r="93" spans="3:9" ht="21.75" customHeight="1">
      <c r="C93" s="1304"/>
      <c r="D93" s="984" t="s">
        <v>361</v>
      </c>
      <c r="E93" s="1200">
        <v>11200000000</v>
      </c>
      <c r="F93" s="1200">
        <v>9530881470</v>
      </c>
      <c r="G93" s="1306">
        <f>+F93/E93*100</f>
        <v>85.097155982142851</v>
      </c>
      <c r="H93" s="882">
        <f>SUM((H94:H96))/3</f>
        <v>91.666666666666671</v>
      </c>
      <c r="I93" s="659"/>
    </row>
    <row r="94" spans="3:9" ht="21.75" customHeight="1">
      <c r="C94" s="1304"/>
      <c r="D94" s="982" t="s">
        <v>380</v>
      </c>
      <c r="E94" s="1198">
        <v>10077502980</v>
      </c>
      <c r="F94" s="1198">
        <v>8504653070</v>
      </c>
      <c r="G94" s="1306">
        <f>+F94/E94*100</f>
        <v>84.392463955391463</v>
      </c>
      <c r="H94" s="882">
        <v>85</v>
      </c>
      <c r="I94" s="659"/>
    </row>
    <row r="95" spans="3:9" ht="21.75" customHeight="1">
      <c r="C95" s="1304"/>
      <c r="D95" s="982" t="s">
        <v>381</v>
      </c>
      <c r="E95" s="1198">
        <v>521327940</v>
      </c>
      <c r="F95" s="1198">
        <v>506539800</v>
      </c>
      <c r="G95" s="1306">
        <f>+F95/E95*100</f>
        <v>97.163370910064785</v>
      </c>
      <c r="H95" s="882">
        <v>100</v>
      </c>
      <c r="I95" s="659"/>
    </row>
    <row r="96" spans="3:9" ht="21.75" customHeight="1">
      <c r="C96" s="1304"/>
      <c r="D96" s="982" t="s">
        <v>382</v>
      </c>
      <c r="E96" s="1198">
        <v>601169080</v>
      </c>
      <c r="F96" s="1198">
        <v>519688600</v>
      </c>
      <c r="G96" s="1306">
        <f>+F96/E96*100</f>
        <v>86.446328876395313</v>
      </c>
      <c r="H96" s="882">
        <v>90</v>
      </c>
      <c r="I96" s="659"/>
    </row>
    <row r="97" spans="3:13" ht="20.100000000000001" customHeight="1">
      <c r="C97" s="1304"/>
      <c r="D97" s="982"/>
      <c r="E97" s="1202"/>
      <c r="F97" s="334"/>
      <c r="G97" s="1305"/>
      <c r="H97" s="322"/>
      <c r="I97" s="659"/>
    </row>
    <row r="98" spans="3:13" ht="20.100000000000001" customHeight="1">
      <c r="C98" s="1304"/>
      <c r="D98" s="984"/>
      <c r="E98" s="1202">
        <v>0</v>
      </c>
      <c r="F98" s="1303"/>
      <c r="G98" s="1204"/>
      <c r="H98" s="659"/>
      <c r="I98" s="659"/>
    </row>
    <row r="99" spans="3:13" s="895" customFormat="1" ht="21.75" customHeight="1">
      <c r="C99" s="904" t="s">
        <v>383</v>
      </c>
      <c r="D99" s="890" t="s">
        <v>32</v>
      </c>
      <c r="E99" s="1203">
        <f>E100+E130+E153+E170+E206+E255+E292+E328+E356+E367+E394+E425+E437+E469+E488+E506+E529+E551+E569+E591+E612+E634+E648+E670+E702+E716+E732+E775+E827</f>
        <v>579269101944.6189</v>
      </c>
      <c r="F99" s="1203">
        <f>F100+F130+F153+F170+F206+F255+F292+F328+F356+F367+F394+F425+F437+F469+F488+F506+F529+F551+F569+F591+F612+F634+F648+F670+F702+F716+F732+F775+F827</f>
        <v>513655974941.69995</v>
      </c>
      <c r="G99" s="1243">
        <f>F99/E99*100</f>
        <v>88.673118109932972</v>
      </c>
      <c r="H99" s="956">
        <f>(H100+H130+H153+H170+H206+H255+H292+H328+H356+H367+H394+H425+H437+H469+H488+H506+H529+H551+H569+H591+H612+H634+H648+H670+H702+H716+H732+H775+H827)/29</f>
        <v>86.153451743983481</v>
      </c>
      <c r="I99" s="903"/>
      <c r="M99" s="1302"/>
    </row>
    <row r="100" spans="3:13" s="895" customFormat="1" ht="21.75" customHeight="1">
      <c r="C100" s="904" t="s">
        <v>385</v>
      </c>
      <c r="D100" s="890" t="s">
        <v>3988</v>
      </c>
      <c r="E100" s="1203">
        <v>27678637440</v>
      </c>
      <c r="F100" s="1203">
        <v>26308854485</v>
      </c>
      <c r="G100" s="707">
        <v>95.051118545956854</v>
      </c>
      <c r="H100" s="120">
        <v>61.545138888888886</v>
      </c>
      <c r="I100" s="903"/>
    </row>
    <row r="101" spans="3:13" s="2" customFormat="1" ht="21.75" customHeight="1">
      <c r="C101" s="904"/>
      <c r="D101" s="917" t="s">
        <v>387</v>
      </c>
      <c r="E101" s="1070">
        <f>SUM(E102+E108+E118+E127)</f>
        <v>27678637440</v>
      </c>
      <c r="F101" s="1070">
        <f>SUM(F102+F108+F118+F127)</f>
        <v>26308854485</v>
      </c>
      <c r="G101" s="1301">
        <f t="shared" ref="G101:G128" si="4">SUM(F101/E101*100)</f>
        <v>95.051118545956854</v>
      </c>
      <c r="H101" s="1300">
        <f>(H102+H108+H118+H127)/4</f>
        <v>61.545138888888886</v>
      </c>
      <c r="I101" s="900"/>
    </row>
    <row r="102" spans="3:13" s="2" customFormat="1" ht="20.100000000000001" customHeight="1">
      <c r="C102" s="904"/>
      <c r="D102" s="917" t="s">
        <v>388</v>
      </c>
      <c r="E102" s="1070">
        <f>SUM(E103:E107)</f>
        <v>1316372080</v>
      </c>
      <c r="F102" s="1070">
        <f>SUM(F103:F107)</f>
        <v>707841985</v>
      </c>
      <c r="G102" s="1301">
        <f t="shared" si="4"/>
        <v>53.772181570426504</v>
      </c>
      <c r="H102" s="1300">
        <f>SUM((H103:H107))/5</f>
        <v>70</v>
      </c>
      <c r="I102" s="900"/>
    </row>
    <row r="103" spans="3:13" s="2" customFormat="1" ht="20.100000000000001" customHeight="1">
      <c r="C103" s="902"/>
      <c r="D103" s="982" t="s">
        <v>389</v>
      </c>
      <c r="E103" s="1069">
        <v>263420000</v>
      </c>
      <c r="F103" s="1143">
        <v>263420000</v>
      </c>
      <c r="G103" s="1299">
        <f t="shared" si="4"/>
        <v>100</v>
      </c>
      <c r="H103" s="1298">
        <f>SUM(F103/E103)*100</f>
        <v>100</v>
      </c>
      <c r="I103" s="900"/>
    </row>
    <row r="104" spans="3:13" s="2" customFormat="1" ht="20.100000000000001" customHeight="1">
      <c r="C104" s="902"/>
      <c r="D104" s="982" t="s">
        <v>390</v>
      </c>
      <c r="E104" s="1069">
        <v>85274985</v>
      </c>
      <c r="F104" s="1143">
        <v>43199985</v>
      </c>
      <c r="G104" s="1299">
        <f t="shared" si="4"/>
        <v>50.65962192781388</v>
      </c>
      <c r="H104" s="1298">
        <v>50</v>
      </c>
      <c r="I104" s="900"/>
    </row>
    <row r="105" spans="3:13" s="2" customFormat="1" ht="20.100000000000001" customHeight="1">
      <c r="C105" s="902"/>
      <c r="D105" s="982" t="s">
        <v>391</v>
      </c>
      <c r="E105" s="1069">
        <v>564000000</v>
      </c>
      <c r="F105" s="1143">
        <v>0</v>
      </c>
      <c r="G105" s="1299">
        <f t="shared" si="4"/>
        <v>0</v>
      </c>
      <c r="H105" s="1298">
        <f>SUM(F105/E105)*100</f>
        <v>0</v>
      </c>
      <c r="I105" s="900"/>
    </row>
    <row r="106" spans="3:13" s="2" customFormat="1" ht="47.25" customHeight="1">
      <c r="C106" s="902"/>
      <c r="D106" s="982" t="s">
        <v>392</v>
      </c>
      <c r="E106" s="1069">
        <v>157500000</v>
      </c>
      <c r="F106" s="1143">
        <v>156222000</v>
      </c>
      <c r="G106" s="1299">
        <f t="shared" si="4"/>
        <v>99.188571428571422</v>
      </c>
      <c r="H106" s="1298">
        <v>100</v>
      </c>
      <c r="I106" s="900"/>
    </row>
    <row r="107" spans="3:13" s="2" customFormat="1" ht="20.100000000000001" customHeight="1">
      <c r="C107" s="902"/>
      <c r="D107" s="982" t="s">
        <v>393</v>
      </c>
      <c r="E107" s="1069">
        <v>246177095</v>
      </c>
      <c r="F107" s="1143">
        <v>245000000</v>
      </c>
      <c r="G107" s="1299">
        <f t="shared" si="4"/>
        <v>99.521850316740483</v>
      </c>
      <c r="H107" s="1298">
        <v>100</v>
      </c>
      <c r="I107" s="900"/>
    </row>
    <row r="108" spans="3:13" s="2" customFormat="1" ht="20.100000000000001" customHeight="1">
      <c r="C108" s="904"/>
      <c r="D108" s="917" t="s">
        <v>394</v>
      </c>
      <c r="E108" s="1070">
        <f>SUM(E109:E117)</f>
        <v>21430611660</v>
      </c>
      <c r="F108" s="1070">
        <f>SUM(F109:F117)</f>
        <v>21201781500</v>
      </c>
      <c r="G108" s="1301">
        <f t="shared" si="4"/>
        <v>98.932227583465988</v>
      </c>
      <c r="H108" s="1300">
        <f>SUM((H109:H117))/9</f>
        <v>90.555555555555557</v>
      </c>
      <c r="I108" s="900"/>
    </row>
    <row r="109" spans="3:13" s="2" customFormat="1" ht="47.25" customHeight="1">
      <c r="C109" s="902"/>
      <c r="D109" s="982" t="s">
        <v>395</v>
      </c>
      <c r="E109" s="1069">
        <v>2130000000</v>
      </c>
      <c r="F109" s="1143">
        <v>2124595000</v>
      </c>
      <c r="G109" s="1299">
        <f t="shared" si="4"/>
        <v>99.746244131455398</v>
      </c>
      <c r="H109" s="1298">
        <v>100</v>
      </c>
      <c r="I109" s="900"/>
    </row>
    <row r="110" spans="3:13" s="2" customFormat="1" ht="20.100000000000001" customHeight="1">
      <c r="C110" s="902"/>
      <c r="D110" s="982" t="s">
        <v>396</v>
      </c>
      <c r="E110" s="1069">
        <v>8610000000</v>
      </c>
      <c r="F110" s="1143">
        <v>8610000000</v>
      </c>
      <c r="G110" s="1299">
        <f t="shared" si="4"/>
        <v>100</v>
      </c>
      <c r="H110" s="1298">
        <f>SUM(F110/E110)*100</f>
        <v>100</v>
      </c>
      <c r="I110" s="900"/>
    </row>
    <row r="111" spans="3:13" s="2" customFormat="1" ht="47.25" customHeight="1">
      <c r="C111" s="902"/>
      <c r="D111" s="982" t="s">
        <v>397</v>
      </c>
      <c r="E111" s="1069">
        <v>3315600000</v>
      </c>
      <c r="F111" s="1143">
        <v>3315600000</v>
      </c>
      <c r="G111" s="1299">
        <f t="shared" si="4"/>
        <v>100</v>
      </c>
      <c r="H111" s="1298">
        <f>SUM(F111/E111)*100</f>
        <v>100</v>
      </c>
      <c r="I111" s="900"/>
    </row>
    <row r="112" spans="3:13" s="2" customFormat="1" ht="47.25" customHeight="1">
      <c r="C112" s="902"/>
      <c r="D112" s="982" t="s">
        <v>398</v>
      </c>
      <c r="E112" s="1069">
        <v>495675000</v>
      </c>
      <c r="F112" s="1143">
        <v>445675000</v>
      </c>
      <c r="G112" s="1299">
        <f t="shared" si="4"/>
        <v>89.912745246381192</v>
      </c>
      <c r="H112" s="1298">
        <v>90</v>
      </c>
      <c r="I112" s="900"/>
    </row>
    <row r="113" spans="3:9" s="2" customFormat="1" ht="21.75" customHeight="1">
      <c r="C113" s="902"/>
      <c r="D113" s="982" t="s">
        <v>399</v>
      </c>
      <c r="E113" s="1069">
        <v>4306426260</v>
      </c>
      <c r="F113" s="1143">
        <v>4290861500</v>
      </c>
      <c r="G113" s="1299">
        <f t="shared" si="4"/>
        <v>99.638568988291468</v>
      </c>
      <c r="H113" s="1298">
        <v>100</v>
      </c>
      <c r="I113" s="900"/>
    </row>
    <row r="114" spans="3:9" s="2" customFormat="1" ht="20.100000000000001" customHeight="1">
      <c r="C114" s="902"/>
      <c r="D114" s="982" t="s">
        <v>400</v>
      </c>
      <c r="E114" s="1069">
        <v>188510400</v>
      </c>
      <c r="F114" s="1143">
        <v>44450000</v>
      </c>
      <c r="G114" s="1299">
        <f t="shared" si="4"/>
        <v>23.579600913265264</v>
      </c>
      <c r="H114" s="1298">
        <v>25</v>
      </c>
      <c r="I114" s="900"/>
    </row>
    <row r="115" spans="3:9" s="2" customFormat="1" ht="20.100000000000001" customHeight="1">
      <c r="C115" s="902"/>
      <c r="D115" s="982" t="s">
        <v>401</v>
      </c>
      <c r="E115" s="1069">
        <v>1778400000</v>
      </c>
      <c r="F115" s="1143">
        <v>1768400000</v>
      </c>
      <c r="G115" s="1299">
        <f t="shared" si="4"/>
        <v>99.437696806117856</v>
      </c>
      <c r="H115" s="1298">
        <v>100</v>
      </c>
      <c r="I115" s="900"/>
    </row>
    <row r="116" spans="3:9" s="2" customFormat="1" ht="20.100000000000001" customHeight="1">
      <c r="C116" s="902"/>
      <c r="D116" s="982" t="s">
        <v>402</v>
      </c>
      <c r="E116" s="1069">
        <v>106000000</v>
      </c>
      <c r="F116" s="1143">
        <v>105000000</v>
      </c>
      <c r="G116" s="1299">
        <f t="shared" si="4"/>
        <v>99.056603773584911</v>
      </c>
      <c r="H116" s="1298">
        <v>100</v>
      </c>
      <c r="I116" s="900"/>
    </row>
    <row r="117" spans="3:9" s="2" customFormat="1" ht="47.25" customHeight="1">
      <c r="C117" s="902"/>
      <c r="D117" s="982" t="s">
        <v>403</v>
      </c>
      <c r="E117" s="1069">
        <v>500000000</v>
      </c>
      <c r="F117" s="1143">
        <v>497200000</v>
      </c>
      <c r="G117" s="1299">
        <f t="shared" si="4"/>
        <v>99.44</v>
      </c>
      <c r="H117" s="1298">
        <v>100</v>
      </c>
      <c r="I117" s="900"/>
    </row>
    <row r="118" spans="3:9" s="2" customFormat="1" ht="20.100000000000001" customHeight="1">
      <c r="C118" s="904"/>
      <c r="D118" s="917" t="s">
        <v>404</v>
      </c>
      <c r="E118" s="1070">
        <f>SUM(E119:E126)</f>
        <v>4791643700</v>
      </c>
      <c r="F118" s="1070">
        <f>SUM(F119:F126)</f>
        <v>4399231000</v>
      </c>
      <c r="G118" s="1301">
        <f t="shared" si="4"/>
        <v>91.81047831248388</v>
      </c>
      <c r="H118" s="1300">
        <f>SUM((H119:H126))/8</f>
        <v>85.625</v>
      </c>
      <c r="I118" s="900"/>
    </row>
    <row r="119" spans="3:9" s="2" customFormat="1" ht="20.100000000000001" customHeight="1">
      <c r="C119" s="902"/>
      <c r="D119" s="982" t="s">
        <v>405</v>
      </c>
      <c r="E119" s="1069">
        <v>420000000</v>
      </c>
      <c r="F119" s="1143">
        <v>420000000</v>
      </c>
      <c r="G119" s="1299">
        <f t="shared" si="4"/>
        <v>100</v>
      </c>
      <c r="H119" s="1298">
        <f>SUM(F119/E119)*100</f>
        <v>100</v>
      </c>
      <c r="I119" s="900"/>
    </row>
    <row r="120" spans="3:9" s="2" customFormat="1" ht="20.100000000000001" customHeight="1">
      <c r="C120" s="902"/>
      <c r="D120" s="982" t="s">
        <v>406</v>
      </c>
      <c r="E120" s="1069">
        <v>777000000</v>
      </c>
      <c r="F120" s="1143">
        <v>777000000</v>
      </c>
      <c r="G120" s="1299">
        <f t="shared" si="4"/>
        <v>100</v>
      </c>
      <c r="H120" s="1298">
        <f>SUM(F120/E120)*100</f>
        <v>100</v>
      </c>
      <c r="I120" s="900"/>
    </row>
    <row r="121" spans="3:9" s="2" customFormat="1" ht="20.100000000000001" customHeight="1">
      <c r="C121" s="902"/>
      <c r="D121" s="982" t="s">
        <v>407</v>
      </c>
      <c r="E121" s="1069">
        <v>351600000</v>
      </c>
      <c r="F121" s="1143">
        <v>344573000</v>
      </c>
      <c r="G121" s="1299">
        <f t="shared" si="4"/>
        <v>98.001422070534687</v>
      </c>
      <c r="H121" s="1298">
        <v>100</v>
      </c>
      <c r="I121" s="900"/>
    </row>
    <row r="122" spans="3:9" s="2" customFormat="1" ht="34.5" customHeight="1">
      <c r="C122" s="902"/>
      <c r="D122" s="982" t="s">
        <v>408</v>
      </c>
      <c r="E122" s="1069">
        <v>1168041620</v>
      </c>
      <c r="F122" s="1143">
        <v>946983000</v>
      </c>
      <c r="G122" s="1299">
        <f t="shared" si="4"/>
        <v>81.074422673397549</v>
      </c>
      <c r="H122" s="1298">
        <v>85</v>
      </c>
      <c r="I122" s="900"/>
    </row>
    <row r="123" spans="3:9" s="2" customFormat="1" ht="34.5" customHeight="1">
      <c r="C123" s="902"/>
      <c r="D123" s="982" t="s">
        <v>409</v>
      </c>
      <c r="E123" s="1069">
        <v>405850000</v>
      </c>
      <c r="F123" s="1143">
        <v>405250000</v>
      </c>
      <c r="G123" s="1299">
        <f t="shared" si="4"/>
        <v>99.852162128865345</v>
      </c>
      <c r="H123" s="1298">
        <v>100</v>
      </c>
      <c r="I123" s="900"/>
    </row>
    <row r="124" spans="3:9" s="2" customFormat="1" ht="34.5" customHeight="1">
      <c r="C124" s="902"/>
      <c r="D124" s="982" t="s">
        <v>410</v>
      </c>
      <c r="E124" s="1069">
        <v>1213250000</v>
      </c>
      <c r="F124" s="1143">
        <v>1208040000</v>
      </c>
      <c r="G124" s="1299">
        <f t="shared" si="4"/>
        <v>99.570574902122402</v>
      </c>
      <c r="H124" s="1298">
        <v>100</v>
      </c>
      <c r="I124" s="900"/>
    </row>
    <row r="125" spans="3:9" s="2" customFormat="1" ht="34.5" customHeight="1">
      <c r="C125" s="902"/>
      <c r="D125" s="982" t="s">
        <v>411</v>
      </c>
      <c r="E125" s="1069">
        <v>156902080</v>
      </c>
      <c r="F125" s="1143">
        <v>0</v>
      </c>
      <c r="G125" s="1299">
        <f t="shared" si="4"/>
        <v>0</v>
      </c>
      <c r="H125" s="1298">
        <f>SUM(F125/E125)*100</f>
        <v>0</v>
      </c>
      <c r="I125" s="900"/>
    </row>
    <row r="126" spans="3:9" s="2" customFormat="1" ht="34.5" customHeight="1">
      <c r="C126" s="902"/>
      <c r="D126" s="982" t="s">
        <v>3987</v>
      </c>
      <c r="E126" s="1069">
        <v>299000000</v>
      </c>
      <c r="F126" s="420">
        <v>297385000</v>
      </c>
      <c r="G126" s="1299">
        <f t="shared" si="4"/>
        <v>99.459866220735776</v>
      </c>
      <c r="H126" s="1298">
        <v>100</v>
      </c>
      <c r="I126" s="900"/>
    </row>
    <row r="127" spans="3:9" s="2" customFormat="1" ht="20.100000000000001" customHeight="1">
      <c r="C127" s="904"/>
      <c r="D127" s="917" t="s">
        <v>106</v>
      </c>
      <c r="E127" s="1070">
        <f>SUM(E128)</f>
        <v>140010000</v>
      </c>
      <c r="F127" s="1070">
        <f>SUM(F128)</f>
        <v>0</v>
      </c>
      <c r="G127" s="1301">
        <f t="shared" si="4"/>
        <v>0</v>
      </c>
      <c r="H127" s="1300">
        <f>SUM(F127/E127)*100</f>
        <v>0</v>
      </c>
      <c r="I127" s="900"/>
    </row>
    <row r="128" spans="3:9" s="2" customFormat="1" ht="20.100000000000001" customHeight="1">
      <c r="C128" s="902"/>
      <c r="D128" s="982" t="s">
        <v>3986</v>
      </c>
      <c r="E128" s="1069">
        <v>140010000</v>
      </c>
      <c r="F128" s="1143">
        <v>0</v>
      </c>
      <c r="G128" s="1299">
        <f t="shared" si="4"/>
        <v>0</v>
      </c>
      <c r="H128" s="1298">
        <f>SUM(F128/E128)*100</f>
        <v>0</v>
      </c>
      <c r="I128" s="900"/>
    </row>
    <row r="129" spans="3:9" s="898" customFormat="1" ht="20.100000000000001" customHeight="1">
      <c r="C129" s="1045"/>
      <c r="D129" s="972"/>
      <c r="E129" s="1202">
        <v>0</v>
      </c>
      <c r="F129" s="1206"/>
      <c r="G129" s="1205"/>
      <c r="H129" s="971"/>
      <c r="I129" s="969"/>
    </row>
    <row r="130" spans="3:9" s="895" customFormat="1" ht="21.75" customHeight="1">
      <c r="C130" s="904" t="s">
        <v>441</v>
      </c>
      <c r="D130" s="889" t="s">
        <v>442</v>
      </c>
      <c r="E130" s="1203">
        <f>+E131</f>
        <v>12978303000</v>
      </c>
      <c r="F130" s="120">
        <f>+F131</f>
        <v>12357783444</v>
      </c>
      <c r="G130" s="707">
        <f>+F130/E130*100</f>
        <v>95.218792811355996</v>
      </c>
      <c r="H130" s="120">
        <v>97.777777777777771</v>
      </c>
      <c r="I130" s="903"/>
    </row>
    <row r="131" spans="3:9" s="895" customFormat="1" ht="21.75" customHeight="1">
      <c r="C131" s="904"/>
      <c r="D131" s="886" t="s">
        <v>4109</v>
      </c>
      <c r="E131" s="1056">
        <f>E132+E144+E148</f>
        <v>12978303000</v>
      </c>
      <c r="F131" s="1056">
        <f>F132+F144+F148</f>
        <v>12357783444</v>
      </c>
      <c r="G131" s="1138">
        <f>F131/E131*100</f>
        <v>95.218792811355996</v>
      </c>
      <c r="H131" s="433">
        <f>(H132+H144+H148)/3</f>
        <v>97.777777777777771</v>
      </c>
      <c r="I131" s="903"/>
    </row>
    <row r="132" spans="3:9" s="2" customFormat="1" ht="21.75" customHeight="1">
      <c r="C132" s="904"/>
      <c r="D132" s="893" t="s">
        <v>444</v>
      </c>
      <c r="E132" s="432">
        <v>6378303000</v>
      </c>
      <c r="F132" s="432">
        <v>6075783444</v>
      </c>
      <c r="G132" s="1211">
        <v>95.257052604744601</v>
      </c>
      <c r="H132" s="432">
        <f>(H133+H135+H140)/3</f>
        <v>95.833333333333329</v>
      </c>
      <c r="I132" s="900"/>
    </row>
    <row r="133" spans="3:9" s="2" customFormat="1" ht="20.100000000000001" customHeight="1">
      <c r="C133" s="904"/>
      <c r="D133" s="893" t="s">
        <v>388</v>
      </c>
      <c r="E133" s="432">
        <v>1147500000</v>
      </c>
      <c r="F133" s="432">
        <v>1147465000</v>
      </c>
      <c r="G133" s="1211">
        <v>99.996949891067544</v>
      </c>
      <c r="H133" s="432">
        <v>100</v>
      </c>
      <c r="I133" s="900"/>
    </row>
    <row r="134" spans="3:9" s="2" customFormat="1" ht="20.100000000000001" customHeight="1">
      <c r="C134" s="904"/>
      <c r="D134" s="886" t="s">
        <v>447</v>
      </c>
      <c r="E134" s="433">
        <v>1147500000</v>
      </c>
      <c r="F134" s="1054">
        <v>1147465000</v>
      </c>
      <c r="G134" s="1138">
        <v>99.996949891067544</v>
      </c>
      <c r="H134" s="433">
        <v>100</v>
      </c>
      <c r="I134" s="900"/>
    </row>
    <row r="135" spans="3:9" s="2" customFormat="1" ht="20.100000000000001" customHeight="1">
      <c r="C135" s="904"/>
      <c r="D135" s="893" t="s">
        <v>394</v>
      </c>
      <c r="E135" s="432">
        <v>3230803000</v>
      </c>
      <c r="F135" s="432">
        <v>2943195244</v>
      </c>
      <c r="G135" s="1211">
        <v>91.097948219065046</v>
      </c>
      <c r="H135" s="432">
        <f>SUM((H136:H139))/4</f>
        <v>87.5</v>
      </c>
      <c r="I135" s="900"/>
    </row>
    <row r="136" spans="3:9" s="2" customFormat="1" ht="20.100000000000001" customHeight="1">
      <c r="C136" s="904"/>
      <c r="D136" s="886" t="s">
        <v>3984</v>
      </c>
      <c r="E136" s="433">
        <v>120000000</v>
      </c>
      <c r="F136" s="433">
        <v>107985000</v>
      </c>
      <c r="G136" s="1138">
        <v>89.987499999999997</v>
      </c>
      <c r="H136" s="433">
        <v>85</v>
      </c>
      <c r="I136" s="900"/>
    </row>
    <row r="137" spans="3:9" s="2" customFormat="1" ht="20.100000000000001" customHeight="1">
      <c r="C137" s="904"/>
      <c r="D137" s="886" t="s">
        <v>454</v>
      </c>
      <c r="E137" s="433">
        <v>2044080000</v>
      </c>
      <c r="F137" s="433">
        <v>1857050000</v>
      </c>
      <c r="G137" s="1138">
        <v>90.850162420257519</v>
      </c>
      <c r="H137" s="433">
        <v>85</v>
      </c>
      <c r="I137" s="900"/>
    </row>
    <row r="138" spans="3:9" s="2" customFormat="1" ht="20.100000000000001" customHeight="1">
      <c r="C138" s="904"/>
      <c r="D138" s="886" t="s">
        <v>455</v>
      </c>
      <c r="E138" s="433">
        <v>811728000</v>
      </c>
      <c r="F138" s="433">
        <v>731030000</v>
      </c>
      <c r="G138" s="1138">
        <v>90.058492499950731</v>
      </c>
      <c r="H138" s="433">
        <v>85</v>
      </c>
      <c r="I138" s="900"/>
    </row>
    <row r="139" spans="3:9" s="2" customFormat="1" ht="20.100000000000001" customHeight="1">
      <c r="C139" s="904"/>
      <c r="D139" s="886" t="s">
        <v>109</v>
      </c>
      <c r="E139" s="433">
        <v>254995000</v>
      </c>
      <c r="F139" s="433">
        <v>247130244</v>
      </c>
      <c r="G139" s="1138">
        <v>96.915721484735002</v>
      </c>
      <c r="H139" s="433">
        <v>95</v>
      </c>
      <c r="I139" s="900"/>
    </row>
    <row r="140" spans="3:9" s="2" customFormat="1" ht="20.100000000000001" customHeight="1">
      <c r="C140" s="904"/>
      <c r="D140" s="893" t="s">
        <v>116</v>
      </c>
      <c r="E140" s="432">
        <v>2000000000</v>
      </c>
      <c r="F140" s="432">
        <v>1985123200</v>
      </c>
      <c r="G140" s="1211">
        <v>99.256160000000008</v>
      </c>
      <c r="H140" s="432">
        <v>100</v>
      </c>
      <c r="I140" s="900"/>
    </row>
    <row r="141" spans="3:9" s="2" customFormat="1" ht="20.100000000000001" customHeight="1">
      <c r="C141" s="904"/>
      <c r="D141" s="886" t="s">
        <v>3983</v>
      </c>
      <c r="E141" s="433">
        <v>2000000000</v>
      </c>
      <c r="F141" s="433">
        <v>1985123200</v>
      </c>
      <c r="G141" s="1138">
        <v>99.256160000000008</v>
      </c>
      <c r="H141" s="433">
        <v>100</v>
      </c>
      <c r="I141" s="900"/>
    </row>
    <row r="142" spans="3:9" s="2" customFormat="1" ht="20.100000000000001" customHeight="1">
      <c r="C142" s="904"/>
      <c r="D142" s="886" t="s">
        <v>3983</v>
      </c>
      <c r="E142" s="433">
        <v>2000000000</v>
      </c>
      <c r="F142" s="432">
        <v>1985123200</v>
      </c>
      <c r="G142" s="1138">
        <f>F142/E142*100</f>
        <v>99.256160000000008</v>
      </c>
      <c r="H142" s="433">
        <f>F142/E142*G142</f>
        <v>98.517852979456009</v>
      </c>
      <c r="I142" s="900"/>
    </row>
    <row r="143" spans="3:9" s="2" customFormat="1" ht="20.100000000000001" customHeight="1">
      <c r="C143" s="904"/>
      <c r="D143" s="886"/>
      <c r="E143" s="340"/>
      <c r="F143" s="342"/>
      <c r="G143" s="1138"/>
      <c r="H143" s="433"/>
      <c r="I143" s="900"/>
    </row>
    <row r="144" spans="3:9" s="2" customFormat="1" ht="20.100000000000001" customHeight="1">
      <c r="C144" s="904"/>
      <c r="D144" s="893" t="s">
        <v>583</v>
      </c>
      <c r="E144" s="432">
        <f>E145</f>
        <v>100000000</v>
      </c>
      <c r="F144" s="433">
        <f>F145</f>
        <v>100000000</v>
      </c>
      <c r="G144" s="1138">
        <f>F144/E144*100</f>
        <v>100</v>
      </c>
      <c r="H144" s="433">
        <f>F144/E144*G144</f>
        <v>100</v>
      </c>
      <c r="I144" s="900"/>
    </row>
    <row r="145" spans="3:9" s="2" customFormat="1" ht="20.100000000000001" customHeight="1">
      <c r="C145" s="904"/>
      <c r="D145" s="893" t="s">
        <v>584</v>
      </c>
      <c r="E145" s="342">
        <f>E146</f>
        <v>100000000</v>
      </c>
      <c r="F145" s="340">
        <f>F146</f>
        <v>100000000</v>
      </c>
      <c r="G145" s="1138">
        <f>F145/E145*100</f>
        <v>100</v>
      </c>
      <c r="H145" s="433">
        <f>F145/E145*G145</f>
        <v>100</v>
      </c>
      <c r="I145" s="900"/>
    </row>
    <row r="146" spans="3:9" s="2" customFormat="1" ht="20.100000000000001" customHeight="1">
      <c r="C146" s="904"/>
      <c r="D146" s="886" t="s">
        <v>3969</v>
      </c>
      <c r="E146" s="340">
        <v>100000000</v>
      </c>
      <c r="F146" s="340">
        <v>100000000</v>
      </c>
      <c r="G146" s="1138">
        <f>F146/E146*100</f>
        <v>100</v>
      </c>
      <c r="H146" s="433">
        <f>F146/E146*G146</f>
        <v>100</v>
      </c>
      <c r="I146" s="900"/>
    </row>
    <row r="147" spans="3:9" s="2" customFormat="1" ht="20.100000000000001" customHeight="1">
      <c r="C147" s="904"/>
      <c r="D147" s="886"/>
      <c r="E147" s="340"/>
      <c r="F147" s="340"/>
      <c r="G147" s="1138"/>
      <c r="H147" s="433"/>
      <c r="I147" s="900"/>
    </row>
    <row r="148" spans="3:9" s="980" customFormat="1" ht="21.75" customHeight="1">
      <c r="C148" s="1045"/>
      <c r="D148" s="893" t="s">
        <v>563</v>
      </c>
      <c r="E148" s="432">
        <f>E149</f>
        <v>6500000000</v>
      </c>
      <c r="F148" s="432">
        <f>F149</f>
        <v>6182000000</v>
      </c>
      <c r="G148" s="1211">
        <f>F148/E148*100</f>
        <v>95.107692307692304</v>
      </c>
      <c r="H148" s="432">
        <f>H149</f>
        <v>97.5</v>
      </c>
      <c r="I148" s="1044"/>
    </row>
    <row r="149" spans="3:9" s="898" customFormat="1" ht="20.100000000000001" customHeight="1">
      <c r="C149" s="1045"/>
      <c r="D149" s="893" t="s">
        <v>3968</v>
      </c>
      <c r="E149" s="342">
        <f>SUM(E150:E151)</f>
        <v>6500000000</v>
      </c>
      <c r="F149" s="342">
        <f>SUM(F150:F151)</f>
        <v>6182000000</v>
      </c>
      <c r="G149" s="1138">
        <f>F149/E149*100</f>
        <v>95.107692307692304</v>
      </c>
      <c r="H149" s="433">
        <f>195/2</f>
        <v>97.5</v>
      </c>
      <c r="I149" s="969"/>
    </row>
    <row r="150" spans="3:9" s="898" customFormat="1" ht="20.100000000000001" customHeight="1">
      <c r="C150" s="1045"/>
      <c r="D150" s="886" t="s">
        <v>3960</v>
      </c>
      <c r="E150" s="340">
        <v>2000000000</v>
      </c>
      <c r="F150" s="340">
        <v>2000000000</v>
      </c>
      <c r="G150" s="1138">
        <f>F150/E150*100</f>
        <v>100</v>
      </c>
      <c r="H150" s="433">
        <f>F150/E150*G150</f>
        <v>100</v>
      </c>
      <c r="I150" s="969"/>
    </row>
    <row r="151" spans="3:9" s="898" customFormat="1" ht="20.100000000000001" customHeight="1">
      <c r="C151" s="1045"/>
      <c r="D151" s="886" t="s">
        <v>569</v>
      </c>
      <c r="E151" s="340">
        <v>4500000000</v>
      </c>
      <c r="F151" s="340">
        <v>4182000000</v>
      </c>
      <c r="G151" s="1138">
        <f>F151/E151*100</f>
        <v>92.933333333333337</v>
      </c>
      <c r="H151" s="433">
        <v>95</v>
      </c>
      <c r="I151" s="969"/>
    </row>
    <row r="152" spans="3:9" s="898" customFormat="1" ht="20.100000000000001" customHeight="1">
      <c r="C152" s="1045"/>
      <c r="D152" s="972"/>
      <c r="E152" s="1202"/>
      <c r="F152" s="1206"/>
      <c r="G152" s="1205"/>
      <c r="H152" s="971"/>
      <c r="I152" s="969"/>
    </row>
    <row r="153" spans="3:9" s="895" customFormat="1" ht="21.75" customHeight="1">
      <c r="C153" s="904" t="s">
        <v>586</v>
      </c>
      <c r="D153" s="890" t="s">
        <v>587</v>
      </c>
      <c r="E153" s="1202">
        <f>+E154+E166</f>
        <v>27007156000</v>
      </c>
      <c r="F153" s="1202">
        <f>+F154+F166</f>
        <v>18449767100</v>
      </c>
      <c r="G153" s="707">
        <f t="shared" ref="G153:G164" si="5">+F153/E153*100</f>
        <v>68.31436490387955</v>
      </c>
      <c r="H153" s="120">
        <f>(H154+H166)/2</f>
        <v>56.458333333333336</v>
      </c>
      <c r="I153" s="903"/>
    </row>
    <row r="154" spans="3:9" s="898" customFormat="1" ht="21.75" customHeight="1">
      <c r="C154" s="1045"/>
      <c r="D154" s="856" t="s">
        <v>64</v>
      </c>
      <c r="E154" s="1056">
        <f>+E155+E159+E163+E157</f>
        <v>22007156000</v>
      </c>
      <c r="F154" s="1137">
        <f>+F155+F157+F159+F163</f>
        <v>15224807600</v>
      </c>
      <c r="G154" s="1241">
        <f t="shared" si="5"/>
        <v>69.181168161846998</v>
      </c>
      <c r="H154" s="854">
        <f>(H155+H157+H159+H163)/4</f>
        <v>47.916666666666671</v>
      </c>
      <c r="I154" s="969"/>
    </row>
    <row r="155" spans="3:9" s="898" customFormat="1" ht="20.100000000000001" customHeight="1">
      <c r="C155" s="1045"/>
      <c r="D155" s="856" t="s">
        <v>588</v>
      </c>
      <c r="E155" s="1137">
        <f>SUM(E156:E156)</f>
        <v>241782400</v>
      </c>
      <c r="F155" s="1137">
        <v>0</v>
      </c>
      <c r="G155" s="1241">
        <f t="shared" si="5"/>
        <v>0</v>
      </c>
      <c r="H155" s="854">
        <f>+G155</f>
        <v>0</v>
      </c>
      <c r="I155" s="969"/>
    </row>
    <row r="156" spans="3:9" s="898" customFormat="1" ht="20.100000000000001" customHeight="1">
      <c r="C156" s="1045"/>
      <c r="D156" s="859" t="s">
        <v>589</v>
      </c>
      <c r="E156" s="1054">
        <v>241782400</v>
      </c>
      <c r="F156" s="1137">
        <v>0</v>
      </c>
      <c r="G156" s="1241">
        <f t="shared" si="5"/>
        <v>0</v>
      </c>
      <c r="H156" s="854">
        <f>+G156</f>
        <v>0</v>
      </c>
      <c r="I156" s="969"/>
    </row>
    <row r="157" spans="3:9" s="898" customFormat="1" ht="20.100000000000001" customHeight="1">
      <c r="C157" s="1045"/>
      <c r="D157" s="856" t="s">
        <v>3955</v>
      </c>
      <c r="E157" s="1056">
        <f>SUM(E158:E158)</f>
        <v>402883000</v>
      </c>
      <c r="F157" s="1137">
        <v>402883000</v>
      </c>
      <c r="G157" s="1241">
        <f t="shared" si="5"/>
        <v>100</v>
      </c>
      <c r="H157" s="854">
        <f>+G157</f>
        <v>100</v>
      </c>
      <c r="I157" s="969"/>
    </row>
    <row r="158" spans="3:9" s="898" customFormat="1" ht="20.100000000000001" customHeight="1">
      <c r="C158" s="1045"/>
      <c r="D158" s="859" t="s">
        <v>3954</v>
      </c>
      <c r="E158" s="248">
        <v>402883000</v>
      </c>
      <c r="F158" s="1137">
        <v>402883000</v>
      </c>
      <c r="G158" s="1241">
        <f t="shared" si="5"/>
        <v>100</v>
      </c>
      <c r="H158" s="854">
        <f>+G158</f>
        <v>100</v>
      </c>
      <c r="I158" s="969"/>
    </row>
    <row r="159" spans="3:9" s="898" customFormat="1" ht="20.100000000000001" customHeight="1">
      <c r="C159" s="1045"/>
      <c r="D159" s="856" t="s">
        <v>590</v>
      </c>
      <c r="E159" s="1056">
        <f>SUM(E160:E162)</f>
        <v>19564490600</v>
      </c>
      <c r="F159" s="1137">
        <v>14821924600</v>
      </c>
      <c r="G159" s="1241">
        <f t="shared" si="5"/>
        <v>75.759317750905311</v>
      </c>
      <c r="H159" s="854">
        <f>275/3</f>
        <v>91.666666666666671</v>
      </c>
      <c r="I159" s="969"/>
    </row>
    <row r="160" spans="3:9" s="898" customFormat="1" ht="20.100000000000001" customHeight="1">
      <c r="C160" s="1045"/>
      <c r="D160" s="859" t="s">
        <v>3953</v>
      </c>
      <c r="E160" s="1054">
        <v>79425600</v>
      </c>
      <c r="F160" s="1137">
        <v>79425600</v>
      </c>
      <c r="G160" s="1241">
        <f t="shared" si="5"/>
        <v>100</v>
      </c>
      <c r="H160" s="854">
        <f>+G160</f>
        <v>100</v>
      </c>
      <c r="I160" s="969"/>
    </row>
    <row r="161" spans="3:9" s="898" customFormat="1" ht="20.100000000000001" customHeight="1">
      <c r="C161" s="1045"/>
      <c r="D161" s="859" t="s">
        <v>3952</v>
      </c>
      <c r="E161" s="1054">
        <v>477909000</v>
      </c>
      <c r="F161" s="1137">
        <v>477909000</v>
      </c>
      <c r="G161" s="1241">
        <f t="shared" si="5"/>
        <v>100</v>
      </c>
      <c r="H161" s="854">
        <f>+G161</f>
        <v>100</v>
      </c>
      <c r="I161" s="969"/>
    </row>
    <row r="162" spans="3:9" s="898" customFormat="1" ht="20.100000000000001" customHeight="1">
      <c r="C162" s="1045"/>
      <c r="D162" s="859" t="s">
        <v>591</v>
      </c>
      <c r="E162" s="1054">
        <v>19007156000</v>
      </c>
      <c r="F162" s="1137">
        <v>14264590000</v>
      </c>
      <c r="G162" s="1241">
        <f t="shared" si="5"/>
        <v>75.048523829656574</v>
      </c>
      <c r="H162" s="854">
        <v>75</v>
      </c>
      <c r="I162" s="969"/>
    </row>
    <row r="163" spans="3:9" s="898" customFormat="1" ht="20.100000000000001" customHeight="1">
      <c r="C163" s="1045"/>
      <c r="D163" s="856" t="s">
        <v>592</v>
      </c>
      <c r="E163" s="1056">
        <f>E164</f>
        <v>1798000000</v>
      </c>
      <c r="F163" s="1137">
        <v>0</v>
      </c>
      <c r="G163" s="1241">
        <f t="shared" si="5"/>
        <v>0</v>
      </c>
      <c r="H163" s="854">
        <f>+G163</f>
        <v>0</v>
      </c>
      <c r="I163" s="969"/>
    </row>
    <row r="164" spans="3:9" s="898" customFormat="1" ht="20.100000000000001" customHeight="1">
      <c r="C164" s="1045"/>
      <c r="D164" s="808" t="s">
        <v>593</v>
      </c>
      <c r="E164" s="248">
        <v>1798000000</v>
      </c>
      <c r="F164" s="1137">
        <v>0</v>
      </c>
      <c r="G164" s="1241">
        <f t="shared" si="5"/>
        <v>0</v>
      </c>
      <c r="H164" s="854">
        <f>+G164</f>
        <v>0</v>
      </c>
      <c r="I164" s="969"/>
    </row>
    <row r="165" spans="3:9" s="898" customFormat="1" ht="20.100000000000001" customHeight="1">
      <c r="C165" s="1045"/>
      <c r="D165" s="972"/>
      <c r="E165" s="1202">
        <v>0</v>
      </c>
      <c r="F165" s="137"/>
      <c r="G165" s="1212"/>
      <c r="H165" s="115"/>
      <c r="I165" s="969"/>
    </row>
    <row r="166" spans="3:9" s="898" customFormat="1" ht="21.75" customHeight="1">
      <c r="C166" s="1045"/>
      <c r="D166" s="856" t="s">
        <v>3950</v>
      </c>
      <c r="E166" s="1056">
        <f>E167</f>
        <v>5000000000</v>
      </c>
      <c r="F166" s="1137">
        <v>3224959500</v>
      </c>
      <c r="G166" s="1225">
        <f>+F166/E166*100</f>
        <v>64.499189999999999</v>
      </c>
      <c r="H166" s="855">
        <v>65</v>
      </c>
      <c r="I166" s="969"/>
    </row>
    <row r="167" spans="3:9" s="898" customFormat="1" ht="20.100000000000001" customHeight="1">
      <c r="C167" s="1045"/>
      <c r="D167" s="856" t="s">
        <v>3949</v>
      </c>
      <c r="E167" s="1056">
        <f>E168</f>
        <v>5000000000</v>
      </c>
      <c r="F167" s="1137">
        <v>3224959500</v>
      </c>
      <c r="G167" s="1241">
        <f>+F167/E167*100</f>
        <v>64.499189999999999</v>
      </c>
      <c r="H167" s="854">
        <v>65</v>
      </c>
      <c r="I167" s="969"/>
    </row>
    <row r="168" spans="3:9" s="898" customFormat="1" ht="20.100000000000001" customHeight="1">
      <c r="C168" s="1045"/>
      <c r="D168" s="859" t="s">
        <v>596</v>
      </c>
      <c r="E168" s="1054">
        <v>5000000000</v>
      </c>
      <c r="F168" s="1137">
        <v>3224959500</v>
      </c>
      <c r="G168" s="1241">
        <f>+F168/E168*100</f>
        <v>64.499189999999999</v>
      </c>
      <c r="H168" s="854">
        <v>65</v>
      </c>
      <c r="I168" s="969"/>
    </row>
    <row r="169" spans="3:9" s="898" customFormat="1" ht="20.100000000000001" customHeight="1">
      <c r="C169" s="1045"/>
      <c r="D169" s="972"/>
      <c r="E169" s="1202">
        <v>0</v>
      </c>
      <c r="F169" s="1206"/>
      <c r="G169" s="707"/>
      <c r="H169" s="120"/>
      <c r="I169" s="969"/>
    </row>
    <row r="170" spans="3:9" s="895" customFormat="1" ht="21.75" customHeight="1">
      <c r="C170" s="904" t="s">
        <v>659</v>
      </c>
      <c r="D170" s="890" t="s">
        <v>660</v>
      </c>
      <c r="E170" s="1203">
        <f>+E171+E179+E183+E196+E200</f>
        <v>14904950000</v>
      </c>
      <c r="F170" s="120">
        <f>+F171+F179+F183+F196+F200</f>
        <v>11752920000</v>
      </c>
      <c r="G170" s="707">
        <f>+F170/E170*100</f>
        <v>78.852461766057587</v>
      </c>
      <c r="H170" s="120">
        <f>(H171+H179+H183+H196+H200)/5</f>
        <v>91.333333333333343</v>
      </c>
      <c r="I170" s="903"/>
    </row>
    <row r="171" spans="3:9" s="898" customFormat="1" ht="21.75" customHeight="1">
      <c r="C171" s="1045"/>
      <c r="D171" s="917" t="s">
        <v>444</v>
      </c>
      <c r="E171" s="1070">
        <f>E172+E174+E176</f>
        <v>3225000000</v>
      </c>
      <c r="F171" s="1131">
        <f>F172+F174+F176</f>
        <v>3224950000</v>
      </c>
      <c r="G171" s="1294">
        <f t="shared" ref="G171:G177" si="6">F171/E171*100</f>
        <v>99.998449612403093</v>
      </c>
      <c r="H171" s="1293">
        <v>100</v>
      </c>
      <c r="I171" s="969"/>
    </row>
    <row r="172" spans="3:9" s="898" customFormat="1" ht="20.100000000000001" customHeight="1">
      <c r="C172" s="1045"/>
      <c r="D172" s="917" t="s">
        <v>588</v>
      </c>
      <c r="E172" s="1070">
        <f>SUM(E173:E173)</f>
        <v>225000000</v>
      </c>
      <c r="F172" s="1131">
        <f>SUM(F173:F173)</f>
        <v>224950000</v>
      </c>
      <c r="G172" s="1294">
        <f t="shared" si="6"/>
        <v>99.977777777777774</v>
      </c>
      <c r="H172" s="1293">
        <v>100</v>
      </c>
      <c r="I172" s="969"/>
    </row>
    <row r="173" spans="3:9" s="898" customFormat="1" ht="20.100000000000001" customHeight="1">
      <c r="C173" s="1045"/>
      <c r="D173" s="914" t="s">
        <v>662</v>
      </c>
      <c r="E173" s="1069">
        <v>225000000</v>
      </c>
      <c r="F173" s="1123">
        <v>224950000</v>
      </c>
      <c r="G173" s="1294">
        <f t="shared" si="6"/>
        <v>99.977777777777774</v>
      </c>
      <c r="H173" s="1293">
        <v>100</v>
      </c>
      <c r="I173" s="969"/>
    </row>
    <row r="174" spans="3:9" s="898" customFormat="1" ht="20.100000000000001" customHeight="1">
      <c r="C174" s="1045"/>
      <c r="D174" s="917" t="s">
        <v>663</v>
      </c>
      <c r="E174" s="1070">
        <f>SUM(E175:E175)</f>
        <v>2250000000</v>
      </c>
      <c r="F174" s="1131">
        <f>SUM(F175:F175)</f>
        <v>2250000000</v>
      </c>
      <c r="G174" s="1294">
        <f t="shared" si="6"/>
        <v>100</v>
      </c>
      <c r="H174" s="1293">
        <v>100</v>
      </c>
      <c r="I174" s="969"/>
    </row>
    <row r="175" spans="3:9" s="898" customFormat="1" ht="20.100000000000001" customHeight="1">
      <c r="C175" s="1045"/>
      <c r="D175" s="914" t="s">
        <v>664</v>
      </c>
      <c r="E175" s="1069">
        <v>2250000000</v>
      </c>
      <c r="F175" s="1123">
        <v>2250000000</v>
      </c>
      <c r="G175" s="1294">
        <f t="shared" si="6"/>
        <v>100</v>
      </c>
      <c r="H175" s="1293">
        <v>100</v>
      </c>
      <c r="I175" s="969"/>
    </row>
    <row r="176" spans="3:9" s="898" customFormat="1" ht="20.100000000000001" customHeight="1">
      <c r="C176" s="1045"/>
      <c r="D176" s="917" t="s">
        <v>666</v>
      </c>
      <c r="E176" s="1070">
        <f>SUM(E177:E177)</f>
        <v>750000000</v>
      </c>
      <c r="F176" s="1131">
        <f>SUM(F177:F177)</f>
        <v>750000000</v>
      </c>
      <c r="G176" s="1294">
        <f t="shared" si="6"/>
        <v>100</v>
      </c>
      <c r="H176" s="1293">
        <v>100</v>
      </c>
      <c r="I176" s="969"/>
    </row>
    <row r="177" spans="3:9" s="898" customFormat="1" ht="20.100000000000001" customHeight="1">
      <c r="C177" s="1045"/>
      <c r="D177" s="914" t="s">
        <v>667</v>
      </c>
      <c r="E177" s="1069">
        <v>750000000</v>
      </c>
      <c r="F177" s="1123">
        <v>750000000</v>
      </c>
      <c r="G177" s="1294">
        <f t="shared" si="6"/>
        <v>100</v>
      </c>
      <c r="H177" s="1293">
        <v>100</v>
      </c>
      <c r="I177" s="969"/>
    </row>
    <row r="178" spans="3:9" s="898" customFormat="1" ht="20.100000000000001" customHeight="1">
      <c r="C178" s="1045"/>
      <c r="D178" s="914"/>
      <c r="E178" s="1069"/>
      <c r="F178" s="1123"/>
      <c r="G178" s="1294"/>
      <c r="H178" s="1293"/>
      <c r="I178" s="969"/>
    </row>
    <row r="179" spans="3:9" s="898" customFormat="1" ht="21.75" customHeight="1">
      <c r="C179" s="1045"/>
      <c r="D179" s="917" t="s">
        <v>669</v>
      </c>
      <c r="E179" s="1070">
        <f>E180</f>
        <v>6500000000</v>
      </c>
      <c r="F179" s="1131">
        <f>F180</f>
        <v>3450000000</v>
      </c>
      <c r="G179" s="707">
        <v>53.07692307692308</v>
      </c>
      <c r="H179" s="120">
        <v>60</v>
      </c>
      <c r="I179" s="969"/>
    </row>
    <row r="180" spans="3:9" s="898" customFormat="1" ht="20.100000000000001" customHeight="1">
      <c r="C180" s="1045"/>
      <c r="D180" s="917" t="s">
        <v>595</v>
      </c>
      <c r="E180" s="1070">
        <f>E181</f>
        <v>6500000000</v>
      </c>
      <c r="F180" s="1131">
        <f>F181</f>
        <v>3450000000</v>
      </c>
      <c r="G180" s="1294">
        <f>F180/E180*100</f>
        <v>53.07692307692308</v>
      </c>
      <c r="H180" s="1293">
        <v>60</v>
      </c>
      <c r="I180" s="969"/>
    </row>
    <row r="181" spans="3:9" s="898" customFormat="1" ht="34.5" customHeight="1">
      <c r="C181" s="1045"/>
      <c r="D181" s="914" t="s">
        <v>670</v>
      </c>
      <c r="E181" s="1069">
        <v>6500000000</v>
      </c>
      <c r="F181" s="1123">
        <v>3450000000</v>
      </c>
      <c r="G181" s="1294">
        <f>F181/E181*100</f>
        <v>53.07692307692308</v>
      </c>
      <c r="H181" s="1293">
        <v>60</v>
      </c>
      <c r="I181" s="969"/>
    </row>
    <row r="182" spans="3:9" s="898" customFormat="1" ht="20.100000000000001" customHeight="1">
      <c r="C182" s="1045"/>
      <c r="D182" s="914"/>
      <c r="E182" s="1202"/>
      <c r="F182" s="1206"/>
      <c r="G182" s="1205"/>
      <c r="H182" s="971"/>
      <c r="I182" s="969"/>
    </row>
    <row r="183" spans="3:9" s="898" customFormat="1" ht="21.75" customHeight="1">
      <c r="C183" s="1045"/>
      <c r="D183" s="917" t="s">
        <v>688</v>
      </c>
      <c r="E183" s="1202">
        <v>2100000000</v>
      </c>
      <c r="F183" s="234">
        <f>+F184+F187+F191</f>
        <v>2014600000</v>
      </c>
      <c r="G183" s="707">
        <f>+F183/E183*100</f>
        <v>95.933333333333337</v>
      </c>
      <c r="H183" s="120">
        <f>(H184+H187+H191)/3</f>
        <v>96.666666666666671</v>
      </c>
      <c r="I183" s="969"/>
    </row>
    <row r="184" spans="3:9" s="898" customFormat="1" ht="29.25" customHeight="1">
      <c r="C184" s="1045"/>
      <c r="D184" s="917" t="s">
        <v>3910</v>
      </c>
      <c r="E184" s="1129">
        <v>625000000</v>
      </c>
      <c r="F184" s="1126">
        <f>F185+F186</f>
        <v>625000000</v>
      </c>
      <c r="G184" s="1294">
        <f>F184/E184*100</f>
        <v>100</v>
      </c>
      <c r="H184" s="1293">
        <v>100</v>
      </c>
      <c r="I184" s="969"/>
    </row>
    <row r="185" spans="3:9" s="898" customFormat="1" ht="20.100000000000001" customHeight="1">
      <c r="C185" s="1045"/>
      <c r="D185" s="914" t="s">
        <v>3909</v>
      </c>
      <c r="E185" s="1128">
        <v>225000000</v>
      </c>
      <c r="F185" s="1125">
        <v>225000000</v>
      </c>
      <c r="G185" s="1294">
        <f>F185/E185*100</f>
        <v>100</v>
      </c>
      <c r="H185" s="1293">
        <v>100</v>
      </c>
      <c r="I185" s="969"/>
    </row>
    <row r="186" spans="3:9" s="898" customFormat="1" ht="20.100000000000001" customHeight="1">
      <c r="C186" s="1045"/>
      <c r="D186" s="914" t="s">
        <v>1457</v>
      </c>
      <c r="E186" s="1128">
        <v>400000000</v>
      </c>
      <c r="F186" s="1125">
        <v>400000000</v>
      </c>
      <c r="G186" s="1294">
        <f>F186/E186*100</f>
        <v>100</v>
      </c>
      <c r="H186" s="1293">
        <v>100</v>
      </c>
      <c r="I186" s="969"/>
    </row>
    <row r="187" spans="3:9" s="898" customFormat="1" ht="20.100000000000001" customHeight="1">
      <c r="C187" s="1045"/>
      <c r="D187" s="917" t="s">
        <v>735</v>
      </c>
      <c r="E187" s="1202">
        <v>710000000</v>
      </c>
      <c r="F187" s="234">
        <f>+F188+F189+F190</f>
        <v>710000000</v>
      </c>
      <c r="G187" s="707">
        <f>+F187/E187*100</f>
        <v>100</v>
      </c>
      <c r="H187" s="120">
        <f>+G187</f>
        <v>100</v>
      </c>
      <c r="I187" s="969"/>
    </row>
    <row r="188" spans="3:9" s="898" customFormat="1" ht="20.100000000000001" customHeight="1">
      <c r="C188" s="1045"/>
      <c r="D188" s="914" t="s">
        <v>3908</v>
      </c>
      <c r="E188" s="1069">
        <v>250000000</v>
      </c>
      <c r="F188" s="1123">
        <v>250000000</v>
      </c>
      <c r="G188" s="1294">
        <f>F188/E188*100</f>
        <v>100</v>
      </c>
      <c r="H188" s="1293">
        <v>100</v>
      </c>
      <c r="I188" s="969"/>
    </row>
    <row r="189" spans="3:9" s="898" customFormat="1" ht="31.5" customHeight="1">
      <c r="C189" s="1045"/>
      <c r="D189" s="914" t="s">
        <v>3907</v>
      </c>
      <c r="E189" s="1069">
        <v>235000000</v>
      </c>
      <c r="F189" s="1125">
        <v>235000000</v>
      </c>
      <c r="G189" s="1294">
        <f>F189/E189*100</f>
        <v>100</v>
      </c>
      <c r="H189" s="1293">
        <v>100</v>
      </c>
      <c r="I189" s="969"/>
    </row>
    <row r="190" spans="3:9" s="898" customFormat="1" ht="20.100000000000001" customHeight="1">
      <c r="C190" s="1045"/>
      <c r="D190" s="914" t="s">
        <v>3906</v>
      </c>
      <c r="E190" s="1069">
        <v>225000000</v>
      </c>
      <c r="F190" s="1125">
        <v>225000000</v>
      </c>
      <c r="G190" s="1294">
        <f>F190/E190*100</f>
        <v>100</v>
      </c>
      <c r="H190" s="1293">
        <v>100</v>
      </c>
      <c r="I190" s="969"/>
    </row>
    <row r="191" spans="3:9" s="898" customFormat="1" ht="33" customHeight="1">
      <c r="C191" s="973"/>
      <c r="D191" s="914" t="s">
        <v>1283</v>
      </c>
      <c r="E191" s="1297">
        <v>765000000</v>
      </c>
      <c r="F191" s="137">
        <f>+F192+F193+F194</f>
        <v>679600000</v>
      </c>
      <c r="G191" s="1212">
        <f>+F191/E191*100</f>
        <v>88.83660130718954</v>
      </c>
      <c r="H191" s="115">
        <f>270/3</f>
        <v>90</v>
      </c>
      <c r="I191" s="969"/>
    </row>
    <row r="192" spans="3:9" s="898" customFormat="1" ht="20.100000000000001" customHeight="1">
      <c r="C192" s="1045"/>
      <c r="D192" s="914" t="s">
        <v>3904</v>
      </c>
      <c r="E192" s="1069">
        <v>250000000</v>
      </c>
      <c r="F192" s="1125">
        <v>201000000</v>
      </c>
      <c r="G192" s="1294">
        <f>F192/E192*100</f>
        <v>80.400000000000006</v>
      </c>
      <c r="H192" s="1296">
        <v>80</v>
      </c>
      <c r="I192" s="969"/>
    </row>
    <row r="193" spans="3:9" s="898" customFormat="1" ht="31.5" customHeight="1">
      <c r="C193" s="1045"/>
      <c r="D193" s="914" t="s">
        <v>3127</v>
      </c>
      <c r="E193" s="1069">
        <v>250000000</v>
      </c>
      <c r="F193" s="1123">
        <v>250000000</v>
      </c>
      <c r="G193" s="1294">
        <f>F193/E193*100</f>
        <v>100</v>
      </c>
      <c r="H193" s="1293">
        <v>100</v>
      </c>
      <c r="I193" s="969"/>
    </row>
    <row r="194" spans="3:9" s="898" customFormat="1" ht="20.100000000000001" customHeight="1">
      <c r="C194" s="1045"/>
      <c r="D194" s="914" t="s">
        <v>3903</v>
      </c>
      <c r="E194" s="1069">
        <v>265000000</v>
      </c>
      <c r="F194" s="1123">
        <v>228600000</v>
      </c>
      <c r="G194" s="1294">
        <f>F194/E194*100</f>
        <v>86.264150943396217</v>
      </c>
      <c r="H194" s="1296">
        <v>90</v>
      </c>
      <c r="I194" s="969"/>
    </row>
    <row r="195" spans="3:9" s="898" customFormat="1" ht="20.100000000000001" customHeight="1">
      <c r="C195" s="1045"/>
      <c r="D195" s="914"/>
      <c r="E195" s="1202">
        <v>0</v>
      </c>
      <c r="F195" s="1206"/>
      <c r="G195" s="1205"/>
      <c r="H195" s="971"/>
      <c r="I195" s="969"/>
    </row>
    <row r="196" spans="3:9" s="898" customFormat="1" ht="33" customHeight="1">
      <c r="C196" s="1045"/>
      <c r="D196" s="917" t="s">
        <v>724</v>
      </c>
      <c r="E196" s="1203">
        <v>79950000</v>
      </c>
      <c r="F196" s="120">
        <f>+F197</f>
        <v>79950000</v>
      </c>
      <c r="G196" s="707">
        <f>+F196/E196*100</f>
        <v>100</v>
      </c>
      <c r="H196" s="120">
        <f>+G196</f>
        <v>100</v>
      </c>
      <c r="I196" s="900"/>
    </row>
    <row r="197" spans="3:9" s="898" customFormat="1" ht="20.100000000000001" customHeight="1">
      <c r="C197" s="1045"/>
      <c r="D197" s="917" t="s">
        <v>725</v>
      </c>
      <c r="E197" s="1203">
        <v>79950000</v>
      </c>
      <c r="F197" s="120">
        <f>+F198</f>
        <v>79950000</v>
      </c>
      <c r="G197" s="707">
        <f>+F197/E197*100</f>
        <v>100</v>
      </c>
      <c r="H197" s="120">
        <f>+G197</f>
        <v>100</v>
      </c>
      <c r="I197" s="900"/>
    </row>
    <row r="198" spans="3:9" s="898" customFormat="1" ht="20.100000000000001" customHeight="1">
      <c r="C198" s="1045"/>
      <c r="D198" s="914" t="s">
        <v>727</v>
      </c>
      <c r="E198" s="1295">
        <v>79950000</v>
      </c>
      <c r="F198" s="1123">
        <v>79950000</v>
      </c>
      <c r="G198" s="1294">
        <f>F198/E198*100</f>
        <v>100</v>
      </c>
      <c r="H198" s="1293">
        <f>+G198</f>
        <v>100</v>
      </c>
      <c r="I198" s="900"/>
    </row>
    <row r="199" spans="3:9" s="898" customFormat="1" ht="20.100000000000001" customHeight="1">
      <c r="C199" s="1045"/>
      <c r="D199" s="914"/>
      <c r="E199" s="1202">
        <v>0</v>
      </c>
      <c r="F199" s="1206"/>
      <c r="G199" s="1205"/>
      <c r="H199" s="971"/>
      <c r="I199" s="969"/>
    </row>
    <row r="200" spans="3:9" s="898" customFormat="1" ht="21.75" customHeight="1">
      <c r="C200" s="1045"/>
      <c r="D200" s="917" t="s">
        <v>701</v>
      </c>
      <c r="E200" s="1203">
        <v>3000000000</v>
      </c>
      <c r="F200" s="115">
        <f>+F201</f>
        <v>2983420000</v>
      </c>
      <c r="G200" s="1212">
        <f>+G201</f>
        <v>99.447333333333333</v>
      </c>
      <c r="H200" s="115">
        <v>100</v>
      </c>
      <c r="I200" s="969"/>
    </row>
    <row r="201" spans="3:9" s="898" customFormat="1" ht="20.100000000000001" customHeight="1">
      <c r="C201" s="1045"/>
      <c r="D201" s="917" t="s">
        <v>1294</v>
      </c>
      <c r="E201" s="1203">
        <v>3000000000</v>
      </c>
      <c r="F201" s="115">
        <f>+F202+F203+F204</f>
        <v>2983420000</v>
      </c>
      <c r="G201" s="1212">
        <f>+F201/E201*100</f>
        <v>99.447333333333333</v>
      </c>
      <c r="H201" s="115">
        <v>100</v>
      </c>
      <c r="I201" s="969"/>
    </row>
    <row r="202" spans="3:9" s="898" customFormat="1" ht="20.100000000000001" customHeight="1">
      <c r="C202" s="1045"/>
      <c r="D202" s="914" t="s">
        <v>704</v>
      </c>
      <c r="E202" s="1069">
        <v>1000000000</v>
      </c>
      <c r="F202" s="1125">
        <v>995000000</v>
      </c>
      <c r="G202" s="1294">
        <f>F202/E202*100</f>
        <v>99.5</v>
      </c>
      <c r="H202" s="1293">
        <v>100</v>
      </c>
      <c r="I202" s="969"/>
    </row>
    <row r="203" spans="3:9" s="898" customFormat="1" ht="31.5" customHeight="1">
      <c r="C203" s="1045"/>
      <c r="D203" s="914" t="s">
        <v>3897</v>
      </c>
      <c r="E203" s="1069">
        <v>1000000000</v>
      </c>
      <c r="F203" s="1123">
        <v>994170000</v>
      </c>
      <c r="G203" s="1294">
        <f>F203/E203*100</f>
        <v>99.417000000000002</v>
      </c>
      <c r="H203" s="1293">
        <v>100</v>
      </c>
      <c r="I203" s="969"/>
    </row>
    <row r="204" spans="3:9" s="898" customFormat="1" ht="29.25" customHeight="1">
      <c r="C204" s="1045"/>
      <c r="D204" s="914" t="s">
        <v>705</v>
      </c>
      <c r="E204" s="1069">
        <v>1000000000</v>
      </c>
      <c r="F204" s="1125">
        <v>994250000</v>
      </c>
      <c r="G204" s="1294">
        <f>F204/E204*100</f>
        <v>99.424999999999997</v>
      </c>
      <c r="H204" s="1293">
        <v>100</v>
      </c>
      <c r="I204" s="969"/>
    </row>
    <row r="205" spans="3:9" s="898" customFormat="1" ht="20.100000000000001" customHeight="1">
      <c r="C205" s="1045"/>
      <c r="D205" s="914"/>
      <c r="E205" s="1202">
        <v>0</v>
      </c>
      <c r="F205" s="1206"/>
      <c r="G205" s="1205"/>
      <c r="H205" s="971"/>
      <c r="I205" s="969"/>
    </row>
    <row r="206" spans="3:9" s="895" customFormat="1" ht="21.75" customHeight="1">
      <c r="C206" s="904" t="s">
        <v>765</v>
      </c>
      <c r="D206" s="890" t="s">
        <v>766</v>
      </c>
      <c r="E206" s="1203">
        <f>+E207+E247</f>
        <v>27517083825</v>
      </c>
      <c r="F206" s="120">
        <f>+F207+F247</f>
        <v>25131116101</v>
      </c>
      <c r="G206" s="707">
        <f>+F206/E206*100</f>
        <v>91.329140329062469</v>
      </c>
      <c r="H206" s="120">
        <f>(H207+H247)/2</f>
        <v>98.5</v>
      </c>
      <c r="I206" s="903"/>
    </row>
    <row r="207" spans="3:9" s="2" customFormat="1" ht="21.75" customHeight="1">
      <c r="C207" s="902"/>
      <c r="D207" s="1114" t="s">
        <v>767</v>
      </c>
      <c r="E207" s="1120">
        <v>21969452173</v>
      </c>
      <c r="F207" s="140">
        <f>F208+F211+F223+F235+F240</f>
        <v>20217110553</v>
      </c>
      <c r="G207" s="1291">
        <f t="shared" ref="G207:G245" si="7">F207/E207*100</f>
        <v>92.023735475053897</v>
      </c>
      <c r="H207" s="1290">
        <v>97</v>
      </c>
      <c r="I207" s="903"/>
    </row>
    <row r="208" spans="3:9" s="2" customFormat="1" ht="20.100000000000001" customHeight="1">
      <c r="C208" s="902"/>
      <c r="D208" s="1114" t="s">
        <v>388</v>
      </c>
      <c r="E208" s="1119">
        <v>1155873750</v>
      </c>
      <c r="F208" s="140">
        <f>SUM(F209:F210)</f>
        <v>1002750000</v>
      </c>
      <c r="G208" s="1291">
        <f t="shared" si="7"/>
        <v>86.752554074352844</v>
      </c>
      <c r="H208" s="1290">
        <v>92</v>
      </c>
      <c r="I208" s="900"/>
    </row>
    <row r="209" spans="3:9" s="2" customFormat="1" ht="32.25" customHeight="1">
      <c r="C209" s="902"/>
      <c r="D209" s="1109" t="s">
        <v>3894</v>
      </c>
      <c r="E209" s="1117">
        <v>206073750</v>
      </c>
      <c r="F209" s="141">
        <v>104550000</v>
      </c>
      <c r="G209" s="1289">
        <f t="shared" si="7"/>
        <v>50.734263825450846</v>
      </c>
      <c r="H209" s="1292">
        <v>85</v>
      </c>
      <c r="I209" s="900"/>
    </row>
    <row r="210" spans="3:9" s="2" customFormat="1" ht="20.100000000000001" customHeight="1">
      <c r="C210" s="902"/>
      <c r="D210" s="1109" t="s">
        <v>3893</v>
      </c>
      <c r="E210" s="1117">
        <v>949800000</v>
      </c>
      <c r="F210" s="141">
        <v>898200000</v>
      </c>
      <c r="G210" s="1289">
        <f t="shared" si="7"/>
        <v>94.567277321541383</v>
      </c>
      <c r="H210" s="1288">
        <v>100</v>
      </c>
      <c r="I210" s="900"/>
    </row>
    <row r="211" spans="3:9" s="2" customFormat="1" ht="20.100000000000001" customHeight="1">
      <c r="C211" s="902"/>
      <c r="D211" s="1114" t="s">
        <v>394</v>
      </c>
      <c r="E211" s="1119">
        <v>9221095348</v>
      </c>
      <c r="F211" s="140">
        <f>SUM(F212:F222)</f>
        <v>7964201680</v>
      </c>
      <c r="G211" s="1291">
        <f t="shared" si="7"/>
        <v>86.369366972519018</v>
      </c>
      <c r="H211" s="1290">
        <v>100</v>
      </c>
      <c r="I211" s="900"/>
    </row>
    <row r="212" spans="3:9" s="2" customFormat="1" ht="20.100000000000001" customHeight="1">
      <c r="C212" s="902"/>
      <c r="D212" s="1109" t="s">
        <v>3892</v>
      </c>
      <c r="E212" s="1117">
        <v>262254000</v>
      </c>
      <c r="F212" s="141">
        <v>262200000</v>
      </c>
      <c r="G212" s="1289">
        <f t="shared" si="7"/>
        <v>99.979409274977698</v>
      </c>
      <c r="H212" s="1292">
        <v>100</v>
      </c>
      <c r="I212" s="900"/>
    </row>
    <row r="213" spans="3:9" s="2" customFormat="1" ht="20.100000000000001" customHeight="1">
      <c r="C213" s="902"/>
      <c r="D213" s="1109" t="s">
        <v>3891</v>
      </c>
      <c r="E213" s="1117">
        <v>40000000</v>
      </c>
      <c r="F213" s="141">
        <v>36136100</v>
      </c>
      <c r="G213" s="1289">
        <f t="shared" si="7"/>
        <v>90.340249999999997</v>
      </c>
      <c r="H213" s="1288">
        <v>100</v>
      </c>
      <c r="I213" s="900"/>
    </row>
    <row r="214" spans="3:9" s="2" customFormat="1" ht="20.100000000000001" customHeight="1">
      <c r="C214" s="902"/>
      <c r="D214" s="1109" t="s">
        <v>3890</v>
      </c>
      <c r="E214" s="1117">
        <v>65000000</v>
      </c>
      <c r="F214" s="141">
        <v>64386100</v>
      </c>
      <c r="G214" s="1289">
        <f t="shared" si="7"/>
        <v>99.055538461538461</v>
      </c>
      <c r="H214" s="1288">
        <v>100</v>
      </c>
      <c r="I214" s="900"/>
    </row>
    <row r="215" spans="3:9" s="2" customFormat="1" ht="20.100000000000001" customHeight="1">
      <c r="C215" s="902"/>
      <c r="D215" s="1109" t="s">
        <v>3889</v>
      </c>
      <c r="E215" s="1117">
        <v>850000000</v>
      </c>
      <c r="F215" s="141">
        <v>845998500</v>
      </c>
      <c r="G215" s="1289">
        <f t="shared" si="7"/>
        <v>99.52923529411764</v>
      </c>
      <c r="H215" s="1288">
        <v>100</v>
      </c>
      <c r="I215" s="900"/>
    </row>
    <row r="216" spans="3:9" s="2" customFormat="1" ht="20.100000000000001" customHeight="1">
      <c r="C216" s="902"/>
      <c r="D216" s="1109" t="s">
        <v>3888</v>
      </c>
      <c r="E216" s="1117">
        <v>800000000</v>
      </c>
      <c r="F216" s="141">
        <v>800000000</v>
      </c>
      <c r="G216" s="1289">
        <f t="shared" si="7"/>
        <v>100</v>
      </c>
      <c r="H216" s="1288">
        <v>100</v>
      </c>
      <c r="I216" s="900"/>
    </row>
    <row r="217" spans="3:9" s="2" customFormat="1" ht="20.100000000000001" customHeight="1">
      <c r="C217" s="902"/>
      <c r="D217" s="1109" t="s">
        <v>3887</v>
      </c>
      <c r="E217" s="1117">
        <v>1100000000</v>
      </c>
      <c r="F217" s="141">
        <v>1087763000</v>
      </c>
      <c r="G217" s="1289">
        <f t="shared" si="7"/>
        <v>98.88754545454546</v>
      </c>
      <c r="H217" s="1288">
        <v>100</v>
      </c>
      <c r="I217" s="900"/>
    </row>
    <row r="218" spans="3:9" s="2" customFormat="1" ht="20.100000000000001" customHeight="1">
      <c r="C218" s="902"/>
      <c r="D218" s="1109" t="s">
        <v>3886</v>
      </c>
      <c r="E218" s="1117">
        <v>2689277708</v>
      </c>
      <c r="F218" s="141">
        <v>1992852480</v>
      </c>
      <c r="G218" s="1289">
        <f t="shared" si="7"/>
        <v>74.103632885205911</v>
      </c>
      <c r="H218" s="1288">
        <v>100</v>
      </c>
      <c r="I218" s="900"/>
    </row>
    <row r="219" spans="3:9" s="2" customFormat="1" ht="20.100000000000001" customHeight="1">
      <c r="C219" s="902"/>
      <c r="D219" s="1109" t="s">
        <v>3885</v>
      </c>
      <c r="E219" s="1117">
        <v>2816390640</v>
      </c>
      <c r="F219" s="141">
        <v>2278055500</v>
      </c>
      <c r="G219" s="1289">
        <f t="shared" si="7"/>
        <v>80.885636660119005</v>
      </c>
      <c r="H219" s="1288">
        <v>100</v>
      </c>
      <c r="I219" s="900"/>
    </row>
    <row r="220" spans="3:9" s="2" customFormat="1" ht="20.100000000000001" customHeight="1">
      <c r="C220" s="902"/>
      <c r="D220" s="1109" t="s">
        <v>3884</v>
      </c>
      <c r="E220" s="1117">
        <v>150000000</v>
      </c>
      <c r="F220" s="141">
        <v>149710000</v>
      </c>
      <c r="G220" s="1289">
        <f t="shared" si="7"/>
        <v>99.806666666666672</v>
      </c>
      <c r="H220" s="1288">
        <v>100</v>
      </c>
      <c r="I220" s="900"/>
    </row>
    <row r="221" spans="3:9" s="2" customFormat="1" ht="20.100000000000001" customHeight="1">
      <c r="C221" s="902"/>
      <c r="D221" s="1109" t="s">
        <v>3883</v>
      </c>
      <c r="E221" s="1108">
        <v>316590000</v>
      </c>
      <c r="F221" s="141">
        <v>316000000</v>
      </c>
      <c r="G221" s="1289">
        <f t="shared" si="7"/>
        <v>99.813639091569542</v>
      </c>
      <c r="H221" s="1292">
        <v>100</v>
      </c>
      <c r="I221" s="900"/>
    </row>
    <row r="222" spans="3:9" s="2" customFormat="1" ht="20.100000000000001" customHeight="1">
      <c r="C222" s="902"/>
      <c r="D222" s="1109" t="s">
        <v>3882</v>
      </c>
      <c r="E222" s="1108">
        <v>131583000</v>
      </c>
      <c r="F222" s="141">
        <v>131100000</v>
      </c>
      <c r="G222" s="1289">
        <f t="shared" si="7"/>
        <v>99.632931305715786</v>
      </c>
      <c r="H222" s="1292">
        <v>100</v>
      </c>
      <c r="I222" s="900"/>
    </row>
    <row r="223" spans="3:9" s="2" customFormat="1" ht="20.100000000000001" customHeight="1">
      <c r="C223" s="902"/>
      <c r="D223" s="1114" t="s">
        <v>404</v>
      </c>
      <c r="E223" s="1113">
        <v>3231283075</v>
      </c>
      <c r="F223" s="1112">
        <f>SUM(F224:F234)</f>
        <v>3215499955</v>
      </c>
      <c r="G223" s="1291">
        <f t="shared" si="7"/>
        <v>99.511552543257139</v>
      </c>
      <c r="H223" s="1290">
        <v>100</v>
      </c>
      <c r="I223" s="900"/>
    </row>
    <row r="224" spans="3:9" s="2" customFormat="1" ht="20.100000000000001" customHeight="1">
      <c r="C224" s="902"/>
      <c r="D224" s="1109" t="s">
        <v>3881</v>
      </c>
      <c r="E224" s="1108">
        <v>35350000</v>
      </c>
      <c r="F224" s="141">
        <v>33175000</v>
      </c>
      <c r="G224" s="1289">
        <f t="shared" si="7"/>
        <v>93.847241867043849</v>
      </c>
      <c r="H224" s="1292">
        <v>100</v>
      </c>
      <c r="I224" s="900"/>
    </row>
    <row r="225" spans="3:9" s="2" customFormat="1" ht="20.100000000000001" customHeight="1">
      <c r="C225" s="902"/>
      <c r="D225" s="1109" t="s">
        <v>3880</v>
      </c>
      <c r="E225" s="1108">
        <v>153597575</v>
      </c>
      <c r="F225" s="1115">
        <v>153597575</v>
      </c>
      <c r="G225" s="1289">
        <f t="shared" si="7"/>
        <v>100</v>
      </c>
      <c r="H225" s="1288">
        <v>100</v>
      </c>
      <c r="I225" s="900"/>
    </row>
    <row r="226" spans="3:9" s="2" customFormat="1" ht="20.100000000000001" customHeight="1">
      <c r="C226" s="902"/>
      <c r="D226" s="1109" t="s">
        <v>3879</v>
      </c>
      <c r="E226" s="1108">
        <v>50000000</v>
      </c>
      <c r="F226" s="141">
        <v>49575000</v>
      </c>
      <c r="G226" s="1289">
        <f t="shared" si="7"/>
        <v>99.15</v>
      </c>
      <c r="H226" s="1292">
        <v>100</v>
      </c>
      <c r="I226" s="900"/>
    </row>
    <row r="227" spans="3:9" s="2" customFormat="1" ht="20.100000000000001" customHeight="1">
      <c r="C227" s="902"/>
      <c r="D227" s="1109" t="s">
        <v>3878</v>
      </c>
      <c r="E227" s="1108">
        <v>112575000</v>
      </c>
      <c r="F227" s="1115">
        <v>112575000</v>
      </c>
      <c r="G227" s="1289">
        <f t="shared" si="7"/>
        <v>100</v>
      </c>
      <c r="H227" s="1288">
        <v>100</v>
      </c>
      <c r="I227" s="900"/>
    </row>
    <row r="228" spans="3:9" s="2" customFormat="1" ht="20.100000000000001" customHeight="1">
      <c r="C228" s="902"/>
      <c r="D228" s="1109" t="s">
        <v>3877</v>
      </c>
      <c r="E228" s="1108">
        <v>70480000</v>
      </c>
      <c r="F228" s="1115">
        <v>66785000</v>
      </c>
      <c r="G228" s="1289">
        <f t="shared" si="7"/>
        <v>94.757377979568673</v>
      </c>
      <c r="H228" s="1288">
        <v>100</v>
      </c>
      <c r="I228" s="900"/>
    </row>
    <row r="229" spans="3:9" s="2" customFormat="1" ht="20.100000000000001" customHeight="1">
      <c r="C229" s="902"/>
      <c r="D229" s="1109" t="s">
        <v>3876</v>
      </c>
      <c r="E229" s="1108">
        <v>100000000</v>
      </c>
      <c r="F229" s="1115">
        <v>99556100</v>
      </c>
      <c r="G229" s="1289">
        <f t="shared" si="7"/>
        <v>99.556100000000001</v>
      </c>
      <c r="H229" s="1288">
        <v>100</v>
      </c>
      <c r="I229" s="900"/>
    </row>
    <row r="230" spans="3:9" s="2" customFormat="1" ht="20.100000000000001" customHeight="1">
      <c r="C230" s="902"/>
      <c r="D230" s="1109" t="s">
        <v>3875</v>
      </c>
      <c r="E230" s="1108">
        <v>523240000</v>
      </c>
      <c r="F230" s="1115">
        <v>523240000</v>
      </c>
      <c r="G230" s="1289">
        <f t="shared" si="7"/>
        <v>100</v>
      </c>
      <c r="H230" s="1288">
        <v>100</v>
      </c>
      <c r="I230" s="900"/>
    </row>
    <row r="231" spans="3:9" s="2" customFormat="1" ht="20.100000000000001" customHeight="1">
      <c r="C231" s="902"/>
      <c r="D231" s="1109" t="s">
        <v>3874</v>
      </c>
      <c r="E231" s="1108">
        <v>211644000</v>
      </c>
      <c r="F231" s="1115">
        <v>206878480</v>
      </c>
      <c r="G231" s="1289">
        <f t="shared" si="7"/>
        <v>97.748332104855322</v>
      </c>
      <c r="H231" s="1288">
        <v>100</v>
      </c>
      <c r="I231" s="900"/>
    </row>
    <row r="232" spans="3:9" s="2" customFormat="1" ht="20.100000000000001" customHeight="1">
      <c r="C232" s="902"/>
      <c r="D232" s="1109" t="s">
        <v>3873</v>
      </c>
      <c r="E232" s="1108">
        <v>857760000</v>
      </c>
      <c r="F232" s="1115">
        <v>857760000</v>
      </c>
      <c r="G232" s="1289">
        <f t="shared" si="7"/>
        <v>100</v>
      </c>
      <c r="H232" s="1288">
        <v>100</v>
      </c>
      <c r="I232" s="900"/>
    </row>
    <row r="233" spans="3:9" s="2" customFormat="1" ht="20.100000000000001" customHeight="1">
      <c r="C233" s="902"/>
      <c r="D233" s="1109" t="s">
        <v>3872</v>
      </c>
      <c r="E233" s="1108">
        <v>1088376500</v>
      </c>
      <c r="F233" s="1115">
        <v>1084097800</v>
      </c>
      <c r="G233" s="1289">
        <f t="shared" si="7"/>
        <v>99.606873173024226</v>
      </c>
      <c r="H233" s="1288">
        <v>100</v>
      </c>
      <c r="I233" s="900"/>
    </row>
    <row r="234" spans="3:9" s="2" customFormat="1" ht="20.100000000000001" customHeight="1">
      <c r="C234" s="902"/>
      <c r="D234" s="1109" t="s">
        <v>3871</v>
      </c>
      <c r="E234" s="1108">
        <v>28260000</v>
      </c>
      <c r="F234" s="1115">
        <v>28260000</v>
      </c>
      <c r="G234" s="1289">
        <f t="shared" si="7"/>
        <v>100</v>
      </c>
      <c r="H234" s="1288">
        <v>100</v>
      </c>
      <c r="I234" s="900"/>
    </row>
    <row r="235" spans="3:9" s="2" customFormat="1" ht="20.100000000000001" customHeight="1">
      <c r="C235" s="902"/>
      <c r="D235" s="1114" t="s">
        <v>106</v>
      </c>
      <c r="E235" s="1113">
        <v>654000000</v>
      </c>
      <c r="F235" s="1112">
        <f>SUM(F236:F239)</f>
        <v>654000000</v>
      </c>
      <c r="G235" s="1291">
        <f t="shared" si="7"/>
        <v>100</v>
      </c>
      <c r="H235" s="1290">
        <v>100</v>
      </c>
      <c r="I235" s="900"/>
    </row>
    <row r="236" spans="3:9" s="2" customFormat="1" ht="20.100000000000001" customHeight="1">
      <c r="C236" s="902"/>
      <c r="D236" s="1109" t="s">
        <v>3870</v>
      </c>
      <c r="E236" s="1108">
        <v>144000000</v>
      </c>
      <c r="F236" s="1115">
        <v>144000000</v>
      </c>
      <c r="G236" s="1289">
        <f t="shared" si="7"/>
        <v>100</v>
      </c>
      <c r="H236" s="1288">
        <v>100</v>
      </c>
      <c r="I236" s="900"/>
    </row>
    <row r="237" spans="3:9" s="2" customFormat="1" ht="20.100000000000001" customHeight="1">
      <c r="C237" s="902"/>
      <c r="D237" s="1109" t="s">
        <v>3869</v>
      </c>
      <c r="E237" s="1108">
        <v>60000000</v>
      </c>
      <c r="F237" s="1115">
        <v>60000000</v>
      </c>
      <c r="G237" s="1289">
        <f t="shared" si="7"/>
        <v>100</v>
      </c>
      <c r="H237" s="1288">
        <v>100</v>
      </c>
      <c r="I237" s="900"/>
    </row>
    <row r="238" spans="3:9" s="2" customFormat="1" ht="20.100000000000001" customHeight="1">
      <c r="C238" s="902"/>
      <c r="D238" s="1109" t="s">
        <v>3868</v>
      </c>
      <c r="E238" s="1108">
        <v>150000000</v>
      </c>
      <c r="F238" s="1115">
        <v>150000000</v>
      </c>
      <c r="G238" s="1289">
        <f t="shared" si="7"/>
        <v>100</v>
      </c>
      <c r="H238" s="1288">
        <v>100</v>
      </c>
      <c r="I238" s="900"/>
    </row>
    <row r="239" spans="3:9" s="2" customFormat="1" ht="20.100000000000001" customHeight="1">
      <c r="C239" s="902"/>
      <c r="D239" s="1109" t="s">
        <v>3867</v>
      </c>
      <c r="E239" s="1108">
        <v>300000000</v>
      </c>
      <c r="F239" s="1115">
        <v>300000000</v>
      </c>
      <c r="G239" s="1289">
        <f t="shared" si="7"/>
        <v>100</v>
      </c>
      <c r="H239" s="1288">
        <v>100</v>
      </c>
      <c r="I239" s="900"/>
    </row>
    <row r="240" spans="3:9" s="2" customFormat="1" ht="20.100000000000001" customHeight="1">
      <c r="C240" s="902"/>
      <c r="D240" s="1114" t="s">
        <v>2075</v>
      </c>
      <c r="E240" s="1113">
        <v>7707200000</v>
      </c>
      <c r="F240" s="1112">
        <f>SUM(F241:F245)</f>
        <v>7380658918</v>
      </c>
      <c r="G240" s="1291">
        <f t="shared" si="7"/>
        <v>95.763168439900355</v>
      </c>
      <c r="H240" s="1290">
        <v>100</v>
      </c>
      <c r="I240" s="900"/>
    </row>
    <row r="241" spans="3:9" s="2" customFormat="1" ht="20.100000000000001" customHeight="1">
      <c r="C241" s="902"/>
      <c r="D241" s="1109" t="s">
        <v>3866</v>
      </c>
      <c r="E241" s="1108">
        <v>5443250000</v>
      </c>
      <c r="F241" s="1115">
        <v>5310834380</v>
      </c>
      <c r="G241" s="1289">
        <f t="shared" si="7"/>
        <v>97.567342672116837</v>
      </c>
      <c r="H241" s="1288">
        <v>100</v>
      </c>
      <c r="I241" s="900"/>
    </row>
    <row r="242" spans="3:9" s="2" customFormat="1" ht="20.100000000000001" customHeight="1">
      <c r="C242" s="902"/>
      <c r="D242" s="1109" t="s">
        <v>3865</v>
      </c>
      <c r="E242" s="1108">
        <v>90000000</v>
      </c>
      <c r="F242" s="141">
        <v>90000000</v>
      </c>
      <c r="G242" s="1289">
        <f t="shared" si="7"/>
        <v>100</v>
      </c>
      <c r="H242" s="1292">
        <v>100</v>
      </c>
      <c r="I242" s="900"/>
    </row>
    <row r="243" spans="3:9" s="2" customFormat="1" ht="31.5" customHeight="1">
      <c r="C243" s="902"/>
      <c r="D243" s="1109" t="s">
        <v>3864</v>
      </c>
      <c r="E243" s="1108">
        <v>808950000</v>
      </c>
      <c r="F243" s="1115">
        <v>806814390</v>
      </c>
      <c r="G243" s="1289">
        <f t="shared" si="7"/>
        <v>99.736002225106617</v>
      </c>
      <c r="H243" s="1288">
        <v>100</v>
      </c>
      <c r="I243" s="900"/>
    </row>
    <row r="244" spans="3:9" s="2" customFormat="1" ht="20.100000000000001" customHeight="1">
      <c r="C244" s="902"/>
      <c r="D244" s="1109" t="s">
        <v>3863</v>
      </c>
      <c r="E244" s="1108">
        <v>365000000</v>
      </c>
      <c r="F244" s="1115">
        <v>362936348</v>
      </c>
      <c r="G244" s="1289">
        <f t="shared" si="7"/>
        <v>99.434615890410953</v>
      </c>
      <c r="H244" s="1288">
        <v>100</v>
      </c>
      <c r="I244" s="900"/>
    </row>
    <row r="245" spans="3:9" s="2" customFormat="1" ht="20.100000000000001" customHeight="1">
      <c r="C245" s="902"/>
      <c r="D245" s="1109" t="s">
        <v>3862</v>
      </c>
      <c r="E245" s="1108">
        <v>1000000000</v>
      </c>
      <c r="F245" s="1115">
        <v>810073800</v>
      </c>
      <c r="G245" s="1289">
        <f t="shared" si="7"/>
        <v>81.007379999999998</v>
      </c>
      <c r="H245" s="1288">
        <v>100</v>
      </c>
      <c r="I245" s="900"/>
    </row>
    <row r="246" spans="3:9" s="2" customFormat="1" ht="20.100000000000001" customHeight="1">
      <c r="C246" s="902"/>
      <c r="D246" s="1109"/>
      <c r="E246" s="1108"/>
      <c r="F246" s="1115"/>
      <c r="G246" s="1289"/>
      <c r="H246" s="1288"/>
      <c r="I246" s="900"/>
    </row>
    <row r="247" spans="3:9" s="2" customFormat="1" ht="21.75" customHeight="1">
      <c r="C247" s="902"/>
      <c r="D247" s="1114" t="s">
        <v>820</v>
      </c>
      <c r="E247" s="1113">
        <v>5547631652</v>
      </c>
      <c r="F247" s="1112">
        <f>SUM(F248+F250)</f>
        <v>4914005548</v>
      </c>
      <c r="G247" s="1291">
        <f t="shared" ref="G247:G253" si="8">F247/E247*100</f>
        <v>88.578439526143214</v>
      </c>
      <c r="H247" s="1290">
        <v>100</v>
      </c>
      <c r="I247" s="900"/>
    </row>
    <row r="248" spans="3:9" s="2" customFormat="1" ht="15" customHeight="1">
      <c r="C248" s="902"/>
      <c r="D248" s="1114" t="s">
        <v>3861</v>
      </c>
      <c r="E248" s="1113">
        <v>1000000000</v>
      </c>
      <c r="F248" s="1112">
        <f>SUM(F249)</f>
        <v>1000000000</v>
      </c>
      <c r="G248" s="1291">
        <f t="shared" si="8"/>
        <v>100</v>
      </c>
      <c r="H248" s="1290">
        <v>100</v>
      </c>
      <c r="I248" s="900"/>
    </row>
    <row r="249" spans="3:9" s="2" customFormat="1" ht="20.100000000000001" customHeight="1">
      <c r="C249" s="902"/>
      <c r="D249" s="1109" t="s">
        <v>3860</v>
      </c>
      <c r="E249" s="1108">
        <v>1000000000</v>
      </c>
      <c r="F249" s="1115">
        <v>1000000000</v>
      </c>
      <c r="G249" s="1289">
        <f t="shared" si="8"/>
        <v>100</v>
      </c>
      <c r="H249" s="1288">
        <v>100</v>
      </c>
      <c r="I249" s="900"/>
    </row>
    <row r="250" spans="3:9" s="2" customFormat="1" ht="20.100000000000001" customHeight="1">
      <c r="C250" s="902"/>
      <c r="D250" s="1114" t="s">
        <v>3859</v>
      </c>
      <c r="E250" s="1113">
        <v>4547631652</v>
      </c>
      <c r="F250" s="1112">
        <f>SUM(F251:F253)</f>
        <v>3914005548</v>
      </c>
      <c r="G250" s="1291">
        <f t="shared" si="8"/>
        <v>86.066899157909191</v>
      </c>
      <c r="H250" s="1290">
        <v>100</v>
      </c>
      <c r="I250" s="900"/>
    </row>
    <row r="251" spans="3:9" s="2" customFormat="1" ht="20.100000000000001" customHeight="1">
      <c r="C251" s="902"/>
      <c r="D251" s="1109" t="s">
        <v>3858</v>
      </c>
      <c r="E251" s="1108">
        <v>634320000</v>
      </c>
      <c r="F251" s="1115">
        <v>634320000</v>
      </c>
      <c r="G251" s="1289">
        <f t="shared" si="8"/>
        <v>100</v>
      </c>
      <c r="H251" s="1288">
        <v>100</v>
      </c>
      <c r="I251" s="900"/>
    </row>
    <row r="252" spans="3:9" s="2" customFormat="1" ht="20.100000000000001" customHeight="1">
      <c r="C252" s="902"/>
      <c r="D252" s="1109" t="s">
        <v>794</v>
      </c>
      <c r="E252" s="1108">
        <v>2985222292</v>
      </c>
      <c r="F252" s="1115">
        <v>2542866192</v>
      </c>
      <c r="G252" s="1289">
        <f t="shared" si="8"/>
        <v>85.181803673868586</v>
      </c>
      <c r="H252" s="1288">
        <v>100</v>
      </c>
      <c r="I252" s="900"/>
    </row>
    <row r="253" spans="3:9" s="2" customFormat="1" ht="20.100000000000001" customHeight="1">
      <c r="C253" s="902"/>
      <c r="D253" s="1109" t="s">
        <v>3857</v>
      </c>
      <c r="E253" s="1108">
        <v>928089360</v>
      </c>
      <c r="F253" s="1115">
        <v>736819356</v>
      </c>
      <c r="G253" s="1289">
        <f t="shared" si="8"/>
        <v>79.390992694927562</v>
      </c>
      <c r="H253" s="1288">
        <v>100</v>
      </c>
      <c r="I253" s="900"/>
    </row>
    <row r="254" spans="3:9" s="898" customFormat="1" ht="15" customHeight="1">
      <c r="C254" s="973"/>
      <c r="D254" s="972"/>
      <c r="E254" s="1202">
        <v>0</v>
      </c>
      <c r="F254" s="1206"/>
      <c r="G254" s="1205"/>
      <c r="H254" s="971"/>
      <c r="I254" s="969"/>
    </row>
    <row r="255" spans="3:9" s="895" customFormat="1" ht="21.75" customHeight="1">
      <c r="C255" s="904" t="s">
        <v>844</v>
      </c>
      <c r="D255" s="890" t="s">
        <v>845</v>
      </c>
      <c r="E255" s="1203">
        <f>+E256+E282+E288</f>
        <v>14321869057</v>
      </c>
      <c r="F255" s="1203">
        <f>+F256+F282+F288</f>
        <v>9917478990</v>
      </c>
      <c r="G255" s="707">
        <f t="shared" ref="G255:G280" si="9">+F255/E255*100</f>
        <v>69.247100015571661</v>
      </c>
      <c r="H255" s="120">
        <f>(H256+H282+H288)/3</f>
        <v>92.44047619047619</v>
      </c>
      <c r="I255" s="903"/>
    </row>
    <row r="256" spans="3:9" s="2" customFormat="1" ht="21.75" customHeight="1">
      <c r="C256" s="902"/>
      <c r="D256" s="856" t="s">
        <v>387</v>
      </c>
      <c r="E256" s="1100">
        <f>+E257+E259+E262+E265+E270+E275+E279</f>
        <v>10805869057</v>
      </c>
      <c r="F256" s="1100">
        <f>+F257+F259+F262+F265+F270+F275+F279</f>
        <v>6408852990</v>
      </c>
      <c r="G256" s="1286">
        <f t="shared" si="9"/>
        <v>59.309001027070288</v>
      </c>
      <c r="H256" s="1100">
        <f>(H257+H259+H262+H265+H270+H275+H279)/7</f>
        <v>77.321428571428569</v>
      </c>
      <c r="I256" s="900"/>
    </row>
    <row r="257" spans="3:9" s="2" customFormat="1" ht="20.100000000000001" customHeight="1">
      <c r="C257" s="902"/>
      <c r="D257" s="1101" t="s">
        <v>388</v>
      </c>
      <c r="E257" s="1100">
        <f>+E258</f>
        <v>468000000</v>
      </c>
      <c r="F257" s="1100">
        <f>+F258</f>
        <v>468000000</v>
      </c>
      <c r="G257" s="1286">
        <f t="shared" si="9"/>
        <v>100</v>
      </c>
      <c r="H257" s="1100">
        <f>+H258</f>
        <v>100</v>
      </c>
      <c r="I257" s="900"/>
    </row>
    <row r="258" spans="3:9" s="2" customFormat="1" ht="20.100000000000001" customHeight="1">
      <c r="C258" s="902"/>
      <c r="D258" s="886" t="s">
        <v>3841</v>
      </c>
      <c r="E258" s="1098">
        <v>468000000</v>
      </c>
      <c r="F258" s="1098">
        <v>468000000</v>
      </c>
      <c r="G258" s="1284">
        <f t="shared" si="9"/>
        <v>100</v>
      </c>
      <c r="H258" s="1098">
        <f>+G258</f>
        <v>100</v>
      </c>
      <c r="I258" s="900"/>
    </row>
    <row r="259" spans="3:9" s="2" customFormat="1" ht="20.100000000000001" customHeight="1">
      <c r="C259" s="902"/>
      <c r="D259" s="893" t="s">
        <v>394</v>
      </c>
      <c r="E259" s="1100">
        <f>SUM(E260:E261)</f>
        <v>550000000</v>
      </c>
      <c r="F259" s="1100">
        <f>SUM(F260:F261)</f>
        <v>50000000</v>
      </c>
      <c r="G259" s="1286">
        <f t="shared" si="9"/>
        <v>9.0909090909090917</v>
      </c>
      <c r="H259" s="1100">
        <v>50</v>
      </c>
      <c r="I259" s="900"/>
    </row>
    <row r="260" spans="3:9" s="2" customFormat="1" ht="28.5" customHeight="1">
      <c r="C260" s="902"/>
      <c r="D260" s="886" t="s">
        <v>3840</v>
      </c>
      <c r="E260" s="1098">
        <v>500000000</v>
      </c>
      <c r="F260" s="1098">
        <v>0</v>
      </c>
      <c r="G260" s="1284">
        <f t="shared" si="9"/>
        <v>0</v>
      </c>
      <c r="H260" s="1098">
        <f>+G260</f>
        <v>0</v>
      </c>
      <c r="I260" s="900"/>
    </row>
    <row r="261" spans="3:9" s="2" customFormat="1" ht="20.100000000000001" customHeight="1">
      <c r="C261" s="902"/>
      <c r="D261" s="886" t="s">
        <v>3839</v>
      </c>
      <c r="E261" s="1098">
        <v>50000000</v>
      </c>
      <c r="F261" s="1098">
        <v>50000000</v>
      </c>
      <c r="G261" s="1284">
        <f t="shared" si="9"/>
        <v>100</v>
      </c>
      <c r="H261" s="1098">
        <f>+G261</f>
        <v>100</v>
      </c>
      <c r="I261" s="900"/>
    </row>
    <row r="262" spans="3:9" s="2" customFormat="1" ht="20.100000000000001" customHeight="1">
      <c r="C262" s="902"/>
      <c r="D262" s="893" t="s">
        <v>3686</v>
      </c>
      <c r="E262" s="1100">
        <f>SUM(E263:E264)</f>
        <v>600000000</v>
      </c>
      <c r="F262" s="1100">
        <f>SUM(F263:F264)</f>
        <v>200000000</v>
      </c>
      <c r="G262" s="1286">
        <f t="shared" si="9"/>
        <v>33.333333333333329</v>
      </c>
      <c r="H262" s="1100">
        <f>SUM(H263:H264)/2</f>
        <v>50</v>
      </c>
      <c r="I262" s="900"/>
    </row>
    <row r="263" spans="3:9" s="2" customFormat="1" ht="20.100000000000001" customHeight="1">
      <c r="C263" s="902"/>
      <c r="D263" s="886" t="s">
        <v>3838</v>
      </c>
      <c r="E263" s="1098">
        <v>400000000</v>
      </c>
      <c r="F263" s="1098">
        <v>0</v>
      </c>
      <c r="G263" s="1284">
        <f t="shared" si="9"/>
        <v>0</v>
      </c>
      <c r="H263" s="1098">
        <f>+G263</f>
        <v>0</v>
      </c>
      <c r="I263" s="900"/>
    </row>
    <row r="264" spans="3:9" s="2" customFormat="1" ht="20.100000000000001" customHeight="1">
      <c r="C264" s="902"/>
      <c r="D264" s="886" t="s">
        <v>3837</v>
      </c>
      <c r="E264" s="1098">
        <v>200000000</v>
      </c>
      <c r="F264" s="1098">
        <v>200000000</v>
      </c>
      <c r="G264" s="1284">
        <f t="shared" si="9"/>
        <v>100</v>
      </c>
      <c r="H264" s="1098">
        <f>+G264</f>
        <v>100</v>
      </c>
      <c r="I264" s="900"/>
    </row>
    <row r="265" spans="3:9" s="2" customFormat="1" ht="20.100000000000001" customHeight="1">
      <c r="C265" s="902"/>
      <c r="D265" s="893" t="s">
        <v>3836</v>
      </c>
      <c r="E265" s="1100">
        <f>SUM(E266:E269)</f>
        <v>5586086800</v>
      </c>
      <c r="F265" s="1100">
        <f>SUM(F266:F269)</f>
        <v>2771756400</v>
      </c>
      <c r="G265" s="1286">
        <f t="shared" si="9"/>
        <v>49.618928227180433</v>
      </c>
      <c r="H265" s="1100">
        <f>SUM(H266:H269)/4</f>
        <v>67.5</v>
      </c>
      <c r="I265" s="900"/>
    </row>
    <row r="266" spans="3:9" s="2" customFormat="1" ht="20.100000000000001" customHeight="1">
      <c r="C266" s="902"/>
      <c r="D266" s="886" t="s">
        <v>3669</v>
      </c>
      <c r="E266" s="1098">
        <v>2371100000</v>
      </c>
      <c r="F266" s="1098">
        <v>0</v>
      </c>
      <c r="G266" s="1284">
        <f t="shared" si="9"/>
        <v>0</v>
      </c>
      <c r="H266" s="1098">
        <f>+G266/G265*100</f>
        <v>0</v>
      </c>
      <c r="I266" s="900"/>
    </row>
    <row r="267" spans="3:9" s="2" customFormat="1" ht="51" customHeight="1">
      <c r="C267" s="902"/>
      <c r="D267" s="886" t="s">
        <v>3835</v>
      </c>
      <c r="E267" s="1098">
        <v>1035000000</v>
      </c>
      <c r="F267" s="1098">
        <v>693749900</v>
      </c>
      <c r="G267" s="1284">
        <f t="shared" si="9"/>
        <v>67.028975845410628</v>
      </c>
      <c r="H267" s="1098">
        <v>70</v>
      </c>
      <c r="I267" s="900"/>
    </row>
    <row r="268" spans="3:9" s="2" customFormat="1" ht="29.25" customHeight="1">
      <c r="C268" s="902"/>
      <c r="D268" s="886" t="s">
        <v>3830</v>
      </c>
      <c r="E268" s="1098">
        <v>1371800800</v>
      </c>
      <c r="F268" s="1098">
        <v>1337438000</v>
      </c>
      <c r="G268" s="1284">
        <f t="shared" si="9"/>
        <v>97.495059049389681</v>
      </c>
      <c r="H268" s="1098">
        <v>100</v>
      </c>
      <c r="I268" s="900"/>
    </row>
    <row r="269" spans="3:9" s="2" customFormat="1" ht="20.100000000000001" customHeight="1">
      <c r="C269" s="902"/>
      <c r="D269" s="886" t="s">
        <v>943</v>
      </c>
      <c r="E269" s="1098">
        <v>808186000</v>
      </c>
      <c r="F269" s="1098">
        <v>740568500</v>
      </c>
      <c r="G269" s="1284">
        <f t="shared" si="9"/>
        <v>91.633423494096661</v>
      </c>
      <c r="H269" s="1098">
        <v>100</v>
      </c>
      <c r="I269" s="900"/>
    </row>
    <row r="270" spans="3:9" s="2" customFormat="1" ht="20.100000000000001" customHeight="1">
      <c r="C270" s="902"/>
      <c r="D270" s="893" t="s">
        <v>1876</v>
      </c>
      <c r="E270" s="1100">
        <f>SUM(E271:E274)</f>
        <v>1882482567</v>
      </c>
      <c r="F270" s="1100">
        <f>SUM(F271:F274)</f>
        <v>1225377900</v>
      </c>
      <c r="G270" s="1286">
        <f t="shared" si="9"/>
        <v>65.09371834198771</v>
      </c>
      <c r="H270" s="1100">
        <f>(H271+H272+H273+H274)/4</f>
        <v>73.75</v>
      </c>
      <c r="I270" s="900"/>
    </row>
    <row r="271" spans="3:9" s="2" customFormat="1" ht="20.100000000000001" customHeight="1">
      <c r="C271" s="902"/>
      <c r="D271" s="886" t="s">
        <v>3834</v>
      </c>
      <c r="E271" s="1098">
        <v>886550567</v>
      </c>
      <c r="F271" s="1098">
        <v>837997700</v>
      </c>
      <c r="G271" s="1284">
        <f t="shared" si="9"/>
        <v>94.523395640668511</v>
      </c>
      <c r="H271" s="1098">
        <v>95</v>
      </c>
      <c r="I271" s="900"/>
    </row>
    <row r="272" spans="3:9" s="2" customFormat="1" ht="33" customHeight="1">
      <c r="C272" s="902"/>
      <c r="D272" s="886" t="s">
        <v>3830</v>
      </c>
      <c r="E272" s="1098">
        <v>313600000</v>
      </c>
      <c r="F272" s="1098">
        <v>307380200</v>
      </c>
      <c r="G272" s="1284">
        <f t="shared" si="9"/>
        <v>98.016645408163257</v>
      </c>
      <c r="H272" s="1098">
        <v>100</v>
      </c>
      <c r="I272" s="900"/>
    </row>
    <row r="273" spans="3:9" s="2" customFormat="1" ht="32.25" customHeight="1">
      <c r="C273" s="902"/>
      <c r="D273" s="886" t="s">
        <v>3833</v>
      </c>
      <c r="E273" s="1098">
        <v>602332000</v>
      </c>
      <c r="F273" s="1098">
        <v>0</v>
      </c>
      <c r="G273" s="1284">
        <f t="shared" si="9"/>
        <v>0</v>
      </c>
      <c r="H273" s="1098">
        <f>+G273</f>
        <v>0</v>
      </c>
      <c r="I273" s="900"/>
    </row>
    <row r="274" spans="3:9" s="2" customFormat="1" ht="20.100000000000001" customHeight="1">
      <c r="C274" s="902"/>
      <c r="D274" s="886" t="s">
        <v>932</v>
      </c>
      <c r="E274" s="1098">
        <v>80000000</v>
      </c>
      <c r="F274" s="1098">
        <v>80000000</v>
      </c>
      <c r="G274" s="1284">
        <f t="shared" si="9"/>
        <v>100</v>
      </c>
      <c r="H274" s="1098">
        <f>+G274</f>
        <v>100</v>
      </c>
      <c r="I274" s="900"/>
    </row>
    <row r="275" spans="3:9" s="2" customFormat="1" ht="20.100000000000001" customHeight="1">
      <c r="C275" s="902"/>
      <c r="D275" s="893" t="s">
        <v>3832</v>
      </c>
      <c r="E275" s="1287">
        <f>SUM(E276:E278)</f>
        <v>1120312500</v>
      </c>
      <c r="F275" s="1287">
        <f>SUM(F276:F278)</f>
        <v>1094731500</v>
      </c>
      <c r="G275" s="1286">
        <f t="shared" si="9"/>
        <v>97.716619246861924</v>
      </c>
      <c r="H275" s="1100">
        <f>(H276+H277+H278)/3</f>
        <v>100</v>
      </c>
      <c r="I275" s="900"/>
    </row>
    <row r="276" spans="3:9" s="2" customFormat="1" ht="20.100000000000001" customHeight="1">
      <c r="C276" s="902"/>
      <c r="D276" s="886" t="s">
        <v>3831</v>
      </c>
      <c r="E276" s="1285">
        <v>834312500</v>
      </c>
      <c r="F276" s="1285">
        <v>812647500</v>
      </c>
      <c r="G276" s="1284">
        <f t="shared" si="9"/>
        <v>97.403251179863659</v>
      </c>
      <c r="H276" s="1098">
        <v>100</v>
      </c>
      <c r="I276" s="900"/>
    </row>
    <row r="277" spans="3:9" s="2" customFormat="1" ht="30.75" customHeight="1">
      <c r="C277" s="902"/>
      <c r="D277" s="886" t="s">
        <v>3830</v>
      </c>
      <c r="E277" s="1285">
        <v>186000000</v>
      </c>
      <c r="F277" s="1285">
        <v>182084000</v>
      </c>
      <c r="G277" s="1284">
        <f t="shared" si="9"/>
        <v>97.894623655913975</v>
      </c>
      <c r="H277" s="1098">
        <v>100</v>
      </c>
      <c r="I277" s="900"/>
    </row>
    <row r="278" spans="3:9" s="2" customFormat="1" ht="20.100000000000001" customHeight="1">
      <c r="C278" s="902"/>
      <c r="D278" s="886" t="s">
        <v>3829</v>
      </c>
      <c r="E278" s="1285">
        <v>100000000</v>
      </c>
      <c r="F278" s="1285">
        <v>100000000</v>
      </c>
      <c r="G278" s="1284">
        <f t="shared" si="9"/>
        <v>100</v>
      </c>
      <c r="H278" s="1098">
        <f>+G278</f>
        <v>100</v>
      </c>
      <c r="I278" s="900"/>
    </row>
    <row r="279" spans="3:9" s="2" customFormat="1" ht="20.100000000000001" customHeight="1">
      <c r="C279" s="902"/>
      <c r="D279" s="1101" t="s">
        <v>2075</v>
      </c>
      <c r="E279" s="990">
        <f>+E280</f>
        <v>598987190</v>
      </c>
      <c r="F279" s="990">
        <f>+F280</f>
        <v>598987190</v>
      </c>
      <c r="G279" s="1286">
        <f t="shared" si="9"/>
        <v>100</v>
      </c>
      <c r="H279" s="1100">
        <f>+G279</f>
        <v>100</v>
      </c>
      <c r="I279" s="900"/>
    </row>
    <row r="280" spans="3:9" s="2" customFormat="1" ht="33.75" customHeight="1">
      <c r="C280" s="902"/>
      <c r="D280" s="886" t="s">
        <v>3828</v>
      </c>
      <c r="E280" s="1285">
        <v>598987190</v>
      </c>
      <c r="F280" s="1285">
        <v>598987190</v>
      </c>
      <c r="G280" s="1284">
        <f t="shared" si="9"/>
        <v>100</v>
      </c>
      <c r="H280" s="1098">
        <f>+G280</f>
        <v>100</v>
      </c>
      <c r="I280" s="900"/>
    </row>
    <row r="281" spans="3:9" s="2" customFormat="1" ht="20.100000000000001" customHeight="1">
      <c r="C281" s="902"/>
      <c r="D281" s="886"/>
      <c r="E281" s="1285"/>
      <c r="F281" s="1285"/>
      <c r="G281" s="1284"/>
      <c r="H281" s="1098"/>
      <c r="I281" s="900"/>
    </row>
    <row r="282" spans="3:9" s="2" customFormat="1" ht="20.100000000000001" customHeight="1">
      <c r="C282" s="902"/>
      <c r="D282" s="856" t="s">
        <v>857</v>
      </c>
      <c r="E282" s="1287">
        <f>+E283</f>
        <v>1016000000</v>
      </c>
      <c r="F282" s="1287">
        <f>+F283</f>
        <v>1008626000</v>
      </c>
      <c r="G282" s="1286">
        <f>+F282/E282*100</f>
        <v>99.274212598425194</v>
      </c>
      <c r="H282" s="1100">
        <f>+H283</f>
        <v>100</v>
      </c>
      <c r="I282" s="900"/>
    </row>
    <row r="283" spans="3:9" s="2" customFormat="1" ht="20.100000000000001" customHeight="1">
      <c r="C283" s="902"/>
      <c r="D283" s="893" t="s">
        <v>388</v>
      </c>
      <c r="E283" s="1287">
        <f>SUM(E284:E286)</f>
        <v>1016000000</v>
      </c>
      <c r="F283" s="1287">
        <f>SUM(F284:F286)</f>
        <v>1008626000</v>
      </c>
      <c r="G283" s="1286">
        <f>+F283/E283*100</f>
        <v>99.274212598425194</v>
      </c>
      <c r="H283" s="1100">
        <f>(H284+H285+H286)/3</f>
        <v>100</v>
      </c>
      <c r="I283" s="900"/>
    </row>
    <row r="284" spans="3:9" s="2" customFormat="1" ht="20.100000000000001" customHeight="1">
      <c r="C284" s="902"/>
      <c r="D284" s="886" t="s">
        <v>3827</v>
      </c>
      <c r="E284" s="1285">
        <v>416000000</v>
      </c>
      <c r="F284" s="1285">
        <v>416000000</v>
      </c>
      <c r="G284" s="1284">
        <f>+F284/E284*100</f>
        <v>100</v>
      </c>
      <c r="H284" s="1098">
        <f>+G284</f>
        <v>100</v>
      </c>
      <c r="I284" s="900"/>
    </row>
    <row r="285" spans="3:9" s="2" customFormat="1" ht="20.100000000000001" customHeight="1">
      <c r="C285" s="902"/>
      <c r="D285" s="886" t="s">
        <v>3826</v>
      </c>
      <c r="E285" s="1285">
        <v>300000000</v>
      </c>
      <c r="F285" s="1285">
        <v>293000000</v>
      </c>
      <c r="G285" s="1284">
        <f>+F285/E285*100</f>
        <v>97.666666666666671</v>
      </c>
      <c r="H285" s="1098">
        <v>100</v>
      </c>
      <c r="I285" s="900"/>
    </row>
    <row r="286" spans="3:9" s="2" customFormat="1" ht="20.100000000000001" customHeight="1">
      <c r="C286" s="902"/>
      <c r="D286" s="886" t="s">
        <v>3825</v>
      </c>
      <c r="E286" s="1285">
        <v>300000000</v>
      </c>
      <c r="F286" s="1285">
        <v>299626000</v>
      </c>
      <c r="G286" s="1284">
        <f>+F286/E286*100</f>
        <v>99.875333333333344</v>
      </c>
      <c r="H286" s="1098">
        <v>100</v>
      </c>
      <c r="I286" s="900"/>
    </row>
    <row r="287" spans="3:9" s="2" customFormat="1" ht="20.100000000000001" customHeight="1">
      <c r="C287" s="902"/>
      <c r="D287" s="886"/>
      <c r="E287" s="1266"/>
      <c r="F287" s="1273"/>
      <c r="G287" s="1212"/>
      <c r="H287" s="115"/>
      <c r="I287" s="900"/>
    </row>
    <row r="288" spans="3:9" s="2" customFormat="1" ht="21.75" customHeight="1">
      <c r="C288" s="902"/>
      <c r="D288" s="856" t="s">
        <v>2374</v>
      </c>
      <c r="E288" s="1287">
        <f>+E289</f>
        <v>2500000000</v>
      </c>
      <c r="F288" s="1287">
        <f>+F289</f>
        <v>2500000000</v>
      </c>
      <c r="G288" s="1286">
        <v>99.509090909090915</v>
      </c>
      <c r="H288" s="1100">
        <v>100</v>
      </c>
      <c r="I288" s="900"/>
    </row>
    <row r="289" spans="3:9" s="2" customFormat="1" ht="20.100000000000001" customHeight="1">
      <c r="C289" s="902"/>
      <c r="D289" s="893" t="s">
        <v>897</v>
      </c>
      <c r="E289" s="1287">
        <f>+E290</f>
        <v>2500000000</v>
      </c>
      <c r="F289" s="1287">
        <f>+F290</f>
        <v>2500000000</v>
      </c>
      <c r="G289" s="1286">
        <v>99.509090909090915</v>
      </c>
      <c r="H289" s="1100">
        <v>100</v>
      </c>
      <c r="I289" s="900"/>
    </row>
    <row r="290" spans="3:9" s="2" customFormat="1" ht="20.100000000000001" customHeight="1">
      <c r="C290" s="902"/>
      <c r="D290" s="886" t="s">
        <v>3803</v>
      </c>
      <c r="E290" s="1285">
        <v>2500000000</v>
      </c>
      <c r="F290" s="1285">
        <v>2500000000</v>
      </c>
      <c r="G290" s="1284">
        <v>100</v>
      </c>
      <c r="H290" s="1098">
        <v>100</v>
      </c>
      <c r="I290" s="900"/>
    </row>
    <row r="291" spans="3:9" s="898" customFormat="1" ht="20.100000000000001" customHeight="1">
      <c r="C291" s="973"/>
      <c r="D291" s="1109"/>
      <c r="E291" s="1266">
        <v>0</v>
      </c>
      <c r="F291" s="1267"/>
      <c r="G291" s="1205"/>
      <c r="H291" s="971"/>
      <c r="I291" s="969"/>
    </row>
    <row r="292" spans="3:9" s="895" customFormat="1" ht="21.75" customHeight="1">
      <c r="C292" s="904" t="s">
        <v>925</v>
      </c>
      <c r="D292" s="890" t="s">
        <v>926</v>
      </c>
      <c r="E292" s="1266">
        <f>+E293+E319</f>
        <v>19339832290.760002</v>
      </c>
      <c r="F292" s="1283">
        <f>+F293+F319</f>
        <v>18393250000</v>
      </c>
      <c r="G292" s="707">
        <f t="shared" ref="G292:G317" si="10">+F292/E292*100</f>
        <v>95.105529993596434</v>
      </c>
      <c r="H292" s="120">
        <f>(H293+H319)/2</f>
        <v>79.833333333333343</v>
      </c>
      <c r="I292" s="903"/>
    </row>
    <row r="293" spans="3:9" s="898" customFormat="1" ht="21.75" customHeight="1">
      <c r="C293" s="973"/>
      <c r="D293" s="917" t="s">
        <v>444</v>
      </c>
      <c r="E293" s="1276">
        <v>11571585520.76</v>
      </c>
      <c r="F293" s="1276">
        <v>11443500000</v>
      </c>
      <c r="G293" s="1225">
        <f t="shared" si="10"/>
        <v>98.893103105618422</v>
      </c>
      <c r="H293" s="887">
        <f>(H294+H297+H303+H311+H314+H316)/6</f>
        <v>91.666666666666671</v>
      </c>
      <c r="I293" s="969"/>
    </row>
    <row r="294" spans="3:9" s="898" customFormat="1" ht="20.100000000000001" customHeight="1">
      <c r="C294" s="973"/>
      <c r="D294" s="984" t="s">
        <v>388</v>
      </c>
      <c r="E294" s="1276">
        <v>509000000</v>
      </c>
      <c r="F294" s="1276">
        <v>384000000</v>
      </c>
      <c r="G294" s="1225">
        <f t="shared" si="10"/>
        <v>75.442043222003932</v>
      </c>
      <c r="H294" s="887">
        <v>50</v>
      </c>
      <c r="I294" s="969"/>
    </row>
    <row r="295" spans="3:9" s="898" customFormat="1" ht="20.100000000000001" customHeight="1">
      <c r="C295" s="973"/>
      <c r="D295" s="914" t="s">
        <v>2997</v>
      </c>
      <c r="E295" s="1275">
        <v>125000000</v>
      </c>
      <c r="F295" s="1275">
        <v>0</v>
      </c>
      <c r="G295" s="1225">
        <f t="shared" si="10"/>
        <v>0</v>
      </c>
      <c r="H295" s="887">
        <f t="shared" ref="H295:H302" si="11">+G295</f>
        <v>0</v>
      </c>
      <c r="I295" s="969"/>
    </row>
    <row r="296" spans="3:9" s="898" customFormat="1" ht="20.100000000000001" customHeight="1">
      <c r="C296" s="973"/>
      <c r="D296" s="914" t="s">
        <v>3179</v>
      </c>
      <c r="E296" s="1275">
        <v>384000000</v>
      </c>
      <c r="F296" s="1275">
        <v>384000000</v>
      </c>
      <c r="G296" s="1225">
        <f t="shared" si="10"/>
        <v>100</v>
      </c>
      <c r="H296" s="887">
        <f t="shared" si="11"/>
        <v>100</v>
      </c>
      <c r="I296" s="969"/>
    </row>
    <row r="297" spans="3:9" s="898" customFormat="1" ht="20.100000000000001" customHeight="1">
      <c r="C297" s="973"/>
      <c r="D297" s="917" t="s">
        <v>938</v>
      </c>
      <c r="E297" s="1276">
        <v>5420000000</v>
      </c>
      <c r="F297" s="1276">
        <v>5420000000</v>
      </c>
      <c r="G297" s="1225">
        <f t="shared" si="10"/>
        <v>100</v>
      </c>
      <c r="H297" s="887">
        <f t="shared" si="11"/>
        <v>100</v>
      </c>
      <c r="I297" s="969"/>
    </row>
    <row r="298" spans="3:9" s="898" customFormat="1" ht="20.100000000000001" customHeight="1">
      <c r="C298" s="973"/>
      <c r="D298" s="914" t="s">
        <v>3800</v>
      </c>
      <c r="E298" s="1275">
        <v>2580000000</v>
      </c>
      <c r="F298" s="1275">
        <v>2580000000</v>
      </c>
      <c r="G298" s="1225">
        <f t="shared" si="10"/>
        <v>100</v>
      </c>
      <c r="H298" s="887">
        <f t="shared" si="11"/>
        <v>100</v>
      </c>
      <c r="I298" s="969"/>
    </row>
    <row r="299" spans="3:9" s="898" customFormat="1" ht="20.100000000000001" customHeight="1">
      <c r="C299" s="973"/>
      <c r="D299" s="914" t="s">
        <v>3799</v>
      </c>
      <c r="E299" s="1275">
        <v>780000000</v>
      </c>
      <c r="F299" s="1275">
        <v>780000000</v>
      </c>
      <c r="G299" s="1225">
        <f t="shared" si="10"/>
        <v>100</v>
      </c>
      <c r="H299" s="887">
        <f t="shared" si="11"/>
        <v>100</v>
      </c>
      <c r="I299" s="969"/>
    </row>
    <row r="300" spans="3:9" s="898" customFormat="1" ht="39" customHeight="1">
      <c r="C300" s="973"/>
      <c r="D300" s="914" t="s">
        <v>3798</v>
      </c>
      <c r="E300" s="1275">
        <v>250000000</v>
      </c>
      <c r="F300" s="1275">
        <v>250000000</v>
      </c>
      <c r="G300" s="1225">
        <f t="shared" si="10"/>
        <v>100</v>
      </c>
      <c r="H300" s="887">
        <f t="shared" si="11"/>
        <v>100</v>
      </c>
      <c r="I300" s="969"/>
    </row>
    <row r="301" spans="3:9" s="898" customFormat="1" ht="31.5" customHeight="1">
      <c r="C301" s="973"/>
      <c r="D301" s="914" t="s">
        <v>3797</v>
      </c>
      <c r="E301" s="1275">
        <v>1000000000</v>
      </c>
      <c r="F301" s="1275">
        <v>1000000000</v>
      </c>
      <c r="G301" s="1225">
        <f t="shared" si="10"/>
        <v>100</v>
      </c>
      <c r="H301" s="887">
        <f t="shared" si="11"/>
        <v>100</v>
      </c>
      <c r="I301" s="969"/>
    </row>
    <row r="302" spans="3:9" s="898" customFormat="1" ht="20.100000000000001" customHeight="1">
      <c r="C302" s="973"/>
      <c r="D302" s="914" t="s">
        <v>2023</v>
      </c>
      <c r="E302" s="1275">
        <v>810000000</v>
      </c>
      <c r="F302" s="1275">
        <v>810000000</v>
      </c>
      <c r="G302" s="1225">
        <f t="shared" si="10"/>
        <v>100</v>
      </c>
      <c r="H302" s="887">
        <f t="shared" si="11"/>
        <v>100</v>
      </c>
      <c r="I302" s="969"/>
    </row>
    <row r="303" spans="3:9" s="898" customFormat="1" ht="20.100000000000001" customHeight="1">
      <c r="C303" s="973"/>
      <c r="D303" s="917" t="s">
        <v>930</v>
      </c>
      <c r="E303" s="1276">
        <v>4360585520.7600002</v>
      </c>
      <c r="F303" s="1276">
        <v>4357500000</v>
      </c>
      <c r="G303" s="1225">
        <f t="shared" si="10"/>
        <v>99.929240677764241</v>
      </c>
      <c r="H303" s="887">
        <v>100</v>
      </c>
      <c r="I303" s="969"/>
    </row>
    <row r="304" spans="3:9" s="898" customFormat="1" ht="20.100000000000001" customHeight="1">
      <c r="C304" s="973"/>
      <c r="D304" s="982" t="s">
        <v>667</v>
      </c>
      <c r="E304" s="1275">
        <v>840000000</v>
      </c>
      <c r="F304" s="1275">
        <v>840000000</v>
      </c>
      <c r="G304" s="1225">
        <f t="shared" si="10"/>
        <v>100</v>
      </c>
      <c r="H304" s="887">
        <f>+G304</f>
        <v>100</v>
      </c>
      <c r="I304" s="969"/>
    </row>
    <row r="305" spans="3:9" s="898" customFormat="1" ht="20.100000000000001" customHeight="1">
      <c r="C305" s="973"/>
      <c r="D305" s="982" t="s">
        <v>3794</v>
      </c>
      <c r="E305" s="1275">
        <v>450000000</v>
      </c>
      <c r="F305" s="1275">
        <v>450000000</v>
      </c>
      <c r="G305" s="1225">
        <f t="shared" si="10"/>
        <v>100</v>
      </c>
      <c r="H305" s="887">
        <f>+G305</f>
        <v>100</v>
      </c>
      <c r="I305" s="969"/>
    </row>
    <row r="306" spans="3:9" s="898" customFormat="1" ht="20.100000000000001" customHeight="1">
      <c r="C306" s="973"/>
      <c r="D306" s="982" t="s">
        <v>3796</v>
      </c>
      <c r="E306" s="1275">
        <v>560000000</v>
      </c>
      <c r="F306" s="1275">
        <v>560000000</v>
      </c>
      <c r="G306" s="1225">
        <f t="shared" si="10"/>
        <v>100</v>
      </c>
      <c r="H306" s="887">
        <f>+G306</f>
        <v>100</v>
      </c>
      <c r="I306" s="969"/>
    </row>
    <row r="307" spans="3:9" s="898" customFormat="1" ht="33" customHeight="1">
      <c r="C307" s="973"/>
      <c r="D307" s="982" t="s">
        <v>2204</v>
      </c>
      <c r="E307" s="1275">
        <v>450585520.75999999</v>
      </c>
      <c r="F307" s="1275">
        <v>447500000</v>
      </c>
      <c r="G307" s="1225">
        <f t="shared" si="10"/>
        <v>99.315219726813311</v>
      </c>
      <c r="H307" s="887">
        <v>100</v>
      </c>
      <c r="I307" s="969"/>
    </row>
    <row r="308" spans="3:9" s="898" customFormat="1" ht="29.25" customHeight="1">
      <c r="C308" s="973"/>
      <c r="D308" s="982" t="s">
        <v>3793</v>
      </c>
      <c r="E308" s="1275">
        <v>900000000</v>
      </c>
      <c r="F308" s="1275">
        <v>900000000</v>
      </c>
      <c r="G308" s="1225">
        <f t="shared" si="10"/>
        <v>100</v>
      </c>
      <c r="H308" s="887">
        <f t="shared" ref="H308:H317" si="12">+G308</f>
        <v>100</v>
      </c>
      <c r="I308" s="969"/>
    </row>
    <row r="309" spans="3:9" s="898" customFormat="1" ht="36.75" customHeight="1">
      <c r="C309" s="973"/>
      <c r="D309" s="982" t="s">
        <v>3795</v>
      </c>
      <c r="E309" s="1275">
        <v>720000000</v>
      </c>
      <c r="F309" s="1275">
        <v>720000000</v>
      </c>
      <c r="G309" s="1225">
        <f t="shared" si="10"/>
        <v>100</v>
      </c>
      <c r="H309" s="887">
        <f t="shared" si="12"/>
        <v>100</v>
      </c>
      <c r="I309" s="969"/>
    </row>
    <row r="310" spans="3:9" s="898" customFormat="1" ht="20.100000000000001" customHeight="1">
      <c r="C310" s="973"/>
      <c r="D310" s="982" t="s">
        <v>1400</v>
      </c>
      <c r="E310" s="1275">
        <v>440000000</v>
      </c>
      <c r="F310" s="1275">
        <v>440000000</v>
      </c>
      <c r="G310" s="1225">
        <f t="shared" si="10"/>
        <v>100</v>
      </c>
      <c r="H310" s="887">
        <f t="shared" si="12"/>
        <v>100</v>
      </c>
      <c r="I310" s="969"/>
    </row>
    <row r="311" spans="3:9" s="898" customFormat="1" ht="20.100000000000001" customHeight="1">
      <c r="C311" s="973"/>
      <c r="D311" s="917" t="s">
        <v>2027</v>
      </c>
      <c r="E311" s="1276">
        <v>682000000</v>
      </c>
      <c r="F311" s="1276">
        <v>682000000</v>
      </c>
      <c r="G311" s="1225">
        <f t="shared" si="10"/>
        <v>100</v>
      </c>
      <c r="H311" s="887">
        <f t="shared" si="12"/>
        <v>100</v>
      </c>
      <c r="I311" s="969"/>
    </row>
    <row r="312" spans="3:9" s="898" customFormat="1" ht="20.100000000000001" customHeight="1">
      <c r="C312" s="973"/>
      <c r="D312" s="914" t="s">
        <v>3794</v>
      </c>
      <c r="E312" s="1275">
        <v>432000000</v>
      </c>
      <c r="F312" s="1275">
        <v>432000000</v>
      </c>
      <c r="G312" s="1225">
        <f t="shared" si="10"/>
        <v>100</v>
      </c>
      <c r="H312" s="887">
        <f t="shared" si="12"/>
        <v>100</v>
      </c>
      <c r="I312" s="969"/>
    </row>
    <row r="313" spans="3:9" s="898" customFormat="1" ht="20.100000000000001" customHeight="1">
      <c r="C313" s="973"/>
      <c r="D313" s="914" t="s">
        <v>1403</v>
      </c>
      <c r="E313" s="1275">
        <v>250000000</v>
      </c>
      <c r="F313" s="1275">
        <v>250000000</v>
      </c>
      <c r="G313" s="1225">
        <f t="shared" si="10"/>
        <v>100</v>
      </c>
      <c r="H313" s="887">
        <f t="shared" si="12"/>
        <v>100</v>
      </c>
      <c r="I313" s="969"/>
    </row>
    <row r="314" spans="3:9" s="898" customFormat="1" ht="20.100000000000001" customHeight="1">
      <c r="C314" s="973"/>
      <c r="D314" s="917" t="s">
        <v>1389</v>
      </c>
      <c r="E314" s="1276">
        <v>360000000</v>
      </c>
      <c r="F314" s="1276">
        <v>360000000</v>
      </c>
      <c r="G314" s="1225">
        <f t="shared" si="10"/>
        <v>100</v>
      </c>
      <c r="H314" s="887">
        <f t="shared" si="12"/>
        <v>100</v>
      </c>
      <c r="I314" s="969"/>
    </row>
    <row r="315" spans="3:9" s="898" customFormat="1" ht="32.25" customHeight="1">
      <c r="C315" s="973"/>
      <c r="D315" s="914" t="s">
        <v>3793</v>
      </c>
      <c r="E315" s="1275">
        <v>360000000</v>
      </c>
      <c r="F315" s="1275">
        <v>360000000</v>
      </c>
      <c r="G315" s="1225">
        <f t="shared" si="10"/>
        <v>100</v>
      </c>
      <c r="H315" s="887">
        <f t="shared" si="12"/>
        <v>100</v>
      </c>
      <c r="I315" s="969"/>
    </row>
    <row r="316" spans="3:9" s="898" customFormat="1" ht="20.100000000000001" customHeight="1">
      <c r="C316" s="973"/>
      <c r="D316" s="917" t="s">
        <v>3792</v>
      </c>
      <c r="E316" s="1276">
        <v>240000000</v>
      </c>
      <c r="F316" s="1276">
        <v>240000000</v>
      </c>
      <c r="G316" s="1225">
        <f t="shared" si="10"/>
        <v>100</v>
      </c>
      <c r="H316" s="887">
        <f t="shared" si="12"/>
        <v>100</v>
      </c>
      <c r="I316" s="969"/>
    </row>
    <row r="317" spans="3:9" s="898" customFormat="1" ht="36" customHeight="1">
      <c r="C317" s="973"/>
      <c r="D317" s="914" t="s">
        <v>3791</v>
      </c>
      <c r="E317" s="1275">
        <v>240000000</v>
      </c>
      <c r="F317" s="1275">
        <v>240000000</v>
      </c>
      <c r="G317" s="1225">
        <f t="shared" si="10"/>
        <v>100</v>
      </c>
      <c r="H317" s="887">
        <f t="shared" si="12"/>
        <v>100</v>
      </c>
      <c r="I317" s="969"/>
    </row>
    <row r="318" spans="3:9" s="898" customFormat="1" ht="20.100000000000001" customHeight="1">
      <c r="C318" s="973"/>
      <c r="D318" s="972"/>
      <c r="E318" s="1266">
        <v>0</v>
      </c>
      <c r="F318" s="1267"/>
      <c r="G318" s="707"/>
      <c r="H318" s="120"/>
      <c r="I318" s="969"/>
    </row>
    <row r="319" spans="3:9" s="802" customFormat="1" ht="21.75" customHeight="1">
      <c r="C319" s="878"/>
      <c r="D319" s="889" t="s">
        <v>999</v>
      </c>
      <c r="E319" s="1276">
        <f>E320</f>
        <v>7768246770</v>
      </c>
      <c r="F319" s="1276">
        <f>F320</f>
        <v>6949750000</v>
      </c>
      <c r="G319" s="707">
        <f t="shared" ref="G319:G326" si="13">+F319/E319*100</f>
        <v>89.463558583631354</v>
      </c>
      <c r="H319" s="120">
        <f>H320</f>
        <v>68</v>
      </c>
      <c r="I319" s="852"/>
    </row>
    <row r="320" spans="3:9" s="898" customFormat="1" ht="20.100000000000001" customHeight="1">
      <c r="C320" s="973"/>
      <c r="D320" s="889" t="s">
        <v>378</v>
      </c>
      <c r="E320" s="1276">
        <f>E321</f>
        <v>7768246770</v>
      </c>
      <c r="F320" s="1276">
        <f>F321</f>
        <v>6949750000</v>
      </c>
      <c r="G320" s="707">
        <f t="shared" si="13"/>
        <v>89.463558583631354</v>
      </c>
      <c r="H320" s="120">
        <f>H321</f>
        <v>68</v>
      </c>
      <c r="I320" s="969"/>
    </row>
    <row r="321" spans="3:9" s="898" customFormat="1" ht="20.100000000000001" customHeight="1">
      <c r="C321" s="973"/>
      <c r="D321" s="917" t="s">
        <v>1075</v>
      </c>
      <c r="E321" s="1276">
        <v>7768246770</v>
      </c>
      <c r="F321" s="1276">
        <v>6949750000</v>
      </c>
      <c r="G321" s="1225">
        <f t="shared" si="13"/>
        <v>89.463558583631354</v>
      </c>
      <c r="H321" s="887">
        <f>SUM((H322:H326))/5</f>
        <v>68</v>
      </c>
      <c r="I321" s="969"/>
    </row>
    <row r="322" spans="3:9" s="898" customFormat="1" ht="20.100000000000001" customHeight="1">
      <c r="C322" s="973"/>
      <c r="D322" s="914" t="s">
        <v>3747</v>
      </c>
      <c r="E322" s="1275">
        <v>5620000000</v>
      </c>
      <c r="F322" s="1275">
        <v>5617000000</v>
      </c>
      <c r="G322" s="1225">
        <f t="shared" si="13"/>
        <v>99.94661921708186</v>
      </c>
      <c r="H322" s="887">
        <v>100</v>
      </c>
      <c r="I322" s="969"/>
    </row>
    <row r="323" spans="3:9" s="898" customFormat="1" ht="20.100000000000001" customHeight="1">
      <c r="C323" s="973"/>
      <c r="D323" s="914" t="s">
        <v>3746</v>
      </c>
      <c r="E323" s="1275">
        <v>500000000</v>
      </c>
      <c r="F323" s="1275">
        <v>0</v>
      </c>
      <c r="G323" s="1225">
        <f t="shared" si="13"/>
        <v>0</v>
      </c>
      <c r="H323" s="887">
        <f>+G323</f>
        <v>0</v>
      </c>
      <c r="I323" s="969"/>
    </row>
    <row r="324" spans="3:9" s="898" customFormat="1" ht="20.100000000000001" customHeight="1">
      <c r="C324" s="973"/>
      <c r="D324" s="914" t="s">
        <v>3745</v>
      </c>
      <c r="E324" s="1275">
        <v>500000000</v>
      </c>
      <c r="F324" s="1275">
        <v>224750000</v>
      </c>
      <c r="G324" s="1225">
        <f t="shared" si="13"/>
        <v>44.95</v>
      </c>
      <c r="H324" s="887">
        <v>50</v>
      </c>
      <c r="I324" s="969"/>
    </row>
    <row r="325" spans="3:9" s="898" customFormat="1" ht="20.100000000000001" customHeight="1">
      <c r="C325" s="973"/>
      <c r="D325" s="914" t="s">
        <v>3744</v>
      </c>
      <c r="E325" s="1275">
        <v>300000000</v>
      </c>
      <c r="F325" s="1275">
        <v>260000000</v>
      </c>
      <c r="G325" s="1225">
        <f t="shared" si="13"/>
        <v>86.666666666666671</v>
      </c>
      <c r="H325" s="887">
        <v>90</v>
      </c>
      <c r="I325" s="969"/>
    </row>
    <row r="326" spans="3:9" s="898" customFormat="1" ht="20.100000000000001" customHeight="1">
      <c r="C326" s="973"/>
      <c r="D326" s="914" t="s">
        <v>1076</v>
      </c>
      <c r="E326" s="1275">
        <v>848246770</v>
      </c>
      <c r="F326" s="1275">
        <v>848000000</v>
      </c>
      <c r="G326" s="1225">
        <f t="shared" si="13"/>
        <v>99.970908229924646</v>
      </c>
      <c r="H326" s="887">
        <v>100</v>
      </c>
      <c r="I326" s="969"/>
    </row>
    <row r="327" spans="3:9" s="898" customFormat="1" ht="20.100000000000001" customHeight="1">
      <c r="C327" s="973"/>
      <c r="D327" s="972"/>
      <c r="E327" s="1266">
        <v>0</v>
      </c>
      <c r="F327" s="1267"/>
      <c r="G327" s="1205"/>
      <c r="H327" s="971"/>
      <c r="I327" s="969"/>
    </row>
    <row r="328" spans="3:9" s="895" customFormat="1" ht="21.75" customHeight="1">
      <c r="C328" s="904" t="s">
        <v>1080</v>
      </c>
      <c r="D328" s="890" t="s">
        <v>1081</v>
      </c>
      <c r="E328" s="1266">
        <f>+E329+E351</f>
        <v>27009470127</v>
      </c>
      <c r="F328" s="1266">
        <f>+F329+F351</f>
        <v>22808195877</v>
      </c>
      <c r="G328" s="707">
        <f t="shared" ref="G328:G349" si="14">+F328/E328*100</f>
        <v>84.445180781979872</v>
      </c>
      <c r="H328" s="120">
        <f>(H329+H351)/2</f>
        <v>87</v>
      </c>
      <c r="I328" s="903"/>
    </row>
    <row r="329" spans="3:9" s="2" customFormat="1" ht="21.75" customHeight="1">
      <c r="C329" s="902"/>
      <c r="D329" s="1040" t="s">
        <v>767</v>
      </c>
      <c r="E329" s="1083">
        <v>14319570127</v>
      </c>
      <c r="F329" s="1083">
        <v>11761655877</v>
      </c>
      <c r="G329" s="1231">
        <f t="shared" si="14"/>
        <v>82.136934088705843</v>
      </c>
      <c r="H329" s="1053">
        <f>SUM((H330:H349))/20</f>
        <v>79</v>
      </c>
      <c r="I329" s="900"/>
    </row>
    <row r="330" spans="3:9" s="2" customFormat="1" ht="33.75" customHeight="1">
      <c r="C330" s="902"/>
      <c r="D330" s="808" t="s">
        <v>3743</v>
      </c>
      <c r="E330" s="1084">
        <v>504000000</v>
      </c>
      <c r="F330" s="1081">
        <v>501732000</v>
      </c>
      <c r="G330" s="1230">
        <f t="shared" si="14"/>
        <v>99.550000000000011</v>
      </c>
      <c r="H330" s="988">
        <v>100</v>
      </c>
      <c r="I330" s="900"/>
    </row>
    <row r="331" spans="3:9" s="2" customFormat="1" ht="20.100000000000001" customHeight="1">
      <c r="C331" s="902"/>
      <c r="D331" s="808" t="s">
        <v>3742</v>
      </c>
      <c r="E331" s="1084">
        <v>84000000</v>
      </c>
      <c r="F331" s="1081">
        <v>84000000</v>
      </c>
      <c r="G331" s="1231">
        <f t="shared" si="14"/>
        <v>100</v>
      </c>
      <c r="H331" s="1053">
        <f>+G331</f>
        <v>100</v>
      </c>
      <c r="I331" s="900"/>
    </row>
    <row r="332" spans="3:9" s="2" customFormat="1" ht="20.100000000000001" customHeight="1">
      <c r="C332" s="902"/>
      <c r="D332" s="808" t="s">
        <v>3741</v>
      </c>
      <c r="E332" s="1084">
        <v>975000000</v>
      </c>
      <c r="F332" s="1081">
        <v>975000000</v>
      </c>
      <c r="G332" s="1231">
        <f t="shared" si="14"/>
        <v>100</v>
      </c>
      <c r="H332" s="1053">
        <f>+G332</f>
        <v>100</v>
      </c>
      <c r="I332" s="900"/>
    </row>
    <row r="333" spans="3:9" s="2" customFormat="1" ht="33.75" customHeight="1">
      <c r="C333" s="902"/>
      <c r="D333" s="808" t="s">
        <v>3740</v>
      </c>
      <c r="E333" s="1084">
        <v>763200000</v>
      </c>
      <c r="F333" s="1081">
        <v>750000000</v>
      </c>
      <c r="G333" s="1230">
        <f t="shared" si="14"/>
        <v>98.270440251572325</v>
      </c>
      <c r="H333" s="988">
        <v>100</v>
      </c>
      <c r="I333" s="900"/>
    </row>
    <row r="334" spans="3:9" s="2" customFormat="1" ht="20.100000000000001" customHeight="1">
      <c r="C334" s="902"/>
      <c r="D334" s="808" t="s">
        <v>3739</v>
      </c>
      <c r="E334" s="1084">
        <v>300000000</v>
      </c>
      <c r="F334" s="1081">
        <v>148808000</v>
      </c>
      <c r="G334" s="1231">
        <f t="shared" si="14"/>
        <v>49.602666666666664</v>
      </c>
      <c r="H334" s="1053">
        <v>50</v>
      </c>
      <c r="I334" s="900"/>
    </row>
    <row r="335" spans="3:9" s="2" customFormat="1" ht="20.100000000000001" customHeight="1">
      <c r="C335" s="902"/>
      <c r="D335" s="808" t="s">
        <v>3738</v>
      </c>
      <c r="E335" s="1084">
        <v>2907600000</v>
      </c>
      <c r="F335" s="1081">
        <v>2668200000</v>
      </c>
      <c r="G335" s="1231">
        <f t="shared" si="14"/>
        <v>91.766405282707382</v>
      </c>
      <c r="H335" s="1053">
        <v>100</v>
      </c>
      <c r="I335" s="900"/>
    </row>
    <row r="336" spans="3:9" s="2" customFormat="1" ht="29.25" customHeight="1">
      <c r="C336" s="902"/>
      <c r="D336" s="808" t="s">
        <v>3737</v>
      </c>
      <c r="E336" s="1084">
        <v>744000000</v>
      </c>
      <c r="F336" s="1081">
        <v>624000000</v>
      </c>
      <c r="G336" s="1231">
        <f t="shared" si="14"/>
        <v>83.870967741935488</v>
      </c>
      <c r="H336" s="1053">
        <v>85</v>
      </c>
      <c r="I336" s="900"/>
    </row>
    <row r="337" spans="3:9" s="2" customFormat="1" ht="29.25" customHeight="1">
      <c r="C337" s="902"/>
      <c r="D337" s="808" t="s">
        <v>3736</v>
      </c>
      <c r="E337" s="1084">
        <v>1584000000</v>
      </c>
      <c r="F337" s="1081">
        <v>1341000000</v>
      </c>
      <c r="G337" s="1231">
        <f t="shared" si="14"/>
        <v>84.659090909090907</v>
      </c>
      <c r="H337" s="1053">
        <v>85</v>
      </c>
      <c r="I337" s="900"/>
    </row>
    <row r="338" spans="3:9" s="2" customFormat="1" ht="20.100000000000001" customHeight="1">
      <c r="C338" s="902"/>
      <c r="D338" s="808" t="s">
        <v>3735</v>
      </c>
      <c r="E338" s="1084">
        <v>240000000</v>
      </c>
      <c r="F338" s="1081">
        <v>240000000</v>
      </c>
      <c r="G338" s="1231">
        <f t="shared" si="14"/>
        <v>100</v>
      </c>
      <c r="H338" s="1053">
        <f>+G338</f>
        <v>100</v>
      </c>
      <c r="I338" s="900"/>
    </row>
    <row r="339" spans="3:9" s="2" customFormat="1" ht="20.100000000000001" customHeight="1">
      <c r="C339" s="902"/>
      <c r="D339" s="808" t="s">
        <v>3734</v>
      </c>
      <c r="E339" s="1084">
        <v>240000000</v>
      </c>
      <c r="F339" s="1081">
        <v>240000000</v>
      </c>
      <c r="G339" s="1231">
        <f t="shared" si="14"/>
        <v>100</v>
      </c>
      <c r="H339" s="1053">
        <f>+G339</f>
        <v>100</v>
      </c>
      <c r="I339" s="900"/>
    </row>
    <row r="340" spans="3:9" s="2" customFormat="1" ht="20.100000000000001" customHeight="1">
      <c r="C340" s="902"/>
      <c r="D340" s="808" t="s">
        <v>3733</v>
      </c>
      <c r="E340" s="1084">
        <v>1925616177</v>
      </c>
      <c r="F340" s="1081">
        <v>1920710177</v>
      </c>
      <c r="G340" s="1231">
        <f t="shared" si="14"/>
        <v>99.745224408758176</v>
      </c>
      <c r="H340" s="1053">
        <v>100</v>
      </c>
      <c r="I340" s="900"/>
    </row>
    <row r="341" spans="3:9" s="2" customFormat="1" ht="20.100000000000001" customHeight="1">
      <c r="C341" s="902"/>
      <c r="D341" s="808" t="s">
        <v>3732</v>
      </c>
      <c r="E341" s="1084">
        <v>300000000</v>
      </c>
      <c r="F341" s="1081">
        <v>300000000</v>
      </c>
      <c r="G341" s="1231">
        <f t="shared" si="14"/>
        <v>100</v>
      </c>
      <c r="H341" s="1053">
        <f>+G341</f>
        <v>100</v>
      </c>
      <c r="I341" s="900"/>
    </row>
    <row r="342" spans="3:9" s="2" customFormat="1" ht="31.5" customHeight="1">
      <c r="C342" s="902"/>
      <c r="D342" s="808" t="s">
        <v>3731</v>
      </c>
      <c r="E342" s="1084">
        <v>78857950</v>
      </c>
      <c r="F342" s="1081">
        <v>77660000</v>
      </c>
      <c r="G342" s="1231">
        <f t="shared" si="14"/>
        <v>98.480876056250509</v>
      </c>
      <c r="H342" s="1053">
        <v>100</v>
      </c>
      <c r="I342" s="900"/>
    </row>
    <row r="343" spans="3:9" s="2" customFormat="1" ht="30" customHeight="1">
      <c r="C343" s="902"/>
      <c r="D343" s="808" t="s">
        <v>3730</v>
      </c>
      <c r="E343" s="1084">
        <v>252000000</v>
      </c>
      <c r="F343" s="1081">
        <v>180000000</v>
      </c>
      <c r="G343" s="1231">
        <f t="shared" si="14"/>
        <v>71.428571428571431</v>
      </c>
      <c r="H343" s="1053">
        <v>75</v>
      </c>
      <c r="I343" s="900"/>
    </row>
    <row r="344" spans="3:9" s="2" customFormat="1" ht="29.25" customHeight="1">
      <c r="C344" s="902"/>
      <c r="D344" s="808" t="s">
        <v>3729</v>
      </c>
      <c r="E344" s="1084">
        <v>288000000</v>
      </c>
      <c r="F344" s="1081">
        <v>171000000</v>
      </c>
      <c r="G344" s="1231">
        <f t="shared" si="14"/>
        <v>59.375</v>
      </c>
      <c r="H344" s="1053">
        <v>60</v>
      </c>
      <c r="I344" s="900"/>
    </row>
    <row r="345" spans="3:9" s="2" customFormat="1" ht="20.100000000000001" customHeight="1">
      <c r="C345" s="902"/>
      <c r="D345" s="808" t="s">
        <v>3728</v>
      </c>
      <c r="E345" s="1084">
        <v>520296000</v>
      </c>
      <c r="F345" s="1081">
        <v>518462000</v>
      </c>
      <c r="G345" s="1231">
        <f t="shared" si="14"/>
        <v>99.647508341405668</v>
      </c>
      <c r="H345" s="1053">
        <v>100</v>
      </c>
      <c r="I345" s="900"/>
    </row>
    <row r="346" spans="3:9" s="2" customFormat="1" ht="20.100000000000001" customHeight="1">
      <c r="C346" s="902"/>
      <c r="D346" s="808" t="s">
        <v>3727</v>
      </c>
      <c r="E346" s="1084">
        <v>371400000</v>
      </c>
      <c r="F346" s="1081"/>
      <c r="G346" s="1231">
        <f t="shared" si="14"/>
        <v>0</v>
      </c>
      <c r="H346" s="1053">
        <f>+G346</f>
        <v>0</v>
      </c>
      <c r="I346" s="900"/>
    </row>
    <row r="347" spans="3:9" s="2" customFormat="1" ht="20.100000000000001" customHeight="1">
      <c r="C347" s="902"/>
      <c r="D347" s="808" t="s">
        <v>3726</v>
      </c>
      <c r="E347" s="1084">
        <v>156600000</v>
      </c>
      <c r="F347" s="1081"/>
      <c r="G347" s="1231">
        <f t="shared" si="14"/>
        <v>0</v>
      </c>
      <c r="H347" s="1053">
        <f>+G347</f>
        <v>0</v>
      </c>
      <c r="I347" s="900"/>
    </row>
    <row r="348" spans="3:9" s="2" customFormat="1" ht="20.100000000000001" customHeight="1">
      <c r="C348" s="902"/>
      <c r="D348" s="808" t="s">
        <v>3725</v>
      </c>
      <c r="E348" s="1084">
        <v>585000000</v>
      </c>
      <c r="F348" s="1081">
        <v>498000000</v>
      </c>
      <c r="G348" s="1231">
        <f t="shared" si="14"/>
        <v>85.128205128205124</v>
      </c>
      <c r="H348" s="1053">
        <v>90</v>
      </c>
      <c r="I348" s="900"/>
    </row>
    <row r="349" spans="3:9" s="2" customFormat="1" ht="31.5" customHeight="1">
      <c r="C349" s="902"/>
      <c r="D349" s="808" t="s">
        <v>3724</v>
      </c>
      <c r="E349" s="1084">
        <v>1500000000</v>
      </c>
      <c r="F349" s="1081">
        <v>523083700</v>
      </c>
      <c r="G349" s="1231">
        <f t="shared" si="14"/>
        <v>34.872246666666669</v>
      </c>
      <c r="H349" s="1053">
        <v>35</v>
      </c>
      <c r="I349" s="900"/>
    </row>
    <row r="350" spans="3:9" s="898" customFormat="1" ht="20.100000000000001" customHeight="1">
      <c r="C350" s="973"/>
      <c r="D350" s="972"/>
      <c r="E350" s="1266">
        <v>0</v>
      </c>
      <c r="F350" s="1267"/>
      <c r="G350" s="1205"/>
      <c r="H350" s="971"/>
      <c r="I350" s="969"/>
    </row>
    <row r="351" spans="3:9" s="898" customFormat="1" ht="21.75" customHeight="1">
      <c r="C351" s="973"/>
      <c r="D351" s="1040" t="s">
        <v>642</v>
      </c>
      <c r="E351" s="1083">
        <v>12689900000</v>
      </c>
      <c r="F351" s="1083">
        <v>11046540000</v>
      </c>
      <c r="G351" s="1231">
        <f>+F351/E351*100</f>
        <v>87.049858548924732</v>
      </c>
      <c r="H351" s="1053">
        <f>285/3</f>
        <v>95</v>
      </c>
      <c r="I351" s="969"/>
    </row>
    <row r="352" spans="3:9" s="898" customFormat="1" ht="30.75" customHeight="1">
      <c r="C352" s="973"/>
      <c r="D352" s="1039" t="s">
        <v>3702</v>
      </c>
      <c r="E352" s="1081">
        <v>3100000000</v>
      </c>
      <c r="F352" s="1081">
        <v>3100000000</v>
      </c>
      <c r="G352" s="1231">
        <f>+F352/E352*100</f>
        <v>100</v>
      </c>
      <c r="H352" s="1053">
        <f>+G352</f>
        <v>100</v>
      </c>
      <c r="I352" s="969"/>
    </row>
    <row r="353" spans="3:9" s="898" customFormat="1" ht="51" customHeight="1">
      <c r="C353" s="973"/>
      <c r="D353" s="1039" t="s">
        <v>3701</v>
      </c>
      <c r="E353" s="1081">
        <v>9048900000</v>
      </c>
      <c r="F353" s="1081">
        <v>7405540000</v>
      </c>
      <c r="G353" s="1231">
        <f>+F353/E353*100</f>
        <v>81.839118566897625</v>
      </c>
      <c r="H353" s="1053">
        <v>85</v>
      </c>
      <c r="I353" s="969"/>
    </row>
    <row r="354" spans="3:9" s="898" customFormat="1" ht="30.75" customHeight="1">
      <c r="C354" s="973"/>
      <c r="D354" s="1039" t="s">
        <v>3700</v>
      </c>
      <c r="E354" s="1081">
        <v>541000000</v>
      </c>
      <c r="F354" s="1081">
        <v>541000000</v>
      </c>
      <c r="G354" s="1231">
        <f>+F354/E354*100</f>
        <v>100</v>
      </c>
      <c r="H354" s="1053">
        <f>+G354</f>
        <v>100</v>
      </c>
      <c r="I354" s="969"/>
    </row>
    <row r="355" spans="3:9" s="898" customFormat="1" ht="20.100000000000001" customHeight="1">
      <c r="C355" s="973"/>
      <c r="D355" s="808"/>
      <c r="E355" s="1266"/>
      <c r="F355" s="1267"/>
      <c r="G355" s="1205"/>
      <c r="H355" s="971"/>
      <c r="I355" s="969"/>
    </row>
    <row r="356" spans="3:9" s="895" customFormat="1" ht="21.75" customHeight="1">
      <c r="C356" s="904" t="s">
        <v>1163</v>
      </c>
      <c r="D356" s="890" t="s">
        <v>1164</v>
      </c>
      <c r="E356" s="1266">
        <v>10762909327</v>
      </c>
      <c r="F356" s="1283">
        <f>+F357</f>
        <v>9842425000</v>
      </c>
      <c r="G356" s="707">
        <f t="shared" ref="G356:G365" si="15">+F356/E356*100</f>
        <v>91.447625367512302</v>
      </c>
      <c r="H356" s="120">
        <f>H357</f>
        <v>93.333333333333329</v>
      </c>
      <c r="I356" s="903"/>
    </row>
    <row r="357" spans="3:9" s="898" customFormat="1" ht="21.75" customHeight="1">
      <c r="C357" s="973"/>
      <c r="D357" s="1080" t="s">
        <v>444</v>
      </c>
      <c r="E357" s="1282">
        <f>E358+E361+E364</f>
        <v>10762909327</v>
      </c>
      <c r="F357" s="1279">
        <f>F358+F361+F364</f>
        <v>9842425000</v>
      </c>
      <c r="G357" s="1225">
        <f t="shared" si="15"/>
        <v>91.447625367512302</v>
      </c>
      <c r="H357" s="887">
        <f>(H358+H361+H364)/3</f>
        <v>93.333333333333329</v>
      </c>
      <c r="I357" s="969"/>
    </row>
    <row r="358" spans="3:9" s="898" customFormat="1" ht="20.100000000000001" customHeight="1">
      <c r="C358" s="973"/>
      <c r="D358" s="1080" t="s">
        <v>1165</v>
      </c>
      <c r="E358" s="1282">
        <f>E359+E360</f>
        <v>6128109327</v>
      </c>
      <c r="F358" s="1279">
        <f>F359+F360</f>
        <v>6101000000</v>
      </c>
      <c r="G358" s="1225">
        <f t="shared" si="15"/>
        <v>99.557623313269588</v>
      </c>
      <c r="H358" s="887">
        <v>100</v>
      </c>
      <c r="I358" s="969"/>
    </row>
    <row r="359" spans="3:9" s="898" customFormat="1" ht="20.100000000000001" customHeight="1">
      <c r="C359" s="973"/>
      <c r="D359" s="1078" t="s">
        <v>1166</v>
      </c>
      <c r="E359" s="1281">
        <v>4860000000</v>
      </c>
      <c r="F359" s="1277">
        <v>4833000000</v>
      </c>
      <c r="G359" s="1225">
        <f t="shared" si="15"/>
        <v>99.444444444444443</v>
      </c>
      <c r="H359" s="887">
        <v>100</v>
      </c>
      <c r="I359" s="969"/>
    </row>
    <row r="360" spans="3:9" s="898" customFormat="1" ht="29.25" customHeight="1">
      <c r="C360" s="973"/>
      <c r="D360" s="1078" t="s">
        <v>1167</v>
      </c>
      <c r="E360" s="1281">
        <v>1268109327</v>
      </c>
      <c r="F360" s="1277">
        <v>1268000000</v>
      </c>
      <c r="G360" s="1225">
        <f t="shared" si="15"/>
        <v>99.991378740170717</v>
      </c>
      <c r="H360" s="887">
        <v>100</v>
      </c>
      <c r="I360" s="969"/>
    </row>
    <row r="361" spans="3:9" s="898" customFormat="1" ht="20.100000000000001" customHeight="1">
      <c r="C361" s="973"/>
      <c r="D361" s="1080" t="s">
        <v>1168</v>
      </c>
      <c r="E361" s="1282">
        <f>E362+E363</f>
        <v>3781150000</v>
      </c>
      <c r="F361" s="1279">
        <f>F362+F363</f>
        <v>2892825000</v>
      </c>
      <c r="G361" s="1225">
        <f t="shared" si="15"/>
        <v>76.50648612194702</v>
      </c>
      <c r="H361" s="887">
        <v>80</v>
      </c>
      <c r="I361" s="969"/>
    </row>
    <row r="362" spans="3:9" s="898" customFormat="1" ht="20.100000000000001" customHeight="1">
      <c r="C362" s="973"/>
      <c r="D362" s="1078" t="s">
        <v>1169</v>
      </c>
      <c r="E362" s="1281">
        <v>1620000000</v>
      </c>
      <c r="F362" s="1277">
        <v>1620000000</v>
      </c>
      <c r="G362" s="1225">
        <f t="shared" si="15"/>
        <v>100</v>
      </c>
      <c r="H362" s="887">
        <f>+G362</f>
        <v>100</v>
      </c>
      <c r="I362" s="969"/>
    </row>
    <row r="363" spans="3:9" s="898" customFormat="1" ht="20.100000000000001" customHeight="1">
      <c r="C363" s="973"/>
      <c r="D363" s="1078" t="s">
        <v>3687</v>
      </c>
      <c r="E363" s="1281">
        <v>2161150000</v>
      </c>
      <c r="F363" s="1277">
        <v>1272825000</v>
      </c>
      <c r="G363" s="1225">
        <f t="shared" si="15"/>
        <v>58.895726812113921</v>
      </c>
      <c r="H363" s="887">
        <v>60</v>
      </c>
      <c r="I363" s="969"/>
    </row>
    <row r="364" spans="3:9" s="898" customFormat="1" ht="20.100000000000001" customHeight="1">
      <c r="C364" s="973"/>
      <c r="D364" s="1075" t="s">
        <v>3686</v>
      </c>
      <c r="E364" s="1280">
        <f>E365</f>
        <v>853650000</v>
      </c>
      <c r="F364" s="1279">
        <f>F365</f>
        <v>848600000</v>
      </c>
      <c r="G364" s="1225">
        <f t="shared" si="15"/>
        <v>99.40842265565513</v>
      </c>
      <c r="H364" s="887">
        <v>100</v>
      </c>
      <c r="I364" s="969"/>
    </row>
    <row r="365" spans="3:9" s="898" customFormat="1" ht="34.5" customHeight="1">
      <c r="C365" s="973"/>
      <c r="D365" s="1073" t="s">
        <v>3685</v>
      </c>
      <c r="E365" s="1278">
        <v>853650000</v>
      </c>
      <c r="F365" s="1277">
        <f>647500000+201100000</f>
        <v>848600000</v>
      </c>
      <c r="G365" s="1225">
        <f t="shared" si="15"/>
        <v>99.40842265565513</v>
      </c>
      <c r="H365" s="887">
        <v>100</v>
      </c>
      <c r="I365" s="969"/>
    </row>
    <row r="366" spans="3:9" s="898" customFormat="1" ht="20.100000000000001" customHeight="1">
      <c r="C366" s="973"/>
      <c r="D366" s="972"/>
      <c r="E366" s="1266">
        <v>0</v>
      </c>
      <c r="F366" s="1267"/>
      <c r="G366" s="1205"/>
      <c r="H366" s="971"/>
      <c r="I366" s="969"/>
    </row>
    <row r="367" spans="3:9" s="44" customFormat="1" ht="21.75" customHeight="1">
      <c r="C367" s="881" t="s">
        <v>1207</v>
      </c>
      <c r="D367" s="856" t="s">
        <v>1208</v>
      </c>
      <c r="E367" s="1266">
        <v>20397079500</v>
      </c>
      <c r="F367" s="1266">
        <f>+F368+F388</f>
        <v>14024937530</v>
      </c>
      <c r="G367" s="1225">
        <f>+F367/E367*100</f>
        <v>68.759537511240282</v>
      </c>
      <c r="H367" s="855">
        <f>(H368+H388)/2</f>
        <v>60.833333333333336</v>
      </c>
      <c r="I367" s="863"/>
    </row>
    <row r="368" spans="3:9" s="898" customFormat="1" ht="21.75" customHeight="1">
      <c r="C368" s="973"/>
      <c r="D368" s="1066" t="s">
        <v>767</v>
      </c>
      <c r="E368" s="380">
        <f>E369+E372+E376+E380+E382+E385</f>
        <v>12519896025</v>
      </c>
      <c r="F368" s="1061">
        <f>F369+F372+F376+F380+F382+F385</f>
        <v>12170337530</v>
      </c>
      <c r="G368" s="1060">
        <v>97</v>
      </c>
      <c r="H368" s="1274">
        <f>(H369+H372+H376+H380+H382+H385)/6</f>
        <v>94.166666666666671</v>
      </c>
      <c r="I368" s="969"/>
    </row>
    <row r="369" spans="3:9" s="898" customFormat="1" ht="20.100000000000001" customHeight="1">
      <c r="C369" s="973"/>
      <c r="D369" s="1066" t="s">
        <v>388</v>
      </c>
      <c r="E369" s="1276">
        <f>SUM(E370:E371)</f>
        <v>1506848175</v>
      </c>
      <c r="F369" s="1061">
        <f>SUM(F370:F371)</f>
        <v>1362650000</v>
      </c>
      <c r="G369" s="1060">
        <f t="shared" ref="G369:G386" si="16">F369/E369*100</f>
        <v>90.430477509786272</v>
      </c>
      <c r="H369" s="1274">
        <v>95</v>
      </c>
      <c r="I369" s="969"/>
    </row>
    <row r="370" spans="3:9" s="898" customFormat="1" ht="20.100000000000001" customHeight="1">
      <c r="C370" s="973"/>
      <c r="D370" s="1059" t="s">
        <v>1209</v>
      </c>
      <c r="E370" s="1275">
        <v>1100000000</v>
      </c>
      <c r="F370" s="1058">
        <v>958650000</v>
      </c>
      <c r="G370" s="1060">
        <f t="shared" si="16"/>
        <v>87.15</v>
      </c>
      <c r="H370" s="1274">
        <v>90</v>
      </c>
      <c r="I370" s="969"/>
    </row>
    <row r="371" spans="3:9" s="898" customFormat="1" ht="20.100000000000001" customHeight="1">
      <c r="C371" s="973"/>
      <c r="D371" s="1059" t="s">
        <v>1211</v>
      </c>
      <c r="E371" s="1275">
        <v>406848175</v>
      </c>
      <c r="F371" s="1058">
        <v>404000000</v>
      </c>
      <c r="G371" s="1060">
        <f t="shared" si="16"/>
        <v>99.299941556822773</v>
      </c>
      <c r="H371" s="1274">
        <v>100</v>
      </c>
      <c r="I371" s="969"/>
    </row>
    <row r="372" spans="3:9" s="898" customFormat="1" ht="20.100000000000001" customHeight="1">
      <c r="C372" s="973"/>
      <c r="D372" s="1066" t="s">
        <v>1212</v>
      </c>
      <c r="E372" s="380">
        <f>SUM(E373:E375)</f>
        <v>4124359008</v>
      </c>
      <c r="F372" s="1061">
        <f>SUM(F373:F375)</f>
        <v>4087633200</v>
      </c>
      <c r="G372" s="1060">
        <f t="shared" si="16"/>
        <v>99.109539011304221</v>
      </c>
      <c r="H372" s="1274">
        <v>100</v>
      </c>
      <c r="I372" s="969"/>
    </row>
    <row r="373" spans="3:9" s="898" customFormat="1" ht="20.100000000000001" customHeight="1">
      <c r="C373" s="973"/>
      <c r="D373" s="1068" t="s">
        <v>3677</v>
      </c>
      <c r="E373" s="382">
        <v>608567400</v>
      </c>
      <c r="F373" s="1058">
        <v>608433200</v>
      </c>
      <c r="G373" s="1060">
        <f t="shared" si="16"/>
        <v>99.977948210830874</v>
      </c>
      <c r="H373" s="1274">
        <v>100</v>
      </c>
      <c r="I373" s="969"/>
    </row>
    <row r="374" spans="3:9" s="898" customFormat="1" ht="33" customHeight="1">
      <c r="C374" s="973"/>
      <c r="D374" s="1059" t="s">
        <v>3676</v>
      </c>
      <c r="E374" s="382">
        <v>1481935608</v>
      </c>
      <c r="F374" s="1058">
        <v>1448400000</v>
      </c>
      <c r="G374" s="1060">
        <f t="shared" si="16"/>
        <v>97.737040137306693</v>
      </c>
      <c r="H374" s="1274">
        <v>100</v>
      </c>
      <c r="I374" s="969"/>
    </row>
    <row r="375" spans="3:9" s="898" customFormat="1" ht="20.100000000000001" customHeight="1">
      <c r="C375" s="973"/>
      <c r="D375" s="1059" t="s">
        <v>1214</v>
      </c>
      <c r="E375" s="382">
        <v>2033856000</v>
      </c>
      <c r="F375" s="1058">
        <v>2030800000</v>
      </c>
      <c r="G375" s="1060">
        <f t="shared" si="16"/>
        <v>99.84974354133233</v>
      </c>
      <c r="H375" s="1274">
        <v>100</v>
      </c>
      <c r="I375" s="969"/>
    </row>
    <row r="376" spans="3:9" s="898" customFormat="1" ht="20.100000000000001" customHeight="1">
      <c r="C376" s="973"/>
      <c r="D376" s="1066" t="s">
        <v>1216</v>
      </c>
      <c r="E376" s="380">
        <f>SUM(E377:E379)</f>
        <v>3382861292</v>
      </c>
      <c r="F376" s="1061">
        <f>SUM(F377:F379)</f>
        <v>3335025000</v>
      </c>
      <c r="G376" s="1060">
        <f t="shared" si="16"/>
        <v>98.585922156692448</v>
      </c>
      <c r="H376" s="1274">
        <v>100</v>
      </c>
      <c r="I376" s="969"/>
    </row>
    <row r="377" spans="3:9" s="898" customFormat="1" ht="29.25" customHeight="1">
      <c r="C377" s="973"/>
      <c r="D377" s="1059" t="s">
        <v>1217</v>
      </c>
      <c r="E377" s="382">
        <v>1807200000</v>
      </c>
      <c r="F377" s="1058">
        <v>1763400000</v>
      </c>
      <c r="G377" s="1060">
        <f t="shared" si="16"/>
        <v>97.57636122177955</v>
      </c>
      <c r="H377" s="1274">
        <v>100</v>
      </c>
      <c r="I377" s="969"/>
    </row>
    <row r="378" spans="3:9" s="898" customFormat="1" ht="34.5" customHeight="1">
      <c r="C378" s="973"/>
      <c r="D378" s="1059" t="s">
        <v>1218</v>
      </c>
      <c r="E378" s="382">
        <v>375660932</v>
      </c>
      <c r="F378" s="1058">
        <v>373625000</v>
      </c>
      <c r="G378" s="1060">
        <f t="shared" si="16"/>
        <v>99.458039996557318</v>
      </c>
      <c r="H378" s="1274">
        <v>100</v>
      </c>
      <c r="I378" s="969"/>
    </row>
    <row r="379" spans="3:9" s="898" customFormat="1" ht="36" customHeight="1">
      <c r="C379" s="973"/>
      <c r="D379" s="1059" t="s">
        <v>3675</v>
      </c>
      <c r="E379" s="382">
        <v>1200000360</v>
      </c>
      <c r="F379" s="1058">
        <v>1198000000</v>
      </c>
      <c r="G379" s="1060">
        <f t="shared" si="16"/>
        <v>99.833303383342326</v>
      </c>
      <c r="H379" s="1274">
        <v>100</v>
      </c>
      <c r="I379" s="969"/>
    </row>
    <row r="380" spans="3:9" s="898" customFormat="1" ht="20.100000000000001" customHeight="1">
      <c r="C380" s="973"/>
      <c r="D380" s="1062" t="s">
        <v>2027</v>
      </c>
      <c r="E380" s="380">
        <f>E381</f>
        <v>327500800</v>
      </c>
      <c r="F380" s="1061">
        <f>F381</f>
        <v>267480000</v>
      </c>
      <c r="G380" s="1060">
        <f t="shared" si="16"/>
        <v>81.673082935980617</v>
      </c>
      <c r="H380" s="1274">
        <v>85</v>
      </c>
      <c r="I380" s="969"/>
    </row>
    <row r="381" spans="3:9" s="898" customFormat="1" ht="20.100000000000001" customHeight="1">
      <c r="C381" s="973"/>
      <c r="D381" s="1059" t="s">
        <v>3674</v>
      </c>
      <c r="E381" s="382">
        <v>327500800</v>
      </c>
      <c r="F381" s="1058">
        <v>267480000</v>
      </c>
      <c r="G381" s="1060">
        <f t="shared" si="16"/>
        <v>81.673082935980617</v>
      </c>
      <c r="H381" s="1274">
        <v>85</v>
      </c>
      <c r="I381" s="969"/>
    </row>
    <row r="382" spans="3:9" s="898" customFormat="1" ht="20.100000000000001" customHeight="1">
      <c r="C382" s="973"/>
      <c r="D382" s="1062" t="s">
        <v>3673</v>
      </c>
      <c r="E382" s="380">
        <f>SUM(E383:E384)</f>
        <v>3013696350</v>
      </c>
      <c r="F382" s="1061">
        <f>SUM(F383:F384)</f>
        <v>2983539330</v>
      </c>
      <c r="G382" s="1060">
        <f t="shared" si="16"/>
        <v>98.99933448836012</v>
      </c>
      <c r="H382" s="1274">
        <v>100</v>
      </c>
      <c r="I382" s="969"/>
    </row>
    <row r="383" spans="3:9" s="898" customFormat="1" ht="20.100000000000001" customHeight="1">
      <c r="C383" s="973"/>
      <c r="D383" s="1059" t="s">
        <v>3672</v>
      </c>
      <c r="E383" s="382">
        <v>1829257020</v>
      </c>
      <c r="F383" s="1058">
        <v>1826400000</v>
      </c>
      <c r="G383" s="1060">
        <f t="shared" si="16"/>
        <v>99.84381527752727</v>
      </c>
      <c r="H383" s="1274">
        <v>100</v>
      </c>
      <c r="I383" s="969"/>
    </row>
    <row r="384" spans="3:9" s="898" customFormat="1" ht="32.25" customHeight="1">
      <c r="C384" s="973"/>
      <c r="D384" s="1059" t="s">
        <v>3671</v>
      </c>
      <c r="E384" s="382">
        <v>1184439330</v>
      </c>
      <c r="F384" s="1058">
        <v>1157139330</v>
      </c>
      <c r="G384" s="1060">
        <f t="shared" si="16"/>
        <v>97.695111998687182</v>
      </c>
      <c r="H384" s="1274">
        <v>100</v>
      </c>
      <c r="I384" s="969"/>
    </row>
    <row r="385" spans="3:9" s="898" customFormat="1" ht="20.100000000000001" customHeight="1">
      <c r="C385" s="973"/>
      <c r="D385" s="1062" t="s">
        <v>3269</v>
      </c>
      <c r="E385" s="380">
        <f>E386</f>
        <v>164630400</v>
      </c>
      <c r="F385" s="1061">
        <f>F386</f>
        <v>134010000</v>
      </c>
      <c r="G385" s="1060">
        <f t="shared" si="16"/>
        <v>81.400518980698592</v>
      </c>
      <c r="H385" s="1274">
        <v>85</v>
      </c>
      <c r="I385" s="969"/>
    </row>
    <row r="386" spans="3:9" s="898" customFormat="1" ht="20.100000000000001" customHeight="1">
      <c r="C386" s="973"/>
      <c r="D386" s="1059" t="s">
        <v>3670</v>
      </c>
      <c r="E386" s="382">
        <v>164630400</v>
      </c>
      <c r="F386" s="1058">
        <v>134010000</v>
      </c>
      <c r="G386" s="1060">
        <f t="shared" si="16"/>
        <v>81.400518980698592</v>
      </c>
      <c r="H386" s="1274">
        <v>85</v>
      </c>
      <c r="I386" s="969"/>
    </row>
    <row r="387" spans="3:9" s="898" customFormat="1" ht="20.100000000000001" customHeight="1">
      <c r="C387" s="973"/>
      <c r="D387" s="1059"/>
      <c r="E387" s="382"/>
      <c r="F387" s="1058"/>
      <c r="G387" s="1060"/>
      <c r="H387" s="1274"/>
      <c r="I387" s="969"/>
    </row>
    <row r="388" spans="3:9" s="898" customFormat="1" ht="21.75" customHeight="1">
      <c r="C388" s="973"/>
      <c r="D388" s="1065" t="s">
        <v>1219</v>
      </c>
      <c r="E388" s="380">
        <f>E389</f>
        <v>7875375000</v>
      </c>
      <c r="F388" s="380">
        <f>F389</f>
        <v>1854600000</v>
      </c>
      <c r="G388" s="1060">
        <f>F388/E388*100</f>
        <v>23.549354792628925</v>
      </c>
      <c r="H388" s="1274">
        <f>H389</f>
        <v>27.5</v>
      </c>
      <c r="I388" s="969"/>
    </row>
    <row r="389" spans="3:9" s="898" customFormat="1" ht="20.100000000000001" customHeight="1">
      <c r="C389" s="973"/>
      <c r="D389" s="1065" t="s">
        <v>564</v>
      </c>
      <c r="E389" s="380">
        <f>E390</f>
        <v>7875375000</v>
      </c>
      <c r="F389" s="380">
        <f>F390</f>
        <v>1854600000</v>
      </c>
      <c r="G389" s="1060">
        <f>F389/E389*100</f>
        <v>23.549354792628925</v>
      </c>
      <c r="H389" s="1274">
        <f>H390</f>
        <v>27.5</v>
      </c>
      <c r="I389" s="969"/>
    </row>
    <row r="390" spans="3:9" s="898" customFormat="1" ht="20.100000000000001" customHeight="1">
      <c r="C390" s="973"/>
      <c r="D390" s="1065" t="s">
        <v>377</v>
      </c>
      <c r="E390" s="380">
        <f>SUM(E391:E392)</f>
        <v>7875375000</v>
      </c>
      <c r="F390" s="380">
        <f>SUM(F391:F392)</f>
        <v>1854600000</v>
      </c>
      <c r="G390" s="1060">
        <f>F390/E390*100</f>
        <v>23.549354792628925</v>
      </c>
      <c r="H390" s="1274">
        <f>55/2</f>
        <v>27.5</v>
      </c>
      <c r="I390" s="969"/>
    </row>
    <row r="391" spans="3:9" s="898" customFormat="1" ht="20.100000000000001" customHeight="1">
      <c r="C391" s="973"/>
      <c r="D391" s="1059" t="s">
        <v>3669</v>
      </c>
      <c r="E391" s="382">
        <v>3429375000</v>
      </c>
      <c r="F391" s="1058">
        <v>1650000000</v>
      </c>
      <c r="G391" s="1060">
        <f>F391/E391*100</f>
        <v>48.113723346090758</v>
      </c>
      <c r="H391" s="1274">
        <v>50</v>
      </c>
      <c r="I391" s="969"/>
    </row>
    <row r="392" spans="3:9" s="898" customFormat="1" ht="34.5" customHeight="1">
      <c r="C392" s="973"/>
      <c r="D392" s="1063" t="s">
        <v>1221</v>
      </c>
      <c r="E392" s="382">
        <v>4446000000</v>
      </c>
      <c r="F392" s="1058">
        <v>204600000</v>
      </c>
      <c r="G392" s="1060">
        <f>F392/E392*100</f>
        <v>4.6018893387314446</v>
      </c>
      <c r="H392" s="1274">
        <v>5</v>
      </c>
      <c r="I392" s="969"/>
    </row>
    <row r="393" spans="3:9" s="898" customFormat="1" ht="20.100000000000001" customHeight="1">
      <c r="C393" s="973"/>
      <c r="D393" s="972"/>
      <c r="E393" s="1266">
        <v>0</v>
      </c>
      <c r="F393" s="1267"/>
      <c r="G393" s="1205"/>
      <c r="H393" s="970"/>
      <c r="I393" s="969"/>
    </row>
    <row r="394" spans="3:9" s="895" customFormat="1" ht="21.75" customHeight="1">
      <c r="C394" s="904" t="s">
        <v>1241</v>
      </c>
      <c r="D394" s="890" t="s">
        <v>1242</v>
      </c>
      <c r="E394" s="1266">
        <f>E395+E414+E421+E410</f>
        <v>19187715000</v>
      </c>
      <c r="F394" s="1266">
        <f>F395+F414+F421+F410</f>
        <v>16310903000</v>
      </c>
      <c r="G394" s="707">
        <f>+F394/E394*100</f>
        <v>85.007010996358872</v>
      </c>
      <c r="H394" s="905">
        <f>(H395+H410+H414+H421)/4</f>
        <v>98.5</v>
      </c>
      <c r="I394" s="903"/>
    </row>
    <row r="395" spans="3:9" s="895" customFormat="1" ht="21.75" customHeight="1">
      <c r="C395" s="904"/>
      <c r="D395" s="856" t="s">
        <v>1243</v>
      </c>
      <c r="E395" s="1272">
        <v>17022854000</v>
      </c>
      <c r="F395" s="1271">
        <f>F396+F398+F400+F404+F407</f>
        <v>14184381000</v>
      </c>
      <c r="G395" s="1231">
        <f t="shared" ref="G395:G408" si="17">F395/E395*100</f>
        <v>83.325516391082246</v>
      </c>
      <c r="H395" s="882">
        <f>(H396+H398+H400+H404+H407)/5</f>
        <v>94</v>
      </c>
      <c r="I395" s="903"/>
    </row>
    <row r="396" spans="3:9" s="898" customFormat="1" ht="20.100000000000001" customHeight="1">
      <c r="C396" s="973"/>
      <c r="D396" s="856" t="s">
        <v>3639</v>
      </c>
      <c r="E396" s="1272">
        <v>408000000</v>
      </c>
      <c r="F396" s="1271">
        <v>408000000</v>
      </c>
      <c r="G396" s="1231">
        <f t="shared" si="17"/>
        <v>100</v>
      </c>
      <c r="H396" s="882">
        <f>G396</f>
        <v>100</v>
      </c>
      <c r="I396" s="969"/>
    </row>
    <row r="397" spans="3:9" s="898" customFormat="1" ht="20.100000000000001" customHeight="1">
      <c r="C397" s="973"/>
      <c r="D397" s="1055" t="s">
        <v>4108</v>
      </c>
      <c r="E397" s="1270">
        <v>408000000</v>
      </c>
      <c r="F397" s="1269">
        <v>408000000</v>
      </c>
      <c r="G397" s="1231">
        <f t="shared" si="17"/>
        <v>100</v>
      </c>
      <c r="H397" s="882">
        <f>G397</f>
        <v>100</v>
      </c>
      <c r="I397" s="969"/>
    </row>
    <row r="398" spans="3:9" s="898" customFormat="1" ht="20.100000000000001" customHeight="1">
      <c r="C398" s="973"/>
      <c r="D398" s="856" t="s">
        <v>1244</v>
      </c>
      <c r="E398" s="1272">
        <v>570000000</v>
      </c>
      <c r="F398" s="1271">
        <v>570000000</v>
      </c>
      <c r="G398" s="1231">
        <f t="shared" si="17"/>
        <v>100</v>
      </c>
      <c r="H398" s="882">
        <f>G398</f>
        <v>100</v>
      </c>
      <c r="I398" s="969"/>
    </row>
    <row r="399" spans="3:9" s="898" customFormat="1" ht="20.100000000000001" customHeight="1">
      <c r="C399" s="973"/>
      <c r="D399" s="1055" t="s">
        <v>4107</v>
      </c>
      <c r="E399" s="1270">
        <v>570000000</v>
      </c>
      <c r="F399" s="1269">
        <v>570000000</v>
      </c>
      <c r="G399" s="1231">
        <f t="shared" si="17"/>
        <v>100</v>
      </c>
      <c r="H399" s="882">
        <f>G399</f>
        <v>100</v>
      </c>
      <c r="I399" s="969"/>
    </row>
    <row r="400" spans="3:9" s="898" customFormat="1" ht="20.100000000000001" customHeight="1">
      <c r="C400" s="973"/>
      <c r="D400" s="856" t="s">
        <v>3648</v>
      </c>
      <c r="E400" s="1272">
        <v>9532654000</v>
      </c>
      <c r="F400" s="1271">
        <f>F401+F402+F403</f>
        <v>7298700000</v>
      </c>
      <c r="G400" s="1231">
        <f t="shared" si="17"/>
        <v>76.565246152855224</v>
      </c>
      <c r="H400" s="882">
        <f>270/3</f>
        <v>90</v>
      </c>
      <c r="I400" s="969"/>
    </row>
    <row r="401" spans="3:9" s="898" customFormat="1" ht="20.100000000000001" customHeight="1">
      <c r="C401" s="973"/>
      <c r="D401" s="1055" t="s">
        <v>4106</v>
      </c>
      <c r="E401" s="1270">
        <v>1187330000</v>
      </c>
      <c r="F401" s="1269">
        <v>1186300000</v>
      </c>
      <c r="G401" s="1231">
        <f t="shared" si="17"/>
        <v>99.913250739053169</v>
      </c>
      <c r="H401" s="882">
        <v>100</v>
      </c>
      <c r="I401" s="969"/>
    </row>
    <row r="402" spans="3:9" s="898" customFormat="1" ht="20.100000000000001" customHeight="1">
      <c r="C402" s="973"/>
      <c r="D402" s="1055" t="s">
        <v>4105</v>
      </c>
      <c r="E402" s="1270">
        <v>674924000</v>
      </c>
      <c r="F402" s="1269">
        <v>674800000</v>
      </c>
      <c r="G402" s="1231">
        <f t="shared" si="17"/>
        <v>99.9816275610291</v>
      </c>
      <c r="H402" s="882">
        <v>100</v>
      </c>
      <c r="I402" s="969"/>
    </row>
    <row r="403" spans="3:9" s="898" customFormat="1" ht="20.100000000000001" customHeight="1">
      <c r="C403" s="973"/>
      <c r="D403" s="1055" t="s">
        <v>4104</v>
      </c>
      <c r="E403" s="1270">
        <v>7670400000</v>
      </c>
      <c r="F403" s="1269">
        <v>5437600000</v>
      </c>
      <c r="G403" s="1231">
        <f t="shared" si="17"/>
        <v>70.890696704213596</v>
      </c>
      <c r="H403" s="882">
        <v>70</v>
      </c>
      <c r="I403" s="969"/>
    </row>
    <row r="404" spans="3:9" s="898" customFormat="1" ht="20.100000000000001" customHeight="1">
      <c r="C404" s="973"/>
      <c r="D404" s="856" t="s">
        <v>3644</v>
      </c>
      <c r="E404" s="1272">
        <v>2831000000</v>
      </c>
      <c r="F404" s="1271">
        <f>F406+F405</f>
        <v>2266481000</v>
      </c>
      <c r="G404" s="1231">
        <f t="shared" si="17"/>
        <v>80.059378311550688</v>
      </c>
      <c r="H404" s="882">
        <f>160/2</f>
        <v>80</v>
      </c>
      <c r="I404" s="969"/>
    </row>
    <row r="405" spans="3:9" s="898" customFormat="1" ht="20.100000000000001" customHeight="1">
      <c r="C405" s="973"/>
      <c r="D405" s="859" t="s">
        <v>3643</v>
      </c>
      <c r="E405" s="1270">
        <v>923000000</v>
      </c>
      <c r="F405" s="1269">
        <v>696881000</v>
      </c>
      <c r="G405" s="1231">
        <f t="shared" si="17"/>
        <v>75.501733477789813</v>
      </c>
      <c r="H405" s="882">
        <v>75</v>
      </c>
      <c r="I405" s="969"/>
    </row>
    <row r="406" spans="3:9" s="898" customFormat="1" ht="20.100000000000001" customHeight="1">
      <c r="C406" s="973"/>
      <c r="D406" s="859" t="s">
        <v>3642</v>
      </c>
      <c r="E406" s="1270">
        <v>1908000000</v>
      </c>
      <c r="F406" s="1269">
        <v>1569600000</v>
      </c>
      <c r="G406" s="1231">
        <f t="shared" si="17"/>
        <v>82.264150943396231</v>
      </c>
      <c r="H406" s="882">
        <v>85</v>
      </c>
      <c r="I406" s="969"/>
    </row>
    <row r="407" spans="3:9" s="898" customFormat="1" ht="20.100000000000001" customHeight="1">
      <c r="C407" s="973"/>
      <c r="D407" s="856" t="s">
        <v>3641</v>
      </c>
      <c r="E407" s="1272">
        <v>3681200000</v>
      </c>
      <c r="F407" s="1271">
        <v>3641200000</v>
      </c>
      <c r="G407" s="1231">
        <f t="shared" si="17"/>
        <v>98.913397805063568</v>
      </c>
      <c r="H407" s="882">
        <v>100</v>
      </c>
      <c r="I407" s="969"/>
    </row>
    <row r="408" spans="3:9" s="898" customFormat="1" ht="20.100000000000001" customHeight="1">
      <c r="C408" s="973"/>
      <c r="D408" s="1055" t="s">
        <v>4103</v>
      </c>
      <c r="E408" s="1270">
        <v>3681200000</v>
      </c>
      <c r="F408" s="1269">
        <v>3641200000</v>
      </c>
      <c r="G408" s="1231">
        <f t="shared" si="17"/>
        <v>98.913397805063568</v>
      </c>
      <c r="H408" s="882">
        <v>100</v>
      </c>
      <c r="I408" s="969"/>
    </row>
    <row r="409" spans="3:9" s="898" customFormat="1" ht="20.100000000000001" customHeight="1">
      <c r="C409" s="973"/>
      <c r="D409" s="1055"/>
      <c r="E409" s="1266">
        <v>0</v>
      </c>
      <c r="F409" s="1267"/>
      <c r="G409" s="1205"/>
      <c r="H409" s="970"/>
      <c r="I409" s="969"/>
    </row>
    <row r="410" spans="3:9" s="898" customFormat="1" ht="33" customHeight="1">
      <c r="C410" s="973"/>
      <c r="D410" s="856" t="s">
        <v>1733</v>
      </c>
      <c r="E410" s="1272">
        <v>669940000</v>
      </c>
      <c r="F410" s="1271">
        <v>667540000</v>
      </c>
      <c r="G410" s="1231">
        <f>F410/E410*100</f>
        <v>99.641758963489266</v>
      </c>
      <c r="H410" s="882">
        <v>100</v>
      </c>
      <c r="I410" s="900"/>
    </row>
    <row r="411" spans="3:9" s="898" customFormat="1" ht="41.25" customHeight="1">
      <c r="C411" s="973"/>
      <c r="D411" s="856" t="s">
        <v>3619</v>
      </c>
      <c r="E411" s="1272">
        <v>669940000</v>
      </c>
      <c r="F411" s="1271">
        <v>667540000</v>
      </c>
      <c r="G411" s="1231">
        <f>F411/E411*100</f>
        <v>99.641758963489266</v>
      </c>
      <c r="H411" s="882">
        <v>100</v>
      </c>
      <c r="I411" s="900"/>
    </row>
    <row r="412" spans="3:9" s="898" customFormat="1" ht="34.5" customHeight="1">
      <c r="C412" s="973"/>
      <c r="D412" s="859" t="s">
        <v>3618</v>
      </c>
      <c r="E412" s="1270">
        <v>669940000</v>
      </c>
      <c r="F412" s="1269">
        <v>667540000</v>
      </c>
      <c r="G412" s="1231">
        <f>F412/E412*100</f>
        <v>99.641758963489266</v>
      </c>
      <c r="H412" s="882">
        <v>100</v>
      </c>
      <c r="I412" s="900"/>
    </row>
    <row r="413" spans="3:9" s="898" customFormat="1" ht="20.100000000000001" customHeight="1">
      <c r="C413" s="973"/>
      <c r="D413" s="1055"/>
      <c r="E413" s="1266">
        <v>0</v>
      </c>
      <c r="F413" s="1267"/>
      <c r="G413" s="1205"/>
      <c r="H413" s="971"/>
      <c r="I413" s="969"/>
    </row>
    <row r="414" spans="3:9" s="898" customFormat="1" ht="21.75" customHeight="1">
      <c r="C414" s="973"/>
      <c r="D414" s="1057" t="s">
        <v>1305</v>
      </c>
      <c r="E414" s="1266">
        <f>E415+E418</f>
        <v>290841000</v>
      </c>
      <c r="F414" s="1266">
        <f>F415+F418</f>
        <v>290791000</v>
      </c>
      <c r="G414" s="707">
        <f>F414/E414*100</f>
        <v>99.982808476108943</v>
      </c>
      <c r="H414" s="120">
        <v>100</v>
      </c>
      <c r="I414" s="969"/>
    </row>
    <row r="415" spans="3:9" s="898" customFormat="1" ht="20.100000000000001" customHeight="1">
      <c r="C415" s="973"/>
      <c r="D415" s="1057" t="s">
        <v>3609</v>
      </c>
      <c r="E415" s="1266">
        <f>E416+E417</f>
        <v>222306000</v>
      </c>
      <c r="F415" s="1266">
        <f>F416+F417</f>
        <v>222256000</v>
      </c>
      <c r="G415" s="1212">
        <v>100</v>
      </c>
      <c r="H415" s="115">
        <v>100</v>
      </c>
      <c r="I415" s="969"/>
    </row>
    <row r="416" spans="3:9" s="898" customFormat="1" ht="20.100000000000001" customHeight="1">
      <c r="C416" s="973"/>
      <c r="D416" s="1055" t="s">
        <v>4102</v>
      </c>
      <c r="E416" s="1270">
        <v>84906000</v>
      </c>
      <c r="F416" s="1269">
        <v>84906000</v>
      </c>
      <c r="G416" s="1231">
        <f>F416/E416*100</f>
        <v>100</v>
      </c>
      <c r="H416" s="882">
        <f>G416</f>
        <v>100</v>
      </c>
      <c r="I416" s="969"/>
    </row>
    <row r="417" spans="3:9" s="898" customFormat="1" ht="20.100000000000001" customHeight="1">
      <c r="C417" s="973"/>
      <c r="D417" s="1055" t="s">
        <v>4101</v>
      </c>
      <c r="E417" s="1270">
        <v>137400000</v>
      </c>
      <c r="F417" s="1269">
        <v>137350000</v>
      </c>
      <c r="G417" s="1231">
        <f>F417/E417*100</f>
        <v>99.96360989810772</v>
      </c>
      <c r="H417" s="882">
        <v>100</v>
      </c>
      <c r="I417" s="969"/>
    </row>
    <row r="418" spans="3:9" s="898" customFormat="1" ht="20.100000000000001" customHeight="1">
      <c r="C418" s="973"/>
      <c r="D418" s="1057" t="s">
        <v>3602</v>
      </c>
      <c r="E418" s="1266">
        <v>68535000</v>
      </c>
      <c r="F418" s="1273">
        <f>+F419</f>
        <v>68535000</v>
      </c>
      <c r="G418" s="1212">
        <f>+G419</f>
        <v>100</v>
      </c>
      <c r="H418" s="115">
        <f>+H419</f>
        <v>100</v>
      </c>
      <c r="I418" s="969"/>
    </row>
    <row r="419" spans="3:9" s="898" customFormat="1" ht="33" customHeight="1">
      <c r="C419" s="973"/>
      <c r="D419" s="1055" t="s">
        <v>4100</v>
      </c>
      <c r="E419" s="1270">
        <v>68535000</v>
      </c>
      <c r="F419" s="1269">
        <v>68535000</v>
      </c>
      <c r="G419" s="1231">
        <f>F419/E419*100</f>
        <v>100</v>
      </c>
      <c r="H419" s="882">
        <f>G419</f>
        <v>100</v>
      </c>
      <c r="I419" s="969"/>
    </row>
    <row r="420" spans="3:9" s="898" customFormat="1" ht="20.100000000000001" customHeight="1">
      <c r="C420" s="973"/>
      <c r="D420" s="1055"/>
      <c r="E420" s="1266">
        <v>0</v>
      </c>
      <c r="F420" s="1267"/>
      <c r="G420" s="1205"/>
      <c r="H420" s="971"/>
      <c r="I420" s="969"/>
    </row>
    <row r="421" spans="3:9" s="898" customFormat="1" ht="33" customHeight="1">
      <c r="C421" s="973"/>
      <c r="D421" s="1057" t="s">
        <v>3599</v>
      </c>
      <c r="E421" s="1272">
        <v>1204080000</v>
      </c>
      <c r="F421" s="1271">
        <v>1168191000</v>
      </c>
      <c r="G421" s="1231">
        <f>F421/E421*100</f>
        <v>97.019384094080124</v>
      </c>
      <c r="H421" s="882">
        <v>100</v>
      </c>
      <c r="I421" s="969"/>
    </row>
    <row r="422" spans="3:9" s="898" customFormat="1" ht="20.100000000000001" customHeight="1">
      <c r="C422" s="973"/>
      <c r="D422" s="1057" t="s">
        <v>3598</v>
      </c>
      <c r="E422" s="1272">
        <v>1204080000</v>
      </c>
      <c r="F422" s="1271">
        <v>1168191000</v>
      </c>
      <c r="G422" s="1231">
        <f>F422/E422*100</f>
        <v>97.019384094080124</v>
      </c>
      <c r="H422" s="882">
        <v>100</v>
      </c>
      <c r="I422" s="969"/>
    </row>
    <row r="423" spans="3:9" s="898" customFormat="1" ht="33" customHeight="1">
      <c r="C423" s="973"/>
      <c r="D423" s="1055" t="s">
        <v>4099</v>
      </c>
      <c r="E423" s="1270">
        <v>1204080000</v>
      </c>
      <c r="F423" s="1269">
        <v>1168191000</v>
      </c>
      <c r="G423" s="1231">
        <f>F423/E423*100</f>
        <v>97.019384094080124</v>
      </c>
      <c r="H423" s="882">
        <v>100</v>
      </c>
      <c r="I423" s="969"/>
    </row>
    <row r="424" spans="3:9" s="898" customFormat="1" ht="20.100000000000001" customHeight="1">
      <c r="C424" s="973"/>
      <c r="D424" s="972"/>
      <c r="E424" s="1266">
        <v>0</v>
      </c>
      <c r="F424" s="1267"/>
      <c r="G424" s="1205"/>
      <c r="H424" s="971"/>
      <c r="I424" s="969"/>
    </row>
    <row r="425" spans="3:9" s="895" customFormat="1" ht="21.75" customHeight="1">
      <c r="C425" s="904" t="s">
        <v>1314</v>
      </c>
      <c r="D425" s="890" t="s">
        <v>1315</v>
      </c>
      <c r="E425" s="1266">
        <f>E426+E434</f>
        <v>18581820186.599998</v>
      </c>
      <c r="F425" s="1266">
        <f>F426+F434</f>
        <v>18281164351</v>
      </c>
      <c r="G425" s="707">
        <f t="shared" ref="G425:G432" si="18">+F425/E425*100</f>
        <v>98.381989317619102</v>
      </c>
      <c r="H425" s="120">
        <f>(H426+H434)/2</f>
        <v>99.166666666666671</v>
      </c>
      <c r="I425" s="903"/>
    </row>
    <row r="426" spans="3:9" s="980" customFormat="1" ht="20.100000000000001" customHeight="1">
      <c r="C426" s="1045"/>
      <c r="D426" s="889" t="s">
        <v>3591</v>
      </c>
      <c r="E426" s="1239">
        <f>E427+E429</f>
        <v>12257120186.599998</v>
      </c>
      <c r="F426" s="1239">
        <f>F427+F429</f>
        <v>11956464351</v>
      </c>
      <c r="G426" s="1225">
        <f t="shared" si="18"/>
        <v>97.547092375510118</v>
      </c>
      <c r="H426" s="887">
        <f>(H427+H429)/2</f>
        <v>98.333333333333343</v>
      </c>
      <c r="I426" s="1044"/>
    </row>
    <row r="427" spans="3:9" s="980" customFormat="1" ht="20.100000000000001" customHeight="1">
      <c r="C427" s="1045"/>
      <c r="D427" s="893" t="s">
        <v>1085</v>
      </c>
      <c r="E427" s="1239">
        <f>SUM(E428:E428)</f>
        <v>2001000000</v>
      </c>
      <c r="F427" s="1239">
        <f>SUM(F428:F428)</f>
        <v>1952573000</v>
      </c>
      <c r="G427" s="1225">
        <f t="shared" si="18"/>
        <v>97.579860069965022</v>
      </c>
      <c r="H427" s="887">
        <v>100</v>
      </c>
      <c r="I427" s="1044"/>
    </row>
    <row r="428" spans="3:9" s="898" customFormat="1" ht="20.100000000000001" customHeight="1">
      <c r="C428" s="973"/>
      <c r="D428" s="886" t="s">
        <v>3590</v>
      </c>
      <c r="E428" s="1268">
        <v>2001000000</v>
      </c>
      <c r="F428" s="1236">
        <v>1952573000</v>
      </c>
      <c r="G428" s="1225">
        <f t="shared" si="18"/>
        <v>97.579860069965022</v>
      </c>
      <c r="H428" s="887">
        <v>100</v>
      </c>
      <c r="I428" s="969"/>
    </row>
    <row r="429" spans="3:9" s="980" customFormat="1" ht="20.100000000000001" customHeight="1">
      <c r="C429" s="1045"/>
      <c r="D429" s="893" t="s">
        <v>1096</v>
      </c>
      <c r="E429" s="1239">
        <f>SUM(E430:E432)</f>
        <v>10256120186.599998</v>
      </c>
      <c r="F429" s="1239">
        <f>SUM(F430:F432)</f>
        <v>10003891351</v>
      </c>
      <c r="G429" s="1225">
        <f t="shared" si="18"/>
        <v>97.54069929943347</v>
      </c>
      <c r="H429" s="887">
        <f>290/3</f>
        <v>96.666666666666671</v>
      </c>
      <c r="I429" s="1044"/>
    </row>
    <row r="430" spans="3:9" s="898" customFormat="1" ht="20.100000000000001" customHeight="1">
      <c r="C430" s="973"/>
      <c r="D430" s="886" t="s">
        <v>3589</v>
      </c>
      <c r="E430" s="1268">
        <v>1478129155.1199999</v>
      </c>
      <c r="F430" s="1236">
        <v>1262392320</v>
      </c>
      <c r="G430" s="1225">
        <f t="shared" si="18"/>
        <v>85.404737172477624</v>
      </c>
      <c r="H430" s="887">
        <v>90</v>
      </c>
      <c r="I430" s="969"/>
    </row>
    <row r="431" spans="3:9" s="898" customFormat="1" ht="20.100000000000001" customHeight="1">
      <c r="C431" s="973"/>
      <c r="D431" s="886" t="s">
        <v>3588</v>
      </c>
      <c r="E431" s="1268">
        <v>5190861031.4799995</v>
      </c>
      <c r="F431" s="373">
        <v>5190861031</v>
      </c>
      <c r="G431" s="1225">
        <f t="shared" si="18"/>
        <v>99.999999990752983</v>
      </c>
      <c r="H431" s="887">
        <v>100</v>
      </c>
      <c r="I431" s="969"/>
    </row>
    <row r="432" spans="3:9" s="898" customFormat="1" ht="32.25" customHeight="1">
      <c r="C432" s="973"/>
      <c r="D432" s="886" t="s">
        <v>3587</v>
      </c>
      <c r="E432" s="1268">
        <v>3587130000</v>
      </c>
      <c r="F432" s="1236">
        <v>3550638000</v>
      </c>
      <c r="G432" s="1225">
        <f t="shared" si="18"/>
        <v>98.982696473225118</v>
      </c>
      <c r="H432" s="887">
        <v>100</v>
      </c>
      <c r="I432" s="969"/>
    </row>
    <row r="433" spans="3:9" s="898" customFormat="1" ht="20.100000000000001" customHeight="1">
      <c r="C433" s="973"/>
      <c r="D433" s="925"/>
      <c r="E433" s="1266">
        <v>0</v>
      </c>
      <c r="F433" s="1236"/>
      <c r="G433" s="707"/>
      <c r="H433" s="120"/>
      <c r="I433" s="969"/>
    </row>
    <row r="434" spans="3:9" s="980" customFormat="1" ht="21.75" customHeight="1">
      <c r="C434" s="1045"/>
      <c r="D434" s="890" t="s">
        <v>2573</v>
      </c>
      <c r="E434" s="1266">
        <v>6324700000</v>
      </c>
      <c r="F434" s="1239">
        <f>+F435</f>
        <v>6324700000</v>
      </c>
      <c r="G434" s="707">
        <f>+F434/E434*100</f>
        <v>100</v>
      </c>
      <c r="H434" s="120">
        <f>+G434</f>
        <v>100</v>
      </c>
      <c r="I434" s="1044"/>
    </row>
    <row r="435" spans="3:9" s="898" customFormat="1" ht="20.100000000000001" customHeight="1">
      <c r="C435" s="973"/>
      <c r="D435" s="925" t="s">
        <v>2574</v>
      </c>
      <c r="E435" s="1266">
        <v>6324700000</v>
      </c>
      <c r="F435" s="1236">
        <v>6324700000</v>
      </c>
      <c r="G435" s="707">
        <f>+F435/E435*100</f>
        <v>100</v>
      </c>
      <c r="H435" s="120">
        <f>+G435</f>
        <v>100</v>
      </c>
      <c r="I435" s="969"/>
    </row>
    <row r="436" spans="3:9" s="898" customFormat="1" ht="20.100000000000001" customHeight="1">
      <c r="C436" s="973"/>
      <c r="D436" s="972"/>
      <c r="E436" s="1266">
        <v>0</v>
      </c>
      <c r="F436" s="1267"/>
      <c r="G436" s="1205"/>
      <c r="H436" s="971"/>
      <c r="I436" s="969"/>
    </row>
    <row r="437" spans="3:9" s="895" customFormat="1" ht="21.75" customHeight="1">
      <c r="C437" s="904" t="s">
        <v>1381</v>
      </c>
      <c r="D437" s="890" t="s">
        <v>1382</v>
      </c>
      <c r="E437" s="1266">
        <f>E438+E464</f>
        <v>20739000000</v>
      </c>
      <c r="F437" s="1266">
        <f>F438+F464</f>
        <v>17831107848</v>
      </c>
      <c r="G437" s="707">
        <f>+F437/E437*100</f>
        <v>85.978628902068564</v>
      </c>
      <c r="H437" s="120">
        <f>(H438+H464)/2</f>
        <v>95.340909090909093</v>
      </c>
      <c r="I437" s="903"/>
    </row>
    <row r="438" spans="3:9" s="898" customFormat="1" ht="21.75" customHeight="1">
      <c r="C438" s="973"/>
      <c r="D438" s="893" t="s">
        <v>64</v>
      </c>
      <c r="E438" s="1265">
        <f>E439+E442+E454+E460</f>
        <v>18000000000</v>
      </c>
      <c r="F438" s="1265">
        <f>F439+F442+F454+F460</f>
        <v>15191707848</v>
      </c>
      <c r="G438" s="1262">
        <f t="shared" ref="G438:G461" si="19">(F438/E438)*100</f>
        <v>84.398376933333324</v>
      </c>
      <c r="H438" s="1261">
        <f>(H439+H442+H454+H460)/4</f>
        <v>90.681818181818187</v>
      </c>
      <c r="I438" s="969"/>
    </row>
    <row r="439" spans="3:9" s="898" customFormat="1" ht="20.100000000000001" customHeight="1">
      <c r="C439" s="973"/>
      <c r="D439" s="893" t="s">
        <v>388</v>
      </c>
      <c r="E439" s="1265">
        <f>SUM(E440:E441)</f>
        <v>1022716300</v>
      </c>
      <c r="F439" s="1265">
        <f>SUM(F440:F441)</f>
        <v>1022716300</v>
      </c>
      <c r="G439" s="1262">
        <f t="shared" si="19"/>
        <v>100</v>
      </c>
      <c r="H439" s="1261">
        <f>SUM(H440:H441)/2</f>
        <v>100</v>
      </c>
      <c r="I439" s="969"/>
    </row>
    <row r="440" spans="3:9" s="898" customFormat="1" ht="20.100000000000001" customHeight="1">
      <c r="C440" s="973"/>
      <c r="D440" s="886" t="s">
        <v>3530</v>
      </c>
      <c r="E440" s="1264">
        <v>612716300</v>
      </c>
      <c r="F440" s="1264">
        <v>612716300</v>
      </c>
      <c r="G440" s="1260">
        <f t="shared" si="19"/>
        <v>100</v>
      </c>
      <c r="H440" s="1259">
        <v>100</v>
      </c>
      <c r="I440" s="969"/>
    </row>
    <row r="441" spans="3:9" s="898" customFormat="1" ht="20.100000000000001" customHeight="1">
      <c r="C441" s="973"/>
      <c r="D441" s="886" t="s">
        <v>1385</v>
      </c>
      <c r="E441" s="1264">
        <v>410000000</v>
      </c>
      <c r="F441" s="1264">
        <v>410000000</v>
      </c>
      <c r="G441" s="1260">
        <f t="shared" si="19"/>
        <v>100</v>
      </c>
      <c r="H441" s="1259">
        <v>100</v>
      </c>
      <c r="I441" s="969"/>
    </row>
    <row r="442" spans="3:9" s="898" customFormat="1" ht="20.100000000000001" customHeight="1">
      <c r="C442" s="973"/>
      <c r="D442" s="893" t="s">
        <v>394</v>
      </c>
      <c r="E442" s="1265">
        <f>SUM(E443:E453)</f>
        <v>14219575348</v>
      </c>
      <c r="F442" s="1265">
        <f>SUM(F443:F453)</f>
        <v>12029391348</v>
      </c>
      <c r="G442" s="1262">
        <f t="shared" si="19"/>
        <v>84.597402198033635</v>
      </c>
      <c r="H442" s="1261">
        <f>SUM((H443:H453))/11</f>
        <v>72.727272727272734</v>
      </c>
      <c r="I442" s="969"/>
    </row>
    <row r="443" spans="3:9" s="898" customFormat="1" ht="20.100000000000001" customHeight="1">
      <c r="C443" s="973"/>
      <c r="D443" s="886" t="s">
        <v>1397</v>
      </c>
      <c r="E443" s="1264">
        <v>1902944000</v>
      </c>
      <c r="F443" s="1264">
        <v>1902944000</v>
      </c>
      <c r="G443" s="1260">
        <f t="shared" si="19"/>
        <v>100</v>
      </c>
      <c r="H443" s="1259">
        <v>100</v>
      </c>
      <c r="I443" s="969"/>
    </row>
    <row r="444" spans="3:9" s="898" customFormat="1" ht="20.100000000000001" customHeight="1">
      <c r="C444" s="973"/>
      <c r="D444" s="886" t="s">
        <v>2979</v>
      </c>
      <c r="E444" s="1264">
        <v>2006466000</v>
      </c>
      <c r="F444" s="1264">
        <v>0</v>
      </c>
      <c r="G444" s="1260">
        <f t="shared" si="19"/>
        <v>0</v>
      </c>
      <c r="H444" s="1259">
        <v>0</v>
      </c>
      <c r="I444" s="969"/>
    </row>
    <row r="445" spans="3:9" s="898" customFormat="1" ht="20.100000000000001" customHeight="1">
      <c r="C445" s="973"/>
      <c r="D445" s="886" t="s">
        <v>3529</v>
      </c>
      <c r="E445" s="1264">
        <v>4239334400</v>
      </c>
      <c r="F445" s="1264">
        <v>4239334400</v>
      </c>
      <c r="G445" s="1260">
        <f t="shared" si="19"/>
        <v>100</v>
      </c>
      <c r="H445" s="1259">
        <v>100</v>
      </c>
      <c r="I445" s="969"/>
    </row>
    <row r="446" spans="3:9" s="898" customFormat="1" ht="20.100000000000001" customHeight="1">
      <c r="C446" s="973"/>
      <c r="D446" s="886" t="s">
        <v>2023</v>
      </c>
      <c r="E446" s="1264">
        <v>2250000000</v>
      </c>
      <c r="F446" s="1264">
        <v>2250000000</v>
      </c>
      <c r="G446" s="1260">
        <f t="shared" si="19"/>
        <v>100</v>
      </c>
      <c r="H446" s="1259">
        <v>100</v>
      </c>
      <c r="I446" s="969"/>
    </row>
    <row r="447" spans="3:9" s="898" customFormat="1" ht="20.100000000000001" customHeight="1">
      <c r="C447" s="973"/>
      <c r="D447" s="886" t="s">
        <v>3528</v>
      </c>
      <c r="E447" s="1264">
        <v>70000000</v>
      </c>
      <c r="F447" s="1264">
        <v>0</v>
      </c>
      <c r="G447" s="1260">
        <f t="shared" si="19"/>
        <v>0</v>
      </c>
      <c r="H447" s="1259">
        <v>0</v>
      </c>
      <c r="I447" s="969"/>
    </row>
    <row r="448" spans="3:9" s="898" customFormat="1" ht="20.100000000000001" customHeight="1">
      <c r="C448" s="973"/>
      <c r="D448" s="886" t="s">
        <v>1400</v>
      </c>
      <c r="E448" s="1264">
        <v>1028478548</v>
      </c>
      <c r="F448" s="1264">
        <v>998478548</v>
      </c>
      <c r="G448" s="1260">
        <f t="shared" si="19"/>
        <v>97.083069932927756</v>
      </c>
      <c r="H448" s="1259">
        <v>100</v>
      </c>
      <c r="I448" s="969"/>
    </row>
    <row r="449" spans="3:9" s="898" customFormat="1" ht="20.100000000000001" customHeight="1">
      <c r="C449" s="973"/>
      <c r="D449" s="886" t="s">
        <v>3527</v>
      </c>
      <c r="E449" s="1264">
        <v>427700000</v>
      </c>
      <c r="F449" s="1264">
        <v>427700000</v>
      </c>
      <c r="G449" s="1260">
        <f t="shared" si="19"/>
        <v>100</v>
      </c>
      <c r="H449" s="1259">
        <v>100</v>
      </c>
      <c r="I449" s="969"/>
    </row>
    <row r="450" spans="3:9" s="898" customFormat="1" ht="20.100000000000001" customHeight="1">
      <c r="C450" s="973"/>
      <c r="D450" s="886" t="s">
        <v>3526</v>
      </c>
      <c r="E450" s="1264">
        <v>83000000</v>
      </c>
      <c r="F450" s="1264">
        <v>0</v>
      </c>
      <c r="G450" s="1260">
        <f t="shared" si="19"/>
        <v>0</v>
      </c>
      <c r="H450" s="1259">
        <v>0</v>
      </c>
      <c r="I450" s="969"/>
    </row>
    <row r="451" spans="3:9" s="898" customFormat="1" ht="20.100000000000001" customHeight="1">
      <c r="C451" s="973"/>
      <c r="D451" s="886" t="s">
        <v>3525</v>
      </c>
      <c r="E451" s="1264">
        <v>1258552400</v>
      </c>
      <c r="F451" s="1264">
        <v>1258552400</v>
      </c>
      <c r="G451" s="1260">
        <f t="shared" si="19"/>
        <v>100</v>
      </c>
      <c r="H451" s="1259">
        <v>100</v>
      </c>
      <c r="I451" s="969"/>
    </row>
    <row r="452" spans="3:9" s="898" customFormat="1" ht="35.1" customHeight="1">
      <c r="C452" s="973"/>
      <c r="D452" s="886" t="s">
        <v>3524</v>
      </c>
      <c r="E452" s="1264">
        <v>167400000</v>
      </c>
      <c r="F452" s="1264">
        <v>167400000</v>
      </c>
      <c r="G452" s="1260">
        <f t="shared" si="19"/>
        <v>100</v>
      </c>
      <c r="H452" s="1259">
        <v>100</v>
      </c>
      <c r="I452" s="969"/>
    </row>
    <row r="453" spans="3:9" s="898" customFormat="1" ht="35.1" customHeight="1">
      <c r="C453" s="973"/>
      <c r="D453" s="886" t="s">
        <v>3523</v>
      </c>
      <c r="E453" s="1264">
        <v>785700000</v>
      </c>
      <c r="F453" s="1264">
        <v>784982000</v>
      </c>
      <c r="G453" s="1260">
        <f t="shared" si="19"/>
        <v>99.90861652030037</v>
      </c>
      <c r="H453" s="1259">
        <v>100</v>
      </c>
      <c r="I453" s="969"/>
    </row>
    <row r="454" spans="3:9" s="898" customFormat="1" ht="20.100000000000001" customHeight="1">
      <c r="C454" s="973"/>
      <c r="D454" s="893" t="s">
        <v>404</v>
      </c>
      <c r="E454" s="1265">
        <f>SUM(E455:E459)</f>
        <v>2417708352</v>
      </c>
      <c r="F454" s="1265">
        <f>SUM(F455:F459)</f>
        <v>1799600200</v>
      </c>
      <c r="G454" s="1262">
        <f t="shared" si="19"/>
        <v>74.434130920353454</v>
      </c>
      <c r="H454" s="1261">
        <f>SUM(H455:H459)/5</f>
        <v>90</v>
      </c>
      <c r="I454" s="969"/>
    </row>
    <row r="455" spans="3:9" s="898" customFormat="1" ht="20.100000000000001" customHeight="1">
      <c r="C455" s="973"/>
      <c r="D455" s="886" t="s">
        <v>3522</v>
      </c>
      <c r="E455" s="1264">
        <v>298078200</v>
      </c>
      <c r="F455" s="1264">
        <v>298078200</v>
      </c>
      <c r="G455" s="1260">
        <f t="shared" si="19"/>
        <v>100</v>
      </c>
      <c r="H455" s="1259">
        <v>100</v>
      </c>
      <c r="I455" s="969"/>
    </row>
    <row r="456" spans="3:9" s="898" customFormat="1" ht="20.100000000000001" customHeight="1">
      <c r="C456" s="973"/>
      <c r="D456" s="886" t="s">
        <v>3521</v>
      </c>
      <c r="E456" s="1264">
        <v>110000000</v>
      </c>
      <c r="F456" s="1264">
        <v>110000000</v>
      </c>
      <c r="G456" s="1260">
        <f t="shared" si="19"/>
        <v>100</v>
      </c>
      <c r="H456" s="1259">
        <v>100</v>
      </c>
      <c r="I456" s="969"/>
    </row>
    <row r="457" spans="3:9" s="898" customFormat="1" ht="20.100000000000001" customHeight="1">
      <c r="C457" s="973"/>
      <c r="D457" s="886" t="s">
        <v>3520</v>
      </c>
      <c r="E457" s="1264">
        <v>496797000</v>
      </c>
      <c r="F457" s="1264">
        <v>496797000</v>
      </c>
      <c r="G457" s="1260">
        <f t="shared" si="19"/>
        <v>100</v>
      </c>
      <c r="H457" s="1259">
        <v>100</v>
      </c>
      <c r="I457" s="969"/>
    </row>
    <row r="458" spans="3:9" s="898" customFormat="1" ht="35.1" customHeight="1">
      <c r="C458" s="973"/>
      <c r="D458" s="886" t="s">
        <v>3519</v>
      </c>
      <c r="E458" s="1041">
        <v>341898750</v>
      </c>
      <c r="F458" s="1041">
        <v>338525000</v>
      </c>
      <c r="G458" s="1260">
        <f t="shared" si="19"/>
        <v>99.013231256329533</v>
      </c>
      <c r="H458" s="1259">
        <v>100</v>
      </c>
      <c r="I458" s="969"/>
    </row>
    <row r="459" spans="3:9" s="898" customFormat="1" ht="20.100000000000001" customHeight="1">
      <c r="C459" s="973"/>
      <c r="D459" s="886" t="s">
        <v>3518</v>
      </c>
      <c r="E459" s="1041">
        <v>1170934402</v>
      </c>
      <c r="F459" s="1041">
        <v>556200000</v>
      </c>
      <c r="G459" s="1260">
        <f t="shared" si="19"/>
        <v>47.500525994452765</v>
      </c>
      <c r="H459" s="1259">
        <v>50</v>
      </c>
      <c r="I459" s="969"/>
    </row>
    <row r="460" spans="3:9" s="898" customFormat="1" ht="20.100000000000001" customHeight="1">
      <c r="C460" s="973"/>
      <c r="D460" s="893" t="s">
        <v>106</v>
      </c>
      <c r="E460" s="1042">
        <f>SUM(E461)</f>
        <v>340000000</v>
      </c>
      <c r="F460" s="1042">
        <f>SUM(F461)</f>
        <v>340000000</v>
      </c>
      <c r="G460" s="1262">
        <f t="shared" si="19"/>
        <v>100</v>
      </c>
      <c r="H460" s="1261">
        <f>SUM(H461)</f>
        <v>100</v>
      </c>
      <c r="I460" s="969"/>
    </row>
    <row r="461" spans="3:9" s="898" customFormat="1" ht="32.25" customHeight="1">
      <c r="C461" s="973"/>
      <c r="D461" s="886" t="s">
        <v>3517</v>
      </c>
      <c r="E461" s="1041">
        <v>340000000</v>
      </c>
      <c r="F461" s="1041">
        <v>340000000</v>
      </c>
      <c r="G461" s="1260">
        <f t="shared" si="19"/>
        <v>100</v>
      </c>
      <c r="H461" s="1259">
        <v>100</v>
      </c>
      <c r="I461" s="969"/>
    </row>
    <row r="462" spans="3:9" s="898" customFormat="1" ht="20.100000000000001" customHeight="1">
      <c r="C462" s="973"/>
      <c r="D462" s="972"/>
      <c r="E462" s="1263">
        <v>0</v>
      </c>
      <c r="F462" s="137"/>
      <c r="G462" s="1212"/>
      <c r="H462" s="115"/>
      <c r="I462" s="969"/>
    </row>
    <row r="463" spans="3:9" s="898" customFormat="1" ht="21.75" customHeight="1">
      <c r="C463" s="973"/>
      <c r="D463" s="893" t="s">
        <v>1219</v>
      </c>
      <c r="E463" s="1202"/>
      <c r="F463" s="234"/>
      <c r="G463" s="707"/>
      <c r="H463" s="120"/>
      <c r="I463" s="969"/>
    </row>
    <row r="464" spans="3:9" s="898" customFormat="1" ht="20.100000000000001" customHeight="1">
      <c r="C464" s="973"/>
      <c r="D464" s="893" t="s">
        <v>3485</v>
      </c>
      <c r="E464" s="1042">
        <f>SUM(E465:E467)</f>
        <v>2739000000</v>
      </c>
      <c r="F464" s="1042">
        <f>SUM(F465:F467)</f>
        <v>2639400000</v>
      </c>
      <c r="G464" s="1262">
        <f>(F464/E464)*100</f>
        <v>96.36363636363636</v>
      </c>
      <c r="H464" s="1261">
        <f>SUM(H465:H467)/3</f>
        <v>100</v>
      </c>
      <c r="I464" s="969"/>
    </row>
    <row r="465" spans="3:9" s="898" customFormat="1" ht="20.100000000000001" customHeight="1">
      <c r="C465" s="973"/>
      <c r="D465" s="886" t="s">
        <v>3484</v>
      </c>
      <c r="E465" s="1041">
        <v>819000000</v>
      </c>
      <c r="F465" s="1041">
        <v>819000000</v>
      </c>
      <c r="G465" s="1260">
        <f>(F465/E465)*100</f>
        <v>100</v>
      </c>
      <c r="H465" s="1259">
        <v>100</v>
      </c>
      <c r="I465" s="969"/>
    </row>
    <row r="466" spans="3:9" s="898" customFormat="1" ht="20.100000000000001" customHeight="1">
      <c r="C466" s="973"/>
      <c r="D466" s="886" t="s">
        <v>3483</v>
      </c>
      <c r="E466" s="1041">
        <v>800000000</v>
      </c>
      <c r="F466" s="1041">
        <v>800000000</v>
      </c>
      <c r="G466" s="1260">
        <f>(F466/E466)*100</f>
        <v>100</v>
      </c>
      <c r="H466" s="1259">
        <v>100</v>
      </c>
      <c r="I466" s="969"/>
    </row>
    <row r="467" spans="3:9" s="898" customFormat="1" ht="20.100000000000001" customHeight="1">
      <c r="C467" s="973"/>
      <c r="D467" s="886" t="s">
        <v>3482</v>
      </c>
      <c r="E467" s="1041">
        <v>1120000000</v>
      </c>
      <c r="F467" s="1046">
        <v>1020400000</v>
      </c>
      <c r="G467" s="1260">
        <f>(F467/E467)*100</f>
        <v>91.107142857142847</v>
      </c>
      <c r="H467" s="1259">
        <v>100</v>
      </c>
      <c r="I467" s="969"/>
    </row>
    <row r="468" spans="3:9" s="898" customFormat="1" ht="20.100000000000001" customHeight="1">
      <c r="C468" s="973"/>
      <c r="D468" s="972"/>
      <c r="E468" s="1202">
        <v>0</v>
      </c>
      <c r="F468" s="1206"/>
      <c r="G468" s="1205"/>
      <c r="H468" s="971"/>
      <c r="I468" s="969"/>
    </row>
    <row r="469" spans="3:9" s="895" customFormat="1" ht="21.75" customHeight="1">
      <c r="C469" s="904" t="s">
        <v>1478</v>
      </c>
      <c r="D469" s="890" t="s">
        <v>3468</v>
      </c>
      <c r="E469" s="1202">
        <f>+E470</f>
        <v>22400000000</v>
      </c>
      <c r="F469" s="234">
        <f>+F470</f>
        <v>22257934000</v>
      </c>
      <c r="G469" s="707">
        <f>+G470</f>
        <v>99.365776785714289</v>
      </c>
      <c r="H469" s="120">
        <f>+H470</f>
        <v>99.375</v>
      </c>
      <c r="I469" s="903"/>
    </row>
    <row r="470" spans="3:9" s="898" customFormat="1" ht="21.75" customHeight="1">
      <c r="C470" s="973"/>
      <c r="D470" s="1037" t="s">
        <v>64</v>
      </c>
      <c r="E470" s="398">
        <f>+E471+E476+E481+E484</f>
        <v>22400000000</v>
      </c>
      <c r="F470" s="398">
        <f>+F471+F476+F481+F484</f>
        <v>22257934000</v>
      </c>
      <c r="G470" s="1035">
        <f t="shared" ref="G470:G486" si="20">+F470/E470*100</f>
        <v>99.365776785714289</v>
      </c>
      <c r="H470" s="1034">
        <f>(H471+H476+H481+H484)/4</f>
        <v>99.375</v>
      </c>
      <c r="I470" s="969"/>
    </row>
    <row r="471" spans="3:9" s="898" customFormat="1" ht="20.100000000000001" customHeight="1">
      <c r="C471" s="973"/>
      <c r="D471" s="1040" t="s">
        <v>388</v>
      </c>
      <c r="E471" s="401">
        <f>+E472+E473+E474+E475</f>
        <v>3850000000</v>
      </c>
      <c r="F471" s="398">
        <f>+F472+F473+F474+F475</f>
        <v>3759600000</v>
      </c>
      <c r="G471" s="1035">
        <f t="shared" si="20"/>
        <v>97.651948051948054</v>
      </c>
      <c r="H471" s="1034">
        <f>SUM((H472:H475))/4</f>
        <v>97.5</v>
      </c>
      <c r="I471" s="969"/>
    </row>
    <row r="472" spans="3:9" s="898" customFormat="1" ht="20.100000000000001" customHeight="1">
      <c r="C472" s="973"/>
      <c r="D472" s="1039" t="s">
        <v>3467</v>
      </c>
      <c r="E472" s="401">
        <v>1600000000</v>
      </c>
      <c r="F472" s="401">
        <v>1597100000</v>
      </c>
      <c r="G472" s="1035">
        <f t="shared" si="20"/>
        <v>99.818749999999994</v>
      </c>
      <c r="H472" s="1034">
        <v>100</v>
      </c>
      <c r="I472" s="969"/>
    </row>
    <row r="473" spans="3:9" s="898" customFormat="1" ht="20.100000000000001" customHeight="1">
      <c r="C473" s="973"/>
      <c r="D473" s="1039" t="s">
        <v>3466</v>
      </c>
      <c r="E473" s="401">
        <v>700000000</v>
      </c>
      <c r="F473" s="401">
        <v>612500000</v>
      </c>
      <c r="G473" s="1035">
        <f t="shared" si="20"/>
        <v>87.5</v>
      </c>
      <c r="H473" s="1034">
        <v>90</v>
      </c>
      <c r="I473" s="969"/>
    </row>
    <row r="474" spans="3:9" s="898" customFormat="1" ht="20.100000000000001" customHeight="1">
      <c r="C474" s="973"/>
      <c r="D474" s="1039" t="s">
        <v>3465</v>
      </c>
      <c r="E474" s="401">
        <v>250000000</v>
      </c>
      <c r="F474" s="401">
        <v>250000000</v>
      </c>
      <c r="G474" s="1035">
        <f t="shared" si="20"/>
        <v>100</v>
      </c>
      <c r="H474" s="1034">
        <f>+G474</f>
        <v>100</v>
      </c>
      <c r="I474" s="969"/>
    </row>
    <row r="475" spans="3:9" s="898" customFormat="1" ht="20.100000000000001" customHeight="1">
      <c r="C475" s="973"/>
      <c r="D475" s="1039" t="s">
        <v>2069</v>
      </c>
      <c r="E475" s="401">
        <v>1300000000</v>
      </c>
      <c r="F475" s="401">
        <v>1300000000</v>
      </c>
      <c r="G475" s="1035">
        <f t="shared" si="20"/>
        <v>100</v>
      </c>
      <c r="H475" s="1034">
        <f>+G475</f>
        <v>100</v>
      </c>
      <c r="I475" s="969"/>
    </row>
    <row r="476" spans="3:9" s="898" customFormat="1" ht="20.100000000000001" customHeight="1">
      <c r="C476" s="973"/>
      <c r="D476" s="1040" t="s">
        <v>394</v>
      </c>
      <c r="E476" s="401">
        <f>+E477+E478+E479+E480</f>
        <v>16400000000</v>
      </c>
      <c r="F476" s="401">
        <f>+F477+F478+F479+F480</f>
        <v>16349634000</v>
      </c>
      <c r="G476" s="1035">
        <f t="shared" si="20"/>
        <v>99.69289024390244</v>
      </c>
      <c r="H476" s="1034">
        <f>SUM((H477:H480))/4</f>
        <v>100</v>
      </c>
      <c r="I476" s="969"/>
    </row>
    <row r="477" spans="3:9" s="898" customFormat="1" ht="20.100000000000001" customHeight="1">
      <c r="C477" s="973"/>
      <c r="D477" s="1039" t="s">
        <v>2071</v>
      </c>
      <c r="E477" s="401">
        <v>6700000000</v>
      </c>
      <c r="F477" s="401">
        <v>6652500000</v>
      </c>
      <c r="G477" s="1035">
        <f t="shared" si="20"/>
        <v>99.291044776119406</v>
      </c>
      <c r="H477" s="1034">
        <v>100</v>
      </c>
      <c r="I477" s="969"/>
    </row>
    <row r="478" spans="3:9" s="898" customFormat="1" ht="35.1" customHeight="1">
      <c r="C478" s="973"/>
      <c r="D478" s="1039" t="s">
        <v>3464</v>
      </c>
      <c r="E478" s="401">
        <v>500000000</v>
      </c>
      <c r="F478" s="401">
        <v>498500000</v>
      </c>
      <c r="G478" s="1035">
        <f t="shared" si="20"/>
        <v>99.7</v>
      </c>
      <c r="H478" s="1034">
        <v>100</v>
      </c>
      <c r="I478" s="969"/>
    </row>
    <row r="479" spans="3:9" s="898" customFormat="1" ht="20.100000000000001" customHeight="1">
      <c r="C479" s="973"/>
      <c r="D479" s="1039" t="s">
        <v>1397</v>
      </c>
      <c r="E479" s="401">
        <v>5800000000</v>
      </c>
      <c r="F479" s="401">
        <v>5800000000</v>
      </c>
      <c r="G479" s="1035">
        <f t="shared" si="20"/>
        <v>100</v>
      </c>
      <c r="H479" s="1034">
        <f>+G479</f>
        <v>100</v>
      </c>
      <c r="I479" s="969"/>
    </row>
    <row r="480" spans="3:9" s="898" customFormat="1" ht="20.100000000000001" customHeight="1">
      <c r="C480" s="973"/>
      <c r="D480" s="1039" t="s">
        <v>3463</v>
      </c>
      <c r="E480" s="401">
        <v>3400000000</v>
      </c>
      <c r="F480" s="401">
        <f>1199245000+2199389000</f>
        <v>3398634000</v>
      </c>
      <c r="G480" s="1035">
        <f t="shared" si="20"/>
        <v>99.959823529411764</v>
      </c>
      <c r="H480" s="1034">
        <v>100</v>
      </c>
      <c r="I480" s="969"/>
    </row>
    <row r="481" spans="3:9" s="898" customFormat="1" ht="20.100000000000001" customHeight="1">
      <c r="C481" s="973"/>
      <c r="D481" s="1040" t="s">
        <v>404</v>
      </c>
      <c r="E481" s="401">
        <f>+E482+E483</f>
        <v>600000000</v>
      </c>
      <c r="F481" s="401">
        <f>+F482+F483</f>
        <v>600000000</v>
      </c>
      <c r="G481" s="1035">
        <f t="shared" si="20"/>
        <v>100</v>
      </c>
      <c r="H481" s="1034">
        <f>+G481</f>
        <v>100</v>
      </c>
      <c r="I481" s="969"/>
    </row>
    <row r="482" spans="3:9" s="898" customFormat="1" ht="20.100000000000001" customHeight="1">
      <c r="C482" s="973"/>
      <c r="D482" s="1039" t="s">
        <v>1403</v>
      </c>
      <c r="E482" s="401">
        <v>300000000</v>
      </c>
      <c r="F482" s="401">
        <v>300000000</v>
      </c>
      <c r="G482" s="1035">
        <f t="shared" si="20"/>
        <v>100</v>
      </c>
      <c r="H482" s="1034">
        <f>+G482</f>
        <v>100</v>
      </c>
      <c r="I482" s="969"/>
    </row>
    <row r="483" spans="3:9" s="898" customFormat="1" ht="20.100000000000001" customHeight="1">
      <c r="C483" s="973"/>
      <c r="D483" s="1039" t="s">
        <v>4098</v>
      </c>
      <c r="E483" s="401">
        <v>300000000</v>
      </c>
      <c r="F483" s="401">
        <v>300000000</v>
      </c>
      <c r="G483" s="1035">
        <f t="shared" si="20"/>
        <v>100</v>
      </c>
      <c r="H483" s="1034">
        <f>+G483</f>
        <v>100</v>
      </c>
      <c r="I483" s="969"/>
    </row>
    <row r="484" spans="3:9" s="898" customFormat="1" ht="20.100000000000001" customHeight="1">
      <c r="C484" s="973"/>
      <c r="D484" s="1040" t="s">
        <v>1487</v>
      </c>
      <c r="E484" s="401">
        <f>+E485+E486</f>
        <v>1550000000</v>
      </c>
      <c r="F484" s="401">
        <f>+F485+F486</f>
        <v>1548700000</v>
      </c>
      <c r="G484" s="1035">
        <f t="shared" si="20"/>
        <v>99.916129032258056</v>
      </c>
      <c r="H484" s="1034">
        <v>100</v>
      </c>
      <c r="I484" s="969"/>
    </row>
    <row r="485" spans="3:9" s="898" customFormat="1" ht="20.100000000000001" customHeight="1">
      <c r="C485" s="973"/>
      <c r="D485" s="1039" t="s">
        <v>1388</v>
      </c>
      <c r="E485" s="401">
        <v>1000000000</v>
      </c>
      <c r="F485" s="401">
        <v>998700000</v>
      </c>
      <c r="G485" s="1035">
        <f t="shared" si="20"/>
        <v>99.87</v>
      </c>
      <c r="H485" s="1034">
        <v>100</v>
      </c>
      <c r="I485" s="969"/>
    </row>
    <row r="486" spans="3:9" s="898" customFormat="1" ht="35.1" customHeight="1">
      <c r="C486" s="973"/>
      <c r="D486" s="1039" t="s">
        <v>3461</v>
      </c>
      <c r="E486" s="401">
        <v>550000000</v>
      </c>
      <c r="F486" s="401">
        <v>550000000</v>
      </c>
      <c r="G486" s="1035">
        <f t="shared" si="20"/>
        <v>100</v>
      </c>
      <c r="H486" s="1034">
        <f>+G486</f>
        <v>100</v>
      </c>
      <c r="I486" s="969"/>
    </row>
    <row r="487" spans="3:9" s="898" customFormat="1" ht="20.100000000000001" customHeight="1">
      <c r="C487" s="973"/>
      <c r="D487" s="972"/>
      <c r="E487" s="1202">
        <v>0</v>
      </c>
      <c r="F487" s="1206"/>
      <c r="G487" s="1205"/>
      <c r="H487" s="971"/>
      <c r="I487" s="969"/>
    </row>
    <row r="488" spans="3:9" s="895" customFormat="1" ht="21.75" customHeight="1">
      <c r="C488" s="904" t="s">
        <v>1542</v>
      </c>
      <c r="D488" s="890" t="s">
        <v>1543</v>
      </c>
      <c r="E488" s="1203">
        <v>16907671820</v>
      </c>
      <c r="F488" s="120">
        <f>+F489</f>
        <v>16401201145</v>
      </c>
      <c r="G488" s="707">
        <f>+F488/E488*100</f>
        <v>97.004491923004451</v>
      </c>
      <c r="H488" s="120">
        <f>H489</f>
        <v>95.659722222222229</v>
      </c>
      <c r="I488" s="903"/>
    </row>
    <row r="489" spans="3:9" s="2" customFormat="1" ht="21.75" customHeight="1">
      <c r="C489" s="902"/>
      <c r="D489" s="404" t="s">
        <v>444</v>
      </c>
      <c r="E489" s="1027">
        <f>E490+E492+E497+E502</f>
        <v>16907671820</v>
      </c>
      <c r="F489" s="1027">
        <v>16401201145</v>
      </c>
      <c r="G489" s="1258">
        <v>97.004491923004451</v>
      </c>
      <c r="H489" s="1029">
        <v>95.659722222222229</v>
      </c>
      <c r="I489" s="900"/>
    </row>
    <row r="490" spans="3:9" s="2" customFormat="1" ht="20.100000000000001" customHeight="1">
      <c r="C490" s="902"/>
      <c r="D490" s="404" t="s">
        <v>388</v>
      </c>
      <c r="E490" s="1027">
        <f>E491</f>
        <v>576000000</v>
      </c>
      <c r="F490" s="1027">
        <v>576000000</v>
      </c>
      <c r="G490" s="1258">
        <v>100</v>
      </c>
      <c r="H490" s="1029">
        <v>100</v>
      </c>
      <c r="I490" s="900"/>
    </row>
    <row r="491" spans="3:9" s="2" customFormat="1" ht="20.100000000000001" customHeight="1">
      <c r="C491" s="902"/>
      <c r="D491" s="406" t="s">
        <v>3449</v>
      </c>
      <c r="E491" s="1028">
        <v>576000000</v>
      </c>
      <c r="F491" s="1027">
        <v>576000000</v>
      </c>
      <c r="G491" s="1258">
        <v>100</v>
      </c>
      <c r="H491" s="1029">
        <v>100</v>
      </c>
      <c r="I491" s="900"/>
    </row>
    <row r="492" spans="3:9" s="2" customFormat="1" ht="20.100000000000001" customHeight="1">
      <c r="C492" s="902"/>
      <c r="D492" s="404" t="s">
        <v>394</v>
      </c>
      <c r="E492" s="1027">
        <f>SUM(E493:E496)</f>
        <v>11662095820</v>
      </c>
      <c r="F492" s="1027">
        <v>11575625145</v>
      </c>
      <c r="G492" s="1258">
        <v>99.258532288409882</v>
      </c>
      <c r="H492" s="1029">
        <v>100</v>
      </c>
      <c r="I492" s="900"/>
    </row>
    <row r="493" spans="3:9" s="2" customFormat="1" ht="20.100000000000001" customHeight="1">
      <c r="C493" s="902"/>
      <c r="D493" s="406" t="s">
        <v>3448</v>
      </c>
      <c r="E493" s="1028">
        <v>4269970675</v>
      </c>
      <c r="F493" s="1027">
        <v>4207500000</v>
      </c>
      <c r="G493" s="1258">
        <v>98.536976486378322</v>
      </c>
      <c r="H493" s="1029">
        <v>100</v>
      </c>
      <c r="I493" s="900"/>
    </row>
    <row r="494" spans="3:9" s="2" customFormat="1" ht="20.100000000000001" customHeight="1">
      <c r="C494" s="902"/>
      <c r="D494" s="406" t="s">
        <v>1547</v>
      </c>
      <c r="E494" s="1028">
        <v>420125145</v>
      </c>
      <c r="F494" s="1027">
        <v>420125145</v>
      </c>
      <c r="G494" s="1258">
        <v>100</v>
      </c>
      <c r="H494" s="1029">
        <v>100</v>
      </c>
      <c r="I494" s="900"/>
    </row>
    <row r="495" spans="3:9" s="2" customFormat="1" ht="20.100000000000001" customHeight="1">
      <c r="C495" s="902"/>
      <c r="D495" s="406" t="s">
        <v>3447</v>
      </c>
      <c r="E495" s="1028">
        <v>3672000000</v>
      </c>
      <c r="F495" s="1027">
        <v>3648000000</v>
      </c>
      <c r="G495" s="1258">
        <v>99.346405228758172</v>
      </c>
      <c r="H495" s="1029">
        <v>100</v>
      </c>
      <c r="I495" s="900"/>
    </row>
    <row r="496" spans="3:9" s="2" customFormat="1" ht="20.100000000000001" customHeight="1">
      <c r="C496" s="902"/>
      <c r="D496" s="406" t="s">
        <v>3446</v>
      </c>
      <c r="E496" s="1028">
        <v>3300000000</v>
      </c>
      <c r="F496" s="1027">
        <v>3300000000</v>
      </c>
      <c r="G496" s="1258">
        <v>100</v>
      </c>
      <c r="H496" s="1029">
        <v>100</v>
      </c>
      <c r="I496" s="900"/>
    </row>
    <row r="497" spans="3:9" s="2" customFormat="1" ht="20.100000000000001" customHeight="1">
      <c r="C497" s="902"/>
      <c r="D497" s="404" t="s">
        <v>404</v>
      </c>
      <c r="E497" s="1027">
        <f>SUM(E498:E501)</f>
        <v>3749576000</v>
      </c>
      <c r="F497" s="1027">
        <v>3329576000</v>
      </c>
      <c r="G497" s="1258">
        <v>88.798733510135548</v>
      </c>
      <c r="H497" s="1029">
        <v>82.638888888888886</v>
      </c>
      <c r="I497" s="900"/>
    </row>
    <row r="498" spans="3:9" s="2" customFormat="1" ht="20.100000000000001" customHeight="1">
      <c r="C498" s="902"/>
      <c r="D498" s="406" t="s">
        <v>1551</v>
      </c>
      <c r="E498" s="1028">
        <v>1805576000</v>
      </c>
      <c r="F498" s="1027">
        <v>1805576000</v>
      </c>
      <c r="G498" s="1257">
        <v>100</v>
      </c>
      <c r="H498" s="1025">
        <v>100</v>
      </c>
      <c r="I498" s="900"/>
    </row>
    <row r="499" spans="3:9" s="2" customFormat="1" ht="20.100000000000001" customHeight="1">
      <c r="C499" s="902"/>
      <c r="D499" s="406" t="s">
        <v>3445</v>
      </c>
      <c r="E499" s="1028">
        <v>648000000</v>
      </c>
      <c r="F499" s="1027">
        <v>594000000</v>
      </c>
      <c r="G499" s="1257">
        <v>91.666666666666657</v>
      </c>
      <c r="H499" s="1025">
        <v>100</v>
      </c>
      <c r="I499" s="900"/>
    </row>
    <row r="500" spans="3:9" s="2" customFormat="1" ht="20.100000000000001" customHeight="1">
      <c r="C500" s="902"/>
      <c r="D500" s="406" t="s">
        <v>3444</v>
      </c>
      <c r="E500" s="1028">
        <v>1080000000</v>
      </c>
      <c r="F500" s="1027">
        <v>810000000</v>
      </c>
      <c r="G500" s="1257">
        <v>75</v>
      </c>
      <c r="H500" s="1025">
        <v>75</v>
      </c>
      <c r="I500" s="900"/>
    </row>
    <row r="501" spans="3:9" s="2" customFormat="1" ht="35.1" customHeight="1">
      <c r="C501" s="902"/>
      <c r="D501" s="406" t="s">
        <v>3443</v>
      </c>
      <c r="E501" s="1028">
        <v>216000000</v>
      </c>
      <c r="F501" s="1027">
        <v>120000000</v>
      </c>
      <c r="G501" s="1257">
        <v>55.555555555555557</v>
      </c>
      <c r="H501" s="1025">
        <v>55.555555555555557</v>
      </c>
      <c r="I501" s="900"/>
    </row>
    <row r="502" spans="3:9" s="2" customFormat="1" ht="20.100000000000001" customHeight="1">
      <c r="C502" s="902"/>
      <c r="D502" s="404" t="s">
        <v>1555</v>
      </c>
      <c r="E502" s="1027">
        <f>SUM(E503:E503)</f>
        <v>920000000</v>
      </c>
      <c r="F502" s="1027">
        <v>920000000</v>
      </c>
      <c r="G502" s="1258">
        <v>100</v>
      </c>
      <c r="H502" s="1029">
        <v>100</v>
      </c>
      <c r="I502" s="900"/>
    </row>
    <row r="503" spans="3:9" s="2" customFormat="1" ht="35.1" customHeight="1">
      <c r="C503" s="902"/>
      <c r="D503" s="406" t="s">
        <v>1556</v>
      </c>
      <c r="E503" s="1028">
        <v>920000000</v>
      </c>
      <c r="F503" s="1027">
        <v>920000000</v>
      </c>
      <c r="G503" s="1257">
        <v>100</v>
      </c>
      <c r="H503" s="1025">
        <v>100</v>
      </c>
      <c r="I503" s="900"/>
    </row>
    <row r="504" spans="3:9" s="898" customFormat="1" ht="39.75" customHeight="1">
      <c r="C504" s="973"/>
      <c r="D504" s="406" t="s">
        <v>1556</v>
      </c>
      <c r="E504" s="1028">
        <v>920000000</v>
      </c>
      <c r="F504" s="1027">
        <v>920000000</v>
      </c>
      <c r="G504" s="1257">
        <v>100</v>
      </c>
      <c r="H504" s="1025">
        <v>100</v>
      </c>
      <c r="I504" s="969"/>
    </row>
    <row r="505" spans="3:9" s="898" customFormat="1" ht="20.100000000000001" customHeight="1">
      <c r="C505" s="973"/>
      <c r="D505" s="406"/>
      <c r="E505" s="1028"/>
      <c r="F505" s="1206"/>
      <c r="G505" s="1205"/>
      <c r="H505" s="971"/>
      <c r="I505" s="969"/>
    </row>
    <row r="506" spans="3:9" s="895" customFormat="1" ht="21.75" customHeight="1">
      <c r="C506" s="904" t="s">
        <v>1584</v>
      </c>
      <c r="D506" s="890" t="s">
        <v>3426</v>
      </c>
      <c r="E506" s="1203">
        <f>+E507</f>
        <v>18590282918.989998</v>
      </c>
      <c r="F506" s="120">
        <f>+F507</f>
        <v>17469324446</v>
      </c>
      <c r="G506" s="707">
        <f t="shared" ref="G506:G527" si="21">+F506/E506*100</f>
        <v>93.970191428098502</v>
      </c>
      <c r="H506" s="120">
        <f>H507</f>
        <v>95.238095238095241</v>
      </c>
      <c r="I506" s="903"/>
    </row>
    <row r="507" spans="3:9" s="898" customFormat="1" ht="21.75" customHeight="1">
      <c r="C507" s="973"/>
      <c r="D507" s="968" t="s">
        <v>4097</v>
      </c>
      <c r="E507" s="1256">
        <f>E508+E511+E519+E523+E526</f>
        <v>18590282918.989998</v>
      </c>
      <c r="F507" s="1252">
        <f>F508+F511+F519+F523+F526</f>
        <v>17469324446</v>
      </c>
      <c r="G507" s="1225">
        <f t="shared" si="21"/>
        <v>93.970191428098502</v>
      </c>
      <c r="H507" s="887">
        <f>(H508+H511+H519+H523+H526)/5</f>
        <v>95.238095238095241</v>
      </c>
      <c r="I507" s="969"/>
    </row>
    <row r="508" spans="3:9" s="898" customFormat="1" ht="20.100000000000001" customHeight="1">
      <c r="C508" s="973"/>
      <c r="D508" s="889" t="s">
        <v>4096</v>
      </c>
      <c r="E508" s="1256">
        <f>SUM(E509:E510)</f>
        <v>778500000</v>
      </c>
      <c r="F508" s="1252">
        <f>F509+F510</f>
        <v>701400000</v>
      </c>
      <c r="G508" s="1225">
        <f t="shared" si="21"/>
        <v>90.096339113680159</v>
      </c>
      <c r="H508" s="887">
        <v>95</v>
      </c>
      <c r="I508" s="969"/>
    </row>
    <row r="509" spans="3:9" s="898" customFormat="1" ht="20.100000000000001" customHeight="1">
      <c r="C509" s="973"/>
      <c r="D509" s="808" t="s">
        <v>3425</v>
      </c>
      <c r="E509" s="1024">
        <v>36000000</v>
      </c>
      <c r="F509" s="1254">
        <v>36000000</v>
      </c>
      <c r="G509" s="1225">
        <f t="shared" si="21"/>
        <v>100</v>
      </c>
      <c r="H509" s="887">
        <f>+G509</f>
        <v>100</v>
      </c>
      <c r="I509" s="969"/>
    </row>
    <row r="510" spans="3:9" s="898" customFormat="1" ht="20.100000000000001" customHeight="1">
      <c r="C510" s="973"/>
      <c r="D510" s="808" t="s">
        <v>1590</v>
      </c>
      <c r="E510" s="1024">
        <v>742500000</v>
      </c>
      <c r="F510" s="1254">
        <v>665400000</v>
      </c>
      <c r="G510" s="1225">
        <f t="shared" si="21"/>
        <v>89.616161616161619</v>
      </c>
      <c r="H510" s="887">
        <v>90</v>
      </c>
      <c r="I510" s="969"/>
    </row>
    <row r="511" spans="3:9" s="898" customFormat="1" ht="20.100000000000001" customHeight="1">
      <c r="C511" s="973"/>
      <c r="D511" s="889" t="s">
        <v>1591</v>
      </c>
      <c r="E511" s="1013">
        <f>SUM(E512:E518)</f>
        <v>14675683480.99</v>
      </c>
      <c r="F511" s="1252">
        <f>F512+F513+F515+F516+F517+F518</f>
        <v>13723525008</v>
      </c>
      <c r="G511" s="1225">
        <f t="shared" si="21"/>
        <v>93.511999122743632</v>
      </c>
      <c r="H511" s="887">
        <f>SUM((H512:H518))/7</f>
        <v>82.857142857142861</v>
      </c>
      <c r="I511" s="969"/>
    </row>
    <row r="512" spans="3:9" s="898" customFormat="1" ht="20.100000000000001" customHeight="1">
      <c r="C512" s="973"/>
      <c r="D512" s="808" t="s">
        <v>1592</v>
      </c>
      <c r="E512" s="1024">
        <v>6582500000</v>
      </c>
      <c r="F512" s="1254">
        <v>6133600000</v>
      </c>
      <c r="G512" s="1225">
        <f t="shared" si="21"/>
        <v>93.180402582605396</v>
      </c>
      <c r="H512" s="887">
        <v>95</v>
      </c>
      <c r="I512" s="969"/>
    </row>
    <row r="513" spans="3:9" s="898" customFormat="1" ht="20.100000000000001" customHeight="1">
      <c r="C513" s="973"/>
      <c r="D513" s="808" t="s">
        <v>1593</v>
      </c>
      <c r="E513" s="1024">
        <v>3240000000</v>
      </c>
      <c r="F513" s="1254">
        <v>2979000000</v>
      </c>
      <c r="G513" s="1225">
        <f t="shared" si="21"/>
        <v>91.944444444444443</v>
      </c>
      <c r="H513" s="887">
        <v>95</v>
      </c>
      <c r="I513" s="969"/>
    </row>
    <row r="514" spans="3:9" s="898" customFormat="1" ht="35.1" customHeight="1">
      <c r="C514" s="973"/>
      <c r="D514" s="808" t="s">
        <v>3424</v>
      </c>
      <c r="E514" s="1024">
        <v>84075000</v>
      </c>
      <c r="F514" s="1254"/>
      <c r="G514" s="1225">
        <f t="shared" si="21"/>
        <v>0</v>
      </c>
      <c r="H514" s="887">
        <f>+G514</f>
        <v>0</v>
      </c>
      <c r="I514" s="969"/>
    </row>
    <row r="515" spans="3:9" s="898" customFormat="1" ht="20.100000000000001" customHeight="1">
      <c r="C515" s="973"/>
      <c r="D515" s="808" t="s">
        <v>3423</v>
      </c>
      <c r="E515" s="1024">
        <v>1620000000</v>
      </c>
      <c r="F515" s="1254">
        <v>1464000000</v>
      </c>
      <c r="G515" s="1225">
        <f t="shared" si="21"/>
        <v>90.370370370370367</v>
      </c>
      <c r="H515" s="887">
        <v>90</v>
      </c>
      <c r="I515" s="969"/>
    </row>
    <row r="516" spans="3:9" s="898" customFormat="1" ht="35.1" customHeight="1">
      <c r="C516" s="973"/>
      <c r="D516" s="808" t="s">
        <v>1594</v>
      </c>
      <c r="E516" s="1024">
        <v>1813183472.99</v>
      </c>
      <c r="F516" s="1254">
        <v>1811000000</v>
      </c>
      <c r="G516" s="1225">
        <f t="shared" si="21"/>
        <v>99.879577934471271</v>
      </c>
      <c r="H516" s="887">
        <v>100</v>
      </c>
      <c r="I516" s="969"/>
    </row>
    <row r="517" spans="3:9" s="898" customFormat="1" ht="35.1" customHeight="1">
      <c r="C517" s="973"/>
      <c r="D517" s="808" t="s">
        <v>3422</v>
      </c>
      <c r="E517" s="1024">
        <v>714925000</v>
      </c>
      <c r="F517" s="1254">
        <v>714925000</v>
      </c>
      <c r="G517" s="1225">
        <f t="shared" si="21"/>
        <v>100</v>
      </c>
      <c r="H517" s="887">
        <f>+G517</f>
        <v>100</v>
      </c>
      <c r="I517" s="969"/>
    </row>
    <row r="518" spans="3:9" s="898" customFormat="1" ht="35.1" customHeight="1">
      <c r="C518" s="973"/>
      <c r="D518" s="808" t="s">
        <v>3421</v>
      </c>
      <c r="E518" s="1024">
        <v>621000008</v>
      </c>
      <c r="F518" s="1254">
        <v>621000008</v>
      </c>
      <c r="G518" s="1225">
        <f t="shared" si="21"/>
        <v>100</v>
      </c>
      <c r="H518" s="887">
        <f>+G518</f>
        <v>100</v>
      </c>
      <c r="I518" s="969"/>
    </row>
    <row r="519" spans="3:9" s="898" customFormat="1" ht="21.75" customHeight="1">
      <c r="C519" s="973"/>
      <c r="D519" s="889" t="s">
        <v>4095</v>
      </c>
      <c r="E519" s="956">
        <f>SUM(E520:E522)</f>
        <v>2408360000</v>
      </c>
      <c r="F519" s="1252">
        <f>F520+F521+F522</f>
        <v>2316660000</v>
      </c>
      <c r="G519" s="1225">
        <f t="shared" si="21"/>
        <v>96.192429703200517</v>
      </c>
      <c r="H519" s="887">
        <f>SUM((H520:H522))/3</f>
        <v>98.333333333333329</v>
      </c>
      <c r="I519" s="969"/>
    </row>
    <row r="520" spans="3:9" s="898" customFormat="1" ht="21.75" customHeight="1">
      <c r="C520" s="973"/>
      <c r="D520" s="808" t="s">
        <v>1596</v>
      </c>
      <c r="E520" s="1024">
        <v>1954600000</v>
      </c>
      <c r="F520" s="1254">
        <v>1862900000</v>
      </c>
      <c r="G520" s="1225">
        <f t="shared" si="21"/>
        <v>95.308503018520412</v>
      </c>
      <c r="H520" s="887">
        <v>95</v>
      </c>
      <c r="I520" s="969"/>
    </row>
    <row r="521" spans="3:9" s="898" customFormat="1" ht="35.1" customHeight="1">
      <c r="C521" s="973"/>
      <c r="D521" s="808" t="s">
        <v>3419</v>
      </c>
      <c r="E521" s="1024">
        <v>356260000</v>
      </c>
      <c r="F521" s="1254">
        <v>356260000</v>
      </c>
      <c r="G521" s="1225">
        <f t="shared" si="21"/>
        <v>100</v>
      </c>
      <c r="H521" s="887">
        <f t="shared" ref="H521:H527" si="22">+G521</f>
        <v>100</v>
      </c>
      <c r="I521" s="969"/>
    </row>
    <row r="522" spans="3:9" s="898" customFormat="1" ht="35.1" customHeight="1">
      <c r="C522" s="973"/>
      <c r="D522" s="808" t="s">
        <v>3418</v>
      </c>
      <c r="E522" s="1024">
        <v>97500000</v>
      </c>
      <c r="F522" s="1254">
        <v>97500000</v>
      </c>
      <c r="G522" s="1225">
        <f t="shared" si="21"/>
        <v>100</v>
      </c>
      <c r="H522" s="887">
        <f t="shared" si="22"/>
        <v>100</v>
      </c>
      <c r="I522" s="969"/>
    </row>
    <row r="523" spans="3:9" s="898" customFormat="1" ht="20.100000000000001" customHeight="1">
      <c r="C523" s="973"/>
      <c r="D523" s="889" t="s">
        <v>4094</v>
      </c>
      <c r="E523" s="1255">
        <f>SUM(E524:E525)</f>
        <v>457404000</v>
      </c>
      <c r="F523" s="1252">
        <f>F524+F525</f>
        <v>457404000</v>
      </c>
      <c r="G523" s="1225">
        <f t="shared" si="21"/>
        <v>100</v>
      </c>
      <c r="H523" s="887">
        <f t="shared" si="22"/>
        <v>100</v>
      </c>
      <c r="I523" s="969"/>
    </row>
    <row r="524" spans="3:9" s="898" customFormat="1" ht="35.1" customHeight="1">
      <c r="C524" s="973"/>
      <c r="D524" s="808" t="s">
        <v>3077</v>
      </c>
      <c r="E524" s="1024">
        <v>131400000</v>
      </c>
      <c r="F524" s="1254">
        <v>131400000</v>
      </c>
      <c r="G524" s="1225">
        <f t="shared" si="21"/>
        <v>100</v>
      </c>
      <c r="H524" s="887">
        <f t="shared" si="22"/>
        <v>100</v>
      </c>
      <c r="I524" s="969"/>
    </row>
    <row r="525" spans="3:9" s="898" customFormat="1" ht="35.1" customHeight="1">
      <c r="C525" s="973"/>
      <c r="D525" s="808" t="s">
        <v>1598</v>
      </c>
      <c r="E525" s="1024">
        <v>326004000</v>
      </c>
      <c r="F525" s="511">
        <v>326004000</v>
      </c>
      <c r="G525" s="1225">
        <f t="shared" si="21"/>
        <v>100</v>
      </c>
      <c r="H525" s="887">
        <f t="shared" si="22"/>
        <v>100</v>
      </c>
      <c r="I525" s="969"/>
    </row>
    <row r="526" spans="3:9" s="898" customFormat="1" ht="20.100000000000001" customHeight="1">
      <c r="C526" s="973"/>
      <c r="D526" s="890" t="s">
        <v>3096</v>
      </c>
      <c r="E526" s="1253">
        <f>SUM(E527:E527)</f>
        <v>270335438</v>
      </c>
      <c r="F526" s="1252">
        <f>F527</f>
        <v>270335438</v>
      </c>
      <c r="G526" s="1225">
        <f t="shared" si="21"/>
        <v>100</v>
      </c>
      <c r="H526" s="887">
        <f t="shared" si="22"/>
        <v>100</v>
      </c>
      <c r="I526" s="969"/>
    </row>
    <row r="527" spans="3:9" s="898" customFormat="1" ht="20.100000000000001" customHeight="1">
      <c r="C527" s="973"/>
      <c r="D527" s="808" t="s">
        <v>3417</v>
      </c>
      <c r="E527" s="1024">
        <v>270335438</v>
      </c>
      <c r="F527" s="511">
        <v>270335438</v>
      </c>
      <c r="G527" s="1225">
        <f t="shared" si="21"/>
        <v>100</v>
      </c>
      <c r="H527" s="887">
        <f t="shared" si="22"/>
        <v>100</v>
      </c>
      <c r="I527" s="969"/>
    </row>
    <row r="528" spans="3:9" s="898" customFormat="1" ht="20.100000000000001" customHeight="1">
      <c r="C528" s="973"/>
      <c r="D528" s="972"/>
      <c r="E528" s="1203">
        <v>0</v>
      </c>
      <c r="F528" s="971"/>
      <c r="G528" s="1205"/>
      <c r="H528" s="971"/>
      <c r="I528" s="969"/>
    </row>
    <row r="529" spans="3:9" s="895" customFormat="1" ht="21.75" customHeight="1">
      <c r="C529" s="904" t="s">
        <v>3373</v>
      </c>
      <c r="D529" s="890" t="s">
        <v>1669</v>
      </c>
      <c r="E529" s="1203">
        <v>10500000000</v>
      </c>
      <c r="F529" s="120">
        <f>+F530</f>
        <v>10466738654</v>
      </c>
      <c r="G529" s="707">
        <f>+F529/E529*100</f>
        <v>99.683225276190484</v>
      </c>
      <c r="H529" s="120">
        <f>H530</f>
        <v>99.285714285714292</v>
      </c>
      <c r="I529" s="903"/>
    </row>
    <row r="530" spans="3:9" s="895" customFormat="1" ht="21.75" customHeight="1">
      <c r="C530" s="904"/>
      <c r="D530" s="893" t="s">
        <v>767</v>
      </c>
      <c r="E530" s="1250">
        <f>E531+E533+E537+E542+E545+E548</f>
        <v>10500000000</v>
      </c>
      <c r="F530" s="1250">
        <f>F531+F533+F537+F542+F545+F548</f>
        <v>10466738654</v>
      </c>
      <c r="G530" s="1211">
        <f t="shared" ref="G530:G549" si="23">F530/E530*100</f>
        <v>99.683225276190484</v>
      </c>
      <c r="H530" s="432">
        <f>(H531+H533+H535+H537+H542+H545+H548)/7</f>
        <v>99.285714285714292</v>
      </c>
      <c r="I530" s="903"/>
    </row>
    <row r="531" spans="3:9" s="895" customFormat="1" ht="20.100000000000001" customHeight="1">
      <c r="C531" s="904"/>
      <c r="D531" s="893" t="s">
        <v>1670</v>
      </c>
      <c r="E531" s="1250">
        <f>SUM(E532:E532)</f>
        <v>942000000</v>
      </c>
      <c r="F531" s="1250">
        <f>SUM(F532:F532)</f>
        <v>942000000</v>
      </c>
      <c r="G531" s="1211">
        <f t="shared" si="23"/>
        <v>100</v>
      </c>
      <c r="H531" s="432">
        <v>100</v>
      </c>
      <c r="I531" s="903"/>
    </row>
    <row r="532" spans="3:9" s="895" customFormat="1" ht="20.100000000000001" customHeight="1">
      <c r="C532" s="904"/>
      <c r="D532" s="1002" t="s">
        <v>1671</v>
      </c>
      <c r="E532" s="1251">
        <v>942000000</v>
      </c>
      <c r="F532" s="1251">
        <v>942000000</v>
      </c>
      <c r="G532" s="1138">
        <f t="shared" si="23"/>
        <v>100</v>
      </c>
      <c r="H532" s="433">
        <v>100</v>
      </c>
      <c r="I532" s="903"/>
    </row>
    <row r="533" spans="3:9" s="895" customFormat="1" ht="20.100000000000001" customHeight="1">
      <c r="C533" s="904"/>
      <c r="D533" s="893" t="s">
        <v>3372</v>
      </c>
      <c r="E533" s="1250">
        <f>SUM(E534:E536)</f>
        <v>4570017000</v>
      </c>
      <c r="F533" s="1250">
        <f>SUM(F534:F536)</f>
        <v>4568610154</v>
      </c>
      <c r="G533" s="1211">
        <f t="shared" si="23"/>
        <v>99.969215738147142</v>
      </c>
      <c r="H533" s="432">
        <v>100</v>
      </c>
      <c r="I533" s="903"/>
    </row>
    <row r="534" spans="3:9" s="895" customFormat="1" ht="20.100000000000001" customHeight="1">
      <c r="C534" s="904"/>
      <c r="D534" s="1002" t="s">
        <v>1673</v>
      </c>
      <c r="E534" s="1251">
        <v>1909200000</v>
      </c>
      <c r="F534" s="1251">
        <v>1909200000</v>
      </c>
      <c r="G534" s="1138">
        <f t="shared" si="23"/>
        <v>100</v>
      </c>
      <c r="H534" s="433">
        <v>100</v>
      </c>
      <c r="I534" s="903"/>
    </row>
    <row r="535" spans="3:9" s="895" customFormat="1" ht="35.1" customHeight="1">
      <c r="C535" s="904"/>
      <c r="D535" s="1002" t="s">
        <v>3371</v>
      </c>
      <c r="E535" s="1251">
        <v>2314920000</v>
      </c>
      <c r="F535" s="1251">
        <v>2314604000</v>
      </c>
      <c r="G535" s="1138">
        <f t="shared" si="23"/>
        <v>99.986349420282338</v>
      </c>
      <c r="H535" s="432">
        <v>100</v>
      </c>
      <c r="I535" s="903"/>
    </row>
    <row r="536" spans="3:9" s="895" customFormat="1" ht="20.100000000000001" customHeight="1">
      <c r="C536" s="904"/>
      <c r="D536" s="1002" t="s">
        <v>3370</v>
      </c>
      <c r="E536" s="1251">
        <v>345897000</v>
      </c>
      <c r="F536" s="1251">
        <v>344806154</v>
      </c>
      <c r="G536" s="1138">
        <f t="shared" si="23"/>
        <v>99.684632708580878</v>
      </c>
      <c r="H536" s="433">
        <v>100</v>
      </c>
      <c r="I536" s="903"/>
    </row>
    <row r="537" spans="3:9" s="895" customFormat="1" ht="20.100000000000001" customHeight="1">
      <c r="C537" s="904"/>
      <c r="D537" s="893" t="s">
        <v>3369</v>
      </c>
      <c r="E537" s="1250">
        <f>SUM(E538:E541)</f>
        <v>2081747000</v>
      </c>
      <c r="F537" s="1250">
        <f>SUM(F538:F541)</f>
        <v>2052299500</v>
      </c>
      <c r="G537" s="1211">
        <f t="shared" si="23"/>
        <v>98.585442899641507</v>
      </c>
      <c r="H537" s="432">
        <f>SUM((H538:H541))/4</f>
        <v>95</v>
      </c>
      <c r="I537" s="903"/>
    </row>
    <row r="538" spans="3:9" s="895" customFormat="1" ht="35.1" customHeight="1">
      <c r="C538" s="904"/>
      <c r="D538" s="886" t="s">
        <v>3368</v>
      </c>
      <c r="E538" s="1251">
        <v>80800000</v>
      </c>
      <c r="F538" s="1251">
        <v>64800000</v>
      </c>
      <c r="G538" s="1138">
        <f t="shared" si="23"/>
        <v>80.198019801980209</v>
      </c>
      <c r="H538" s="433">
        <v>80</v>
      </c>
      <c r="I538" s="903"/>
    </row>
    <row r="539" spans="3:9" s="895" customFormat="1" ht="20.100000000000001" customHeight="1">
      <c r="C539" s="904"/>
      <c r="D539" s="886" t="s">
        <v>3367</v>
      </c>
      <c r="E539" s="1251">
        <v>1282800000</v>
      </c>
      <c r="F539" s="1251">
        <v>1282800000</v>
      </c>
      <c r="G539" s="1138">
        <f t="shared" si="23"/>
        <v>100</v>
      </c>
      <c r="H539" s="433">
        <v>100</v>
      </c>
      <c r="I539" s="903"/>
    </row>
    <row r="540" spans="3:9" s="895" customFormat="1" ht="20.100000000000001" customHeight="1">
      <c r="C540" s="904"/>
      <c r="D540" s="886" t="s">
        <v>3366</v>
      </c>
      <c r="E540" s="1251">
        <v>513147000</v>
      </c>
      <c r="F540" s="1251">
        <v>500827000</v>
      </c>
      <c r="G540" s="1138">
        <f t="shared" si="23"/>
        <v>97.599128514831037</v>
      </c>
      <c r="H540" s="433">
        <v>100</v>
      </c>
      <c r="I540" s="903"/>
    </row>
    <row r="541" spans="3:9" s="895" customFormat="1" ht="35.1" customHeight="1">
      <c r="C541" s="904"/>
      <c r="D541" s="886" t="s">
        <v>3365</v>
      </c>
      <c r="E541" s="1251">
        <v>205000000</v>
      </c>
      <c r="F541" s="1251">
        <v>203872500</v>
      </c>
      <c r="G541" s="1138">
        <f t="shared" si="23"/>
        <v>99.45</v>
      </c>
      <c r="H541" s="433">
        <v>100</v>
      </c>
      <c r="I541" s="903"/>
    </row>
    <row r="542" spans="3:9" s="895" customFormat="1" ht="20.100000000000001" customHeight="1">
      <c r="C542" s="904"/>
      <c r="D542" s="893" t="s">
        <v>3364</v>
      </c>
      <c r="E542" s="1250">
        <f>SUM(E543:E544)</f>
        <v>1018036000</v>
      </c>
      <c r="F542" s="1250">
        <f>SUM(F543:F544)</f>
        <v>1018036000</v>
      </c>
      <c r="G542" s="1211">
        <f t="shared" si="23"/>
        <v>100</v>
      </c>
      <c r="H542" s="432">
        <f>G542</f>
        <v>100</v>
      </c>
      <c r="I542" s="903"/>
    </row>
    <row r="543" spans="3:9" s="895" customFormat="1" ht="20.100000000000001" customHeight="1">
      <c r="C543" s="904"/>
      <c r="D543" s="1002" t="s">
        <v>3363</v>
      </c>
      <c r="E543" s="1251">
        <v>442036000</v>
      </c>
      <c r="F543" s="1251">
        <v>442036000</v>
      </c>
      <c r="G543" s="1138">
        <f t="shared" si="23"/>
        <v>100</v>
      </c>
      <c r="H543" s="433">
        <v>100</v>
      </c>
      <c r="I543" s="903"/>
    </row>
    <row r="544" spans="3:9" s="895" customFormat="1" ht="20.100000000000001" customHeight="1">
      <c r="C544" s="904"/>
      <c r="D544" s="1002" t="s">
        <v>3362</v>
      </c>
      <c r="E544" s="1251">
        <v>576000000</v>
      </c>
      <c r="F544" s="1251">
        <v>576000000</v>
      </c>
      <c r="G544" s="1138">
        <f t="shared" si="23"/>
        <v>100</v>
      </c>
      <c r="H544" s="433">
        <v>100</v>
      </c>
      <c r="I544" s="903"/>
    </row>
    <row r="545" spans="3:9" s="895" customFormat="1" ht="20.100000000000001" customHeight="1">
      <c r="C545" s="904"/>
      <c r="D545" s="893" t="s">
        <v>3361</v>
      </c>
      <c r="E545" s="1250">
        <f>SUM(E546:E547)</f>
        <v>563800000</v>
      </c>
      <c r="F545" s="1250">
        <f>SUM(F546:F547)</f>
        <v>561393000</v>
      </c>
      <c r="G545" s="1211">
        <f t="shared" si="23"/>
        <v>99.573075558708751</v>
      </c>
      <c r="H545" s="433">
        <v>100</v>
      </c>
      <c r="I545" s="903"/>
    </row>
    <row r="546" spans="3:9" s="895" customFormat="1" ht="20.100000000000001" customHeight="1">
      <c r="C546" s="904"/>
      <c r="D546" s="886" t="s">
        <v>3360</v>
      </c>
      <c r="E546" s="1251">
        <v>275800000</v>
      </c>
      <c r="F546" s="1251">
        <v>275793000</v>
      </c>
      <c r="G546" s="1138">
        <f t="shared" si="23"/>
        <v>99.997461928934001</v>
      </c>
      <c r="H546" s="433">
        <v>100</v>
      </c>
      <c r="I546" s="903"/>
    </row>
    <row r="547" spans="3:9" s="895" customFormat="1" ht="20.100000000000001" customHeight="1">
      <c r="C547" s="904"/>
      <c r="D547" s="886" t="s">
        <v>3359</v>
      </c>
      <c r="E547" s="1251">
        <v>288000000</v>
      </c>
      <c r="F547" s="1251">
        <v>285600000</v>
      </c>
      <c r="G547" s="1138">
        <f t="shared" si="23"/>
        <v>99.166666666666671</v>
      </c>
      <c r="H547" s="433">
        <v>100</v>
      </c>
      <c r="I547" s="903"/>
    </row>
    <row r="548" spans="3:9" s="895" customFormat="1" ht="20.100000000000001" customHeight="1">
      <c r="C548" s="904"/>
      <c r="D548" s="1001" t="s">
        <v>3358</v>
      </c>
      <c r="E548" s="1250">
        <f>E549</f>
        <v>1324400000</v>
      </c>
      <c r="F548" s="1250">
        <f>F549</f>
        <v>1324400000</v>
      </c>
      <c r="G548" s="1211">
        <f t="shared" si="23"/>
        <v>100</v>
      </c>
      <c r="H548" s="432">
        <v>100</v>
      </c>
      <c r="I548" s="903"/>
    </row>
    <row r="549" spans="3:9" s="895" customFormat="1" ht="35.1" customHeight="1">
      <c r="C549" s="904"/>
      <c r="D549" s="886" t="s">
        <v>3357</v>
      </c>
      <c r="E549" s="1249">
        <v>1324400000</v>
      </c>
      <c r="F549" s="1249">
        <v>1324400000</v>
      </c>
      <c r="G549" s="1138">
        <f t="shared" si="23"/>
        <v>100</v>
      </c>
      <c r="H549" s="433">
        <v>100</v>
      </c>
      <c r="I549" s="903"/>
    </row>
    <row r="550" spans="3:9" s="895" customFormat="1" ht="20.100000000000001" customHeight="1">
      <c r="C550" s="904"/>
      <c r="D550" s="890"/>
      <c r="E550" s="1203">
        <v>0</v>
      </c>
      <c r="F550" s="120"/>
      <c r="G550" s="707"/>
      <c r="H550" s="120"/>
      <c r="I550" s="903"/>
    </row>
    <row r="551" spans="3:9" s="895" customFormat="1" ht="21.75" customHeight="1">
      <c r="C551" s="904" t="s">
        <v>1720</v>
      </c>
      <c r="D551" s="890" t="s">
        <v>3341</v>
      </c>
      <c r="E551" s="1203">
        <f>E552+E565</f>
        <v>16013015070</v>
      </c>
      <c r="F551" s="1203">
        <f>F552+F565</f>
        <v>9457507535</v>
      </c>
      <c r="G551" s="707">
        <f>+F551/E551*100</f>
        <v>59.061379094799037</v>
      </c>
      <c r="H551" s="120">
        <f>(H552+H565)/2</f>
        <v>60</v>
      </c>
      <c r="I551" s="903"/>
    </row>
    <row r="552" spans="3:9" s="980" customFormat="1" ht="21.75" customHeight="1">
      <c r="C552" s="1045"/>
      <c r="D552" s="893" t="s">
        <v>444</v>
      </c>
      <c r="E552" s="990">
        <f>E553+E557+E559+E561</f>
        <v>6013015070</v>
      </c>
      <c r="F552" s="990">
        <f>F553+F557+F559+F561</f>
        <v>3002507535</v>
      </c>
      <c r="G552" s="1248">
        <f t="shared" ref="G552:G563" si="24">F552/E552*100</f>
        <v>49.933477632212217</v>
      </c>
      <c r="H552" s="414">
        <v>50</v>
      </c>
      <c r="I552" s="1044"/>
    </row>
    <row r="553" spans="3:9" s="980" customFormat="1" ht="20.100000000000001" customHeight="1">
      <c r="C553" s="1045"/>
      <c r="D553" s="893" t="s">
        <v>394</v>
      </c>
      <c r="E553" s="414">
        <f>SUM(E554:E556)</f>
        <v>1663296560</v>
      </c>
      <c r="F553" s="414">
        <f>SUM(F554:F556)</f>
        <v>830648280</v>
      </c>
      <c r="G553" s="1248">
        <f t="shared" si="24"/>
        <v>49.939878430338361</v>
      </c>
      <c r="H553" s="414">
        <v>50</v>
      </c>
      <c r="I553" s="1044"/>
    </row>
    <row r="554" spans="3:9" s="898" customFormat="1" ht="20.100000000000001" customHeight="1">
      <c r="C554" s="973"/>
      <c r="D554" s="886" t="s">
        <v>3064</v>
      </c>
      <c r="E554" s="415">
        <v>600000000</v>
      </c>
      <c r="F554" s="415">
        <v>299000000</v>
      </c>
      <c r="G554" s="1247">
        <f t="shared" si="24"/>
        <v>49.833333333333336</v>
      </c>
      <c r="H554" s="415">
        <v>50</v>
      </c>
      <c r="I554" s="969"/>
    </row>
    <row r="555" spans="3:9" s="898" customFormat="1" ht="20.100000000000001" customHeight="1">
      <c r="C555" s="973"/>
      <c r="D555" s="886" t="s">
        <v>3340</v>
      </c>
      <c r="E555" s="415">
        <v>663296560</v>
      </c>
      <c r="F555" s="415">
        <v>331648280</v>
      </c>
      <c r="G555" s="1247">
        <f t="shared" si="24"/>
        <v>50</v>
      </c>
      <c r="H555" s="415">
        <v>50</v>
      </c>
      <c r="I555" s="969"/>
    </row>
    <row r="556" spans="3:9" s="898" customFormat="1" ht="20.100000000000001" customHeight="1">
      <c r="C556" s="973"/>
      <c r="D556" s="886" t="s">
        <v>1723</v>
      </c>
      <c r="E556" s="415">
        <v>400000000</v>
      </c>
      <c r="F556" s="415">
        <v>200000000</v>
      </c>
      <c r="G556" s="1247">
        <f t="shared" si="24"/>
        <v>50</v>
      </c>
      <c r="H556" s="415">
        <v>50</v>
      </c>
      <c r="I556" s="969"/>
    </row>
    <row r="557" spans="3:9" s="980" customFormat="1" ht="20.100000000000001" customHeight="1">
      <c r="C557" s="1045"/>
      <c r="D557" s="893" t="s">
        <v>108</v>
      </c>
      <c r="E557" s="414">
        <v>356421950</v>
      </c>
      <c r="F557" s="372">
        <v>178210975</v>
      </c>
      <c r="G557" s="1248">
        <f t="shared" si="24"/>
        <v>50</v>
      </c>
      <c r="H557" s="414">
        <v>50</v>
      </c>
      <c r="I557" s="1044"/>
    </row>
    <row r="558" spans="3:9" s="898" customFormat="1" ht="30" customHeight="1">
      <c r="C558" s="973"/>
      <c r="D558" s="886" t="s">
        <v>1724</v>
      </c>
      <c r="E558" s="415">
        <v>356421950</v>
      </c>
      <c r="F558" s="373">
        <v>178210975</v>
      </c>
      <c r="G558" s="1247">
        <f t="shared" si="24"/>
        <v>50</v>
      </c>
      <c r="H558" s="415">
        <v>50</v>
      </c>
      <c r="I558" s="969"/>
    </row>
    <row r="559" spans="3:9" s="980" customFormat="1" ht="20.100000000000001" customHeight="1">
      <c r="C559" s="1045"/>
      <c r="D559" s="893" t="s">
        <v>95</v>
      </c>
      <c r="E559" s="414">
        <v>1330000000</v>
      </c>
      <c r="F559" s="372">
        <v>665000000</v>
      </c>
      <c r="G559" s="1248">
        <f t="shared" si="24"/>
        <v>50</v>
      </c>
      <c r="H559" s="414">
        <v>50</v>
      </c>
      <c r="I559" s="1044"/>
    </row>
    <row r="560" spans="3:9" s="898" customFormat="1" ht="38.25" customHeight="1">
      <c r="C560" s="973"/>
      <c r="D560" s="886" t="s">
        <v>3339</v>
      </c>
      <c r="E560" s="415">
        <v>1330000000</v>
      </c>
      <c r="F560" s="373">
        <v>665000000</v>
      </c>
      <c r="G560" s="1247">
        <f t="shared" si="24"/>
        <v>50</v>
      </c>
      <c r="H560" s="415">
        <v>50</v>
      </c>
      <c r="I560" s="969"/>
    </row>
    <row r="561" spans="3:9" s="980" customFormat="1" ht="20.100000000000001" customHeight="1">
      <c r="C561" s="1045"/>
      <c r="D561" s="893" t="s">
        <v>1725</v>
      </c>
      <c r="E561" s="414">
        <f>E562+E563</f>
        <v>2663296560</v>
      </c>
      <c r="F561" s="372">
        <f>F562+F563</f>
        <v>1328648280</v>
      </c>
      <c r="G561" s="1248">
        <f t="shared" si="24"/>
        <v>49.887357643716548</v>
      </c>
      <c r="H561" s="414">
        <v>50</v>
      </c>
      <c r="I561" s="1044"/>
    </row>
    <row r="562" spans="3:9" s="898" customFormat="1" ht="38.25" customHeight="1">
      <c r="C562" s="973"/>
      <c r="D562" s="886" t="s">
        <v>3338</v>
      </c>
      <c r="E562" s="415">
        <v>663296560</v>
      </c>
      <c r="F562" s="373">
        <v>331648280</v>
      </c>
      <c r="G562" s="1247">
        <f t="shared" si="24"/>
        <v>50</v>
      </c>
      <c r="H562" s="415">
        <v>50</v>
      </c>
      <c r="I562" s="969"/>
    </row>
    <row r="563" spans="3:9" s="898" customFormat="1" ht="38.25" customHeight="1">
      <c r="C563" s="973"/>
      <c r="D563" s="886" t="s">
        <v>1726</v>
      </c>
      <c r="E563" s="415">
        <v>2000000000</v>
      </c>
      <c r="F563" s="373">
        <v>997000000</v>
      </c>
      <c r="G563" s="1247">
        <f t="shared" si="24"/>
        <v>49.85</v>
      </c>
      <c r="H563" s="415">
        <v>50</v>
      </c>
      <c r="I563" s="969"/>
    </row>
    <row r="564" spans="3:9" s="898" customFormat="1" ht="20.100000000000001" customHeight="1">
      <c r="C564" s="973"/>
      <c r="D564" s="886"/>
      <c r="E564" s="415"/>
      <c r="F564" s="373"/>
      <c r="G564" s="1247"/>
      <c r="H564" s="415"/>
      <c r="I564" s="969"/>
    </row>
    <row r="565" spans="3:9" s="980" customFormat="1" ht="21.75" customHeight="1">
      <c r="C565" s="1045"/>
      <c r="D565" s="893" t="s">
        <v>1373</v>
      </c>
      <c r="E565" s="414">
        <v>10000000000</v>
      </c>
      <c r="F565" s="372">
        <f>755000000+5700000000</f>
        <v>6455000000</v>
      </c>
      <c r="G565" s="1248">
        <f>F565/E565*100</f>
        <v>64.55</v>
      </c>
      <c r="H565" s="414">
        <v>70</v>
      </c>
      <c r="I565" s="1044"/>
    </row>
    <row r="566" spans="3:9" s="980" customFormat="1" ht="20.100000000000001" customHeight="1">
      <c r="C566" s="1045"/>
      <c r="D566" s="893" t="s">
        <v>375</v>
      </c>
      <c r="E566" s="414">
        <v>10000000000</v>
      </c>
      <c r="F566" s="372">
        <f>755000000+5700000000</f>
        <v>6455000000</v>
      </c>
      <c r="G566" s="1248">
        <f>F566/E566*100</f>
        <v>64.55</v>
      </c>
      <c r="H566" s="414">
        <v>70</v>
      </c>
      <c r="I566" s="1044"/>
    </row>
    <row r="567" spans="3:9" s="898" customFormat="1" ht="20.100000000000001" customHeight="1">
      <c r="C567" s="973"/>
      <c r="D567" s="886" t="s">
        <v>1727</v>
      </c>
      <c r="E567" s="415">
        <v>10000000000</v>
      </c>
      <c r="F567" s="373">
        <f>755000000+5700000000</f>
        <v>6455000000</v>
      </c>
      <c r="G567" s="1247">
        <f>F567/E567*100</f>
        <v>64.55</v>
      </c>
      <c r="H567" s="415">
        <v>70</v>
      </c>
      <c r="I567" s="969"/>
    </row>
    <row r="568" spans="3:9" s="898" customFormat="1" ht="15" customHeight="1">
      <c r="C568" s="973"/>
      <c r="D568" s="972"/>
      <c r="E568" s="1202"/>
      <c r="F568" s="1206"/>
      <c r="G568" s="1205"/>
      <c r="H568" s="971"/>
      <c r="I568" s="969"/>
    </row>
    <row r="569" spans="3:9" s="895" customFormat="1" ht="21.75" customHeight="1">
      <c r="C569" s="904" t="s">
        <v>1749</v>
      </c>
      <c r="D569" s="890" t="s">
        <v>1750</v>
      </c>
      <c r="E569" s="1203">
        <v>15194435000</v>
      </c>
      <c r="F569" s="120">
        <f>+F570</f>
        <v>12514443102</v>
      </c>
      <c r="G569" s="707">
        <f t="shared" ref="G569:G589" si="25">+F569/E569*100</f>
        <v>82.362016764690495</v>
      </c>
      <c r="H569" s="120">
        <f>H570</f>
        <v>66.749446665946181</v>
      </c>
      <c r="I569" s="903"/>
    </row>
    <row r="570" spans="3:9" s="898" customFormat="1" ht="21.75" customHeight="1">
      <c r="C570" s="973"/>
      <c r="D570" s="917" t="s">
        <v>444</v>
      </c>
      <c r="E570" s="318">
        <f>SUM(E571,E573,E584,E586)</f>
        <v>15194435000</v>
      </c>
      <c r="F570" s="855">
        <v>12514443102</v>
      </c>
      <c r="G570" s="1225">
        <f t="shared" si="25"/>
        <v>82.362016764690495</v>
      </c>
      <c r="H570" s="887">
        <f>(H571+H573+H584+H586)/4</f>
        <v>66.749446665946181</v>
      </c>
      <c r="I570" s="969"/>
    </row>
    <row r="571" spans="3:9" s="2" customFormat="1" ht="20.100000000000001" customHeight="1">
      <c r="C571" s="902"/>
      <c r="D571" s="917" t="s">
        <v>388</v>
      </c>
      <c r="E571" s="318">
        <f>SUM(E572:E572)</f>
        <v>700000000</v>
      </c>
      <c r="F571" s="854">
        <v>0</v>
      </c>
      <c r="G571" s="1225">
        <f t="shared" si="25"/>
        <v>0</v>
      </c>
      <c r="H571" s="887">
        <f>+G571</f>
        <v>0</v>
      </c>
      <c r="I571" s="900"/>
    </row>
    <row r="572" spans="3:9" s="2" customFormat="1" ht="20.100000000000001" customHeight="1">
      <c r="C572" s="902"/>
      <c r="D572" s="982" t="s">
        <v>1209</v>
      </c>
      <c r="E572" s="322">
        <v>700000000</v>
      </c>
      <c r="F572" s="855">
        <v>0</v>
      </c>
      <c r="G572" s="1225">
        <f t="shared" si="25"/>
        <v>0</v>
      </c>
      <c r="H572" s="887">
        <f>+G572</f>
        <v>0</v>
      </c>
      <c r="I572" s="900"/>
    </row>
    <row r="573" spans="3:9" s="2" customFormat="1" ht="20.100000000000001" customHeight="1">
      <c r="C573" s="902"/>
      <c r="D573" s="917" t="s">
        <v>394</v>
      </c>
      <c r="E573" s="318">
        <f>SUM(E574:E583)</f>
        <v>13283675000</v>
      </c>
      <c r="F573" s="854">
        <v>11347658582</v>
      </c>
      <c r="G573" s="1225">
        <f t="shared" si="25"/>
        <v>85.425596320295398</v>
      </c>
      <c r="H573" s="887">
        <f>SUM((H574:H583))/10</f>
        <v>77</v>
      </c>
      <c r="I573" s="900"/>
    </row>
    <row r="574" spans="3:9" s="2" customFormat="1" ht="20.100000000000001" customHeight="1">
      <c r="C574" s="902"/>
      <c r="D574" s="982" t="s">
        <v>3333</v>
      </c>
      <c r="E574" s="322">
        <v>6400250000</v>
      </c>
      <c r="F574" s="854">
        <v>5653274582</v>
      </c>
      <c r="G574" s="1225">
        <f t="shared" si="25"/>
        <v>88.328964993554933</v>
      </c>
      <c r="H574" s="887">
        <v>90</v>
      </c>
      <c r="I574" s="900"/>
    </row>
    <row r="575" spans="3:9" s="2" customFormat="1" ht="20.100000000000001" customHeight="1">
      <c r="C575" s="902"/>
      <c r="D575" s="925" t="s">
        <v>3332</v>
      </c>
      <c r="E575" s="166">
        <v>535000000</v>
      </c>
      <c r="F575" s="854">
        <v>19709000</v>
      </c>
      <c r="G575" s="1225">
        <f t="shared" si="25"/>
        <v>3.6839252336448602</v>
      </c>
      <c r="H575" s="887">
        <v>5</v>
      </c>
      <c r="I575" s="900"/>
    </row>
    <row r="576" spans="3:9" s="2" customFormat="1" ht="35.1" customHeight="1">
      <c r="C576" s="902"/>
      <c r="D576" s="982" t="s">
        <v>1769</v>
      </c>
      <c r="E576" s="322">
        <v>400000000</v>
      </c>
      <c r="F576" s="854">
        <v>0</v>
      </c>
      <c r="G576" s="1225">
        <f t="shared" si="25"/>
        <v>0</v>
      </c>
      <c r="H576" s="887">
        <f>+G576</f>
        <v>0</v>
      </c>
      <c r="I576" s="900"/>
    </row>
    <row r="577" spans="3:9" s="2" customFormat="1" ht="20.100000000000001" customHeight="1">
      <c r="C577" s="902"/>
      <c r="D577" s="982" t="s">
        <v>1770</v>
      </c>
      <c r="E577" s="322">
        <v>300000000</v>
      </c>
      <c r="F577" s="854">
        <v>300000000</v>
      </c>
      <c r="G577" s="1225">
        <f t="shared" si="25"/>
        <v>100</v>
      </c>
      <c r="H577" s="887">
        <f>+G577</f>
        <v>100</v>
      </c>
      <c r="I577" s="900"/>
    </row>
    <row r="578" spans="3:9" s="2" customFormat="1" ht="33" customHeight="1">
      <c r="C578" s="902"/>
      <c r="D578" s="982" t="s">
        <v>1772</v>
      </c>
      <c r="E578" s="322">
        <v>300000000</v>
      </c>
      <c r="F578" s="855">
        <v>300000000</v>
      </c>
      <c r="G578" s="1225">
        <f t="shared" si="25"/>
        <v>100</v>
      </c>
      <c r="H578" s="887">
        <f>+G578</f>
        <v>100</v>
      </c>
      <c r="I578" s="900"/>
    </row>
    <row r="579" spans="3:9" s="2" customFormat="1" ht="20.100000000000001" customHeight="1">
      <c r="C579" s="902"/>
      <c r="D579" s="982" t="s">
        <v>3331</v>
      </c>
      <c r="E579" s="322">
        <v>476400000</v>
      </c>
      <c r="F579" s="854">
        <v>476400000</v>
      </c>
      <c r="G579" s="1225">
        <f t="shared" si="25"/>
        <v>100</v>
      </c>
      <c r="H579" s="887">
        <f>+G579</f>
        <v>100</v>
      </c>
      <c r="I579" s="900"/>
    </row>
    <row r="580" spans="3:9" s="2" customFormat="1" ht="20.100000000000001" customHeight="1">
      <c r="C580" s="902"/>
      <c r="D580" s="982" t="s">
        <v>3330</v>
      </c>
      <c r="E580" s="322">
        <v>422050000</v>
      </c>
      <c r="F580" s="854">
        <v>349175000</v>
      </c>
      <c r="G580" s="1225">
        <f t="shared" si="25"/>
        <v>82.733088496623623</v>
      </c>
      <c r="H580" s="887">
        <v>85</v>
      </c>
      <c r="I580" s="900"/>
    </row>
    <row r="581" spans="3:9" s="2" customFormat="1" ht="20.100000000000001" customHeight="1">
      <c r="C581" s="902"/>
      <c r="D581" s="982" t="s">
        <v>3329</v>
      </c>
      <c r="E581" s="322">
        <v>1500275000</v>
      </c>
      <c r="F581" s="854">
        <v>1300000000</v>
      </c>
      <c r="G581" s="1225">
        <f t="shared" si="25"/>
        <v>86.650780690206801</v>
      </c>
      <c r="H581" s="887">
        <v>90</v>
      </c>
      <c r="I581" s="900"/>
    </row>
    <row r="582" spans="3:9" s="2" customFormat="1" ht="20.100000000000001" customHeight="1">
      <c r="C582" s="902"/>
      <c r="D582" s="982" t="s">
        <v>3328</v>
      </c>
      <c r="E582" s="322">
        <v>260000000</v>
      </c>
      <c r="F582" s="854">
        <v>260000000</v>
      </c>
      <c r="G582" s="1225">
        <f t="shared" si="25"/>
        <v>100</v>
      </c>
      <c r="H582" s="887">
        <f>+G582</f>
        <v>100</v>
      </c>
      <c r="I582" s="900"/>
    </row>
    <row r="583" spans="3:9" s="2" customFormat="1" ht="20.100000000000001" customHeight="1">
      <c r="C583" s="902"/>
      <c r="D583" s="982" t="s">
        <v>3327</v>
      </c>
      <c r="E583" s="322">
        <v>2689700000</v>
      </c>
      <c r="F583" s="854">
        <v>2689100000</v>
      </c>
      <c r="G583" s="1225">
        <f t="shared" si="25"/>
        <v>99.977692679480981</v>
      </c>
      <c r="H583" s="887">
        <v>100</v>
      </c>
      <c r="I583" s="900"/>
    </row>
    <row r="584" spans="3:9" s="2" customFormat="1" ht="20.100000000000001" customHeight="1">
      <c r="C584" s="902"/>
      <c r="D584" s="917" t="s">
        <v>404</v>
      </c>
      <c r="E584" s="318">
        <f>SUM(E585:E585)</f>
        <v>285460000</v>
      </c>
      <c r="F584" s="854">
        <v>241505000</v>
      </c>
      <c r="G584" s="1225">
        <f t="shared" si="25"/>
        <v>84.602045820780489</v>
      </c>
      <c r="H584" s="887">
        <v>90</v>
      </c>
      <c r="I584" s="900"/>
    </row>
    <row r="585" spans="3:9" s="2" customFormat="1" ht="20.100000000000001" customHeight="1">
      <c r="C585" s="902"/>
      <c r="D585" s="982" t="s">
        <v>3326</v>
      </c>
      <c r="E585" s="322">
        <v>285460000</v>
      </c>
      <c r="F585" s="855">
        <v>241505000</v>
      </c>
      <c r="G585" s="1225">
        <f t="shared" si="25"/>
        <v>84.602045820780489</v>
      </c>
      <c r="H585" s="887">
        <v>90</v>
      </c>
      <c r="I585" s="900"/>
    </row>
    <row r="586" spans="3:9" s="2" customFormat="1" ht="20.100000000000001" customHeight="1">
      <c r="C586" s="902"/>
      <c r="D586" s="917" t="s">
        <v>106</v>
      </c>
      <c r="E586" s="318">
        <f>SUM(E587:E589)</f>
        <v>925300000</v>
      </c>
      <c r="F586" s="854">
        <v>925279520</v>
      </c>
      <c r="G586" s="1225">
        <f t="shared" si="25"/>
        <v>99.997786663784723</v>
      </c>
      <c r="H586" s="887">
        <f>+G586</f>
        <v>99.997786663784723</v>
      </c>
      <c r="I586" s="900"/>
    </row>
    <row r="587" spans="3:9" s="2" customFormat="1" ht="20.100000000000001" customHeight="1">
      <c r="C587" s="902"/>
      <c r="D587" s="982" t="s">
        <v>3325</v>
      </c>
      <c r="E587" s="322">
        <v>450000000</v>
      </c>
      <c r="F587" s="854">
        <v>449979520</v>
      </c>
      <c r="G587" s="1225">
        <f t="shared" si="25"/>
        <v>99.995448888888887</v>
      </c>
      <c r="H587" s="887">
        <f>+G587</f>
        <v>99.995448888888887</v>
      </c>
      <c r="I587" s="900"/>
    </row>
    <row r="588" spans="3:9" s="2" customFormat="1" ht="35.1" customHeight="1">
      <c r="C588" s="902"/>
      <c r="D588" s="982" t="s">
        <v>3324</v>
      </c>
      <c r="E588" s="322">
        <v>350000000</v>
      </c>
      <c r="F588" s="855">
        <v>350000000</v>
      </c>
      <c r="G588" s="1225">
        <f t="shared" si="25"/>
        <v>100</v>
      </c>
      <c r="H588" s="887">
        <f>+G588</f>
        <v>100</v>
      </c>
      <c r="I588" s="900"/>
    </row>
    <row r="589" spans="3:9" s="2" customFormat="1" ht="35.1" customHeight="1">
      <c r="C589" s="902"/>
      <c r="D589" s="982" t="s">
        <v>3323</v>
      </c>
      <c r="E589" s="322">
        <v>125300000</v>
      </c>
      <c r="F589" s="854">
        <v>125300000</v>
      </c>
      <c r="G589" s="1225">
        <f t="shared" si="25"/>
        <v>100</v>
      </c>
      <c r="H589" s="887">
        <f>+G589</f>
        <v>100</v>
      </c>
      <c r="I589" s="900"/>
    </row>
    <row r="590" spans="3:9" s="2" customFormat="1" ht="20.100000000000001" customHeight="1">
      <c r="C590" s="902"/>
      <c r="D590" s="886"/>
      <c r="E590" s="1246"/>
      <c r="F590" s="137"/>
      <c r="G590" s="1212"/>
      <c r="H590" s="115"/>
      <c r="I590" s="900"/>
    </row>
    <row r="591" spans="3:9" s="895" customFormat="1" ht="21.75" customHeight="1">
      <c r="C591" s="904" t="s">
        <v>1869</v>
      </c>
      <c r="D591" s="890" t="s">
        <v>3283</v>
      </c>
      <c r="E591" s="1246">
        <f>+E592</f>
        <v>17651847840</v>
      </c>
      <c r="F591" s="234">
        <f>+F592</f>
        <v>17636411550</v>
      </c>
      <c r="G591" s="707">
        <f>+F591/E591*100</f>
        <v>99.912551421585334</v>
      </c>
      <c r="H591" s="120">
        <f>H592</f>
        <v>100</v>
      </c>
      <c r="I591" s="903"/>
    </row>
    <row r="592" spans="3:9" s="2" customFormat="1" ht="21.75" customHeight="1">
      <c r="C592" s="902"/>
      <c r="D592" s="889" t="s">
        <v>64</v>
      </c>
      <c r="E592" s="978">
        <f>+E593+E595+E599+E601+E606+E609</f>
        <v>17651847840</v>
      </c>
      <c r="F592" s="974">
        <f>F593+F595+F599+F601+F606+F609</f>
        <v>17636411550</v>
      </c>
      <c r="G592" s="974">
        <f t="shared" ref="G592:G610" si="26">F592/E592*100</f>
        <v>99.912551421585334</v>
      </c>
      <c r="H592" s="1244">
        <v>100</v>
      </c>
      <c r="I592" s="900"/>
    </row>
    <row r="593" spans="3:9" s="2" customFormat="1" ht="20.100000000000001" customHeight="1">
      <c r="C593" s="902"/>
      <c r="D593" s="889" t="s">
        <v>388</v>
      </c>
      <c r="E593" s="974">
        <f>E594</f>
        <v>754529377</v>
      </c>
      <c r="F593" s="974">
        <f>F594</f>
        <v>754529212</v>
      </c>
      <c r="G593" s="974">
        <f t="shared" si="26"/>
        <v>99.999978132064172</v>
      </c>
      <c r="H593" s="1244">
        <f t="shared" ref="H593:H600" si="27">F593/E593*100</f>
        <v>99.999978132064172</v>
      </c>
      <c r="I593" s="900"/>
    </row>
    <row r="594" spans="3:9" s="2" customFormat="1" ht="20.100000000000001" customHeight="1">
      <c r="C594" s="902"/>
      <c r="D594" s="808" t="s">
        <v>3282</v>
      </c>
      <c r="E594" s="976">
        <v>754529377</v>
      </c>
      <c r="F594" s="975">
        <v>754529212</v>
      </c>
      <c r="G594" s="975">
        <f t="shared" si="26"/>
        <v>99.999978132064172</v>
      </c>
      <c r="H594" s="1245">
        <f t="shared" si="27"/>
        <v>99.999978132064172</v>
      </c>
      <c r="I594" s="900"/>
    </row>
    <row r="595" spans="3:9" s="2" customFormat="1" ht="20.100000000000001" customHeight="1">
      <c r="C595" s="902"/>
      <c r="D595" s="890" t="s">
        <v>3281</v>
      </c>
      <c r="E595" s="974">
        <f>SUM(E596:E598)</f>
        <v>8977609488</v>
      </c>
      <c r="F595" s="974">
        <f>SUM(F596:F598)</f>
        <v>8977609488</v>
      </c>
      <c r="G595" s="974">
        <f t="shared" si="26"/>
        <v>100</v>
      </c>
      <c r="H595" s="1244">
        <f t="shared" si="27"/>
        <v>100</v>
      </c>
      <c r="I595" s="900"/>
    </row>
    <row r="596" spans="3:9" s="2" customFormat="1" ht="35.1" customHeight="1">
      <c r="C596" s="902"/>
      <c r="D596" s="808" t="s">
        <v>3280</v>
      </c>
      <c r="E596" s="976">
        <v>2775950000</v>
      </c>
      <c r="F596" s="976">
        <v>2775950000</v>
      </c>
      <c r="G596" s="975">
        <f t="shared" si="26"/>
        <v>100</v>
      </c>
      <c r="H596" s="1245">
        <f t="shared" si="27"/>
        <v>100</v>
      </c>
      <c r="I596" s="900"/>
    </row>
    <row r="597" spans="3:9" s="2" customFormat="1" ht="35.1" customHeight="1">
      <c r="C597" s="902"/>
      <c r="D597" s="808" t="s">
        <v>3279</v>
      </c>
      <c r="E597" s="976">
        <v>5281704488</v>
      </c>
      <c r="F597" s="975">
        <v>5281704488</v>
      </c>
      <c r="G597" s="975">
        <f t="shared" si="26"/>
        <v>100</v>
      </c>
      <c r="H597" s="1245">
        <f t="shared" si="27"/>
        <v>100</v>
      </c>
      <c r="I597" s="900"/>
    </row>
    <row r="598" spans="3:9" s="2" customFormat="1" ht="20.100000000000001" customHeight="1">
      <c r="C598" s="902"/>
      <c r="D598" s="808" t="s">
        <v>3278</v>
      </c>
      <c r="E598" s="976">
        <v>919955000</v>
      </c>
      <c r="F598" s="976">
        <v>919955000</v>
      </c>
      <c r="G598" s="975">
        <f t="shared" si="26"/>
        <v>100</v>
      </c>
      <c r="H598" s="1245">
        <f t="shared" si="27"/>
        <v>100</v>
      </c>
      <c r="I598" s="900"/>
    </row>
    <row r="599" spans="3:9" s="2" customFormat="1" ht="20.100000000000001" customHeight="1">
      <c r="C599" s="902"/>
      <c r="D599" s="890" t="s">
        <v>404</v>
      </c>
      <c r="E599" s="974">
        <f>E600</f>
        <v>593700000</v>
      </c>
      <c r="F599" s="974">
        <f>F600</f>
        <v>593700000</v>
      </c>
      <c r="G599" s="974">
        <f t="shared" si="26"/>
        <v>100</v>
      </c>
      <c r="H599" s="1244">
        <f t="shared" si="27"/>
        <v>100</v>
      </c>
      <c r="I599" s="900"/>
    </row>
    <row r="600" spans="3:9" s="2" customFormat="1" ht="35.1" customHeight="1">
      <c r="C600" s="902"/>
      <c r="D600" s="808" t="s">
        <v>3277</v>
      </c>
      <c r="E600" s="976">
        <v>593700000</v>
      </c>
      <c r="F600" s="975">
        <v>593700000</v>
      </c>
      <c r="G600" s="975">
        <f t="shared" si="26"/>
        <v>100</v>
      </c>
      <c r="H600" s="1245">
        <f t="shared" si="27"/>
        <v>100</v>
      </c>
      <c r="I600" s="900"/>
    </row>
    <row r="601" spans="3:9" s="2" customFormat="1" ht="20.100000000000001" customHeight="1">
      <c r="C601" s="902"/>
      <c r="D601" s="890" t="s">
        <v>3276</v>
      </c>
      <c r="E601" s="974">
        <f>SUM(E602:E605)</f>
        <v>2798833700</v>
      </c>
      <c r="F601" s="974">
        <f>SUM(F602:F605)</f>
        <v>2785456850</v>
      </c>
      <c r="G601" s="974">
        <f t="shared" si="26"/>
        <v>99.5220562765126</v>
      </c>
      <c r="H601" s="1244">
        <v>100</v>
      </c>
      <c r="I601" s="900"/>
    </row>
    <row r="602" spans="3:9" s="2" customFormat="1" ht="31.5" customHeight="1">
      <c r="C602" s="902"/>
      <c r="D602" s="808" t="s">
        <v>3275</v>
      </c>
      <c r="E602" s="976">
        <v>818116850</v>
      </c>
      <c r="F602" s="976">
        <v>818116850</v>
      </c>
      <c r="G602" s="975">
        <f t="shared" si="26"/>
        <v>100</v>
      </c>
      <c r="H602" s="1245">
        <f>F602/E602*100</f>
        <v>100</v>
      </c>
      <c r="I602" s="900"/>
    </row>
    <row r="603" spans="3:9" s="2" customFormat="1" ht="32.25" customHeight="1">
      <c r="C603" s="902"/>
      <c r="D603" s="808" t="s">
        <v>3274</v>
      </c>
      <c r="E603" s="976">
        <v>500000000</v>
      </c>
      <c r="F603" s="976">
        <v>500000000</v>
      </c>
      <c r="G603" s="975">
        <f t="shared" si="26"/>
        <v>100</v>
      </c>
      <c r="H603" s="1245">
        <f>F603/E603*100</f>
        <v>100</v>
      </c>
      <c r="I603" s="900"/>
    </row>
    <row r="604" spans="3:9" s="2" customFormat="1" ht="46.5" customHeight="1">
      <c r="C604" s="902"/>
      <c r="D604" s="925" t="s">
        <v>3273</v>
      </c>
      <c r="E604" s="976">
        <v>500000000</v>
      </c>
      <c r="F604" s="976">
        <v>500000000</v>
      </c>
      <c r="G604" s="975">
        <f t="shared" si="26"/>
        <v>100</v>
      </c>
      <c r="H604" s="1245">
        <f>F604/E604*100</f>
        <v>100</v>
      </c>
      <c r="I604" s="900"/>
    </row>
    <row r="605" spans="3:9" s="2" customFormat="1" ht="20.100000000000001" customHeight="1">
      <c r="C605" s="902"/>
      <c r="D605" s="808" t="s">
        <v>3272</v>
      </c>
      <c r="E605" s="976">
        <v>980716850</v>
      </c>
      <c r="F605" s="975">
        <v>967340000</v>
      </c>
      <c r="G605" s="975">
        <f t="shared" si="26"/>
        <v>98.636013034751059</v>
      </c>
      <c r="H605" s="1245">
        <v>100</v>
      </c>
      <c r="I605" s="900"/>
    </row>
    <row r="606" spans="3:9" s="2" customFormat="1" ht="20.100000000000001" customHeight="1">
      <c r="C606" s="902"/>
      <c r="D606" s="890" t="s">
        <v>2075</v>
      </c>
      <c r="E606" s="974">
        <f>SUM(E607:E608)</f>
        <v>3018116850</v>
      </c>
      <c r="F606" s="974">
        <f>SUM(F607:F608)</f>
        <v>3018116000</v>
      </c>
      <c r="G606" s="975">
        <f t="shared" si="26"/>
        <v>99.999971836743157</v>
      </c>
      <c r="H606" s="1244">
        <f>F606/E606*100</f>
        <v>99.999971836743157</v>
      </c>
      <c r="I606" s="900"/>
    </row>
    <row r="607" spans="3:9" s="2" customFormat="1" ht="49.5" customHeight="1">
      <c r="C607" s="902"/>
      <c r="D607" s="925" t="s">
        <v>3271</v>
      </c>
      <c r="E607" s="976">
        <v>1518116850</v>
      </c>
      <c r="F607" s="975">
        <v>1518116000</v>
      </c>
      <c r="G607" s="975">
        <f t="shared" si="26"/>
        <v>99.99994400958002</v>
      </c>
      <c r="H607" s="1245">
        <f>F607/E607*100</f>
        <v>99.99994400958002</v>
      </c>
      <c r="I607" s="900"/>
    </row>
    <row r="608" spans="3:9" s="2" customFormat="1" ht="35.1" customHeight="1">
      <c r="C608" s="902"/>
      <c r="D608" s="808" t="s">
        <v>3270</v>
      </c>
      <c r="E608" s="976">
        <v>1500000000</v>
      </c>
      <c r="F608" s="975">
        <v>1500000000</v>
      </c>
      <c r="G608" s="975">
        <f t="shared" si="26"/>
        <v>100</v>
      </c>
      <c r="H608" s="1245">
        <f>F608/E608*100</f>
        <v>100</v>
      </c>
      <c r="I608" s="900"/>
    </row>
    <row r="609" spans="3:9" s="2" customFormat="1" ht="20.100000000000001" customHeight="1">
      <c r="C609" s="902"/>
      <c r="D609" s="890" t="s">
        <v>3269</v>
      </c>
      <c r="E609" s="974">
        <f>+E610</f>
        <v>1509058425</v>
      </c>
      <c r="F609" s="974">
        <f>F610</f>
        <v>1507000000</v>
      </c>
      <c r="G609" s="975">
        <f t="shared" si="26"/>
        <v>99.863595407182459</v>
      </c>
      <c r="H609" s="1244">
        <v>100</v>
      </c>
      <c r="I609" s="900"/>
    </row>
    <row r="610" spans="3:9" s="2" customFormat="1" ht="20.100000000000001" customHeight="1">
      <c r="C610" s="902"/>
      <c r="D610" s="808" t="s">
        <v>3268</v>
      </c>
      <c r="E610" s="976">
        <v>1509058425</v>
      </c>
      <c r="F610" s="975">
        <v>1507000000</v>
      </c>
      <c r="G610" s="975">
        <f t="shared" si="26"/>
        <v>99.863595407182459</v>
      </c>
      <c r="H610" s="1244">
        <v>100</v>
      </c>
      <c r="I610" s="900"/>
    </row>
    <row r="611" spans="3:9" s="898" customFormat="1" ht="20.100000000000001" customHeight="1">
      <c r="C611" s="973"/>
      <c r="D611" s="972"/>
      <c r="E611" s="1202"/>
      <c r="F611" s="1206"/>
      <c r="G611" s="1205"/>
      <c r="H611" s="971"/>
      <c r="I611" s="969"/>
    </row>
    <row r="612" spans="3:9" s="895" customFormat="1" ht="21.75" customHeight="1">
      <c r="C612" s="904" t="s">
        <v>1918</v>
      </c>
      <c r="D612" s="890" t="s">
        <v>1919</v>
      </c>
      <c r="E612" s="1203">
        <f>+E613</f>
        <v>18655752688.220001</v>
      </c>
      <c r="F612" s="120">
        <f>+F613</f>
        <v>18382552688.220001</v>
      </c>
      <c r="G612" s="707">
        <f t="shared" ref="G612:G632" si="28">+F612/E612*100</f>
        <v>98.535572353655226</v>
      </c>
      <c r="H612" s="120">
        <f>H613</f>
        <v>97.5</v>
      </c>
      <c r="I612" s="903"/>
    </row>
    <row r="613" spans="3:9" s="898" customFormat="1" ht="21.75" customHeight="1">
      <c r="C613" s="973"/>
      <c r="D613" s="889" t="s">
        <v>1920</v>
      </c>
      <c r="E613" s="135">
        <f>E614+E618+E625+E630</f>
        <v>18655752688.220001</v>
      </c>
      <c r="F613" s="135">
        <f>F614+F618+F625+F630</f>
        <v>18382552688.220001</v>
      </c>
      <c r="G613" s="707">
        <f t="shared" si="28"/>
        <v>98.535572353655226</v>
      </c>
      <c r="H613" s="905">
        <f>(H614+H618+H625+H630)/4</f>
        <v>97.5</v>
      </c>
      <c r="I613" s="969"/>
    </row>
    <row r="614" spans="3:9" s="898" customFormat="1" ht="20.100000000000001" customHeight="1">
      <c r="C614" s="973"/>
      <c r="D614" s="889" t="s">
        <v>388</v>
      </c>
      <c r="E614" s="135">
        <f>SUM(E615:E617)</f>
        <v>1609349688.2199998</v>
      </c>
      <c r="F614" s="135">
        <f>SUM(F615:F617)</f>
        <v>1609349688.2199998</v>
      </c>
      <c r="G614" s="707">
        <f t="shared" si="28"/>
        <v>100</v>
      </c>
      <c r="H614" s="905">
        <f>+G614</f>
        <v>100</v>
      </c>
      <c r="I614" s="969"/>
    </row>
    <row r="615" spans="3:9" s="898" customFormat="1" ht="20.100000000000001" customHeight="1">
      <c r="C615" s="973"/>
      <c r="D615" s="925" t="s">
        <v>3226</v>
      </c>
      <c r="E615" s="136">
        <v>900549688.21999991</v>
      </c>
      <c r="F615" s="136">
        <v>900549688.21999991</v>
      </c>
      <c r="G615" s="707">
        <f t="shared" si="28"/>
        <v>100</v>
      </c>
      <c r="H615" s="905">
        <f>+G615</f>
        <v>100</v>
      </c>
      <c r="I615" s="969"/>
    </row>
    <row r="616" spans="3:9" s="898" customFormat="1" ht="20.100000000000001" customHeight="1">
      <c r="C616" s="973"/>
      <c r="D616" s="925" t="s">
        <v>1921</v>
      </c>
      <c r="E616" s="136">
        <v>200000000</v>
      </c>
      <c r="F616" s="136">
        <v>200000000</v>
      </c>
      <c r="G616" s="707">
        <f t="shared" si="28"/>
        <v>100</v>
      </c>
      <c r="H616" s="905">
        <f>+G616</f>
        <v>100</v>
      </c>
      <c r="I616" s="969"/>
    </row>
    <row r="617" spans="3:9" s="898" customFormat="1" ht="20.100000000000001" customHeight="1">
      <c r="C617" s="973"/>
      <c r="D617" s="925" t="s">
        <v>3225</v>
      </c>
      <c r="E617" s="136">
        <v>508800000</v>
      </c>
      <c r="F617" s="136">
        <v>508800000</v>
      </c>
      <c r="G617" s="707">
        <f t="shared" si="28"/>
        <v>100</v>
      </c>
      <c r="H617" s="905">
        <f>+G617</f>
        <v>100</v>
      </c>
      <c r="I617" s="969"/>
    </row>
    <row r="618" spans="3:9" s="898" customFormat="1" ht="20.100000000000001" customHeight="1">
      <c r="C618" s="973"/>
      <c r="D618" s="889" t="s">
        <v>394</v>
      </c>
      <c r="E618" s="135">
        <f>SUM(E619:E624)</f>
        <v>12286403000</v>
      </c>
      <c r="F618" s="135">
        <f>SUM(F619:F624)</f>
        <v>12199803000</v>
      </c>
      <c r="G618" s="707">
        <f t="shared" si="28"/>
        <v>99.29515579132476</v>
      </c>
      <c r="H618" s="905">
        <v>100</v>
      </c>
      <c r="I618" s="969"/>
    </row>
    <row r="619" spans="3:9" s="898" customFormat="1" ht="20.100000000000001" customHeight="1">
      <c r="C619" s="973"/>
      <c r="D619" s="925" t="s">
        <v>3224</v>
      </c>
      <c r="E619" s="239">
        <v>2400000000</v>
      </c>
      <c r="F619" s="136">
        <v>2318000000</v>
      </c>
      <c r="G619" s="707">
        <f t="shared" si="28"/>
        <v>96.583333333333329</v>
      </c>
      <c r="H619" s="905">
        <v>100</v>
      </c>
      <c r="I619" s="969"/>
    </row>
    <row r="620" spans="3:9" s="898" customFormat="1" ht="20.100000000000001" customHeight="1">
      <c r="C620" s="973"/>
      <c r="D620" s="925" t="s">
        <v>1926</v>
      </c>
      <c r="E620" s="239">
        <v>5914800000</v>
      </c>
      <c r="F620" s="136">
        <v>5914800000</v>
      </c>
      <c r="G620" s="707">
        <f t="shared" si="28"/>
        <v>100</v>
      </c>
      <c r="H620" s="905">
        <f>+G620</f>
        <v>100</v>
      </c>
      <c r="I620" s="969"/>
    </row>
    <row r="621" spans="3:9" s="898" customFormat="1" ht="20.100000000000001" customHeight="1">
      <c r="C621" s="973"/>
      <c r="D621" s="925" t="s">
        <v>3223</v>
      </c>
      <c r="E621" s="239">
        <v>954000000</v>
      </c>
      <c r="F621" s="136">
        <v>954000000</v>
      </c>
      <c r="G621" s="707">
        <f t="shared" si="28"/>
        <v>100</v>
      </c>
      <c r="H621" s="905">
        <f>+G621</f>
        <v>100</v>
      </c>
      <c r="I621" s="969"/>
    </row>
    <row r="622" spans="3:9" s="898" customFormat="1" ht="20.100000000000001" customHeight="1">
      <c r="C622" s="973"/>
      <c r="D622" s="925" t="s">
        <v>3222</v>
      </c>
      <c r="E622" s="239">
        <v>1800000000</v>
      </c>
      <c r="F622" s="136">
        <v>1795400000</v>
      </c>
      <c r="G622" s="707">
        <f t="shared" si="28"/>
        <v>99.74444444444444</v>
      </c>
      <c r="H622" s="905">
        <v>100</v>
      </c>
      <c r="I622" s="969"/>
    </row>
    <row r="623" spans="3:9" s="898" customFormat="1" ht="20.100000000000001" customHeight="1">
      <c r="C623" s="973"/>
      <c r="D623" s="925" t="s">
        <v>3221</v>
      </c>
      <c r="E623" s="239">
        <v>800000000</v>
      </c>
      <c r="F623" s="136">
        <v>800000000</v>
      </c>
      <c r="G623" s="707">
        <f t="shared" si="28"/>
        <v>100</v>
      </c>
      <c r="H623" s="905">
        <f t="shared" ref="H623:H629" si="29">+G623</f>
        <v>100</v>
      </c>
      <c r="I623" s="969"/>
    </row>
    <row r="624" spans="3:9" s="898" customFormat="1" ht="35.1" customHeight="1">
      <c r="C624" s="973"/>
      <c r="D624" s="925" t="s">
        <v>3220</v>
      </c>
      <c r="E624" s="239">
        <v>417603000</v>
      </c>
      <c r="F624" s="136">
        <v>417603000</v>
      </c>
      <c r="G624" s="707">
        <f t="shared" si="28"/>
        <v>100</v>
      </c>
      <c r="H624" s="905">
        <f t="shared" si="29"/>
        <v>100</v>
      </c>
      <c r="I624" s="969"/>
    </row>
    <row r="625" spans="3:9" s="898" customFormat="1" ht="20.100000000000001" customHeight="1">
      <c r="C625" s="973"/>
      <c r="D625" s="889" t="s">
        <v>404</v>
      </c>
      <c r="E625" s="170">
        <f>SUM(E626:E629)</f>
        <v>1896000000</v>
      </c>
      <c r="F625" s="170">
        <f>SUM(F626:F629)</f>
        <v>1896000000</v>
      </c>
      <c r="G625" s="707">
        <f t="shared" si="28"/>
        <v>100</v>
      </c>
      <c r="H625" s="905">
        <f t="shared" si="29"/>
        <v>100</v>
      </c>
      <c r="I625" s="969"/>
    </row>
    <row r="626" spans="3:9" s="898" customFormat="1" ht="20.100000000000001" customHeight="1">
      <c r="C626" s="973"/>
      <c r="D626" s="925" t="s">
        <v>3219</v>
      </c>
      <c r="E626" s="239">
        <v>127200000</v>
      </c>
      <c r="F626" s="136">
        <v>127200000</v>
      </c>
      <c r="G626" s="707">
        <f t="shared" si="28"/>
        <v>100</v>
      </c>
      <c r="H626" s="905">
        <f t="shared" si="29"/>
        <v>100</v>
      </c>
      <c r="I626" s="969"/>
    </row>
    <row r="627" spans="3:9" s="898" customFormat="1" ht="20.100000000000001" customHeight="1">
      <c r="C627" s="973"/>
      <c r="D627" s="925" t="s">
        <v>3218</v>
      </c>
      <c r="E627" s="239">
        <v>508800000</v>
      </c>
      <c r="F627" s="136">
        <v>508800000</v>
      </c>
      <c r="G627" s="707">
        <f t="shared" si="28"/>
        <v>100</v>
      </c>
      <c r="H627" s="905">
        <f t="shared" si="29"/>
        <v>100</v>
      </c>
      <c r="I627" s="969"/>
    </row>
    <row r="628" spans="3:9" s="898" customFormat="1" ht="20.100000000000001" customHeight="1">
      <c r="C628" s="973"/>
      <c r="D628" s="925" t="s">
        <v>3217</v>
      </c>
      <c r="E628" s="239">
        <v>1080000000</v>
      </c>
      <c r="F628" s="136">
        <v>1080000000</v>
      </c>
      <c r="G628" s="707">
        <f t="shared" si="28"/>
        <v>100</v>
      </c>
      <c r="H628" s="905">
        <f t="shared" si="29"/>
        <v>100</v>
      </c>
      <c r="I628" s="969"/>
    </row>
    <row r="629" spans="3:9" s="898" customFormat="1" ht="35.1" customHeight="1">
      <c r="C629" s="973"/>
      <c r="D629" s="925" t="s">
        <v>3216</v>
      </c>
      <c r="E629" s="239">
        <v>180000000</v>
      </c>
      <c r="F629" s="136">
        <v>180000000</v>
      </c>
      <c r="G629" s="707">
        <f t="shared" si="28"/>
        <v>100</v>
      </c>
      <c r="H629" s="905">
        <f t="shared" si="29"/>
        <v>100</v>
      </c>
      <c r="I629" s="969"/>
    </row>
    <row r="630" spans="3:9" s="898" customFormat="1" ht="20.100000000000001" customHeight="1">
      <c r="C630" s="973"/>
      <c r="D630" s="889" t="s">
        <v>106</v>
      </c>
      <c r="E630" s="170">
        <f>SUM(E631:E632)</f>
        <v>2864000000</v>
      </c>
      <c r="F630" s="170">
        <f>SUM(F631:F632)</f>
        <v>2677400000</v>
      </c>
      <c r="G630" s="707">
        <f t="shared" si="28"/>
        <v>93.484636871508371</v>
      </c>
      <c r="H630" s="905">
        <v>90</v>
      </c>
      <c r="I630" s="969"/>
    </row>
    <row r="631" spans="3:9" s="898" customFormat="1" ht="35.1" customHeight="1">
      <c r="C631" s="973"/>
      <c r="D631" s="925" t="s">
        <v>3215</v>
      </c>
      <c r="E631" s="239">
        <v>920000000</v>
      </c>
      <c r="F631" s="136">
        <v>733400000</v>
      </c>
      <c r="G631" s="707">
        <f t="shared" si="28"/>
        <v>79.717391304347828</v>
      </c>
      <c r="H631" s="905">
        <v>80</v>
      </c>
      <c r="I631" s="969"/>
    </row>
    <row r="632" spans="3:9" s="898" customFormat="1" ht="35.1" customHeight="1">
      <c r="C632" s="973"/>
      <c r="D632" s="925" t="s">
        <v>3214</v>
      </c>
      <c r="E632" s="239">
        <v>1944000000</v>
      </c>
      <c r="F632" s="136">
        <v>1944000000</v>
      </c>
      <c r="G632" s="707">
        <f t="shared" si="28"/>
        <v>100</v>
      </c>
      <c r="H632" s="905">
        <f>+G632</f>
        <v>100</v>
      </c>
      <c r="I632" s="969"/>
    </row>
    <row r="633" spans="3:9" s="898" customFormat="1" ht="20.100000000000001" customHeight="1">
      <c r="C633" s="973"/>
      <c r="D633" s="972"/>
      <c r="E633" s="1202">
        <v>0</v>
      </c>
      <c r="F633" s="1206"/>
      <c r="G633" s="1205"/>
      <c r="H633" s="971"/>
      <c r="I633" s="969"/>
    </row>
    <row r="634" spans="3:9" s="895" customFormat="1" ht="21.75" customHeight="1">
      <c r="C634" s="904" t="s">
        <v>1977</v>
      </c>
      <c r="D634" s="890" t="s">
        <v>1978</v>
      </c>
      <c r="E634" s="1203">
        <f>+E635</f>
        <v>15341533200</v>
      </c>
      <c r="F634" s="120">
        <f>+F635</f>
        <v>14668626000</v>
      </c>
      <c r="G634" s="707">
        <f>+F634/E634*100</f>
        <v>95.613820397038282</v>
      </c>
      <c r="H634" s="120">
        <f>H635</f>
        <v>100</v>
      </c>
      <c r="I634" s="903"/>
    </row>
    <row r="635" spans="3:9" s="898" customFormat="1" ht="21.75" customHeight="1">
      <c r="C635" s="973"/>
      <c r="D635" s="856" t="s">
        <v>444</v>
      </c>
      <c r="E635" s="1056">
        <f>E636+E638+E642+E644</f>
        <v>15341533200</v>
      </c>
      <c r="F635" s="1056">
        <f>F636+F638+F642+F644</f>
        <v>14668626000</v>
      </c>
      <c r="G635" s="1210">
        <f t="shared" ref="G635:G646" si="30">F635/E635%</f>
        <v>95.613820397038282</v>
      </c>
      <c r="H635" s="884">
        <v>100</v>
      </c>
      <c r="I635" s="969"/>
    </row>
    <row r="636" spans="3:9" s="898" customFormat="1" ht="20.100000000000001" customHeight="1">
      <c r="C636" s="973"/>
      <c r="D636" s="859" t="s">
        <v>394</v>
      </c>
      <c r="E636" s="1054">
        <f>E637</f>
        <v>459000000</v>
      </c>
      <c r="F636" s="1054">
        <f>F637</f>
        <v>459000000</v>
      </c>
      <c r="G636" s="1208">
        <f t="shared" si="30"/>
        <v>100</v>
      </c>
      <c r="H636" s="964">
        <v>100</v>
      </c>
      <c r="I636" s="969"/>
    </row>
    <row r="637" spans="3:9" s="898" customFormat="1" ht="20.100000000000001" customHeight="1">
      <c r="C637" s="973"/>
      <c r="D637" s="859" t="s">
        <v>3194</v>
      </c>
      <c r="E637" s="1054">
        <v>459000000</v>
      </c>
      <c r="F637" s="1054">
        <v>459000000</v>
      </c>
      <c r="G637" s="1208">
        <f t="shared" si="30"/>
        <v>100</v>
      </c>
      <c r="H637" s="964">
        <v>100</v>
      </c>
      <c r="I637" s="969"/>
    </row>
    <row r="638" spans="3:9" s="898" customFormat="1" ht="20.100000000000001" customHeight="1">
      <c r="C638" s="973"/>
      <c r="D638" s="859" t="s">
        <v>394</v>
      </c>
      <c r="E638" s="1054">
        <f>SUM(E639:E641)</f>
        <v>4087641000</v>
      </c>
      <c r="F638" s="1054">
        <f>SUM(F639:F641)</f>
        <v>4044141000</v>
      </c>
      <c r="G638" s="1208">
        <f t="shared" si="30"/>
        <v>98.935816525962039</v>
      </c>
      <c r="H638" s="964">
        <v>100</v>
      </c>
      <c r="I638" s="969"/>
    </row>
    <row r="639" spans="3:9" s="898" customFormat="1" ht="20.100000000000001" customHeight="1">
      <c r="C639" s="973"/>
      <c r="D639" s="859" t="s">
        <v>1678</v>
      </c>
      <c r="E639" s="1054">
        <v>1435300000</v>
      </c>
      <c r="F639" s="1054">
        <v>1435300000</v>
      </c>
      <c r="G639" s="1208">
        <f t="shared" si="30"/>
        <v>100</v>
      </c>
      <c r="H639" s="964">
        <v>100</v>
      </c>
      <c r="I639" s="969"/>
    </row>
    <row r="640" spans="3:9" s="898" customFormat="1" ht="20.100000000000001" customHeight="1">
      <c r="C640" s="973"/>
      <c r="D640" s="859" t="s">
        <v>1679</v>
      </c>
      <c r="E640" s="1054">
        <v>1006000000</v>
      </c>
      <c r="F640" s="1054">
        <v>962500000</v>
      </c>
      <c r="G640" s="1208">
        <f t="shared" si="30"/>
        <v>95.675944333996028</v>
      </c>
      <c r="H640" s="964">
        <v>100</v>
      </c>
      <c r="I640" s="969"/>
    </row>
    <row r="641" spans="3:9" s="898" customFormat="1" ht="20.100000000000001" customHeight="1">
      <c r="C641" s="973"/>
      <c r="D641" s="859" t="s">
        <v>3193</v>
      </c>
      <c r="E641" s="1054">
        <v>1646341000</v>
      </c>
      <c r="F641" s="1054">
        <v>1646341000</v>
      </c>
      <c r="G641" s="1208">
        <f t="shared" si="30"/>
        <v>100</v>
      </c>
      <c r="H641" s="964">
        <v>100</v>
      </c>
      <c r="I641" s="969"/>
    </row>
    <row r="642" spans="3:9" s="898" customFormat="1" ht="20.100000000000001" customHeight="1">
      <c r="C642" s="973"/>
      <c r="D642" s="859" t="s">
        <v>404</v>
      </c>
      <c r="E642" s="1054">
        <f>E643</f>
        <v>377892200</v>
      </c>
      <c r="F642" s="1054">
        <f>F643</f>
        <v>365985000</v>
      </c>
      <c r="G642" s="1208">
        <f t="shared" si="30"/>
        <v>96.84904848525585</v>
      </c>
      <c r="H642" s="964">
        <v>100</v>
      </c>
      <c r="I642" s="969"/>
    </row>
    <row r="643" spans="3:9" s="898" customFormat="1" ht="20.100000000000001" customHeight="1">
      <c r="C643" s="973"/>
      <c r="D643" s="859" t="s">
        <v>3192</v>
      </c>
      <c r="E643" s="1054">
        <v>377892200</v>
      </c>
      <c r="F643" s="1054">
        <v>365985000</v>
      </c>
      <c r="G643" s="1208">
        <f t="shared" si="30"/>
        <v>96.84904848525585</v>
      </c>
      <c r="H643" s="964">
        <v>100</v>
      </c>
      <c r="I643" s="969"/>
    </row>
    <row r="644" spans="3:9" s="898" customFormat="1" ht="20.100000000000001" customHeight="1">
      <c r="C644" s="973"/>
      <c r="D644" s="859" t="s">
        <v>108</v>
      </c>
      <c r="E644" s="1054">
        <f>SUM(E645:E646)</f>
        <v>10417000000</v>
      </c>
      <c r="F644" s="1054">
        <f>SUM(F645:F646)</f>
        <v>9799500000</v>
      </c>
      <c r="G644" s="1208">
        <f t="shared" si="30"/>
        <v>94.072189689929928</v>
      </c>
      <c r="H644" s="964">
        <v>100</v>
      </c>
      <c r="I644" s="969"/>
    </row>
    <row r="645" spans="3:9" s="898" customFormat="1" ht="20.100000000000001" customHeight="1">
      <c r="C645" s="973"/>
      <c r="D645" s="859" t="s">
        <v>3191</v>
      </c>
      <c r="E645" s="1054">
        <v>7080000000</v>
      </c>
      <c r="F645" s="1054">
        <v>7068500000</v>
      </c>
      <c r="G645" s="1208">
        <f t="shared" si="30"/>
        <v>99.837570621468927</v>
      </c>
      <c r="H645" s="964">
        <v>100</v>
      </c>
      <c r="I645" s="969"/>
    </row>
    <row r="646" spans="3:9" s="898" customFormat="1" ht="20.100000000000001" customHeight="1">
      <c r="C646" s="973"/>
      <c r="D646" s="859" t="s">
        <v>3190</v>
      </c>
      <c r="E646" s="1054">
        <v>3337000000</v>
      </c>
      <c r="F646" s="1054">
        <v>2731000000</v>
      </c>
      <c r="G646" s="1208">
        <f t="shared" si="30"/>
        <v>81.839976026370991</v>
      </c>
      <c r="H646" s="964">
        <v>100</v>
      </c>
      <c r="I646" s="969"/>
    </row>
    <row r="647" spans="3:9" s="898" customFormat="1" ht="15" customHeight="1">
      <c r="C647" s="973"/>
      <c r="D647" s="972"/>
      <c r="E647" s="1202">
        <v>0</v>
      </c>
      <c r="F647" s="1206"/>
      <c r="G647" s="1205"/>
      <c r="H647" s="971"/>
      <c r="I647" s="969"/>
    </row>
    <row r="648" spans="3:9" s="895" customFormat="1" ht="21.75" customHeight="1">
      <c r="C648" s="904" t="s">
        <v>2014</v>
      </c>
      <c r="D648" s="856" t="s">
        <v>2015</v>
      </c>
      <c r="E648" s="855">
        <f>+E649+E666</f>
        <v>21980746637</v>
      </c>
      <c r="F648" s="855">
        <f>+F649+F666</f>
        <v>19574392463</v>
      </c>
      <c r="G648" s="1225">
        <f>+F648/E648*100</f>
        <v>89.05244569832125</v>
      </c>
      <c r="H648" s="887">
        <f>(H649+H666)/2</f>
        <v>81.733062972878344</v>
      </c>
      <c r="I648" s="903"/>
    </row>
    <row r="649" spans="3:9" s="2" customFormat="1" ht="21.75" customHeight="1">
      <c r="C649" s="902"/>
      <c r="D649" s="889" t="s">
        <v>444</v>
      </c>
      <c r="E649" s="956">
        <f>(E650+E652+E654+E658+E662+E667)</f>
        <v>18463076637</v>
      </c>
      <c r="F649" s="956">
        <f>(F650+F652+F654+F658+F662+F667)</f>
        <v>17256722463</v>
      </c>
      <c r="G649" s="1243">
        <f t="shared" ref="G649:G664" si="31">(F649/E649)*100</f>
        <v>93.466125945756701</v>
      </c>
      <c r="H649" s="956">
        <f>G649</f>
        <v>93.466125945756701</v>
      </c>
      <c r="I649" s="900"/>
    </row>
    <row r="650" spans="3:9" s="2" customFormat="1" ht="20.100000000000001" customHeight="1">
      <c r="C650" s="902"/>
      <c r="D650" s="890" t="s">
        <v>388</v>
      </c>
      <c r="E650" s="1242">
        <f>SUM(E651:E651)</f>
        <v>1224000000</v>
      </c>
      <c r="F650" s="1242">
        <f>SUM(F651:F651)</f>
        <v>1224000000</v>
      </c>
      <c r="G650" s="257">
        <f t="shared" si="31"/>
        <v>100</v>
      </c>
      <c r="H650" s="135">
        <v>100</v>
      </c>
      <c r="I650" s="900"/>
    </row>
    <row r="651" spans="3:9" s="2" customFormat="1" ht="20.100000000000001" customHeight="1">
      <c r="C651" s="902"/>
      <c r="D651" s="925" t="s">
        <v>3179</v>
      </c>
      <c r="E651" s="723">
        <v>1224000000</v>
      </c>
      <c r="F651" s="723">
        <v>1224000000</v>
      </c>
      <c r="G651" s="1235">
        <f t="shared" si="31"/>
        <v>100</v>
      </c>
      <c r="H651" s="136">
        <v>100</v>
      </c>
      <c r="I651" s="900"/>
    </row>
    <row r="652" spans="3:9" s="2" customFormat="1" ht="20.100000000000001" customHeight="1">
      <c r="C652" s="902"/>
      <c r="D652" s="890" t="s">
        <v>2017</v>
      </c>
      <c r="E652" s="1242">
        <f>SUM(E653:E653)</f>
        <v>952400000</v>
      </c>
      <c r="F652" s="135">
        <f>F653</f>
        <v>952400000</v>
      </c>
      <c r="G652" s="257">
        <f t="shared" si="31"/>
        <v>100</v>
      </c>
      <c r="H652" s="135">
        <v>100</v>
      </c>
      <c r="I652" s="900"/>
    </row>
    <row r="653" spans="3:9" s="2" customFormat="1" ht="31.5" customHeight="1">
      <c r="C653" s="902"/>
      <c r="D653" s="925" t="s">
        <v>3178</v>
      </c>
      <c r="E653" s="723">
        <v>952400000</v>
      </c>
      <c r="F653" s="136">
        <v>952400000</v>
      </c>
      <c r="G653" s="1235">
        <f t="shared" si="31"/>
        <v>100</v>
      </c>
      <c r="H653" s="136">
        <v>100</v>
      </c>
      <c r="I653" s="900"/>
    </row>
    <row r="654" spans="3:9" s="2" customFormat="1" ht="20.100000000000001" customHeight="1">
      <c r="C654" s="902"/>
      <c r="D654" s="890" t="s">
        <v>2022</v>
      </c>
      <c r="E654" s="796">
        <f>SUM(E655:E657)</f>
        <v>8179126637</v>
      </c>
      <c r="F654" s="796">
        <f>SUM(F655:F657)</f>
        <v>8172772463</v>
      </c>
      <c r="G654" s="257">
        <f t="shared" si="31"/>
        <v>99.922312316681143</v>
      </c>
      <c r="H654" s="956">
        <v>100</v>
      </c>
      <c r="I654" s="900"/>
    </row>
    <row r="655" spans="3:9" s="2" customFormat="1" ht="20.100000000000001" customHeight="1">
      <c r="C655" s="902"/>
      <c r="D655" s="808" t="s">
        <v>3177</v>
      </c>
      <c r="E655" s="723">
        <v>369792000</v>
      </c>
      <c r="F655" s="136">
        <v>363437826</v>
      </c>
      <c r="G655" s="1235">
        <f t="shared" si="31"/>
        <v>98.281689706645906</v>
      </c>
      <c r="H655" s="136">
        <v>100</v>
      </c>
      <c r="I655" s="900"/>
    </row>
    <row r="656" spans="3:9" s="2" customFormat="1" ht="35.1" customHeight="1">
      <c r="C656" s="902"/>
      <c r="D656" s="808" t="s">
        <v>3176</v>
      </c>
      <c r="E656" s="723">
        <v>1437334637</v>
      </c>
      <c r="F656" s="136">
        <v>1437334637</v>
      </c>
      <c r="G656" s="1235">
        <f t="shared" si="31"/>
        <v>100</v>
      </c>
      <c r="H656" s="136">
        <v>100</v>
      </c>
      <c r="I656" s="900"/>
    </row>
    <row r="657" spans="3:9" s="2" customFormat="1" ht="35.1" customHeight="1">
      <c r="C657" s="902"/>
      <c r="D657" s="808" t="s">
        <v>3175</v>
      </c>
      <c r="E657" s="723">
        <v>6372000000</v>
      </c>
      <c r="F657" s="723">
        <v>6372000000</v>
      </c>
      <c r="G657" s="1235">
        <f t="shared" si="31"/>
        <v>100</v>
      </c>
      <c r="H657" s="136">
        <v>100</v>
      </c>
      <c r="I657" s="900"/>
    </row>
    <row r="658" spans="3:9" s="2" customFormat="1" ht="20.100000000000001" customHeight="1">
      <c r="C658" s="902"/>
      <c r="D658" s="890" t="s">
        <v>3174</v>
      </c>
      <c r="E658" s="1242">
        <f>(E659+E660+E661)</f>
        <v>3044880000</v>
      </c>
      <c r="F658" s="1242">
        <f>F659+F660+F661</f>
        <v>3044880000</v>
      </c>
      <c r="G658" s="257">
        <f t="shared" si="31"/>
        <v>100</v>
      </c>
      <c r="H658" s="956">
        <f>G658</f>
        <v>100</v>
      </c>
      <c r="I658" s="900"/>
    </row>
    <row r="659" spans="3:9" s="2" customFormat="1" ht="31.5" customHeight="1">
      <c r="C659" s="902"/>
      <c r="D659" s="925" t="s">
        <v>3173</v>
      </c>
      <c r="E659" s="957">
        <v>655980000</v>
      </c>
      <c r="F659" s="136">
        <v>655980000</v>
      </c>
      <c r="G659" s="1235">
        <f t="shared" si="31"/>
        <v>100</v>
      </c>
      <c r="H659" s="136">
        <v>100</v>
      </c>
      <c r="I659" s="900"/>
    </row>
    <row r="660" spans="3:9" s="2" customFormat="1" ht="20.100000000000001" customHeight="1">
      <c r="C660" s="902"/>
      <c r="D660" s="925" t="s">
        <v>3172</v>
      </c>
      <c r="E660" s="957">
        <v>660900000</v>
      </c>
      <c r="F660" s="136">
        <v>660900000</v>
      </c>
      <c r="G660" s="1235">
        <f t="shared" si="31"/>
        <v>100</v>
      </c>
      <c r="H660" s="136">
        <v>100</v>
      </c>
      <c r="I660" s="900"/>
    </row>
    <row r="661" spans="3:9" s="2" customFormat="1" ht="35.1" customHeight="1">
      <c r="C661" s="902"/>
      <c r="D661" s="925" t="s">
        <v>3171</v>
      </c>
      <c r="E661" s="957">
        <v>1728000000</v>
      </c>
      <c r="F661" s="957">
        <v>1728000000</v>
      </c>
      <c r="G661" s="1235">
        <f t="shared" si="31"/>
        <v>100</v>
      </c>
      <c r="H661" s="136">
        <v>100</v>
      </c>
      <c r="I661" s="900"/>
    </row>
    <row r="662" spans="3:9" s="2" customFormat="1" ht="20.100000000000001" customHeight="1">
      <c r="C662" s="902"/>
      <c r="D662" s="952" t="s">
        <v>2027</v>
      </c>
      <c r="E662" s="1242">
        <f>SUM(E663:E664)</f>
        <v>1545000000</v>
      </c>
      <c r="F662" s="1242">
        <f>SUM(F663:F664)</f>
        <v>1545000000</v>
      </c>
      <c r="G662" s="257">
        <f t="shared" si="31"/>
        <v>100</v>
      </c>
      <c r="H662" s="135">
        <f>G662</f>
        <v>100</v>
      </c>
      <c r="I662" s="900"/>
    </row>
    <row r="663" spans="3:9" s="2" customFormat="1" ht="20.100000000000001" customHeight="1">
      <c r="C663" s="902"/>
      <c r="D663" s="925" t="s">
        <v>3170</v>
      </c>
      <c r="E663" s="723">
        <v>141000000</v>
      </c>
      <c r="F663" s="136">
        <v>141000000</v>
      </c>
      <c r="G663" s="1235">
        <f t="shared" si="31"/>
        <v>100</v>
      </c>
      <c r="H663" s="136">
        <v>100</v>
      </c>
      <c r="I663" s="900"/>
    </row>
    <row r="664" spans="3:9" s="2" customFormat="1" ht="35.1" customHeight="1">
      <c r="C664" s="902"/>
      <c r="D664" s="925" t="s">
        <v>3169</v>
      </c>
      <c r="E664" s="723">
        <v>1404000000</v>
      </c>
      <c r="F664" s="723">
        <v>1404000000</v>
      </c>
      <c r="G664" s="1235">
        <f t="shared" si="31"/>
        <v>100</v>
      </c>
      <c r="H664" s="136">
        <v>100</v>
      </c>
      <c r="I664" s="900"/>
    </row>
    <row r="665" spans="3:9" s="2" customFormat="1" ht="20.100000000000001" customHeight="1">
      <c r="C665" s="902"/>
      <c r="D665" s="886"/>
      <c r="E665" s="855">
        <v>0</v>
      </c>
      <c r="F665" s="854"/>
      <c r="G665" s="1241"/>
      <c r="H665" s="876"/>
      <c r="I665" s="900"/>
    </row>
    <row r="666" spans="3:9" s="2" customFormat="1" ht="21.75" customHeight="1">
      <c r="C666" s="902"/>
      <c r="D666" s="890" t="s">
        <v>563</v>
      </c>
      <c r="E666" s="1240">
        <f>+E667</f>
        <v>3517670000</v>
      </c>
      <c r="F666" s="1239">
        <f>+F667</f>
        <v>2317670000</v>
      </c>
      <c r="G666" s="257">
        <f>+F666/E666*100</f>
        <v>65.886510104699994</v>
      </c>
      <c r="H666" s="135">
        <v>70</v>
      </c>
      <c r="I666" s="900"/>
    </row>
    <row r="667" spans="3:9" s="2" customFormat="1" ht="20.100000000000001" customHeight="1">
      <c r="C667" s="902"/>
      <c r="D667" s="890" t="s">
        <v>2029</v>
      </c>
      <c r="E667" s="1238">
        <f>SUM(E668:E668)</f>
        <v>3517670000</v>
      </c>
      <c r="F667" s="1238">
        <f>SUM(F668:F668)</f>
        <v>2317670000</v>
      </c>
      <c r="G667" s="257">
        <f>(F667/E667)*100</f>
        <v>65.886510104699994</v>
      </c>
      <c r="H667" s="135">
        <v>70</v>
      </c>
      <c r="I667" s="900"/>
    </row>
    <row r="668" spans="3:9" s="2" customFormat="1" ht="20.100000000000001" customHeight="1">
      <c r="C668" s="902"/>
      <c r="D668" s="925" t="s">
        <v>2029</v>
      </c>
      <c r="E668" s="1237">
        <v>3517670000</v>
      </c>
      <c r="F668" s="1236">
        <v>2317670000</v>
      </c>
      <c r="G668" s="1235">
        <f>(F668/E668)*100</f>
        <v>65.886510104699994</v>
      </c>
      <c r="H668" s="136">
        <v>70</v>
      </c>
      <c r="I668" s="900"/>
    </row>
    <row r="669" spans="3:9" s="898" customFormat="1" ht="15" customHeight="1">
      <c r="C669" s="973"/>
      <c r="D669" s="972"/>
      <c r="E669" s="1202">
        <v>0</v>
      </c>
      <c r="F669" s="1206"/>
      <c r="G669" s="1205"/>
      <c r="H669" s="971"/>
      <c r="I669" s="969"/>
    </row>
    <row r="670" spans="3:9" s="895" customFormat="1" ht="21.75" customHeight="1">
      <c r="C670" s="904" t="s">
        <v>2066</v>
      </c>
      <c r="D670" s="890" t="s">
        <v>2067</v>
      </c>
      <c r="E670" s="1203">
        <f>E671+E690+E694+E698</f>
        <v>18511304545.549</v>
      </c>
      <c r="F670" s="1203">
        <f>F671+F690+F694+F698</f>
        <v>16250055040</v>
      </c>
      <c r="G670" s="707">
        <f t="shared" ref="G670:G684" si="32">+F670/E670*100</f>
        <v>87.784494064235403</v>
      </c>
      <c r="H670" s="120">
        <f>(H671+H690+H694+H698)/4</f>
        <v>61.25</v>
      </c>
      <c r="I670" s="903"/>
    </row>
    <row r="671" spans="3:9" s="2" customFormat="1" ht="21.75" customHeight="1">
      <c r="C671" s="902"/>
      <c r="D671" s="889" t="s">
        <v>64</v>
      </c>
      <c r="E671" s="247">
        <f>E672+E674+E677+E680+E682</f>
        <v>17463376074.668999</v>
      </c>
      <c r="F671" s="947">
        <f>F672+F674+F677+F680+F682</f>
        <v>15333650000</v>
      </c>
      <c r="G671" s="941">
        <f t="shared" si="32"/>
        <v>87.804614264946096</v>
      </c>
      <c r="H671" s="1234">
        <f>(H672+H677+H680+H24579)/4</f>
        <v>75</v>
      </c>
      <c r="I671" s="900"/>
    </row>
    <row r="672" spans="3:9" s="2" customFormat="1" ht="20.100000000000001" customHeight="1">
      <c r="C672" s="902"/>
      <c r="D672" s="945" t="s">
        <v>388</v>
      </c>
      <c r="E672" s="247">
        <f>SUM(E673:E673)</f>
        <v>420000000</v>
      </c>
      <c r="F672" s="947">
        <f>F673</f>
        <v>420000000</v>
      </c>
      <c r="G672" s="941">
        <f t="shared" si="32"/>
        <v>100</v>
      </c>
      <c r="H672" s="1234">
        <f t="shared" ref="H672:H681" si="33">+G672</f>
        <v>100</v>
      </c>
      <c r="I672" s="900"/>
    </row>
    <row r="673" spans="3:9" s="2" customFormat="1" ht="20.100000000000001" customHeight="1">
      <c r="C673" s="902"/>
      <c r="D673" s="808" t="s">
        <v>2068</v>
      </c>
      <c r="E673" s="248">
        <v>420000000</v>
      </c>
      <c r="F673" s="946">
        <f>315000000+105000000</f>
        <v>420000000</v>
      </c>
      <c r="G673" s="938">
        <f t="shared" si="32"/>
        <v>100</v>
      </c>
      <c r="H673" s="1233">
        <f t="shared" si="33"/>
        <v>100</v>
      </c>
      <c r="I673" s="900"/>
    </row>
    <row r="674" spans="3:9" s="2" customFormat="1" ht="20.100000000000001" customHeight="1">
      <c r="C674" s="902"/>
      <c r="D674" s="945" t="s">
        <v>3146</v>
      </c>
      <c r="E674" s="247">
        <f>SUM(E675:E676)</f>
        <v>5160000000</v>
      </c>
      <c r="F674" s="942">
        <f>F675+F676</f>
        <v>5159850000</v>
      </c>
      <c r="G674" s="941">
        <f t="shared" si="32"/>
        <v>99.997093023255815</v>
      </c>
      <c r="H674" s="1234">
        <f t="shared" si="33"/>
        <v>99.997093023255815</v>
      </c>
      <c r="I674" s="900"/>
    </row>
    <row r="675" spans="3:9" s="2" customFormat="1" ht="20.100000000000001" customHeight="1">
      <c r="C675" s="902"/>
      <c r="D675" s="808" t="s">
        <v>3143</v>
      </c>
      <c r="E675" s="248">
        <v>2160000000</v>
      </c>
      <c r="F675" s="939">
        <f>1620000000+540000000</f>
        <v>2160000000</v>
      </c>
      <c r="G675" s="938">
        <f t="shared" si="32"/>
        <v>100</v>
      </c>
      <c r="H675" s="1233">
        <f t="shared" si="33"/>
        <v>100</v>
      </c>
      <c r="I675" s="900"/>
    </row>
    <row r="676" spans="3:9" s="2" customFormat="1" ht="20.100000000000001" customHeight="1">
      <c r="C676" s="902"/>
      <c r="D676" s="808" t="s">
        <v>3145</v>
      </c>
      <c r="E676" s="248">
        <v>3000000000</v>
      </c>
      <c r="F676" s="939">
        <v>2999850000</v>
      </c>
      <c r="G676" s="938">
        <f t="shared" si="32"/>
        <v>99.995000000000005</v>
      </c>
      <c r="H676" s="1233">
        <f t="shared" si="33"/>
        <v>99.995000000000005</v>
      </c>
      <c r="I676" s="900"/>
    </row>
    <row r="677" spans="3:9" s="2" customFormat="1" ht="20.100000000000001" customHeight="1">
      <c r="C677" s="902"/>
      <c r="D677" s="945" t="s">
        <v>2072</v>
      </c>
      <c r="E677" s="247">
        <f>SUM(E678:E679)</f>
        <v>1574000000</v>
      </c>
      <c r="F677" s="942">
        <f>F678+F679</f>
        <v>1574000000</v>
      </c>
      <c r="G677" s="941">
        <f t="shared" si="32"/>
        <v>100</v>
      </c>
      <c r="H677" s="1234">
        <f t="shared" si="33"/>
        <v>100</v>
      </c>
      <c r="I677" s="900"/>
    </row>
    <row r="678" spans="3:9" s="2" customFormat="1" ht="20.100000000000001" customHeight="1">
      <c r="C678" s="902"/>
      <c r="D678" s="808" t="s">
        <v>3143</v>
      </c>
      <c r="E678" s="248">
        <v>864000000</v>
      </c>
      <c r="F678" s="939">
        <f>648000000+216000000</f>
        <v>864000000</v>
      </c>
      <c r="G678" s="938">
        <f t="shared" si="32"/>
        <v>100</v>
      </c>
      <c r="H678" s="1233">
        <f t="shared" si="33"/>
        <v>100</v>
      </c>
      <c r="I678" s="900"/>
    </row>
    <row r="679" spans="3:9" s="2" customFormat="1" ht="35.1" customHeight="1">
      <c r="C679" s="902"/>
      <c r="D679" s="808" t="s">
        <v>3144</v>
      </c>
      <c r="E679" s="248">
        <v>710000000</v>
      </c>
      <c r="F679" s="939">
        <v>710000000</v>
      </c>
      <c r="G679" s="938">
        <f t="shared" si="32"/>
        <v>100</v>
      </c>
      <c r="H679" s="1233">
        <f t="shared" si="33"/>
        <v>100</v>
      </c>
      <c r="I679" s="900"/>
    </row>
    <row r="680" spans="3:9" s="2" customFormat="1" ht="20.100000000000001" customHeight="1">
      <c r="C680" s="902"/>
      <c r="D680" s="945" t="s">
        <v>2027</v>
      </c>
      <c r="E680" s="247">
        <f>SUM(E681:E681)</f>
        <v>388800000</v>
      </c>
      <c r="F680" s="942">
        <f>F681</f>
        <v>388800000</v>
      </c>
      <c r="G680" s="941">
        <f t="shared" si="32"/>
        <v>100</v>
      </c>
      <c r="H680" s="1234">
        <f t="shared" si="33"/>
        <v>100</v>
      </c>
      <c r="I680" s="900"/>
    </row>
    <row r="681" spans="3:9" s="2" customFormat="1" ht="20.100000000000001" customHeight="1">
      <c r="C681" s="902"/>
      <c r="D681" s="808" t="s">
        <v>3143</v>
      </c>
      <c r="E681" s="248">
        <v>388800000</v>
      </c>
      <c r="F681" s="939">
        <f>291600000+97200000</f>
        <v>388800000</v>
      </c>
      <c r="G681" s="938">
        <f t="shared" si="32"/>
        <v>100</v>
      </c>
      <c r="H681" s="1233">
        <f t="shared" si="33"/>
        <v>100</v>
      </c>
      <c r="I681" s="900"/>
    </row>
    <row r="682" spans="3:9" s="2" customFormat="1" ht="20.100000000000001" customHeight="1">
      <c r="C682" s="902"/>
      <c r="D682" s="945" t="s">
        <v>3142</v>
      </c>
      <c r="E682" s="247">
        <f>SUM(E683:E684)</f>
        <v>9920576074.6690006</v>
      </c>
      <c r="F682" s="942">
        <f>F683+F684</f>
        <v>7791000000</v>
      </c>
      <c r="G682" s="941">
        <f t="shared" si="32"/>
        <v>78.533745836528411</v>
      </c>
      <c r="H682" s="1234">
        <v>90</v>
      </c>
      <c r="I682" s="900"/>
    </row>
    <row r="683" spans="3:9" s="2" customFormat="1" ht="31.5" customHeight="1">
      <c r="C683" s="902"/>
      <c r="D683" s="808" t="s">
        <v>3141</v>
      </c>
      <c r="E683" s="248">
        <v>912000000</v>
      </c>
      <c r="F683" s="939">
        <v>912000000</v>
      </c>
      <c r="G683" s="938">
        <f t="shared" si="32"/>
        <v>100</v>
      </c>
      <c r="H683" s="1233">
        <f>+G683</f>
        <v>100</v>
      </c>
      <c r="I683" s="900"/>
    </row>
    <row r="684" spans="3:9" s="2" customFormat="1" ht="30" customHeight="1">
      <c r="C684" s="902"/>
      <c r="D684" s="808" t="s">
        <v>3140</v>
      </c>
      <c r="E684" s="248">
        <v>9008576074.6690006</v>
      </c>
      <c r="F684" s="939">
        <f>1215000000+1058000000+540000000+830000000+273000000+2963000000</f>
        <v>6879000000</v>
      </c>
      <c r="G684" s="938">
        <f t="shared" si="32"/>
        <v>76.360569561519213</v>
      </c>
      <c r="H684" s="1233">
        <v>80</v>
      </c>
      <c r="I684" s="900"/>
    </row>
    <row r="685" spans="3:9" s="2" customFormat="1" ht="20.100000000000001" customHeight="1">
      <c r="C685" s="902"/>
      <c r="D685" s="808"/>
      <c r="E685" s="1202">
        <v>0</v>
      </c>
      <c r="F685" s="137"/>
      <c r="G685" s="1212"/>
      <c r="H685" s="115"/>
      <c r="I685" s="900"/>
    </row>
    <row r="686" spans="3:9" s="2" customFormat="1" ht="21.75" customHeight="1">
      <c r="C686" s="902"/>
      <c r="D686" s="945" t="s">
        <v>1733</v>
      </c>
      <c r="E686" s="247">
        <f>E687</f>
        <v>300000000</v>
      </c>
      <c r="F686" s="942">
        <f>F687</f>
        <v>227650000</v>
      </c>
      <c r="G686" s="941">
        <f>+F686/E686*100</f>
        <v>75.88333333333334</v>
      </c>
      <c r="H686" s="1234">
        <v>80</v>
      </c>
      <c r="I686" s="900"/>
    </row>
    <row r="687" spans="3:9" s="2" customFormat="1" ht="20.100000000000001" customHeight="1">
      <c r="C687" s="902"/>
      <c r="D687" s="945" t="s">
        <v>1635</v>
      </c>
      <c r="E687" s="247">
        <f>SUM(E688)</f>
        <v>300000000</v>
      </c>
      <c r="F687" s="942">
        <f>F688</f>
        <v>227650000</v>
      </c>
      <c r="G687" s="941">
        <f>+F687/E687*100</f>
        <v>75.88333333333334</v>
      </c>
      <c r="H687" s="1234">
        <v>80</v>
      </c>
      <c r="I687" s="900"/>
    </row>
    <row r="688" spans="3:9" s="2" customFormat="1" ht="35.1" customHeight="1">
      <c r="C688" s="902"/>
      <c r="D688" s="808" t="s">
        <v>3127</v>
      </c>
      <c r="E688" s="248">
        <v>300000000</v>
      </c>
      <c r="F688" s="939">
        <v>227650000</v>
      </c>
      <c r="G688" s="938">
        <f>+F688/E688*100</f>
        <v>75.88333333333334</v>
      </c>
      <c r="H688" s="1233">
        <v>80</v>
      </c>
      <c r="I688" s="900"/>
    </row>
    <row r="689" spans="3:9" s="2" customFormat="1" ht="20.100000000000001" customHeight="1">
      <c r="C689" s="902"/>
      <c r="D689" s="808"/>
      <c r="E689" s="1202">
        <v>0</v>
      </c>
      <c r="F689" s="137"/>
      <c r="G689" s="1212"/>
      <c r="H689" s="115"/>
      <c r="I689" s="900"/>
    </row>
    <row r="690" spans="3:9" s="2" customFormat="1" ht="33" customHeight="1">
      <c r="C690" s="902"/>
      <c r="D690" s="945" t="s">
        <v>1139</v>
      </c>
      <c r="E690" s="247">
        <f>E691</f>
        <v>248605040</v>
      </c>
      <c r="F690" s="942">
        <f>F691</f>
        <v>166405040</v>
      </c>
      <c r="G690" s="941">
        <f>+F690/E690*100</f>
        <v>66.935505410509776</v>
      </c>
      <c r="H690" s="1234">
        <v>70</v>
      </c>
      <c r="I690" s="900"/>
    </row>
    <row r="691" spans="3:9" s="2" customFormat="1" ht="20.100000000000001" customHeight="1">
      <c r="C691" s="902"/>
      <c r="D691" s="945" t="s">
        <v>2095</v>
      </c>
      <c r="E691" s="247">
        <f>SUM(E692)</f>
        <v>248605040</v>
      </c>
      <c r="F691" s="942">
        <f>F692</f>
        <v>166405040</v>
      </c>
      <c r="G691" s="941">
        <f>+F691/E691*100</f>
        <v>66.935505410509776</v>
      </c>
      <c r="H691" s="1234">
        <v>70</v>
      </c>
      <c r="I691" s="900"/>
    </row>
    <row r="692" spans="3:9" s="2" customFormat="1" ht="20.100000000000001" customHeight="1">
      <c r="C692" s="902"/>
      <c r="D692" s="808" t="s">
        <v>3124</v>
      </c>
      <c r="E692" s="248">
        <v>248605040</v>
      </c>
      <c r="F692" s="939">
        <v>166405040</v>
      </c>
      <c r="G692" s="938">
        <f>+F692/E692*100</f>
        <v>66.935505410509776</v>
      </c>
      <c r="H692" s="1233">
        <v>70</v>
      </c>
      <c r="I692" s="900"/>
    </row>
    <row r="693" spans="3:9" s="2" customFormat="1" ht="20.100000000000001" customHeight="1">
      <c r="C693" s="902"/>
      <c r="D693" s="808"/>
      <c r="E693" s="1202">
        <v>0</v>
      </c>
      <c r="F693" s="137"/>
      <c r="G693" s="1212"/>
      <c r="H693" s="115"/>
      <c r="I693" s="900"/>
    </row>
    <row r="694" spans="3:9" s="2" customFormat="1" ht="21.75" customHeight="1">
      <c r="C694" s="902"/>
      <c r="D694" s="945" t="s">
        <v>2108</v>
      </c>
      <c r="E694" s="1203">
        <v>49323430.880000003</v>
      </c>
      <c r="F694" s="137"/>
      <c r="G694" s="707">
        <f>+F694/E694*100</f>
        <v>0</v>
      </c>
      <c r="H694" s="120">
        <f>+G694</f>
        <v>0</v>
      </c>
      <c r="I694" s="900"/>
    </row>
    <row r="695" spans="3:9" s="2" customFormat="1" ht="20.100000000000001" customHeight="1">
      <c r="C695" s="902"/>
      <c r="D695" s="1232" t="s">
        <v>1443</v>
      </c>
      <c r="E695" s="1202">
        <v>0</v>
      </c>
      <c r="F695" s="137"/>
      <c r="G695" s="707"/>
      <c r="H695" s="120">
        <f>+G695</f>
        <v>0</v>
      </c>
      <c r="I695" s="900"/>
    </row>
    <row r="696" spans="3:9" s="2" customFormat="1" ht="20.100000000000001" customHeight="1">
      <c r="C696" s="902"/>
      <c r="D696" s="808" t="s">
        <v>727</v>
      </c>
      <c r="E696" s="1203">
        <v>49323430.880000003</v>
      </c>
      <c r="F696" s="115"/>
      <c r="G696" s="707">
        <f>+F696/E696*100</f>
        <v>0</v>
      </c>
      <c r="H696" s="120">
        <f>+G696</f>
        <v>0</v>
      </c>
      <c r="I696" s="900"/>
    </row>
    <row r="697" spans="3:9" s="2" customFormat="1" ht="20.100000000000001" customHeight="1">
      <c r="C697" s="902"/>
      <c r="D697" s="808"/>
      <c r="E697" s="1203">
        <v>0</v>
      </c>
      <c r="F697" s="115"/>
      <c r="G697" s="1212"/>
      <c r="H697" s="115"/>
      <c r="I697" s="900"/>
    </row>
    <row r="698" spans="3:9" s="2" customFormat="1" ht="21.75" customHeight="1">
      <c r="C698" s="902"/>
      <c r="D698" s="945" t="s">
        <v>4093</v>
      </c>
      <c r="E698" s="1203">
        <v>750000000</v>
      </c>
      <c r="F698" s="120">
        <f>+F699</f>
        <v>750000000</v>
      </c>
      <c r="G698" s="707">
        <f>+F698/E698*100</f>
        <v>100</v>
      </c>
      <c r="H698" s="120">
        <f>+G698</f>
        <v>100</v>
      </c>
      <c r="I698" s="900"/>
    </row>
    <row r="699" spans="3:9" s="2" customFormat="1" ht="21.95" customHeight="1">
      <c r="C699" s="902"/>
      <c r="D699" s="1232" t="s">
        <v>4092</v>
      </c>
      <c r="E699" s="247">
        <f>SUM(E700)</f>
        <v>750000000</v>
      </c>
      <c r="F699" s="942">
        <f>F700</f>
        <v>750000000</v>
      </c>
      <c r="G699" s="707">
        <f>+F699/E699*100</f>
        <v>100</v>
      </c>
      <c r="H699" s="120">
        <f>+G699</f>
        <v>100</v>
      </c>
      <c r="I699" s="900"/>
    </row>
    <row r="700" spans="3:9" s="2" customFormat="1" ht="21.95" customHeight="1">
      <c r="C700" s="902"/>
      <c r="D700" s="808" t="s">
        <v>3112</v>
      </c>
      <c r="E700" s="247">
        <v>750000000</v>
      </c>
      <c r="F700" s="942">
        <v>750000000</v>
      </c>
      <c r="G700" s="707">
        <f>+F700/E700*100</f>
        <v>100</v>
      </c>
      <c r="H700" s="120">
        <f>+G700</f>
        <v>100</v>
      </c>
      <c r="I700" s="900"/>
    </row>
    <row r="701" spans="3:9" s="898" customFormat="1" ht="21.75" customHeight="1">
      <c r="C701" s="973"/>
      <c r="D701" s="972"/>
      <c r="E701" s="1202">
        <v>0</v>
      </c>
      <c r="F701" s="1206"/>
      <c r="G701" s="1205"/>
      <c r="H701" s="971"/>
      <c r="I701" s="969"/>
    </row>
    <row r="702" spans="3:9" s="895" customFormat="1" ht="21.75" customHeight="1">
      <c r="C702" s="904" t="s">
        <v>2117</v>
      </c>
      <c r="D702" s="890" t="s">
        <v>2118</v>
      </c>
      <c r="E702" s="1203">
        <f>+E703+E712</f>
        <v>24572400000</v>
      </c>
      <c r="F702" s="120">
        <f>+F703+F712</f>
        <v>18785170000</v>
      </c>
      <c r="G702" s="707">
        <f>+F702/E702*100</f>
        <v>76.44825088310462</v>
      </c>
      <c r="H702" s="120">
        <f>(H703+H712)/2</f>
        <v>79.166666666666671</v>
      </c>
      <c r="I702" s="903"/>
    </row>
    <row r="703" spans="3:9" s="898" customFormat="1" ht="20.100000000000001" customHeight="1">
      <c r="C703" s="973"/>
      <c r="D703" s="856" t="s">
        <v>2119</v>
      </c>
      <c r="E703" s="1056">
        <f>+E704+E707</f>
        <v>11940000000</v>
      </c>
      <c r="F703" s="1056">
        <f>+F704+F707</f>
        <v>9435770000</v>
      </c>
      <c r="G703" s="1231">
        <f>+F703/E703*100</f>
        <v>79.026549413735353</v>
      </c>
      <c r="H703" s="1053">
        <f>(H704+H707)/2</f>
        <v>58.333333333333336</v>
      </c>
      <c r="I703" s="969"/>
    </row>
    <row r="704" spans="3:9" s="980" customFormat="1" ht="20.100000000000001" customHeight="1">
      <c r="C704" s="1045"/>
      <c r="D704" s="856" t="s">
        <v>394</v>
      </c>
      <c r="E704" s="1056">
        <f>SUM(E705:E706)</f>
        <v>5240000000</v>
      </c>
      <c r="F704" s="1056">
        <f>SUM(F705:F706)</f>
        <v>4740000000</v>
      </c>
      <c r="G704" s="1231">
        <v>100</v>
      </c>
      <c r="H704" s="1053">
        <v>50</v>
      </c>
      <c r="I704" s="1044"/>
    </row>
    <row r="705" spans="3:9" s="898" customFormat="1" ht="20.100000000000001" customHeight="1">
      <c r="C705" s="973"/>
      <c r="D705" s="859" t="s">
        <v>1996</v>
      </c>
      <c r="E705" s="1054">
        <v>4740000000</v>
      </c>
      <c r="F705" s="1054">
        <v>4740000000</v>
      </c>
      <c r="G705" s="1231">
        <v>100</v>
      </c>
      <c r="H705" s="988">
        <v>100</v>
      </c>
      <c r="I705" s="969"/>
    </row>
    <row r="706" spans="3:9" s="898" customFormat="1" ht="20.100000000000001" customHeight="1">
      <c r="C706" s="973"/>
      <c r="D706" s="859" t="s">
        <v>3106</v>
      </c>
      <c r="E706" s="1054">
        <v>500000000</v>
      </c>
      <c r="F706" s="1054">
        <v>0</v>
      </c>
      <c r="G706" s="1230">
        <f>F706/E706</f>
        <v>0</v>
      </c>
      <c r="H706" s="988">
        <v>0</v>
      </c>
      <c r="I706" s="969"/>
    </row>
    <row r="707" spans="3:9" s="980" customFormat="1" ht="20.100000000000001" customHeight="1">
      <c r="C707" s="1045"/>
      <c r="D707" s="856" t="s">
        <v>2075</v>
      </c>
      <c r="E707" s="1056">
        <f>SUM(E708:E710)</f>
        <v>6700000000</v>
      </c>
      <c r="F707" s="1056">
        <f>SUM(F708:F710)</f>
        <v>4695770000</v>
      </c>
      <c r="G707" s="1231">
        <f>+F707/E707*100</f>
        <v>70.086119402985076</v>
      </c>
      <c r="H707" s="1053">
        <f>200/3</f>
        <v>66.666666666666671</v>
      </c>
      <c r="I707" s="1044"/>
    </row>
    <row r="708" spans="3:9" s="898" customFormat="1" ht="20.100000000000001" customHeight="1">
      <c r="C708" s="973"/>
      <c r="D708" s="859" t="s">
        <v>3105</v>
      </c>
      <c r="E708" s="1054">
        <v>2000000000</v>
      </c>
      <c r="F708" s="1054">
        <v>0</v>
      </c>
      <c r="G708" s="1230">
        <f>F708/E708</f>
        <v>0</v>
      </c>
      <c r="H708" s="988">
        <v>0</v>
      </c>
      <c r="I708" s="969"/>
    </row>
    <row r="709" spans="3:9" s="898" customFormat="1" ht="20.100000000000001" customHeight="1">
      <c r="C709" s="973"/>
      <c r="D709" s="859" t="s">
        <v>3104</v>
      </c>
      <c r="E709" s="1054">
        <v>2200000000</v>
      </c>
      <c r="F709" s="1054">
        <v>2199000000</v>
      </c>
      <c r="G709" s="1230">
        <v>100</v>
      </c>
      <c r="H709" s="988">
        <v>100</v>
      </c>
      <c r="I709" s="969"/>
    </row>
    <row r="710" spans="3:9" s="898" customFormat="1" ht="20.100000000000001" customHeight="1">
      <c r="C710" s="973"/>
      <c r="D710" s="859" t="s">
        <v>3103</v>
      </c>
      <c r="E710" s="1054">
        <v>2500000000</v>
      </c>
      <c r="F710" s="1054">
        <v>2496770000</v>
      </c>
      <c r="G710" s="1230">
        <v>100</v>
      </c>
      <c r="H710" s="988">
        <v>100</v>
      </c>
      <c r="I710" s="969"/>
    </row>
    <row r="711" spans="3:9" s="898" customFormat="1" ht="20.100000000000001" customHeight="1">
      <c r="C711" s="973"/>
      <c r="D711" s="859"/>
      <c r="E711" s="1054"/>
      <c r="F711" s="1054"/>
      <c r="G711" s="1230"/>
      <c r="H711" s="988"/>
      <c r="I711" s="969"/>
    </row>
    <row r="712" spans="3:9" s="980" customFormat="1" ht="21.75" customHeight="1">
      <c r="C712" s="1045"/>
      <c r="D712" s="856" t="s">
        <v>669</v>
      </c>
      <c r="E712" s="1056">
        <f>E713</f>
        <v>12632400000</v>
      </c>
      <c r="F712" s="1056">
        <f>F713</f>
        <v>9349400000</v>
      </c>
      <c r="G712" s="1231">
        <v>74</v>
      </c>
      <c r="H712" s="1053">
        <v>100</v>
      </c>
      <c r="I712" s="1044"/>
    </row>
    <row r="713" spans="3:9" s="898" customFormat="1" ht="20.100000000000001" customHeight="1">
      <c r="C713" s="973"/>
      <c r="D713" s="856" t="s">
        <v>2122</v>
      </c>
      <c r="E713" s="1056">
        <f>SUM(E714:E714)</f>
        <v>12632400000</v>
      </c>
      <c r="F713" s="1056">
        <f>SUM(F714:F714)</f>
        <v>9349400000</v>
      </c>
      <c r="G713" s="1231">
        <v>74</v>
      </c>
      <c r="H713" s="1053">
        <v>100</v>
      </c>
      <c r="I713" s="969"/>
    </row>
    <row r="714" spans="3:9" s="898" customFormat="1" ht="20.100000000000001" customHeight="1">
      <c r="C714" s="973"/>
      <c r="D714" s="859" t="s">
        <v>2123</v>
      </c>
      <c r="E714" s="1054">
        <v>12632400000</v>
      </c>
      <c r="F714" s="1054">
        <v>9349400000</v>
      </c>
      <c r="G714" s="1230">
        <v>74</v>
      </c>
      <c r="H714" s="988">
        <v>100</v>
      </c>
      <c r="I714" s="969"/>
    </row>
    <row r="715" spans="3:9" s="898" customFormat="1" ht="20.100000000000001" customHeight="1">
      <c r="C715" s="973"/>
      <c r="D715" s="972"/>
      <c r="E715" s="1203">
        <v>0</v>
      </c>
      <c r="F715" s="971"/>
      <c r="G715" s="1205"/>
      <c r="H715" s="971"/>
      <c r="I715" s="969"/>
    </row>
    <row r="716" spans="3:9" s="895" customFormat="1" ht="21.75" customHeight="1">
      <c r="C716" s="904" t="s">
        <v>2158</v>
      </c>
      <c r="D716" s="890" t="s">
        <v>2159</v>
      </c>
      <c r="E716" s="1203">
        <f>E717</f>
        <v>32673896200</v>
      </c>
      <c r="F716" s="120">
        <f>+F717</f>
        <v>31319655200</v>
      </c>
      <c r="G716" s="707">
        <f t="shared" ref="G716:G730" si="34">+F716/E716*100</f>
        <v>95.855281562656131</v>
      </c>
      <c r="H716" s="120">
        <f>H717</f>
        <v>74.5</v>
      </c>
      <c r="I716" s="903"/>
    </row>
    <row r="717" spans="3:9" s="2" customFormat="1" ht="21.75" customHeight="1">
      <c r="C717" s="902"/>
      <c r="D717" s="889" t="s">
        <v>64</v>
      </c>
      <c r="E717" s="1227">
        <f>E718+E720+E727+E729</f>
        <v>32673896200</v>
      </c>
      <c r="F717" s="1227">
        <f>F718+F720+F727+F729</f>
        <v>31319655200</v>
      </c>
      <c r="G717" s="1225">
        <f t="shared" si="34"/>
        <v>95.855281562656131</v>
      </c>
      <c r="H717" s="887">
        <f>(H718+H720+H727+H729)/4</f>
        <v>74.5</v>
      </c>
      <c r="I717" s="900"/>
    </row>
    <row r="718" spans="3:9" s="2" customFormat="1" ht="20.100000000000001" customHeight="1">
      <c r="C718" s="902"/>
      <c r="D718" s="917" t="s">
        <v>388</v>
      </c>
      <c r="E718" s="956">
        <f>SUM(E719:E719)</f>
        <v>300000000</v>
      </c>
      <c r="F718" s="1227">
        <f>SUM(F719:F719)</f>
        <v>300000000</v>
      </c>
      <c r="G718" s="1225">
        <f t="shared" si="34"/>
        <v>100</v>
      </c>
      <c r="H718" s="887">
        <f>+G718</f>
        <v>100</v>
      </c>
      <c r="I718" s="900"/>
    </row>
    <row r="719" spans="3:9" s="2" customFormat="1" ht="20.100000000000001" customHeight="1">
      <c r="C719" s="902"/>
      <c r="D719" s="914" t="s">
        <v>3085</v>
      </c>
      <c r="E719" s="957">
        <v>300000000</v>
      </c>
      <c r="F719" s="957">
        <v>300000000</v>
      </c>
      <c r="G719" s="1225">
        <f t="shared" si="34"/>
        <v>100</v>
      </c>
      <c r="H719" s="887">
        <f>+G719</f>
        <v>100</v>
      </c>
      <c r="I719" s="900"/>
    </row>
    <row r="720" spans="3:9" s="2" customFormat="1" ht="20.100000000000001" customHeight="1">
      <c r="C720" s="902"/>
      <c r="D720" s="917" t="s">
        <v>394</v>
      </c>
      <c r="E720" s="956">
        <f>SUM(E721:E726)</f>
        <v>23824811000</v>
      </c>
      <c r="F720" s="956">
        <f>SUM(F721:F726)</f>
        <v>23754066000</v>
      </c>
      <c r="G720" s="1225">
        <f t="shared" si="34"/>
        <v>99.703061652829064</v>
      </c>
      <c r="H720" s="887">
        <f>SUM((H721:H726))/6</f>
        <v>100</v>
      </c>
      <c r="I720" s="900"/>
    </row>
    <row r="721" spans="3:9" s="2" customFormat="1" ht="20.100000000000001" customHeight="1">
      <c r="C721" s="902"/>
      <c r="D721" s="914" t="s">
        <v>3084</v>
      </c>
      <c r="E721" s="957">
        <v>1132000000</v>
      </c>
      <c r="F721" s="957">
        <v>1132000000</v>
      </c>
      <c r="G721" s="1225">
        <f t="shared" si="34"/>
        <v>100</v>
      </c>
      <c r="H721" s="887">
        <f>+G721</f>
        <v>100</v>
      </c>
      <c r="I721" s="900"/>
    </row>
    <row r="722" spans="3:9" s="2" customFormat="1" ht="20.100000000000001" customHeight="1">
      <c r="C722" s="902"/>
      <c r="D722" s="914" t="s">
        <v>3083</v>
      </c>
      <c r="E722" s="957">
        <v>564000000</v>
      </c>
      <c r="F722" s="1229">
        <v>560855000</v>
      </c>
      <c r="G722" s="1225">
        <f t="shared" si="34"/>
        <v>99.442375886524829</v>
      </c>
      <c r="H722" s="887">
        <v>100</v>
      </c>
      <c r="I722" s="900"/>
    </row>
    <row r="723" spans="3:9" s="2" customFormat="1" ht="35.1" customHeight="1">
      <c r="C723" s="902"/>
      <c r="D723" s="914" t="s">
        <v>3082</v>
      </c>
      <c r="E723" s="957">
        <v>12000000000</v>
      </c>
      <c r="F723" s="1228">
        <v>12000000000</v>
      </c>
      <c r="G723" s="1225">
        <f t="shared" si="34"/>
        <v>100</v>
      </c>
      <c r="H723" s="887">
        <f>+G723</f>
        <v>100</v>
      </c>
      <c r="I723" s="900"/>
    </row>
    <row r="724" spans="3:9" s="2" customFormat="1" ht="20.100000000000001" customHeight="1">
      <c r="C724" s="902"/>
      <c r="D724" s="914" t="s">
        <v>3081</v>
      </c>
      <c r="E724" s="957">
        <v>5222511000</v>
      </c>
      <c r="F724" s="1226">
        <v>5176211000</v>
      </c>
      <c r="G724" s="1225">
        <f t="shared" si="34"/>
        <v>99.113453279466526</v>
      </c>
      <c r="H724" s="887">
        <v>100</v>
      </c>
      <c r="I724" s="900"/>
    </row>
    <row r="725" spans="3:9" s="2" customFormat="1" ht="20.100000000000001" customHeight="1">
      <c r="C725" s="902"/>
      <c r="D725" s="914" t="s">
        <v>3080</v>
      </c>
      <c r="E725" s="957">
        <v>4320000000</v>
      </c>
      <c r="F725" s="1226">
        <v>4320000000</v>
      </c>
      <c r="G725" s="1225">
        <f t="shared" si="34"/>
        <v>100</v>
      </c>
      <c r="H725" s="887">
        <f>+G725</f>
        <v>100</v>
      </c>
      <c r="I725" s="900"/>
    </row>
    <row r="726" spans="3:9" s="2" customFormat="1" ht="43.5" customHeight="1">
      <c r="C726" s="902"/>
      <c r="D726" s="914" t="s">
        <v>3079</v>
      </c>
      <c r="E726" s="957">
        <v>586300000</v>
      </c>
      <c r="F726" s="1226">
        <v>565000000</v>
      </c>
      <c r="G726" s="1225">
        <f t="shared" si="34"/>
        <v>96.367047586559778</v>
      </c>
      <c r="H726" s="887">
        <v>100</v>
      </c>
      <c r="I726" s="900"/>
    </row>
    <row r="727" spans="3:9" s="2" customFormat="1" ht="20.100000000000001" customHeight="1">
      <c r="C727" s="902"/>
      <c r="D727" s="917" t="s">
        <v>106</v>
      </c>
      <c r="E727" s="956">
        <f>SUM(E728:E728)</f>
        <v>800000000</v>
      </c>
      <c r="F727" s="1227">
        <f>SUM(F728:F728)</f>
        <v>16504000</v>
      </c>
      <c r="G727" s="1225">
        <f t="shared" si="34"/>
        <v>2.0629999999999997</v>
      </c>
      <c r="H727" s="887">
        <v>3</v>
      </c>
      <c r="I727" s="900"/>
    </row>
    <row r="728" spans="3:9" s="2" customFormat="1" ht="20.100000000000001" customHeight="1">
      <c r="C728" s="902"/>
      <c r="D728" s="914" t="s">
        <v>3078</v>
      </c>
      <c r="E728" s="957">
        <v>800000000</v>
      </c>
      <c r="F728" s="1226">
        <v>16504000</v>
      </c>
      <c r="G728" s="1225">
        <f t="shared" si="34"/>
        <v>2.0629999999999997</v>
      </c>
      <c r="H728" s="887">
        <v>3</v>
      </c>
      <c r="I728" s="900"/>
    </row>
    <row r="729" spans="3:9" s="2" customFormat="1" ht="20.100000000000001" customHeight="1">
      <c r="C729" s="902"/>
      <c r="D729" s="917" t="s">
        <v>2075</v>
      </c>
      <c r="E729" s="956">
        <f>SUM(E730:E730)</f>
        <v>7749085200</v>
      </c>
      <c r="F729" s="1227">
        <f>SUM(F730:F730)</f>
        <v>7249085200</v>
      </c>
      <c r="G729" s="1225">
        <f t="shared" si="34"/>
        <v>93.547625466809933</v>
      </c>
      <c r="H729" s="887">
        <v>95</v>
      </c>
      <c r="I729" s="900"/>
    </row>
    <row r="730" spans="3:9" s="2" customFormat="1" ht="35.1" customHeight="1">
      <c r="C730" s="902"/>
      <c r="D730" s="914" t="s">
        <v>3077</v>
      </c>
      <c r="E730" s="957">
        <v>7749085200</v>
      </c>
      <c r="F730" s="1226">
        <v>7249085200</v>
      </c>
      <c r="G730" s="1225">
        <f t="shared" si="34"/>
        <v>93.547625466809933</v>
      </c>
      <c r="H730" s="887">
        <v>95</v>
      </c>
      <c r="I730" s="900"/>
    </row>
    <row r="731" spans="3:9" s="898" customFormat="1" ht="15" customHeight="1">
      <c r="C731" s="973"/>
      <c r="D731" s="972"/>
      <c r="E731" s="1203">
        <v>0</v>
      </c>
      <c r="F731" s="971"/>
      <c r="G731" s="1205"/>
      <c r="H731" s="971"/>
      <c r="I731" s="969"/>
    </row>
    <row r="732" spans="3:9" s="895" customFormat="1" ht="21.75" customHeight="1">
      <c r="C732" s="904" t="s">
        <v>2194</v>
      </c>
      <c r="D732" s="890" t="s">
        <v>2195</v>
      </c>
      <c r="E732" s="1203">
        <f>+E733+E751</f>
        <v>33147460800</v>
      </c>
      <c r="F732" s="1203">
        <f>+F733+F751</f>
        <v>30743629324.480003</v>
      </c>
      <c r="G732" s="707">
        <f t="shared" ref="G732:G749" si="35">+F732/E732*100</f>
        <v>92.748067521600348</v>
      </c>
      <c r="H732" s="120">
        <f>(H733+H751)/2</f>
        <v>95.921875</v>
      </c>
      <c r="I732" s="903"/>
    </row>
    <row r="733" spans="3:9" s="980" customFormat="1" ht="21.75" customHeight="1">
      <c r="C733" s="1045"/>
      <c r="D733" s="890" t="s">
        <v>444</v>
      </c>
      <c r="E733" s="120">
        <v>24740803800</v>
      </c>
      <c r="F733" s="120">
        <f>+F734+F737+F740+F746+F748</f>
        <v>23406972324.480003</v>
      </c>
      <c r="G733" s="707">
        <f t="shared" si="35"/>
        <v>94.608778735313365</v>
      </c>
      <c r="H733" s="905">
        <f>(H734+H737+H746+H748)/4</f>
        <v>94.84375</v>
      </c>
      <c r="I733" s="1044"/>
    </row>
    <row r="734" spans="3:9" s="980" customFormat="1" ht="20.100000000000001" customHeight="1">
      <c r="C734" s="1045"/>
      <c r="D734" s="890" t="s">
        <v>388</v>
      </c>
      <c r="E734" s="120">
        <f>+E735+E736</f>
        <v>2516057000</v>
      </c>
      <c r="F734" s="120">
        <f>+F735+F736</f>
        <v>2416837000</v>
      </c>
      <c r="G734" s="707">
        <f t="shared" si="35"/>
        <v>96.05652813111945</v>
      </c>
      <c r="H734" s="905">
        <v>100</v>
      </c>
      <c r="I734" s="1044"/>
    </row>
    <row r="735" spans="3:9" s="898" customFormat="1" ht="20.100000000000001" customHeight="1">
      <c r="C735" s="973"/>
      <c r="D735" s="808" t="s">
        <v>3064</v>
      </c>
      <c r="E735" s="115">
        <v>1507657000</v>
      </c>
      <c r="F735" s="115">
        <v>1422837000</v>
      </c>
      <c r="G735" s="1212">
        <f t="shared" si="35"/>
        <v>94.374051922950642</v>
      </c>
      <c r="H735" s="901">
        <v>100</v>
      </c>
      <c r="I735" s="969"/>
    </row>
    <row r="736" spans="3:9" s="898" customFormat="1" ht="35.1" customHeight="1">
      <c r="C736" s="973"/>
      <c r="D736" s="808" t="s">
        <v>3063</v>
      </c>
      <c r="E736" s="115">
        <v>1008400000</v>
      </c>
      <c r="F736" s="115">
        <v>994000000</v>
      </c>
      <c r="G736" s="1212">
        <f t="shared" si="35"/>
        <v>98.571995239984133</v>
      </c>
      <c r="H736" s="901">
        <v>100</v>
      </c>
      <c r="I736" s="969"/>
    </row>
    <row r="737" spans="3:9" s="980" customFormat="1" ht="20.100000000000001" customHeight="1">
      <c r="C737" s="1045"/>
      <c r="D737" s="890" t="s">
        <v>394</v>
      </c>
      <c r="E737" s="120">
        <f>SUM(E738:E745)</f>
        <v>19569623000</v>
      </c>
      <c r="F737" s="120">
        <f>SUM(F738:F745)</f>
        <v>17594946312.240002</v>
      </c>
      <c r="G737" s="707">
        <f t="shared" si="35"/>
        <v>89.909480178744388</v>
      </c>
      <c r="H737" s="905">
        <f>SUM((H738:H745))/8</f>
        <v>79.375</v>
      </c>
      <c r="I737" s="1044"/>
    </row>
    <row r="738" spans="3:9" s="898" customFormat="1" ht="20.100000000000001" customHeight="1">
      <c r="C738" s="973"/>
      <c r="D738" s="808" t="s">
        <v>3062</v>
      </c>
      <c r="E738" s="115">
        <v>3000000000</v>
      </c>
      <c r="F738" s="115">
        <v>2492425300</v>
      </c>
      <c r="G738" s="1212">
        <f t="shared" si="35"/>
        <v>83.080843333333334</v>
      </c>
      <c r="H738" s="901">
        <v>85</v>
      </c>
      <c r="I738" s="969"/>
    </row>
    <row r="739" spans="3:9" s="898" customFormat="1" ht="20.100000000000001" customHeight="1">
      <c r="C739" s="973"/>
      <c r="D739" s="808" t="s">
        <v>3061</v>
      </c>
      <c r="E739" s="115">
        <v>2248560000</v>
      </c>
      <c r="F739" s="115">
        <v>1067757000</v>
      </c>
      <c r="G739" s="1212">
        <f t="shared" si="35"/>
        <v>47.486257871704559</v>
      </c>
      <c r="H739" s="901">
        <v>50</v>
      </c>
      <c r="I739" s="969"/>
    </row>
    <row r="740" spans="3:9" s="898" customFormat="1" ht="20.100000000000001" customHeight="1">
      <c r="C740" s="973"/>
      <c r="D740" s="808" t="s">
        <v>3060</v>
      </c>
      <c r="E740" s="907">
        <v>820131800</v>
      </c>
      <c r="F740" s="907">
        <v>789910000</v>
      </c>
      <c r="G740" s="1212">
        <f t="shared" si="35"/>
        <v>96.315006929374036</v>
      </c>
      <c r="H740" s="901">
        <v>100</v>
      </c>
      <c r="I740" s="969"/>
    </row>
    <row r="741" spans="3:9" s="898" customFormat="1" ht="20.100000000000001" customHeight="1">
      <c r="C741" s="973"/>
      <c r="D741" s="808" t="s">
        <v>2202</v>
      </c>
      <c r="E741" s="907">
        <v>1497600000</v>
      </c>
      <c r="F741" s="907">
        <v>1494100000</v>
      </c>
      <c r="G741" s="1212">
        <f t="shared" si="35"/>
        <v>99.76629273504274</v>
      </c>
      <c r="H741" s="1224">
        <v>100</v>
      </c>
      <c r="I741" s="969"/>
    </row>
    <row r="742" spans="3:9" s="898" customFormat="1" ht="35.1" customHeight="1">
      <c r="C742" s="973"/>
      <c r="D742" s="808" t="s">
        <v>3059</v>
      </c>
      <c r="E742" s="115">
        <v>8577000000</v>
      </c>
      <c r="F742" s="115">
        <v>8518350000</v>
      </c>
      <c r="G742" s="1212">
        <f t="shared" si="35"/>
        <v>99.316194473592162</v>
      </c>
      <c r="H742" s="901">
        <v>100</v>
      </c>
      <c r="I742" s="969"/>
    </row>
    <row r="743" spans="3:9" s="898" customFormat="1" ht="20.100000000000001" customHeight="1">
      <c r="C743" s="973"/>
      <c r="D743" s="808" t="s">
        <v>2203</v>
      </c>
      <c r="E743" s="115">
        <v>720000000</v>
      </c>
      <c r="F743" s="115">
        <f>E743</f>
        <v>720000000</v>
      </c>
      <c r="G743" s="1212">
        <f t="shared" si="35"/>
        <v>100</v>
      </c>
      <c r="H743" s="901">
        <v>100</v>
      </c>
      <c r="I743" s="969"/>
    </row>
    <row r="744" spans="3:9" s="898" customFormat="1" ht="20.100000000000001" customHeight="1">
      <c r="C744" s="973"/>
      <c r="D744" s="808" t="s">
        <v>3058</v>
      </c>
      <c r="E744" s="115">
        <v>1266331200</v>
      </c>
      <c r="F744" s="115">
        <v>1209725000</v>
      </c>
      <c r="G744" s="1212">
        <f t="shared" si="35"/>
        <v>95.529905604473768</v>
      </c>
      <c r="H744" s="901">
        <v>100</v>
      </c>
      <c r="I744" s="969"/>
    </row>
    <row r="745" spans="3:9" s="898" customFormat="1" ht="35.1" customHeight="1">
      <c r="C745" s="973"/>
      <c r="D745" s="808" t="s">
        <v>3057</v>
      </c>
      <c r="E745" s="115">
        <v>1440000000</v>
      </c>
      <c r="F745" s="115">
        <v>1302679012.24</v>
      </c>
      <c r="G745" s="1212">
        <f t="shared" si="35"/>
        <v>90.463820294444446</v>
      </c>
      <c r="H745" s="901">
        <v>0</v>
      </c>
      <c r="I745" s="969"/>
    </row>
    <row r="746" spans="3:9" s="980" customFormat="1" ht="20.100000000000001" customHeight="1">
      <c r="C746" s="1045"/>
      <c r="D746" s="890" t="s">
        <v>404</v>
      </c>
      <c r="E746" s="120">
        <f>+E747</f>
        <v>1332123800</v>
      </c>
      <c r="F746" s="120">
        <f>+F747</f>
        <v>1302679012.24</v>
      </c>
      <c r="G746" s="707">
        <f t="shared" si="35"/>
        <v>97.789635786103375</v>
      </c>
      <c r="H746" s="905">
        <v>100</v>
      </c>
      <c r="I746" s="1044"/>
    </row>
    <row r="747" spans="3:9" s="898" customFormat="1" ht="20.100000000000001" customHeight="1">
      <c r="C747" s="973"/>
      <c r="D747" s="808" t="s">
        <v>3056</v>
      </c>
      <c r="E747" s="115">
        <v>1332123800</v>
      </c>
      <c r="F747" s="115">
        <v>1302679012.24</v>
      </c>
      <c r="G747" s="1212">
        <f t="shared" si="35"/>
        <v>97.789635786103375</v>
      </c>
      <c r="H747" s="901">
        <v>100</v>
      </c>
      <c r="I747" s="969"/>
    </row>
    <row r="748" spans="3:9" s="980" customFormat="1" ht="20.100000000000001" customHeight="1">
      <c r="C748" s="1045"/>
      <c r="D748" s="890" t="s">
        <v>106</v>
      </c>
      <c r="E748" s="120">
        <f>+E749</f>
        <v>1323000000</v>
      </c>
      <c r="F748" s="120">
        <f>+F749</f>
        <v>1302600000</v>
      </c>
      <c r="G748" s="707">
        <f t="shared" si="35"/>
        <v>98.458049886621311</v>
      </c>
      <c r="H748" s="905">
        <v>100</v>
      </c>
      <c r="I748" s="1044"/>
    </row>
    <row r="749" spans="3:9" s="898" customFormat="1" ht="20.100000000000001" customHeight="1">
      <c r="C749" s="973"/>
      <c r="D749" s="808" t="s">
        <v>3055</v>
      </c>
      <c r="E749" s="115">
        <v>1323000000</v>
      </c>
      <c r="F749" s="115">
        <v>1302600000</v>
      </c>
      <c r="G749" s="1212">
        <f t="shared" si="35"/>
        <v>98.458049886621311</v>
      </c>
      <c r="H749" s="901">
        <v>100</v>
      </c>
      <c r="I749" s="969"/>
    </row>
    <row r="750" spans="3:9" s="898" customFormat="1" ht="20.100000000000001" customHeight="1">
      <c r="C750" s="973"/>
      <c r="D750" s="1223"/>
      <c r="E750" s="1222"/>
      <c r="F750" s="1215"/>
      <c r="G750" s="1214"/>
      <c r="H750" s="1213"/>
      <c r="I750" s="969"/>
    </row>
    <row r="751" spans="3:9" s="898" customFormat="1" ht="21.75" customHeight="1">
      <c r="C751" s="973"/>
      <c r="D751" s="1217" t="s">
        <v>2256</v>
      </c>
      <c r="E751" s="1221">
        <f>+E752+E755</f>
        <v>8406657000</v>
      </c>
      <c r="F751" s="1221">
        <v>7336657000</v>
      </c>
      <c r="G751" s="1220">
        <v>87.271991708475795</v>
      </c>
      <c r="H751" s="1219">
        <v>97</v>
      </c>
      <c r="I751" s="1218"/>
    </row>
    <row r="752" spans="3:9" s="898" customFormat="1" ht="20.100000000000001" customHeight="1">
      <c r="C752" s="973"/>
      <c r="D752" s="1217" t="s">
        <v>2257</v>
      </c>
      <c r="E752" s="1216">
        <f>+E753</f>
        <v>570000000</v>
      </c>
      <c r="F752" s="1215"/>
      <c r="G752" s="1214"/>
      <c r="H752" s="1213"/>
      <c r="I752" s="969"/>
    </row>
    <row r="753" spans="3:9" s="898" customFormat="1" ht="20.100000000000001" customHeight="1">
      <c r="C753" s="973"/>
      <c r="D753" s="890" t="s">
        <v>3018</v>
      </c>
      <c r="E753" s="120">
        <v>570000000</v>
      </c>
      <c r="F753" s="120"/>
      <c r="G753" s="707">
        <v>0</v>
      </c>
      <c r="H753" s="905">
        <v>98</v>
      </c>
      <c r="I753" s="969"/>
    </row>
    <row r="754" spans="3:9" s="898" customFormat="1" ht="20.100000000000001" customHeight="1">
      <c r="C754" s="973"/>
      <c r="D754" s="808" t="s">
        <v>3017</v>
      </c>
      <c r="E754" s="115">
        <v>570000000</v>
      </c>
      <c r="F754" s="115">
        <v>0</v>
      </c>
      <c r="G754" s="707">
        <v>0</v>
      </c>
      <c r="H754" s="901">
        <v>0</v>
      </c>
      <c r="I754" s="969"/>
    </row>
    <row r="755" spans="3:9" s="980" customFormat="1" ht="20.100000000000001" customHeight="1">
      <c r="C755" s="1045"/>
      <c r="D755" s="890" t="s">
        <v>2267</v>
      </c>
      <c r="E755" s="120">
        <f>+E756+E757+E758+E759+E760+E761+E762+E763+E764+E765+E766+E767+E768+E769+E770+E771+E772+E773</f>
        <v>7836657000</v>
      </c>
      <c r="F755" s="120">
        <f>SUM(F756:F773)</f>
        <v>7336657000</v>
      </c>
      <c r="G755" s="707">
        <v>91.773443399022511</v>
      </c>
      <c r="H755" s="905">
        <f>SUM((H756:H773))/18</f>
        <v>96.666666666666671</v>
      </c>
      <c r="I755" s="1044"/>
    </row>
    <row r="756" spans="3:9" s="980" customFormat="1" ht="20.100000000000001" customHeight="1">
      <c r="C756" s="1045"/>
      <c r="D756" s="808" t="s">
        <v>3016</v>
      </c>
      <c r="E756" s="115">
        <v>720000000</v>
      </c>
      <c r="F756" s="115">
        <v>720000000</v>
      </c>
      <c r="G756" s="1212">
        <v>100</v>
      </c>
      <c r="H756" s="901">
        <v>100</v>
      </c>
      <c r="I756" s="1044"/>
    </row>
    <row r="757" spans="3:9" s="898" customFormat="1" ht="20.100000000000001" customHeight="1">
      <c r="C757" s="973"/>
      <c r="D757" s="808" t="s">
        <v>3015</v>
      </c>
      <c r="E757" s="115">
        <v>252000000</v>
      </c>
      <c r="F757" s="115">
        <v>252000000</v>
      </c>
      <c r="G757" s="1212">
        <v>100</v>
      </c>
      <c r="H757" s="901">
        <v>100</v>
      </c>
      <c r="I757" s="969"/>
    </row>
    <row r="758" spans="3:9" s="898" customFormat="1" ht="20.100000000000001" customHeight="1">
      <c r="C758" s="973"/>
      <c r="D758" s="808" t="s">
        <v>3014</v>
      </c>
      <c r="E758" s="115">
        <v>42000000</v>
      </c>
      <c r="F758" s="115">
        <v>42000000</v>
      </c>
      <c r="G758" s="1212">
        <v>100</v>
      </c>
      <c r="H758" s="901">
        <v>100</v>
      </c>
      <c r="I758" s="969"/>
    </row>
    <row r="759" spans="3:9" s="898" customFormat="1" ht="20.100000000000001" customHeight="1">
      <c r="C759" s="973"/>
      <c r="D759" s="808" t="s">
        <v>3013</v>
      </c>
      <c r="E759" s="115">
        <v>600000000</v>
      </c>
      <c r="F759" s="115">
        <v>600000000</v>
      </c>
      <c r="G759" s="1212">
        <v>100</v>
      </c>
      <c r="H759" s="901">
        <v>100</v>
      </c>
      <c r="I759" s="969"/>
    </row>
    <row r="760" spans="3:9" s="898" customFormat="1" ht="20.100000000000001" customHeight="1">
      <c r="C760" s="973"/>
      <c r="D760" s="808" t="s">
        <v>3012</v>
      </c>
      <c r="E760" s="115">
        <v>1140000000</v>
      </c>
      <c r="F760" s="115">
        <v>1140000000</v>
      </c>
      <c r="G760" s="1212">
        <v>100</v>
      </c>
      <c r="H760" s="901">
        <v>100</v>
      </c>
      <c r="I760" s="969"/>
    </row>
    <row r="761" spans="3:9" s="898" customFormat="1" ht="20.100000000000001" customHeight="1">
      <c r="C761" s="973"/>
      <c r="D761" s="808" t="s">
        <v>3011</v>
      </c>
      <c r="E761" s="115">
        <v>670000000</v>
      </c>
      <c r="F761" s="115">
        <v>670000000</v>
      </c>
      <c r="G761" s="1212">
        <v>100</v>
      </c>
      <c r="H761" s="901">
        <v>100</v>
      </c>
      <c r="I761" s="969"/>
    </row>
    <row r="762" spans="3:9" s="898" customFormat="1" ht="20.100000000000001" customHeight="1">
      <c r="C762" s="973"/>
      <c r="D762" s="808" t="s">
        <v>3010</v>
      </c>
      <c r="E762" s="115">
        <v>1550000000</v>
      </c>
      <c r="F762" s="115">
        <v>1550000000</v>
      </c>
      <c r="G762" s="1212">
        <v>100</v>
      </c>
      <c r="H762" s="901">
        <v>100</v>
      </c>
      <c r="I762" s="969"/>
    </row>
    <row r="763" spans="3:9" s="898" customFormat="1" ht="20.100000000000001" customHeight="1">
      <c r="C763" s="973"/>
      <c r="D763" s="808" t="s">
        <v>3009</v>
      </c>
      <c r="E763" s="115">
        <v>500000000</v>
      </c>
      <c r="F763" s="115">
        <v>500000000</v>
      </c>
      <c r="G763" s="1212">
        <v>100</v>
      </c>
      <c r="H763" s="901">
        <v>100</v>
      </c>
      <c r="I763" s="969"/>
    </row>
    <row r="764" spans="3:9" s="898" customFormat="1" ht="20.100000000000001" customHeight="1">
      <c r="C764" s="973"/>
      <c r="D764" s="808" t="s">
        <v>3008</v>
      </c>
      <c r="E764" s="115">
        <v>70000000</v>
      </c>
      <c r="F764" s="115">
        <v>70000000</v>
      </c>
      <c r="G764" s="1212">
        <v>100</v>
      </c>
      <c r="H764" s="901">
        <v>100</v>
      </c>
      <c r="I764" s="969"/>
    </row>
    <row r="765" spans="3:9" s="898" customFormat="1" ht="20.100000000000001" customHeight="1">
      <c r="C765" s="973"/>
      <c r="D765" s="808" t="s">
        <v>3007</v>
      </c>
      <c r="E765" s="115">
        <v>997657000</v>
      </c>
      <c r="F765" s="115">
        <v>997657000</v>
      </c>
      <c r="G765" s="1212">
        <v>100</v>
      </c>
      <c r="H765" s="901">
        <v>100</v>
      </c>
      <c r="I765" s="969"/>
    </row>
    <row r="766" spans="3:9" s="898" customFormat="1" ht="20.100000000000001" customHeight="1">
      <c r="C766" s="973"/>
      <c r="D766" s="808" t="s">
        <v>3006</v>
      </c>
      <c r="E766" s="115">
        <v>176000000</v>
      </c>
      <c r="F766" s="115">
        <v>176000000</v>
      </c>
      <c r="G766" s="1212">
        <v>100</v>
      </c>
      <c r="H766" s="901">
        <v>100</v>
      </c>
      <c r="I766" s="969"/>
    </row>
    <row r="767" spans="3:9" s="898" customFormat="1" ht="20.100000000000001" customHeight="1">
      <c r="C767" s="973"/>
      <c r="D767" s="808" t="s">
        <v>3005</v>
      </c>
      <c r="E767" s="115">
        <v>45000000</v>
      </c>
      <c r="F767" s="115">
        <v>45000000</v>
      </c>
      <c r="G767" s="1212">
        <v>100</v>
      </c>
      <c r="H767" s="901">
        <v>100</v>
      </c>
      <c r="I767" s="969"/>
    </row>
    <row r="768" spans="3:9" s="898" customFormat="1" ht="20.100000000000001" customHeight="1">
      <c r="C768" s="973"/>
      <c r="D768" s="808" t="s">
        <v>3004</v>
      </c>
      <c r="E768" s="115">
        <v>100000000</v>
      </c>
      <c r="F768" s="115">
        <v>100000000</v>
      </c>
      <c r="G768" s="1212">
        <v>100</v>
      </c>
      <c r="H768" s="901">
        <v>100</v>
      </c>
      <c r="I768" s="969"/>
    </row>
    <row r="769" spans="3:9" s="898" customFormat="1" ht="20.100000000000001" customHeight="1">
      <c r="C769" s="973"/>
      <c r="D769" s="808" t="s">
        <v>3003</v>
      </c>
      <c r="E769" s="115">
        <v>72000000</v>
      </c>
      <c r="F769" s="115">
        <v>72000000</v>
      </c>
      <c r="G769" s="1212">
        <v>100</v>
      </c>
      <c r="H769" s="901">
        <v>100</v>
      </c>
      <c r="I769" s="969"/>
    </row>
    <row r="770" spans="3:9" s="898" customFormat="1" ht="20.100000000000001" customHeight="1">
      <c r="C770" s="973"/>
      <c r="D770" s="808" t="s">
        <v>3002</v>
      </c>
      <c r="E770" s="115">
        <v>13000000</v>
      </c>
      <c r="F770" s="115">
        <v>13000000</v>
      </c>
      <c r="G770" s="1212">
        <v>100</v>
      </c>
      <c r="H770" s="901">
        <v>100</v>
      </c>
      <c r="I770" s="969"/>
    </row>
    <row r="771" spans="3:9" s="898" customFormat="1" ht="20.100000000000001" customHeight="1">
      <c r="C771" s="973"/>
      <c r="D771" s="808" t="s">
        <v>3001</v>
      </c>
      <c r="E771" s="115">
        <v>56000000</v>
      </c>
      <c r="F771" s="115">
        <v>56000000</v>
      </c>
      <c r="G771" s="1212">
        <v>100</v>
      </c>
      <c r="H771" s="901">
        <v>100</v>
      </c>
      <c r="I771" s="969"/>
    </row>
    <row r="772" spans="3:9" s="898" customFormat="1" ht="20.100000000000001" customHeight="1">
      <c r="C772" s="973"/>
      <c r="D772" s="808" t="s">
        <v>3000</v>
      </c>
      <c r="E772" s="115">
        <v>33000000</v>
      </c>
      <c r="F772" s="115">
        <v>33000000</v>
      </c>
      <c r="G772" s="1212">
        <v>100</v>
      </c>
      <c r="H772" s="901">
        <v>100</v>
      </c>
      <c r="I772" s="969"/>
    </row>
    <row r="773" spans="3:9" s="898" customFormat="1" ht="20.100000000000001" customHeight="1">
      <c r="C773" s="973"/>
      <c r="D773" s="808" t="s">
        <v>2999</v>
      </c>
      <c r="E773" s="115">
        <v>800000000</v>
      </c>
      <c r="F773" s="115">
        <v>300000000</v>
      </c>
      <c r="G773" s="1212">
        <v>37.5</v>
      </c>
      <c r="H773" s="901">
        <v>40</v>
      </c>
      <c r="I773" s="969"/>
    </row>
    <row r="774" spans="3:9" s="898" customFormat="1" ht="20.100000000000001" customHeight="1">
      <c r="C774" s="973"/>
      <c r="D774" s="808"/>
      <c r="E774" s="1202"/>
      <c r="F774" s="1206"/>
      <c r="G774" s="1205"/>
      <c r="H774" s="971"/>
      <c r="I774" s="969"/>
    </row>
    <row r="775" spans="3:9" s="895" customFormat="1" ht="20.100000000000001" customHeight="1">
      <c r="C775" s="904" t="s">
        <v>2274</v>
      </c>
      <c r="D775" s="890" t="s">
        <v>2275</v>
      </c>
      <c r="E775" s="1203">
        <f>+E776+E815+E823</f>
        <v>19280000910.5</v>
      </c>
      <c r="F775" s="1203">
        <f>+F776+F815+F823</f>
        <v>19046343206</v>
      </c>
      <c r="G775" s="707">
        <f>+F775/E775*100</f>
        <v>98.78808250277234</v>
      </c>
      <c r="H775" s="120">
        <f>(H776+H815+H823)/3</f>
        <v>88.341215575946535</v>
      </c>
      <c r="I775" s="903"/>
    </row>
    <row r="776" spans="3:9" s="898" customFormat="1" ht="20.100000000000001" customHeight="1">
      <c r="C776" s="973"/>
      <c r="D776" s="889" t="s">
        <v>64</v>
      </c>
      <c r="E776" s="231">
        <f>E777+E784+E800+E808+E812</f>
        <v>18000000910.5</v>
      </c>
      <c r="F776" s="899">
        <f>F777+F784+F800+F808+F812</f>
        <v>17766343206</v>
      </c>
      <c r="G776" s="231">
        <f t="shared" ref="G776:G813" si="36">F776/E776*100</f>
        <v>98.701901707328815</v>
      </c>
      <c r="H776" s="887">
        <f>(H777+H784+H800+H808+H812)/5</f>
        <v>98.356980061172905</v>
      </c>
      <c r="I776" s="969"/>
    </row>
    <row r="777" spans="3:9" s="898" customFormat="1" ht="20.100000000000001" customHeight="1">
      <c r="C777" s="973"/>
      <c r="D777" s="889" t="s">
        <v>388</v>
      </c>
      <c r="E777" s="231">
        <f>SUM(E778:E783)</f>
        <v>1240741600</v>
      </c>
      <c r="F777" s="899">
        <f>SUM(F778:F783)</f>
        <v>1213328000</v>
      </c>
      <c r="G777" s="231">
        <f t="shared" si="36"/>
        <v>97.790547201770295</v>
      </c>
      <c r="H777" s="887">
        <f>SUM((H778:H783))/6</f>
        <v>97.5</v>
      </c>
      <c r="I777" s="969"/>
    </row>
    <row r="778" spans="3:9" s="898" customFormat="1" ht="20.100000000000001" customHeight="1">
      <c r="C778" s="973"/>
      <c r="D778" s="888" t="s">
        <v>2997</v>
      </c>
      <c r="E778" s="694">
        <v>50000000</v>
      </c>
      <c r="F778" s="897">
        <v>50000000</v>
      </c>
      <c r="G778" s="694">
        <f t="shared" si="36"/>
        <v>100</v>
      </c>
      <c r="H778" s="887">
        <f>+G778</f>
        <v>100</v>
      </c>
      <c r="I778" s="969"/>
    </row>
    <row r="779" spans="3:9" s="898" customFormat="1" ht="20.100000000000001" customHeight="1">
      <c r="C779" s="973"/>
      <c r="D779" s="888" t="s">
        <v>2996</v>
      </c>
      <c r="E779" s="694">
        <v>224000000</v>
      </c>
      <c r="F779" s="897">
        <v>224000000</v>
      </c>
      <c r="G779" s="694">
        <f t="shared" si="36"/>
        <v>100</v>
      </c>
      <c r="H779" s="887">
        <f>+G779</f>
        <v>100</v>
      </c>
      <c r="I779" s="969"/>
    </row>
    <row r="780" spans="3:9" s="898" customFormat="1" ht="20.100000000000001" customHeight="1">
      <c r="C780" s="973"/>
      <c r="D780" s="888" t="s">
        <v>2995</v>
      </c>
      <c r="E780" s="694">
        <v>86028000</v>
      </c>
      <c r="F780" s="897">
        <v>86028000</v>
      </c>
      <c r="G780" s="694">
        <f t="shared" si="36"/>
        <v>100</v>
      </c>
      <c r="H780" s="887">
        <f>+G780</f>
        <v>100</v>
      </c>
      <c r="I780" s="969"/>
    </row>
    <row r="781" spans="3:9" s="898" customFormat="1" ht="50.25" customHeight="1">
      <c r="C781" s="973"/>
      <c r="D781" s="888" t="s">
        <v>2994</v>
      </c>
      <c r="E781" s="694">
        <v>94000000</v>
      </c>
      <c r="F781" s="897">
        <v>85500000</v>
      </c>
      <c r="G781" s="694">
        <f t="shared" si="36"/>
        <v>90.957446808510639</v>
      </c>
      <c r="H781" s="887">
        <v>90</v>
      </c>
      <c r="I781" s="969"/>
    </row>
    <row r="782" spans="3:9" s="898" customFormat="1" ht="20.100000000000001" customHeight="1">
      <c r="C782" s="973"/>
      <c r="D782" s="888" t="s">
        <v>2993</v>
      </c>
      <c r="E782" s="694">
        <v>144113600</v>
      </c>
      <c r="F782" s="897">
        <v>135000000</v>
      </c>
      <c r="G782" s="694">
        <f t="shared" si="36"/>
        <v>93.676099965582708</v>
      </c>
      <c r="H782" s="887">
        <v>95</v>
      </c>
      <c r="I782" s="969"/>
    </row>
    <row r="783" spans="3:9" s="898" customFormat="1" ht="20.100000000000001" customHeight="1">
      <c r="C783" s="973"/>
      <c r="D783" s="888" t="s">
        <v>2992</v>
      </c>
      <c r="E783" s="694">
        <v>642600000</v>
      </c>
      <c r="F783" s="897">
        <v>632800000</v>
      </c>
      <c r="G783" s="694">
        <f t="shared" si="36"/>
        <v>98.474945533769059</v>
      </c>
      <c r="H783" s="887">
        <v>100</v>
      </c>
      <c r="I783" s="969"/>
    </row>
    <row r="784" spans="3:9" s="898" customFormat="1" ht="20.100000000000001" customHeight="1">
      <c r="C784" s="973"/>
      <c r="D784" s="889" t="s">
        <v>394</v>
      </c>
      <c r="E784" s="231">
        <f>SUM(E785:E799)</f>
        <v>10409283296.92</v>
      </c>
      <c r="F784" s="899">
        <f>SUM(F785:F799)</f>
        <v>10280910207</v>
      </c>
      <c r="G784" s="231">
        <f t="shared" si="36"/>
        <v>98.76674420074643</v>
      </c>
      <c r="H784" s="887">
        <f>SUM((H785:H799))/15</f>
        <v>100.0014296538524</v>
      </c>
      <c r="I784" s="969"/>
    </row>
    <row r="785" spans="3:9" s="898" customFormat="1" ht="20.100000000000001" customHeight="1">
      <c r="C785" s="973"/>
      <c r="D785" s="888" t="s">
        <v>2991</v>
      </c>
      <c r="E785" s="694">
        <v>1560000000</v>
      </c>
      <c r="F785" s="897">
        <v>1560000000</v>
      </c>
      <c r="G785" s="694">
        <f t="shared" si="36"/>
        <v>100</v>
      </c>
      <c r="H785" s="887">
        <f>+G785</f>
        <v>100</v>
      </c>
      <c r="I785" s="969"/>
    </row>
    <row r="786" spans="3:9" s="898" customFormat="1" ht="35.1" customHeight="1">
      <c r="C786" s="973"/>
      <c r="D786" s="888" t="s">
        <v>2990</v>
      </c>
      <c r="E786" s="694">
        <v>650152500</v>
      </c>
      <c r="F786" s="897">
        <v>650152500</v>
      </c>
      <c r="G786" s="694">
        <f t="shared" si="36"/>
        <v>100</v>
      </c>
      <c r="H786" s="887">
        <f>+G786</f>
        <v>100</v>
      </c>
      <c r="I786" s="900"/>
    </row>
    <row r="787" spans="3:9" s="898" customFormat="1" ht="54.75" customHeight="1">
      <c r="C787" s="973"/>
      <c r="D787" s="888" t="s">
        <v>2989</v>
      </c>
      <c r="E787" s="694">
        <v>174200000</v>
      </c>
      <c r="F787" s="897">
        <v>173900000</v>
      </c>
      <c r="G787" s="694">
        <f t="shared" si="36"/>
        <v>99.827784156142357</v>
      </c>
      <c r="H787" s="887">
        <v>100</v>
      </c>
      <c r="I787" s="900"/>
    </row>
    <row r="788" spans="3:9" s="898" customFormat="1" ht="36.75" customHeight="1">
      <c r="C788" s="973"/>
      <c r="D788" s="888" t="s">
        <v>2988</v>
      </c>
      <c r="E788" s="694">
        <v>699080400</v>
      </c>
      <c r="F788" s="897">
        <v>696780400</v>
      </c>
      <c r="G788" s="694">
        <f t="shared" si="36"/>
        <v>99.670996354639612</v>
      </c>
      <c r="H788" s="887">
        <v>100</v>
      </c>
      <c r="I788" s="900"/>
    </row>
    <row r="789" spans="3:9" s="898" customFormat="1" ht="20.100000000000001" customHeight="1">
      <c r="C789" s="973"/>
      <c r="D789" s="808" t="s">
        <v>2987</v>
      </c>
      <c r="E789" s="694">
        <v>1089000000</v>
      </c>
      <c r="F789" s="897">
        <v>1083500000</v>
      </c>
      <c r="G789" s="694">
        <f t="shared" si="36"/>
        <v>99.494949494949495</v>
      </c>
      <c r="H789" s="887">
        <v>100</v>
      </c>
      <c r="I789" s="900"/>
    </row>
    <row r="790" spans="3:9" s="898" customFormat="1" ht="32.25" customHeight="1">
      <c r="C790" s="973"/>
      <c r="D790" s="808" t="s">
        <v>2986</v>
      </c>
      <c r="E790" s="694">
        <v>1566663983.9200001</v>
      </c>
      <c r="F790" s="897">
        <v>1566999952</v>
      </c>
      <c r="G790" s="694">
        <f t="shared" si="36"/>
        <v>100.02144480778574</v>
      </c>
      <c r="H790" s="887">
        <f>+G790</f>
        <v>100.02144480778574</v>
      </c>
      <c r="I790" s="900"/>
    </row>
    <row r="791" spans="3:9" s="898" customFormat="1" ht="20.100000000000001" customHeight="1">
      <c r="C791" s="973"/>
      <c r="D791" s="808" t="s">
        <v>2985</v>
      </c>
      <c r="E791" s="694">
        <v>224000000</v>
      </c>
      <c r="F791" s="897">
        <v>220000000</v>
      </c>
      <c r="G791" s="694">
        <f t="shared" si="36"/>
        <v>98.214285714285708</v>
      </c>
      <c r="H791" s="887">
        <v>100</v>
      </c>
      <c r="I791" s="900"/>
    </row>
    <row r="792" spans="3:9" s="898" customFormat="1" ht="20.100000000000001" customHeight="1">
      <c r="C792" s="973"/>
      <c r="D792" s="808" t="s">
        <v>2984</v>
      </c>
      <c r="E792" s="694">
        <v>873600000</v>
      </c>
      <c r="F792" s="897">
        <v>873600000</v>
      </c>
      <c r="G792" s="694">
        <f t="shared" si="36"/>
        <v>100</v>
      </c>
      <c r="H792" s="887">
        <f>+G792</f>
        <v>100</v>
      </c>
      <c r="I792" s="900"/>
    </row>
    <row r="793" spans="3:9" s="898" customFormat="1" ht="32.25" customHeight="1">
      <c r="C793" s="973"/>
      <c r="D793" s="808" t="s">
        <v>2983</v>
      </c>
      <c r="E793" s="694">
        <v>761139990</v>
      </c>
      <c r="F793" s="897">
        <v>761139990</v>
      </c>
      <c r="G793" s="694">
        <f t="shared" si="36"/>
        <v>100</v>
      </c>
      <c r="H793" s="887">
        <f>+G793</f>
        <v>100</v>
      </c>
      <c r="I793" s="900"/>
    </row>
    <row r="794" spans="3:9" s="898" customFormat="1" ht="35.1" customHeight="1">
      <c r="C794" s="973"/>
      <c r="D794" s="808" t="s">
        <v>2982</v>
      </c>
      <c r="E794" s="694">
        <v>366537365</v>
      </c>
      <c r="F794" s="897">
        <v>366537365</v>
      </c>
      <c r="G794" s="694">
        <f t="shared" si="36"/>
        <v>100</v>
      </c>
      <c r="H794" s="887">
        <f>+G794</f>
        <v>100</v>
      </c>
      <c r="I794" s="900"/>
    </row>
    <row r="795" spans="3:9" s="898" customFormat="1" ht="32.25" customHeight="1">
      <c r="C795" s="973"/>
      <c r="D795" s="808" t="s">
        <v>2981</v>
      </c>
      <c r="E795" s="694">
        <v>399000000</v>
      </c>
      <c r="F795" s="897">
        <v>399000000</v>
      </c>
      <c r="G795" s="694">
        <f t="shared" si="36"/>
        <v>100</v>
      </c>
      <c r="H795" s="887">
        <f>+G795</f>
        <v>100</v>
      </c>
      <c r="I795" s="900"/>
    </row>
    <row r="796" spans="3:9" s="898" customFormat="1" ht="45.75" customHeight="1">
      <c r="C796" s="973"/>
      <c r="D796" s="808" t="s">
        <v>2980</v>
      </c>
      <c r="E796" s="694">
        <v>175500000</v>
      </c>
      <c r="F796" s="897">
        <v>66200000</v>
      </c>
      <c r="G796" s="694">
        <f t="shared" si="36"/>
        <v>37.720797720797719</v>
      </c>
      <c r="H796" s="887">
        <v>100</v>
      </c>
      <c r="I796" s="900"/>
    </row>
    <row r="797" spans="3:9" s="898" customFormat="1" ht="20.100000000000001" customHeight="1">
      <c r="C797" s="973"/>
      <c r="D797" s="808" t="s">
        <v>2979</v>
      </c>
      <c r="E797" s="694">
        <v>1009666664</v>
      </c>
      <c r="F797" s="897">
        <v>1006050000</v>
      </c>
      <c r="G797" s="694">
        <f t="shared" si="36"/>
        <v>99.641796235435578</v>
      </c>
      <c r="H797" s="887">
        <v>100</v>
      </c>
      <c r="I797" s="900"/>
    </row>
    <row r="798" spans="3:9" s="898" customFormat="1" ht="20.100000000000001" customHeight="1">
      <c r="C798" s="973"/>
      <c r="D798" s="808" t="s">
        <v>2978</v>
      </c>
      <c r="E798" s="694">
        <v>795742394</v>
      </c>
      <c r="F798" s="897">
        <v>792050000</v>
      </c>
      <c r="G798" s="694">
        <f t="shared" si="36"/>
        <v>99.535981238672065</v>
      </c>
      <c r="H798" s="887">
        <v>100</v>
      </c>
      <c r="I798" s="900"/>
    </row>
    <row r="799" spans="3:9" s="898" customFormat="1" ht="20.100000000000001" customHeight="1">
      <c r="C799" s="973"/>
      <c r="D799" s="808" t="s">
        <v>2977</v>
      </c>
      <c r="E799" s="136">
        <v>65000000</v>
      </c>
      <c r="F799" s="239">
        <v>65000000</v>
      </c>
      <c r="G799" s="694">
        <f t="shared" si="36"/>
        <v>100</v>
      </c>
      <c r="H799" s="887">
        <f>+G799</f>
        <v>100</v>
      </c>
      <c r="I799" s="900"/>
    </row>
    <row r="800" spans="3:9" s="898" customFormat="1" ht="20.100000000000001" customHeight="1">
      <c r="C800" s="973"/>
      <c r="D800" s="889" t="s">
        <v>404</v>
      </c>
      <c r="E800" s="135">
        <f>SUM(E801:E807)</f>
        <v>3042905853.5799999</v>
      </c>
      <c r="F800" s="170">
        <f>SUM(F801:F807)</f>
        <v>2965104999</v>
      </c>
      <c r="G800" s="231">
        <f t="shared" si="36"/>
        <v>97.44320533320257</v>
      </c>
      <c r="H800" s="887">
        <f>SUM((H801:H807))/7</f>
        <v>94.285714285714292</v>
      </c>
      <c r="I800" s="900"/>
    </row>
    <row r="801" spans="3:9" s="898" customFormat="1" ht="20.100000000000001" customHeight="1">
      <c r="C801" s="973"/>
      <c r="D801" s="808" t="s">
        <v>2976</v>
      </c>
      <c r="E801" s="136">
        <v>600000000</v>
      </c>
      <c r="F801" s="239">
        <v>600000000</v>
      </c>
      <c r="G801" s="694">
        <f t="shared" si="36"/>
        <v>100</v>
      </c>
      <c r="H801" s="887">
        <f>+G801</f>
        <v>100</v>
      </c>
      <c r="I801" s="969"/>
    </row>
    <row r="802" spans="3:9" s="898" customFormat="1" ht="35.1" customHeight="1">
      <c r="C802" s="973"/>
      <c r="D802" s="808" t="s">
        <v>2975</v>
      </c>
      <c r="E802" s="136">
        <v>610104999</v>
      </c>
      <c r="F802" s="239">
        <v>610104999</v>
      </c>
      <c r="G802" s="694">
        <f t="shared" si="36"/>
        <v>100</v>
      </c>
      <c r="H802" s="887">
        <f>+G802</f>
        <v>100</v>
      </c>
      <c r="I802" s="969"/>
    </row>
    <row r="803" spans="3:9" s="898" customFormat="1" ht="33" customHeight="1">
      <c r="C803" s="973"/>
      <c r="D803" s="808" t="s">
        <v>2974</v>
      </c>
      <c r="E803" s="136">
        <v>172000000</v>
      </c>
      <c r="F803" s="239">
        <v>98000000</v>
      </c>
      <c r="G803" s="694">
        <f t="shared" si="36"/>
        <v>56.97674418604651</v>
      </c>
      <c r="H803" s="887">
        <v>60</v>
      </c>
      <c r="I803" s="969"/>
    </row>
    <row r="804" spans="3:9" s="898" customFormat="1" ht="31.5" customHeight="1">
      <c r="C804" s="973"/>
      <c r="D804" s="808" t="s">
        <v>1594</v>
      </c>
      <c r="E804" s="136">
        <v>478500000</v>
      </c>
      <c r="F804" s="239">
        <v>477000000</v>
      </c>
      <c r="G804" s="694">
        <f t="shared" si="36"/>
        <v>99.686520376175551</v>
      </c>
      <c r="H804" s="887">
        <v>100</v>
      </c>
      <c r="I804" s="969"/>
    </row>
    <row r="805" spans="3:9" s="898" customFormat="1" ht="20.100000000000001" customHeight="1">
      <c r="C805" s="973"/>
      <c r="D805" s="808" t="s">
        <v>2973</v>
      </c>
      <c r="E805" s="136">
        <v>360000000</v>
      </c>
      <c r="F805" s="239">
        <v>360000000</v>
      </c>
      <c r="G805" s="694">
        <f t="shared" si="36"/>
        <v>100</v>
      </c>
      <c r="H805" s="887">
        <f>+G805</f>
        <v>100</v>
      </c>
      <c r="I805" s="969"/>
    </row>
    <row r="806" spans="3:9" s="898" customFormat="1" ht="30.75" customHeight="1">
      <c r="C806" s="973"/>
      <c r="D806" s="808" t="s">
        <v>2972</v>
      </c>
      <c r="E806" s="136">
        <v>55000000</v>
      </c>
      <c r="F806" s="239">
        <v>55000000</v>
      </c>
      <c r="G806" s="694">
        <f t="shared" si="36"/>
        <v>100</v>
      </c>
      <c r="H806" s="887">
        <f>+G806</f>
        <v>100</v>
      </c>
      <c r="I806" s="969"/>
    </row>
    <row r="807" spans="3:9" s="898" customFormat="1" ht="20.100000000000001" customHeight="1">
      <c r="C807" s="973"/>
      <c r="D807" s="808" t="s">
        <v>2971</v>
      </c>
      <c r="E807" s="136">
        <v>767300854.58000004</v>
      </c>
      <c r="F807" s="239">
        <v>765000000</v>
      </c>
      <c r="G807" s="694">
        <f t="shared" si="36"/>
        <v>99.700136580551643</v>
      </c>
      <c r="H807" s="887">
        <v>100</v>
      </c>
      <c r="I807" s="969"/>
    </row>
    <row r="808" spans="3:9" s="898" customFormat="1" ht="20.100000000000001" customHeight="1">
      <c r="C808" s="973"/>
      <c r="D808" s="889" t="s">
        <v>106</v>
      </c>
      <c r="E808" s="135">
        <f>SUM(E809:E811)</f>
        <v>180000000</v>
      </c>
      <c r="F808" s="170">
        <f>SUM(F809:F811)</f>
        <v>180000000</v>
      </c>
      <c r="G808" s="231">
        <f t="shared" si="36"/>
        <v>100</v>
      </c>
      <c r="H808" s="887">
        <f t="shared" ref="H808:H813" si="37">+G808</f>
        <v>100</v>
      </c>
      <c r="I808" s="969"/>
    </row>
    <row r="809" spans="3:9" s="898" customFormat="1" ht="35.1" customHeight="1">
      <c r="C809" s="973"/>
      <c r="D809" s="808" t="s">
        <v>2970</v>
      </c>
      <c r="E809" s="136">
        <v>50000000</v>
      </c>
      <c r="F809" s="239">
        <v>50000000</v>
      </c>
      <c r="G809" s="694">
        <f t="shared" si="36"/>
        <v>100</v>
      </c>
      <c r="H809" s="887">
        <f t="shared" si="37"/>
        <v>100</v>
      </c>
      <c r="I809" s="969"/>
    </row>
    <row r="810" spans="3:9" s="898" customFormat="1" ht="20.100000000000001" customHeight="1">
      <c r="C810" s="973"/>
      <c r="D810" s="808" t="s">
        <v>2969</v>
      </c>
      <c r="E810" s="136">
        <v>30000000</v>
      </c>
      <c r="F810" s="239">
        <v>30000000</v>
      </c>
      <c r="G810" s="694">
        <f t="shared" si="36"/>
        <v>100</v>
      </c>
      <c r="H810" s="887">
        <f t="shared" si="37"/>
        <v>100</v>
      </c>
      <c r="I810" s="969"/>
    </row>
    <row r="811" spans="3:9" s="898" customFormat="1" ht="35.1" customHeight="1">
      <c r="C811" s="973"/>
      <c r="D811" s="808" t="s">
        <v>2968</v>
      </c>
      <c r="E811" s="136">
        <v>100000000</v>
      </c>
      <c r="F811" s="239">
        <v>100000000</v>
      </c>
      <c r="G811" s="694">
        <f t="shared" si="36"/>
        <v>100</v>
      </c>
      <c r="H811" s="887">
        <f t="shared" si="37"/>
        <v>100</v>
      </c>
      <c r="I811" s="969"/>
    </row>
    <row r="812" spans="3:9" s="898" customFormat="1" ht="20.100000000000001" customHeight="1">
      <c r="C812" s="973"/>
      <c r="D812" s="889" t="s">
        <v>2075</v>
      </c>
      <c r="E812" s="135">
        <f>SUM(E813)</f>
        <v>3127070160</v>
      </c>
      <c r="F812" s="170">
        <f>SUM(F813)</f>
        <v>3127000000</v>
      </c>
      <c r="G812" s="231">
        <f t="shared" si="36"/>
        <v>99.997756366297835</v>
      </c>
      <c r="H812" s="887">
        <f t="shared" si="37"/>
        <v>99.997756366297835</v>
      </c>
      <c r="I812" s="969"/>
    </row>
    <row r="813" spans="3:9" s="898" customFormat="1" ht="35.1" customHeight="1">
      <c r="C813" s="973"/>
      <c r="D813" s="808" t="s">
        <v>2967</v>
      </c>
      <c r="E813" s="136">
        <v>3127070160</v>
      </c>
      <c r="F813" s="239">
        <v>3127000000</v>
      </c>
      <c r="G813" s="694">
        <f t="shared" si="36"/>
        <v>99.997756366297835</v>
      </c>
      <c r="H813" s="887">
        <f t="shared" si="37"/>
        <v>99.997756366297835</v>
      </c>
      <c r="I813" s="969"/>
    </row>
    <row r="814" spans="3:9" s="898" customFormat="1" ht="20.100000000000001" customHeight="1">
      <c r="C814" s="973"/>
      <c r="D814" s="972"/>
      <c r="E814" s="1202">
        <v>0</v>
      </c>
      <c r="F814" s="1206"/>
      <c r="G814" s="1205"/>
      <c r="H814" s="971"/>
      <c r="I814" s="969"/>
    </row>
    <row r="815" spans="3:9" s="898" customFormat="1" ht="21.75" customHeight="1">
      <c r="C815" s="973"/>
      <c r="D815" s="889" t="s">
        <v>1137</v>
      </c>
      <c r="E815" s="135">
        <f>E816+E820</f>
        <v>680000000</v>
      </c>
      <c r="F815" s="135">
        <f>F816+F820</f>
        <v>680000000</v>
      </c>
      <c r="G815" s="231">
        <f t="shared" ref="G815:G821" si="38">F815/E815*100</f>
        <v>100</v>
      </c>
      <c r="H815" s="887">
        <f>(H816+H820)/2</f>
        <v>66.666666666666671</v>
      </c>
      <c r="I815" s="969"/>
    </row>
    <row r="816" spans="3:9" s="898" customFormat="1" ht="20.100000000000001" customHeight="1">
      <c r="C816" s="973"/>
      <c r="D816" s="889" t="s">
        <v>912</v>
      </c>
      <c r="E816" s="135">
        <f>SUM(E817:E819)</f>
        <v>515000000</v>
      </c>
      <c r="F816" s="135">
        <f>SUM(F817:F819)</f>
        <v>515000000</v>
      </c>
      <c r="G816" s="231">
        <f t="shared" si="38"/>
        <v>100</v>
      </c>
      <c r="H816" s="887">
        <f>100/3</f>
        <v>33.333333333333336</v>
      </c>
      <c r="I816" s="969"/>
    </row>
    <row r="817" spans="3:9" s="898" customFormat="1" ht="20.100000000000001" customHeight="1">
      <c r="C817" s="973"/>
      <c r="D817" s="888" t="s">
        <v>1421</v>
      </c>
      <c r="E817" s="136">
        <v>105000000</v>
      </c>
      <c r="F817" s="239">
        <v>105000000</v>
      </c>
      <c r="G817" s="694">
        <f t="shared" si="38"/>
        <v>100</v>
      </c>
      <c r="H817" s="887">
        <f>+G817</f>
        <v>100</v>
      </c>
      <c r="I817" s="969"/>
    </row>
    <row r="818" spans="3:9" s="898" customFormat="1" ht="20.100000000000001" customHeight="1">
      <c r="C818" s="973"/>
      <c r="D818" s="888" t="s">
        <v>2363</v>
      </c>
      <c r="E818" s="136">
        <v>300000000</v>
      </c>
      <c r="F818" s="239">
        <v>300000000</v>
      </c>
      <c r="G818" s="694">
        <f t="shared" si="38"/>
        <v>100</v>
      </c>
      <c r="H818" s="887">
        <f>+G818</f>
        <v>100</v>
      </c>
      <c r="I818" s="969"/>
    </row>
    <row r="819" spans="3:9" s="898" customFormat="1" ht="20.100000000000001" customHeight="1">
      <c r="C819" s="973"/>
      <c r="D819" s="888" t="s">
        <v>2952</v>
      </c>
      <c r="E819" s="136">
        <v>110000000</v>
      </c>
      <c r="F819" s="239">
        <v>110000000</v>
      </c>
      <c r="G819" s="694">
        <f t="shared" si="38"/>
        <v>100</v>
      </c>
      <c r="H819" s="887">
        <f>+G819</f>
        <v>100</v>
      </c>
      <c r="I819" s="969"/>
    </row>
    <row r="820" spans="3:9" s="898" customFormat="1" ht="20.100000000000001" customHeight="1">
      <c r="C820" s="973"/>
      <c r="D820" s="889" t="s">
        <v>308</v>
      </c>
      <c r="E820" s="135">
        <f>SUM(E821)</f>
        <v>165000000</v>
      </c>
      <c r="F820" s="135">
        <f>SUM(F821)</f>
        <v>165000000</v>
      </c>
      <c r="G820" s="231">
        <f t="shared" si="38"/>
        <v>100</v>
      </c>
      <c r="H820" s="887">
        <f>+G820</f>
        <v>100</v>
      </c>
      <c r="I820" s="969"/>
    </row>
    <row r="821" spans="3:9" s="898" customFormat="1" ht="20.100000000000001" customHeight="1">
      <c r="C821" s="973"/>
      <c r="D821" s="888" t="s">
        <v>2951</v>
      </c>
      <c r="E821" s="136">
        <v>165000000</v>
      </c>
      <c r="F821" s="239">
        <v>165000000</v>
      </c>
      <c r="G821" s="694">
        <f t="shared" si="38"/>
        <v>100</v>
      </c>
      <c r="H821" s="887">
        <f>+G821</f>
        <v>100</v>
      </c>
      <c r="I821" s="969"/>
    </row>
    <row r="822" spans="3:9" s="898" customFormat="1" ht="20.100000000000001" customHeight="1">
      <c r="C822" s="973"/>
      <c r="D822" s="972"/>
      <c r="E822" s="1202">
        <v>0</v>
      </c>
      <c r="F822" s="1206"/>
      <c r="G822" s="1205"/>
      <c r="H822" s="971"/>
      <c r="I822" s="969"/>
    </row>
    <row r="823" spans="3:9" s="898" customFormat="1" ht="21.75" customHeight="1">
      <c r="C823" s="973"/>
      <c r="D823" s="917" t="s">
        <v>2324</v>
      </c>
      <c r="E823" s="1203">
        <v>600000000</v>
      </c>
      <c r="F823" s="120">
        <f>+F824</f>
        <v>600000000</v>
      </c>
      <c r="G823" s="707">
        <f>+F823/E823*100</f>
        <v>100</v>
      </c>
      <c r="H823" s="120">
        <f>+G823</f>
        <v>100</v>
      </c>
      <c r="I823" s="969"/>
    </row>
    <row r="824" spans="3:9" s="898" customFormat="1" ht="20.100000000000001" customHeight="1">
      <c r="C824" s="973"/>
      <c r="D824" s="889" t="s">
        <v>1635</v>
      </c>
      <c r="E824" s="135">
        <f>SUM(E825)</f>
        <v>600000000</v>
      </c>
      <c r="F824" s="135">
        <f>SUM(F825)</f>
        <v>600000000</v>
      </c>
      <c r="G824" s="231">
        <f>F824/E824*100</f>
        <v>100</v>
      </c>
      <c r="H824" s="887">
        <f>+G824</f>
        <v>100</v>
      </c>
      <c r="I824" s="969"/>
    </row>
    <row r="825" spans="3:9" s="898" customFormat="1" ht="20.100000000000001" customHeight="1">
      <c r="C825" s="973"/>
      <c r="D825" s="888" t="s">
        <v>1891</v>
      </c>
      <c r="E825" s="136">
        <v>600000000</v>
      </c>
      <c r="F825" s="136">
        <v>600000000</v>
      </c>
      <c r="G825" s="694">
        <f>F825/E825*100</f>
        <v>100</v>
      </c>
      <c r="H825" s="887">
        <f>+G825</f>
        <v>100</v>
      </c>
      <c r="I825" s="969"/>
    </row>
    <row r="826" spans="3:9" s="898" customFormat="1" ht="20.100000000000001" customHeight="1">
      <c r="C826" s="973"/>
      <c r="D826" s="972"/>
      <c r="E826" s="1202">
        <v>0</v>
      </c>
      <c r="F826" s="1206"/>
      <c r="G826" s="1205"/>
      <c r="H826" s="971"/>
      <c r="I826" s="969"/>
    </row>
    <row r="827" spans="3:9" s="895" customFormat="1" ht="21.75" customHeight="1">
      <c r="C827" s="904" t="s">
        <v>2344</v>
      </c>
      <c r="D827" s="890" t="s">
        <v>2935</v>
      </c>
      <c r="E827" s="1202">
        <v>17422928561</v>
      </c>
      <c r="F827" s="342">
        <f>F828+F839</f>
        <v>17272086862</v>
      </c>
      <c r="G827" s="1210">
        <f t="shared" ref="G827:G837" si="39">F827/E827*100</f>
        <v>99.134234531973874</v>
      </c>
      <c r="H827" s="884">
        <f>(H828+H839)/2</f>
        <v>91.666666666666657</v>
      </c>
      <c r="I827" s="903"/>
    </row>
    <row r="828" spans="3:9" s="2" customFormat="1" ht="21.75" customHeight="1">
      <c r="C828" s="902"/>
      <c r="D828" s="856" t="s">
        <v>387</v>
      </c>
      <c r="E828" s="342">
        <f>E829+E831+E836</f>
        <v>3650553328</v>
      </c>
      <c r="F828" s="342">
        <f>F829+F831+F836</f>
        <v>3500045772</v>
      </c>
      <c r="G828" s="1211">
        <f t="shared" si="39"/>
        <v>95.877130328556049</v>
      </c>
      <c r="H828" s="882">
        <f>(H829+H831+H836)/3</f>
        <v>83.333333333333329</v>
      </c>
      <c r="I828" s="900"/>
    </row>
    <row r="829" spans="3:9" s="2" customFormat="1" ht="20.100000000000001" customHeight="1">
      <c r="C829" s="902"/>
      <c r="D829" s="859" t="s">
        <v>388</v>
      </c>
      <c r="E829" s="340">
        <f>SUM(E830:E830)</f>
        <v>2781380353</v>
      </c>
      <c r="F829" s="340">
        <f>SUM(F830:F830)</f>
        <v>2710968000</v>
      </c>
      <c r="G829" s="1138">
        <f t="shared" si="39"/>
        <v>97.468438542608766</v>
      </c>
      <c r="H829" s="879">
        <f>H830</f>
        <v>100</v>
      </c>
      <c r="I829" s="900"/>
    </row>
    <row r="830" spans="3:9" s="2" customFormat="1" ht="20.100000000000001" customHeight="1">
      <c r="C830" s="902"/>
      <c r="D830" s="859" t="s">
        <v>2934</v>
      </c>
      <c r="E830" s="340">
        <v>2781380353</v>
      </c>
      <c r="F830" s="340">
        <v>2710968000</v>
      </c>
      <c r="G830" s="1138">
        <f t="shared" si="39"/>
        <v>97.468438542608766</v>
      </c>
      <c r="H830" s="879">
        <v>100</v>
      </c>
      <c r="I830" s="900"/>
    </row>
    <row r="831" spans="3:9" s="2" customFormat="1" ht="20.100000000000001" customHeight="1">
      <c r="C831" s="902"/>
      <c r="D831" s="859" t="s">
        <v>394</v>
      </c>
      <c r="E831" s="340">
        <f>SUM(E832:E835)</f>
        <v>741957216</v>
      </c>
      <c r="F831" s="340">
        <f>SUM(F832:F835)</f>
        <v>730577772</v>
      </c>
      <c r="G831" s="1138">
        <f t="shared" si="39"/>
        <v>98.466293776162956</v>
      </c>
      <c r="H831" s="879">
        <f>SUM(H832:H835)/4</f>
        <v>100</v>
      </c>
      <c r="I831" s="900"/>
    </row>
    <row r="832" spans="3:9" s="2" customFormat="1" ht="20.100000000000001" customHeight="1">
      <c r="C832" s="902"/>
      <c r="D832" s="859" t="s">
        <v>2020</v>
      </c>
      <c r="E832" s="340">
        <v>82735284</v>
      </c>
      <c r="F832" s="340">
        <v>82200000</v>
      </c>
      <c r="G832" s="1138">
        <f t="shared" si="39"/>
        <v>99.353016060233742</v>
      </c>
      <c r="H832" s="879">
        <v>100</v>
      </c>
      <c r="I832" s="900"/>
    </row>
    <row r="833" spans="3:9" s="2" customFormat="1" ht="20.100000000000001" customHeight="1">
      <c r="C833" s="902"/>
      <c r="D833" s="859" t="s">
        <v>2933</v>
      </c>
      <c r="E833" s="340">
        <v>147214000</v>
      </c>
      <c r="F833" s="340">
        <v>136370000</v>
      </c>
      <c r="G833" s="1138">
        <f t="shared" si="39"/>
        <v>92.633852758569162</v>
      </c>
      <c r="H833" s="879">
        <v>100</v>
      </c>
      <c r="I833" s="900"/>
    </row>
    <row r="834" spans="3:9" s="2" customFormat="1" ht="20.100000000000001" customHeight="1">
      <c r="C834" s="902"/>
      <c r="D834" s="859" t="s">
        <v>2932</v>
      </c>
      <c r="E834" s="340">
        <v>281149530</v>
      </c>
      <c r="F834" s="340">
        <v>281149370</v>
      </c>
      <c r="G834" s="1138">
        <f t="shared" si="39"/>
        <v>99.999943090781613</v>
      </c>
      <c r="H834" s="879">
        <v>100</v>
      </c>
      <c r="I834" s="900"/>
    </row>
    <row r="835" spans="3:9" s="2" customFormat="1" ht="30.75" customHeight="1">
      <c r="C835" s="902"/>
      <c r="D835" s="859" t="s">
        <v>2931</v>
      </c>
      <c r="E835" s="340">
        <v>230858402</v>
      </c>
      <c r="F835" s="340">
        <v>230858402</v>
      </c>
      <c r="G835" s="1138">
        <f t="shared" si="39"/>
        <v>100</v>
      </c>
      <c r="H835" s="879">
        <v>100</v>
      </c>
      <c r="I835" s="900"/>
    </row>
    <row r="836" spans="3:9" s="2" customFormat="1" ht="20.100000000000001" customHeight="1">
      <c r="C836" s="902"/>
      <c r="D836" s="859" t="s">
        <v>2075</v>
      </c>
      <c r="E836" s="340">
        <f>SUM(E837:E837)</f>
        <v>127215759</v>
      </c>
      <c r="F836" s="340">
        <f>SUM(F837:F837)</f>
        <v>58500000</v>
      </c>
      <c r="G836" s="1138">
        <f t="shared" si="39"/>
        <v>45.98486890291634</v>
      </c>
      <c r="H836" s="879">
        <f>H837</f>
        <v>50</v>
      </c>
      <c r="I836" s="900"/>
    </row>
    <row r="837" spans="3:9" s="2" customFormat="1" ht="29.25" customHeight="1">
      <c r="C837" s="902"/>
      <c r="D837" s="859" t="s">
        <v>2930</v>
      </c>
      <c r="E837" s="340">
        <v>127215759</v>
      </c>
      <c r="F837" s="340">
        <v>58500000</v>
      </c>
      <c r="G837" s="1138">
        <f t="shared" si="39"/>
        <v>45.98486890291634</v>
      </c>
      <c r="H837" s="879">
        <v>50</v>
      </c>
      <c r="I837" s="900"/>
    </row>
    <row r="838" spans="3:9" s="2" customFormat="1" ht="20.100000000000001" customHeight="1">
      <c r="C838" s="902"/>
      <c r="D838" s="859"/>
      <c r="E838" s="340"/>
      <c r="F838" s="340"/>
      <c r="G838" s="1138"/>
      <c r="H838" s="879"/>
      <c r="I838" s="900"/>
    </row>
    <row r="839" spans="3:9" s="2" customFormat="1" ht="21.75" customHeight="1">
      <c r="C839" s="902"/>
      <c r="D839" s="889" t="s">
        <v>2374</v>
      </c>
      <c r="E839" s="1203">
        <v>13884610992</v>
      </c>
      <c r="F839" s="883">
        <v>13772041090</v>
      </c>
      <c r="G839" s="1210">
        <v>99.997573817193128</v>
      </c>
      <c r="H839" s="1209">
        <v>100</v>
      </c>
      <c r="I839" s="900"/>
    </row>
    <row r="840" spans="3:9" s="2" customFormat="1" ht="20.100000000000001" customHeight="1">
      <c r="C840" s="902"/>
      <c r="D840" s="889" t="s">
        <v>2375</v>
      </c>
      <c r="E840" s="1203">
        <v>13884610992</v>
      </c>
      <c r="F840" s="880">
        <v>13772041090</v>
      </c>
      <c r="G840" s="1208">
        <v>99.997573817193128</v>
      </c>
      <c r="H840" s="1207">
        <v>100</v>
      </c>
      <c r="I840" s="900"/>
    </row>
    <row r="841" spans="3:9" s="898" customFormat="1" ht="20.100000000000001" customHeight="1">
      <c r="C841" s="973"/>
      <c r="D841" s="972"/>
      <c r="E841" s="1202">
        <v>0</v>
      </c>
      <c r="F841" s="1206"/>
      <c r="G841" s="1205"/>
      <c r="H841" s="971"/>
      <c r="I841" s="969"/>
    </row>
    <row r="842" spans="3:9" s="656" customFormat="1" ht="21.75" customHeight="1">
      <c r="C842" s="1199" t="s">
        <v>2377</v>
      </c>
      <c r="D842" s="890" t="s">
        <v>63</v>
      </c>
      <c r="E842" s="1202">
        <f>E843+E898+E904+E908+E912</f>
        <v>1232975744200</v>
      </c>
      <c r="F842" s="1202">
        <f>F843+F898+F904+F908+F912</f>
        <v>827020564489</v>
      </c>
      <c r="G842" s="1201">
        <f t="shared" ref="G842:G873" si="40">+F842/E842*100</f>
        <v>67.075169027400563</v>
      </c>
      <c r="H842" s="318">
        <f>(H843+H898+H904+H908+H912)/5</f>
        <v>78.088152449324326</v>
      </c>
      <c r="I842" s="663"/>
    </row>
    <row r="843" spans="3:9" s="656" customFormat="1" ht="19.5" customHeight="1">
      <c r="C843" s="1199"/>
      <c r="D843" s="856" t="s">
        <v>444</v>
      </c>
      <c r="E843" s="872">
        <v>1219391629900</v>
      </c>
      <c r="F843" s="855">
        <f>+F844+F847</f>
        <v>815911107784</v>
      </c>
      <c r="G843" s="707">
        <f t="shared" si="40"/>
        <v>66.911325924954184</v>
      </c>
      <c r="H843" s="905">
        <f>(H844+H847)/2</f>
        <v>85</v>
      </c>
      <c r="I843" s="663"/>
    </row>
    <row r="844" spans="3:9" s="656" customFormat="1" ht="20.100000000000001" customHeight="1">
      <c r="C844" s="1199"/>
      <c r="D844" s="856" t="s">
        <v>374</v>
      </c>
      <c r="E844" s="872">
        <v>965181318900</v>
      </c>
      <c r="F844" s="855">
        <f>+F845</f>
        <v>716684609430</v>
      </c>
      <c r="G844" s="707">
        <f t="shared" si="40"/>
        <v>74.253883223391924</v>
      </c>
      <c r="H844" s="905">
        <v>75</v>
      </c>
      <c r="I844" s="663"/>
    </row>
    <row r="845" spans="3:9" s="656" customFormat="1" ht="20.100000000000001" customHeight="1">
      <c r="C845" s="1199"/>
      <c r="D845" s="859" t="s">
        <v>375</v>
      </c>
      <c r="E845" s="874">
        <v>965181318900</v>
      </c>
      <c r="F845" s="854">
        <f>+F846</f>
        <v>716684609430</v>
      </c>
      <c r="G845" s="707">
        <f t="shared" si="40"/>
        <v>74.253883223391924</v>
      </c>
      <c r="H845" s="905">
        <v>75</v>
      </c>
      <c r="I845" s="663"/>
    </row>
    <row r="846" spans="3:9" s="656" customFormat="1" ht="20.100000000000001" customHeight="1">
      <c r="C846" s="1199"/>
      <c r="D846" s="859" t="s">
        <v>376</v>
      </c>
      <c r="E846" s="874">
        <v>969955786900</v>
      </c>
      <c r="F846" s="873">
        <v>716684609430</v>
      </c>
      <c r="G846" s="707">
        <f t="shared" si="40"/>
        <v>73.888379151851836</v>
      </c>
      <c r="H846" s="905">
        <v>75</v>
      </c>
      <c r="I846" s="663"/>
    </row>
    <row r="847" spans="3:9" s="656" customFormat="1" ht="20.100000000000001" customHeight="1">
      <c r="C847" s="1199"/>
      <c r="D847" s="856" t="s">
        <v>2910</v>
      </c>
      <c r="E847" s="872">
        <v>112905208000</v>
      </c>
      <c r="F847" s="855">
        <f>+F848</f>
        <v>99226498354</v>
      </c>
      <c r="G847" s="707">
        <f t="shared" si="40"/>
        <v>87.884784158052298</v>
      </c>
      <c r="H847" s="905">
        <f>H848</f>
        <v>95</v>
      </c>
      <c r="I847" s="663"/>
    </row>
    <row r="848" spans="3:9" s="656" customFormat="1" ht="21.75" customHeight="1">
      <c r="C848" s="1199"/>
      <c r="D848" s="1062" t="s">
        <v>444</v>
      </c>
      <c r="E848" s="1200">
        <v>112905208000</v>
      </c>
      <c r="F848" s="1200">
        <v>99226498354</v>
      </c>
      <c r="G848" s="707">
        <f t="shared" si="40"/>
        <v>87.884784158052298</v>
      </c>
      <c r="H848" s="905">
        <f>H849</f>
        <v>95</v>
      </c>
      <c r="I848" s="663"/>
    </row>
    <row r="849" spans="3:9" s="656" customFormat="1" ht="19.5" customHeight="1">
      <c r="C849" s="1199"/>
      <c r="D849" s="1062" t="s">
        <v>95</v>
      </c>
      <c r="E849" s="1200">
        <v>47176100000</v>
      </c>
      <c r="F849" s="1200">
        <v>39794550000</v>
      </c>
      <c r="G849" s="707">
        <f t="shared" si="40"/>
        <v>84.353200031371827</v>
      </c>
      <c r="H849" s="905">
        <f>SUM((H850:H853))/4</f>
        <v>95</v>
      </c>
      <c r="I849" s="663"/>
    </row>
    <row r="850" spans="3:9" s="656" customFormat="1" ht="20.100000000000001" customHeight="1">
      <c r="C850" s="1199"/>
      <c r="D850" s="1068" t="s">
        <v>96</v>
      </c>
      <c r="E850" s="1198">
        <v>11121250000</v>
      </c>
      <c r="F850" s="1198">
        <v>10763750000</v>
      </c>
      <c r="G850" s="707">
        <f t="shared" si="40"/>
        <v>96.785433292120942</v>
      </c>
      <c r="H850" s="905">
        <v>100</v>
      </c>
      <c r="I850" s="663"/>
    </row>
    <row r="851" spans="3:9" s="656" customFormat="1" ht="20.100000000000001" customHeight="1">
      <c r="C851" s="1199"/>
      <c r="D851" s="1068" t="s">
        <v>2379</v>
      </c>
      <c r="E851" s="1198">
        <v>34000000000</v>
      </c>
      <c r="F851" s="1198">
        <v>27000000000</v>
      </c>
      <c r="G851" s="707">
        <f t="shared" si="40"/>
        <v>79.411764705882348</v>
      </c>
      <c r="H851" s="905">
        <v>80</v>
      </c>
      <c r="I851" s="663"/>
    </row>
    <row r="852" spans="3:9" s="656" customFormat="1" ht="20.100000000000001" customHeight="1">
      <c r="C852" s="1199"/>
      <c r="D852" s="1068" t="s">
        <v>100</v>
      </c>
      <c r="E852" s="1198">
        <v>1663300000</v>
      </c>
      <c r="F852" s="1198">
        <v>1645800000</v>
      </c>
      <c r="G852" s="707">
        <f t="shared" si="40"/>
        <v>98.947874706907953</v>
      </c>
      <c r="H852" s="905">
        <v>100</v>
      </c>
      <c r="I852" s="663"/>
    </row>
    <row r="853" spans="3:9" s="656" customFormat="1" ht="37.5" customHeight="1">
      <c r="C853" s="1199"/>
      <c r="D853" s="1059" t="s">
        <v>105</v>
      </c>
      <c r="E853" s="1198">
        <v>391550000</v>
      </c>
      <c r="F853" s="1198">
        <v>385000000</v>
      </c>
      <c r="G853" s="707">
        <f t="shared" si="40"/>
        <v>98.327161282084035</v>
      </c>
      <c r="H853" s="905">
        <v>100</v>
      </c>
      <c r="I853" s="663"/>
    </row>
    <row r="854" spans="3:9" s="656" customFormat="1" ht="20.100000000000001" customHeight="1">
      <c r="C854" s="1199"/>
      <c r="D854" s="1062" t="s">
        <v>108</v>
      </c>
      <c r="E854" s="1200">
        <v>24639940500</v>
      </c>
      <c r="F854" s="1200">
        <v>20814230487</v>
      </c>
      <c r="G854" s="707">
        <f t="shared" si="40"/>
        <v>84.473541999827475</v>
      </c>
      <c r="H854" s="905">
        <f>SUM((H855:H865))/11</f>
        <v>90.454545454545453</v>
      </c>
      <c r="I854" s="663"/>
    </row>
    <row r="855" spans="3:9" s="656" customFormat="1" ht="20.100000000000001" customHeight="1">
      <c r="C855" s="1199"/>
      <c r="D855" s="1068" t="s">
        <v>109</v>
      </c>
      <c r="E855" s="1198">
        <v>219500000</v>
      </c>
      <c r="F855" s="1198">
        <v>218322500</v>
      </c>
      <c r="G855" s="707">
        <f t="shared" si="40"/>
        <v>99.46355353075171</v>
      </c>
      <c r="H855" s="905">
        <v>100</v>
      </c>
      <c r="I855" s="663"/>
    </row>
    <row r="856" spans="3:9" s="656" customFormat="1" ht="20.100000000000001" customHeight="1">
      <c r="C856" s="1199"/>
      <c r="D856" s="1068" t="s">
        <v>110</v>
      </c>
      <c r="E856" s="1198">
        <v>938500000</v>
      </c>
      <c r="F856" s="1198">
        <v>936421100</v>
      </c>
      <c r="G856" s="707">
        <f t="shared" si="40"/>
        <v>99.778486947256255</v>
      </c>
      <c r="H856" s="905">
        <v>100</v>
      </c>
      <c r="I856" s="663"/>
    </row>
    <row r="857" spans="3:9" s="656" customFormat="1" ht="20.100000000000001" customHeight="1">
      <c r="C857" s="1199"/>
      <c r="D857" s="1068" t="s">
        <v>111</v>
      </c>
      <c r="E857" s="1198">
        <v>1740750000</v>
      </c>
      <c r="F857" s="1198">
        <v>1740750000</v>
      </c>
      <c r="G857" s="707">
        <f t="shared" si="40"/>
        <v>100</v>
      </c>
      <c r="H857" s="905">
        <f>+G857</f>
        <v>100</v>
      </c>
      <c r="I857" s="663"/>
    </row>
    <row r="858" spans="3:9" s="656" customFormat="1" ht="27.75" customHeight="1">
      <c r="C858" s="1199"/>
      <c r="D858" s="1059" t="s">
        <v>2909</v>
      </c>
      <c r="E858" s="1198">
        <v>704850000</v>
      </c>
      <c r="F858" s="1198">
        <v>704735400</v>
      </c>
      <c r="G858" s="707">
        <f t="shared" si="40"/>
        <v>99.983741221536491</v>
      </c>
      <c r="H858" s="905">
        <v>100</v>
      </c>
      <c r="I858" s="663"/>
    </row>
    <row r="859" spans="3:9" s="656" customFormat="1" ht="20.100000000000001" customHeight="1">
      <c r="C859" s="1199"/>
      <c r="D859" s="1068" t="s">
        <v>2908</v>
      </c>
      <c r="E859" s="1198">
        <v>2732600000</v>
      </c>
      <c r="F859" s="1198">
        <v>2577579600</v>
      </c>
      <c r="G859" s="707">
        <f t="shared" si="40"/>
        <v>94.326999926809634</v>
      </c>
      <c r="H859" s="905">
        <v>95</v>
      </c>
      <c r="I859" s="663"/>
    </row>
    <row r="860" spans="3:9" s="656" customFormat="1" ht="20.100000000000001" customHeight="1">
      <c r="C860" s="1199"/>
      <c r="D860" s="1068" t="s">
        <v>113</v>
      </c>
      <c r="E860" s="1198">
        <v>3883690000</v>
      </c>
      <c r="F860" s="1198">
        <v>2382059237</v>
      </c>
      <c r="G860" s="707">
        <f t="shared" si="40"/>
        <v>61.334947871740532</v>
      </c>
      <c r="H860" s="905">
        <v>65</v>
      </c>
      <c r="I860" s="663"/>
    </row>
    <row r="861" spans="3:9" s="656" customFormat="1" ht="20.100000000000001" customHeight="1">
      <c r="C861" s="1199"/>
      <c r="D861" s="1068" t="s">
        <v>2907</v>
      </c>
      <c r="E861" s="1198">
        <v>4911421000</v>
      </c>
      <c r="F861" s="1198">
        <v>3672306600</v>
      </c>
      <c r="G861" s="707">
        <f t="shared" si="40"/>
        <v>74.770755754800902</v>
      </c>
      <c r="H861" s="905">
        <v>75</v>
      </c>
      <c r="I861" s="663"/>
    </row>
    <row r="862" spans="3:9" s="656" customFormat="1" ht="20.100000000000001" customHeight="1">
      <c r="C862" s="1199"/>
      <c r="D862" s="1068" t="s">
        <v>114</v>
      </c>
      <c r="E862" s="1198">
        <v>1668400000</v>
      </c>
      <c r="F862" s="1198">
        <v>1319809200</v>
      </c>
      <c r="G862" s="707">
        <f t="shared" si="40"/>
        <v>79.10628146727403</v>
      </c>
      <c r="H862" s="905">
        <v>80</v>
      </c>
      <c r="I862" s="663"/>
    </row>
    <row r="863" spans="3:9" s="656" customFormat="1" ht="20.100000000000001" customHeight="1">
      <c r="C863" s="1199"/>
      <c r="D863" s="1068" t="s">
        <v>2906</v>
      </c>
      <c r="E863" s="1198">
        <v>3035400000</v>
      </c>
      <c r="F863" s="1198">
        <v>2991423800</v>
      </c>
      <c r="G863" s="707">
        <f t="shared" si="40"/>
        <v>98.551222244185283</v>
      </c>
      <c r="H863" s="905">
        <v>100</v>
      </c>
      <c r="I863" s="663"/>
    </row>
    <row r="864" spans="3:9" s="656" customFormat="1" ht="20.100000000000001" customHeight="1">
      <c r="C864" s="1199"/>
      <c r="D864" s="1068" t="s">
        <v>2905</v>
      </c>
      <c r="E864" s="1198">
        <v>3165380000</v>
      </c>
      <c r="F864" s="1198">
        <v>2837897750</v>
      </c>
      <c r="G864" s="707">
        <f t="shared" si="40"/>
        <v>89.654251622238093</v>
      </c>
      <c r="H864" s="905">
        <v>90</v>
      </c>
      <c r="I864" s="663"/>
    </row>
    <row r="865" spans="3:9" s="656" customFormat="1" ht="20.100000000000001" customHeight="1">
      <c r="C865" s="1199"/>
      <c r="D865" s="1068" t="s">
        <v>115</v>
      </c>
      <c r="E865" s="1198">
        <v>1639449500</v>
      </c>
      <c r="F865" s="1198">
        <v>1432925300</v>
      </c>
      <c r="G865" s="707">
        <f t="shared" si="40"/>
        <v>87.402832475169262</v>
      </c>
      <c r="H865" s="905">
        <v>90</v>
      </c>
      <c r="I865" s="663"/>
    </row>
    <row r="866" spans="3:9" s="656" customFormat="1" ht="20.100000000000001" customHeight="1">
      <c r="C866" s="1199"/>
      <c r="D866" s="1062" t="s">
        <v>116</v>
      </c>
      <c r="E866" s="1200">
        <v>12155000000</v>
      </c>
      <c r="F866" s="1200">
        <v>11165933560</v>
      </c>
      <c r="G866" s="707">
        <f t="shared" si="40"/>
        <v>91.862884080625264</v>
      </c>
      <c r="H866" s="905">
        <f>SUM((H867:H875))/9</f>
        <v>86.666666666666671</v>
      </c>
      <c r="I866" s="663"/>
    </row>
    <row r="867" spans="3:9" s="656" customFormat="1" ht="20.100000000000001" customHeight="1">
      <c r="C867" s="1199"/>
      <c r="D867" s="1068" t="s">
        <v>117</v>
      </c>
      <c r="E867" s="1198">
        <v>879200000</v>
      </c>
      <c r="F867" s="1198">
        <v>862029600</v>
      </c>
      <c r="G867" s="707">
        <f t="shared" si="40"/>
        <v>98.047042766151051</v>
      </c>
      <c r="H867" s="905">
        <v>100</v>
      </c>
      <c r="I867" s="663"/>
    </row>
    <row r="868" spans="3:9" s="656" customFormat="1" ht="20.100000000000001" customHeight="1">
      <c r="C868" s="1199"/>
      <c r="D868" s="1068" t="s">
        <v>118</v>
      </c>
      <c r="E868" s="1198">
        <v>2130000000</v>
      </c>
      <c r="F868" s="1198">
        <v>2126000000</v>
      </c>
      <c r="G868" s="707">
        <f t="shared" si="40"/>
        <v>99.812206572769952</v>
      </c>
      <c r="H868" s="905">
        <v>100</v>
      </c>
      <c r="I868" s="663"/>
    </row>
    <row r="869" spans="3:9" s="656" customFormat="1" ht="20.100000000000001" customHeight="1">
      <c r="C869" s="1199"/>
      <c r="D869" s="1068" t="s">
        <v>2904</v>
      </c>
      <c r="E869" s="1198">
        <v>431900000</v>
      </c>
      <c r="F869" s="1198">
        <v>399900000</v>
      </c>
      <c r="G869" s="707">
        <f t="shared" si="40"/>
        <v>92.590877517943966</v>
      </c>
      <c r="H869" s="905">
        <v>95</v>
      </c>
      <c r="I869" s="663"/>
    </row>
    <row r="870" spans="3:9" s="656" customFormat="1" ht="20.100000000000001" customHeight="1">
      <c r="C870" s="1199"/>
      <c r="D870" s="1068" t="s">
        <v>2903</v>
      </c>
      <c r="E870" s="1198">
        <v>5000000000</v>
      </c>
      <c r="F870" s="1198">
        <v>4356496200</v>
      </c>
      <c r="G870" s="707">
        <f t="shared" si="40"/>
        <v>87.129924000000003</v>
      </c>
      <c r="H870" s="905">
        <v>90</v>
      </c>
      <c r="I870" s="663"/>
    </row>
    <row r="871" spans="3:9" s="656" customFormat="1" ht="33" customHeight="1">
      <c r="C871" s="1199"/>
      <c r="D871" s="1059" t="s">
        <v>2902</v>
      </c>
      <c r="E871" s="1198">
        <v>1004700000</v>
      </c>
      <c r="F871" s="1198">
        <v>976916200</v>
      </c>
      <c r="G871" s="707">
        <f t="shared" si="40"/>
        <v>97.234617298696122</v>
      </c>
      <c r="H871" s="905">
        <v>100</v>
      </c>
      <c r="I871" s="663"/>
    </row>
    <row r="872" spans="3:9" ht="20.100000000000001" customHeight="1">
      <c r="C872" s="1204"/>
      <c r="D872" s="1068" t="s">
        <v>2901</v>
      </c>
      <c r="E872" s="1198">
        <v>378000000</v>
      </c>
      <c r="F872" s="1198">
        <v>378000000</v>
      </c>
      <c r="G872" s="707">
        <f t="shared" si="40"/>
        <v>100</v>
      </c>
      <c r="H872" s="905">
        <f>+G872</f>
        <v>100</v>
      </c>
      <c r="I872" s="659"/>
    </row>
    <row r="873" spans="3:9" s="656" customFormat="1" ht="20.100000000000001" customHeight="1">
      <c r="C873" s="1199"/>
      <c r="D873" s="1068" t="s">
        <v>122</v>
      </c>
      <c r="E873" s="1198">
        <v>780500000</v>
      </c>
      <c r="F873" s="1198">
        <v>780207000</v>
      </c>
      <c r="G873" s="707">
        <f t="shared" si="40"/>
        <v>99.962459961563098</v>
      </c>
      <c r="H873" s="905">
        <v>100</v>
      </c>
      <c r="I873" s="663"/>
    </row>
    <row r="874" spans="3:9" s="656" customFormat="1" ht="20.100000000000001" customHeight="1">
      <c r="C874" s="1199"/>
      <c r="D874" s="1068" t="s">
        <v>2900</v>
      </c>
      <c r="E874" s="1198">
        <v>153500000</v>
      </c>
      <c r="F874" s="1198">
        <v>0</v>
      </c>
      <c r="G874" s="707">
        <f t="shared" ref="G874:G896" si="41">+F874/E874*100</f>
        <v>0</v>
      </c>
      <c r="H874" s="905">
        <f>+G874</f>
        <v>0</v>
      </c>
      <c r="I874" s="663"/>
    </row>
    <row r="875" spans="3:9" s="656" customFormat="1" ht="28.5" customHeight="1">
      <c r="C875" s="1199"/>
      <c r="D875" s="1059" t="s">
        <v>2899</v>
      </c>
      <c r="E875" s="1198">
        <v>1397200000</v>
      </c>
      <c r="F875" s="1198">
        <v>1286384560</v>
      </c>
      <c r="G875" s="707">
        <f t="shared" si="41"/>
        <v>92.068748926424277</v>
      </c>
      <c r="H875" s="905">
        <v>95</v>
      </c>
      <c r="I875" s="663"/>
    </row>
    <row r="876" spans="3:9" s="656" customFormat="1" ht="20.100000000000001" customHeight="1">
      <c r="C876" s="1199"/>
      <c r="D876" s="1062" t="s">
        <v>2308</v>
      </c>
      <c r="E876" s="1200">
        <v>800000000</v>
      </c>
      <c r="F876" s="1200">
        <v>520000000</v>
      </c>
      <c r="G876" s="707">
        <f t="shared" si="41"/>
        <v>65</v>
      </c>
      <c r="H876" s="905">
        <f>+G876</f>
        <v>65</v>
      </c>
      <c r="I876" s="663"/>
    </row>
    <row r="877" spans="3:9" s="656" customFormat="1" ht="20.100000000000001" customHeight="1">
      <c r="C877" s="1199"/>
      <c r="D877" s="1068" t="s">
        <v>2898</v>
      </c>
      <c r="E877" s="1198">
        <v>800000000</v>
      </c>
      <c r="F877" s="1198">
        <v>520000000</v>
      </c>
      <c r="G877" s="707">
        <f t="shared" si="41"/>
        <v>65</v>
      </c>
      <c r="H877" s="905">
        <f>+G877</f>
        <v>65</v>
      </c>
      <c r="I877" s="663"/>
    </row>
    <row r="878" spans="3:9" s="656" customFormat="1" ht="20.100000000000001" customHeight="1">
      <c r="C878" s="1199"/>
      <c r="D878" s="1062" t="s">
        <v>124</v>
      </c>
      <c r="E878" s="1200">
        <v>21283150000</v>
      </c>
      <c r="F878" s="1200">
        <v>20281686700</v>
      </c>
      <c r="G878" s="707">
        <f t="shared" si="41"/>
        <v>95.294571997096284</v>
      </c>
      <c r="H878" s="905">
        <f>SUM((H879:H888))/10</f>
        <v>97</v>
      </c>
      <c r="I878" s="663"/>
    </row>
    <row r="879" spans="3:9" s="656" customFormat="1" ht="20.100000000000001" customHeight="1">
      <c r="C879" s="1199"/>
      <c r="D879" s="1068" t="s">
        <v>125</v>
      </c>
      <c r="E879" s="1198">
        <v>3647900000</v>
      </c>
      <c r="F879" s="1198">
        <v>3123344900</v>
      </c>
      <c r="G879" s="707">
        <f t="shared" si="41"/>
        <v>85.620354176375443</v>
      </c>
      <c r="H879" s="905">
        <v>90</v>
      </c>
      <c r="I879" s="663"/>
    </row>
    <row r="880" spans="3:9" s="656" customFormat="1" ht="20.100000000000001" customHeight="1">
      <c r="C880" s="1199"/>
      <c r="D880" s="1068" t="s">
        <v>126</v>
      </c>
      <c r="E880" s="1198">
        <v>10991400000</v>
      </c>
      <c r="F880" s="1198">
        <v>10956610000</v>
      </c>
      <c r="G880" s="707">
        <f t="shared" si="41"/>
        <v>99.683479811488979</v>
      </c>
      <c r="H880" s="905">
        <v>100</v>
      </c>
      <c r="I880" s="663"/>
    </row>
    <row r="881" spans="3:9" s="656" customFormat="1" ht="20.100000000000001" customHeight="1">
      <c r="C881" s="1199"/>
      <c r="D881" s="1068" t="s">
        <v>2897</v>
      </c>
      <c r="E881" s="1198">
        <v>318000000</v>
      </c>
      <c r="F881" s="1198">
        <v>318000000</v>
      </c>
      <c r="G881" s="707">
        <f t="shared" si="41"/>
        <v>100</v>
      </c>
      <c r="H881" s="905">
        <f>+G881</f>
        <v>100</v>
      </c>
      <c r="I881" s="663"/>
    </row>
    <row r="882" spans="3:9" s="656" customFormat="1" ht="20.100000000000001" customHeight="1">
      <c r="C882" s="1199"/>
      <c r="D882" s="1068" t="s">
        <v>128</v>
      </c>
      <c r="E882" s="1198">
        <v>350100000</v>
      </c>
      <c r="F882" s="1198">
        <v>350100000</v>
      </c>
      <c r="G882" s="707">
        <f t="shared" si="41"/>
        <v>100</v>
      </c>
      <c r="H882" s="905">
        <f>+G882</f>
        <v>100</v>
      </c>
      <c r="I882" s="663"/>
    </row>
    <row r="883" spans="3:9" s="656" customFormat="1" ht="20.100000000000001" customHeight="1">
      <c r="C883" s="1199"/>
      <c r="D883" s="1068" t="s">
        <v>2896</v>
      </c>
      <c r="E883" s="1198">
        <v>638050000</v>
      </c>
      <c r="F883" s="1198">
        <v>638050000</v>
      </c>
      <c r="G883" s="707">
        <f t="shared" si="41"/>
        <v>100</v>
      </c>
      <c r="H883" s="905">
        <f>+G883</f>
        <v>100</v>
      </c>
      <c r="I883" s="663"/>
    </row>
    <row r="884" spans="3:9" s="656" customFormat="1" ht="20.100000000000001" customHeight="1">
      <c r="C884" s="1199"/>
      <c r="D884" s="1068" t="s">
        <v>130</v>
      </c>
      <c r="E884" s="1198">
        <v>16000000</v>
      </c>
      <c r="F884" s="1198">
        <v>16000000</v>
      </c>
      <c r="G884" s="707">
        <f t="shared" si="41"/>
        <v>100</v>
      </c>
      <c r="H884" s="905">
        <f>+G884</f>
        <v>100</v>
      </c>
      <c r="I884" s="663"/>
    </row>
    <row r="885" spans="3:9" s="656" customFormat="1" ht="20.100000000000001" customHeight="1">
      <c r="C885" s="1199"/>
      <c r="D885" s="1068" t="s">
        <v>2380</v>
      </c>
      <c r="E885" s="1198">
        <v>2857000000</v>
      </c>
      <c r="F885" s="1198">
        <v>2579042000</v>
      </c>
      <c r="G885" s="707">
        <f t="shared" si="41"/>
        <v>90.270983549177458</v>
      </c>
      <c r="H885" s="905">
        <v>90</v>
      </c>
      <c r="I885" s="663"/>
    </row>
    <row r="886" spans="3:9" s="656" customFormat="1" ht="20.100000000000001" customHeight="1">
      <c r="C886" s="1199"/>
      <c r="D886" s="1068" t="s">
        <v>2895</v>
      </c>
      <c r="E886" s="1198">
        <v>996900000</v>
      </c>
      <c r="F886" s="1198">
        <v>972596000</v>
      </c>
      <c r="G886" s="707">
        <f t="shared" si="41"/>
        <v>97.562042331226806</v>
      </c>
      <c r="H886" s="905">
        <v>100</v>
      </c>
      <c r="I886" s="663"/>
    </row>
    <row r="887" spans="3:9" s="656" customFormat="1" ht="20.100000000000001" customHeight="1">
      <c r="C887" s="1199"/>
      <c r="D887" s="1068" t="s">
        <v>2894</v>
      </c>
      <c r="E887" s="1198">
        <v>487100000</v>
      </c>
      <c r="F887" s="1198">
        <v>472100000</v>
      </c>
      <c r="G887" s="707">
        <f t="shared" si="41"/>
        <v>96.920550195031822</v>
      </c>
      <c r="H887" s="905">
        <v>100</v>
      </c>
      <c r="I887" s="663"/>
    </row>
    <row r="888" spans="3:9" s="656" customFormat="1" ht="20.100000000000001" customHeight="1">
      <c r="C888" s="1199"/>
      <c r="D888" s="1068" t="s">
        <v>2893</v>
      </c>
      <c r="E888" s="1198">
        <v>980700000</v>
      </c>
      <c r="F888" s="1198">
        <v>855843800</v>
      </c>
      <c r="G888" s="707">
        <f t="shared" si="41"/>
        <v>87.268665239114924</v>
      </c>
      <c r="H888" s="905">
        <v>90</v>
      </c>
      <c r="I888" s="663"/>
    </row>
    <row r="889" spans="3:9" s="656" customFormat="1" ht="20.100000000000001" customHeight="1">
      <c r="C889" s="1199"/>
      <c r="D889" s="1062" t="s">
        <v>131</v>
      </c>
      <c r="E889" s="1200">
        <v>6851017500</v>
      </c>
      <c r="F889" s="1200">
        <v>6650097607</v>
      </c>
      <c r="G889" s="707">
        <f t="shared" si="41"/>
        <v>97.067298499821376</v>
      </c>
      <c r="H889" s="905">
        <f>SUM((H890:H896))/7</f>
        <v>98.571428571428569</v>
      </c>
      <c r="I889" s="663"/>
    </row>
    <row r="890" spans="3:9" s="656" customFormat="1" ht="20.100000000000001" customHeight="1">
      <c r="C890" s="1199"/>
      <c r="D890" s="1068" t="s">
        <v>132</v>
      </c>
      <c r="E890" s="1198">
        <v>2718217500</v>
      </c>
      <c r="F890" s="1198">
        <v>2688901957</v>
      </c>
      <c r="G890" s="707">
        <f t="shared" si="41"/>
        <v>98.921515919899718</v>
      </c>
      <c r="H890" s="905">
        <v>100</v>
      </c>
      <c r="I890" s="663"/>
    </row>
    <row r="891" spans="3:9" s="656" customFormat="1" ht="20.100000000000001" customHeight="1">
      <c r="C891" s="1199"/>
      <c r="D891" s="1068" t="s">
        <v>133</v>
      </c>
      <c r="E891" s="1198">
        <v>446000000</v>
      </c>
      <c r="F891" s="1198">
        <v>445203400</v>
      </c>
      <c r="G891" s="707">
        <f t="shared" si="41"/>
        <v>99.821390134529153</v>
      </c>
      <c r="H891" s="905">
        <v>100</v>
      </c>
      <c r="I891" s="663"/>
    </row>
    <row r="892" spans="3:9" s="656" customFormat="1" ht="20.100000000000001" customHeight="1">
      <c r="C892" s="1199"/>
      <c r="D892" s="1068" t="s">
        <v>134</v>
      </c>
      <c r="E892" s="1198">
        <v>722800000</v>
      </c>
      <c r="F892" s="1198">
        <v>715920600</v>
      </c>
      <c r="G892" s="707">
        <f t="shared" si="41"/>
        <v>99.048229109020482</v>
      </c>
      <c r="H892" s="905">
        <v>100</v>
      </c>
      <c r="I892" s="663"/>
    </row>
    <row r="893" spans="3:9" s="656" customFormat="1" ht="20.100000000000001" customHeight="1">
      <c r="C893" s="1199"/>
      <c r="D893" s="1068" t="s">
        <v>2892</v>
      </c>
      <c r="E893" s="1198">
        <v>837700000</v>
      </c>
      <c r="F893" s="1198">
        <v>833385800</v>
      </c>
      <c r="G893" s="707">
        <f t="shared" si="41"/>
        <v>99.484994628148499</v>
      </c>
      <c r="H893" s="905">
        <v>100</v>
      </c>
      <c r="I893" s="663"/>
    </row>
    <row r="894" spans="3:9" s="656" customFormat="1" ht="20.100000000000001" customHeight="1">
      <c r="C894" s="1199"/>
      <c r="D894" s="1068" t="s">
        <v>2891</v>
      </c>
      <c r="E894" s="1198">
        <v>447600000</v>
      </c>
      <c r="F894" s="1198">
        <v>443620800</v>
      </c>
      <c r="G894" s="707">
        <f t="shared" si="41"/>
        <v>99.110991957104559</v>
      </c>
      <c r="H894" s="905">
        <v>100</v>
      </c>
      <c r="I894" s="663"/>
    </row>
    <row r="895" spans="3:9" s="656" customFormat="1" ht="20.100000000000001" customHeight="1">
      <c r="C895" s="1199"/>
      <c r="D895" s="1068" t="s">
        <v>141</v>
      </c>
      <c r="E895" s="1198">
        <v>713146000</v>
      </c>
      <c r="F895" s="1198">
        <v>706345050</v>
      </c>
      <c r="G895" s="707">
        <f t="shared" si="41"/>
        <v>99.046345348638283</v>
      </c>
      <c r="H895" s="905">
        <v>100</v>
      </c>
      <c r="I895" s="663"/>
    </row>
    <row r="896" spans="3:9" s="656" customFormat="1" ht="20.100000000000001" customHeight="1">
      <c r="C896" s="1199"/>
      <c r="D896" s="1068" t="s">
        <v>142</v>
      </c>
      <c r="E896" s="1198">
        <v>965554000</v>
      </c>
      <c r="F896" s="1198">
        <v>816720000</v>
      </c>
      <c r="G896" s="707">
        <f t="shared" si="41"/>
        <v>84.585636846825764</v>
      </c>
      <c r="H896" s="905">
        <v>90</v>
      </c>
      <c r="I896" s="663"/>
    </row>
    <row r="897" spans="3:9" s="656" customFormat="1" ht="20.100000000000001" customHeight="1">
      <c r="C897" s="1199"/>
      <c r="D897" s="982"/>
      <c r="E897" s="1202">
        <v>0</v>
      </c>
      <c r="F897" s="418"/>
      <c r="G897" s="1201"/>
      <c r="H897" s="318"/>
      <c r="I897" s="663"/>
    </row>
    <row r="898" spans="3:9" s="656" customFormat="1" ht="21.75" customHeight="1">
      <c r="C898" s="1199"/>
      <c r="D898" s="984" t="s">
        <v>2384</v>
      </c>
      <c r="E898" s="1203">
        <v>8784500000</v>
      </c>
      <c r="F898" s="1203">
        <f>+F899</f>
        <v>6946517391</v>
      </c>
      <c r="G898" s="1201">
        <f>+G899</f>
        <v>82.849512684119503</v>
      </c>
      <c r="H898" s="318">
        <f>85/2</f>
        <v>42.5</v>
      </c>
      <c r="I898" s="663"/>
    </row>
    <row r="899" spans="3:9" s="656" customFormat="1" ht="20.100000000000001" customHeight="1">
      <c r="C899" s="1199"/>
      <c r="D899" s="984" t="s">
        <v>2390</v>
      </c>
      <c r="E899" s="1198">
        <v>8384500000</v>
      </c>
      <c r="F899" s="1198">
        <v>6946517391</v>
      </c>
      <c r="G899" s="707">
        <f>+F899/E899*100</f>
        <v>82.849512684119503</v>
      </c>
      <c r="H899" s="905">
        <v>85</v>
      </c>
      <c r="I899" s="663"/>
    </row>
    <row r="900" spans="3:9" s="656" customFormat="1" ht="20.100000000000001" customHeight="1">
      <c r="C900" s="1199"/>
      <c r="D900" s="982" t="s">
        <v>2391</v>
      </c>
      <c r="E900" s="1198">
        <v>8384500000</v>
      </c>
      <c r="F900" s="1198">
        <v>6946517391</v>
      </c>
      <c r="G900" s="707">
        <f>+F900/E900*100</f>
        <v>82.849512684119503</v>
      </c>
      <c r="H900" s="905">
        <v>85</v>
      </c>
      <c r="I900" s="663"/>
    </row>
    <row r="901" spans="3:9" s="656" customFormat="1" ht="20.100000000000001" customHeight="1">
      <c r="C901" s="1199"/>
      <c r="D901" s="984" t="s">
        <v>221</v>
      </c>
      <c r="E901" s="1202">
        <v>400000000</v>
      </c>
      <c r="F901" s="418"/>
      <c r="G901" s="1201"/>
      <c r="H901" s="318"/>
      <c r="I901" s="663"/>
    </row>
    <row r="902" spans="3:9" s="656" customFormat="1" ht="20.100000000000001" customHeight="1">
      <c r="C902" s="1199"/>
      <c r="D902" s="982" t="s">
        <v>2403</v>
      </c>
      <c r="E902" s="1202">
        <v>400000000</v>
      </c>
      <c r="F902" s="418"/>
      <c r="G902" s="1201"/>
      <c r="H902" s="318"/>
      <c r="I902" s="663"/>
    </row>
    <row r="903" spans="3:9" s="656" customFormat="1" ht="20.100000000000001" customHeight="1">
      <c r="C903" s="1199"/>
      <c r="D903" s="982"/>
      <c r="E903" s="1202">
        <v>0</v>
      </c>
      <c r="F903" s="418"/>
      <c r="G903" s="1201"/>
      <c r="H903" s="318"/>
      <c r="I903" s="663"/>
    </row>
    <row r="904" spans="3:9" s="656" customFormat="1" ht="21.75" customHeight="1">
      <c r="C904" s="1199"/>
      <c r="D904" s="984" t="s">
        <v>2408</v>
      </c>
      <c r="E904" s="1200">
        <v>1361656000</v>
      </c>
      <c r="F904" s="1200">
        <v>1039329131</v>
      </c>
      <c r="G904" s="707">
        <f>+F904/E904*100</f>
        <v>76.328318679607776</v>
      </c>
      <c r="H904" s="905">
        <v>80</v>
      </c>
      <c r="I904" s="663"/>
    </row>
    <row r="905" spans="3:9" s="656" customFormat="1" ht="20.100000000000001" customHeight="1">
      <c r="C905" s="1199"/>
      <c r="D905" s="984" t="s">
        <v>243</v>
      </c>
      <c r="E905" s="1198">
        <v>1361656000</v>
      </c>
      <c r="F905" s="1198">
        <v>1039329131</v>
      </c>
      <c r="G905" s="707">
        <f>+F905/E905*100</f>
        <v>76.328318679607776</v>
      </c>
      <c r="H905" s="905">
        <v>80</v>
      </c>
      <c r="I905" s="663"/>
    </row>
    <row r="906" spans="3:9" s="656" customFormat="1" ht="20.100000000000001" customHeight="1">
      <c r="C906" s="1199"/>
      <c r="D906" s="982" t="s">
        <v>2415</v>
      </c>
      <c r="E906" s="1198">
        <v>1361656000</v>
      </c>
      <c r="F906" s="1198">
        <v>1039329131</v>
      </c>
      <c r="G906" s="707">
        <f>+F906/E906*100</f>
        <v>76.328318679607776</v>
      </c>
      <c r="H906" s="905">
        <v>80</v>
      </c>
      <c r="I906" s="663"/>
    </row>
    <row r="907" spans="3:9" s="656" customFormat="1" ht="20.100000000000001" customHeight="1">
      <c r="C907" s="1199"/>
      <c r="D907" s="982"/>
      <c r="E907" s="1202">
        <v>0</v>
      </c>
      <c r="F907" s="418"/>
      <c r="G907" s="1201"/>
      <c r="H907" s="318"/>
      <c r="I907" s="663"/>
    </row>
    <row r="908" spans="3:9" s="656" customFormat="1" ht="21.75" customHeight="1">
      <c r="C908" s="1199"/>
      <c r="D908" s="984" t="s">
        <v>2063</v>
      </c>
      <c r="E908" s="1200">
        <v>1543558300</v>
      </c>
      <c r="F908" s="1200">
        <v>1268220383</v>
      </c>
      <c r="G908" s="707">
        <f>+F908/E908*100</f>
        <v>82.1621303840613</v>
      </c>
      <c r="H908" s="905">
        <v>85</v>
      </c>
      <c r="I908" s="663"/>
    </row>
    <row r="909" spans="3:9" s="656" customFormat="1" ht="29.25" customHeight="1">
      <c r="C909" s="1199"/>
      <c r="D909" s="984" t="s">
        <v>546</v>
      </c>
      <c r="E909" s="1198">
        <v>1543558300</v>
      </c>
      <c r="F909" s="1198">
        <v>1268220383</v>
      </c>
      <c r="G909" s="707">
        <f>+F909/E909*100</f>
        <v>82.1621303840613</v>
      </c>
      <c r="H909" s="905">
        <v>85</v>
      </c>
      <c r="I909" s="663"/>
    </row>
    <row r="910" spans="3:9" s="656" customFormat="1" ht="20.100000000000001" customHeight="1">
      <c r="C910" s="1199"/>
      <c r="D910" s="982" t="s">
        <v>2862</v>
      </c>
      <c r="E910" s="1198">
        <v>1543558300</v>
      </c>
      <c r="F910" s="1198">
        <v>1268220383</v>
      </c>
      <c r="G910" s="707">
        <f>+F910/E910*100</f>
        <v>82.1621303840613</v>
      </c>
      <c r="H910" s="905">
        <v>85</v>
      </c>
      <c r="I910" s="663"/>
    </row>
    <row r="911" spans="3:9" s="656" customFormat="1" ht="20.100000000000001" customHeight="1">
      <c r="C911" s="1199"/>
      <c r="D911" s="984"/>
      <c r="E911" s="1202">
        <v>0</v>
      </c>
      <c r="F911" s="418"/>
      <c r="G911" s="1201"/>
      <c r="H911" s="318"/>
      <c r="I911" s="663"/>
    </row>
    <row r="912" spans="3:9" s="656" customFormat="1" ht="21.75" customHeight="1">
      <c r="C912" s="1199"/>
      <c r="D912" s="984" t="s">
        <v>901</v>
      </c>
      <c r="E912" s="1203">
        <v>1894400000</v>
      </c>
      <c r="F912" s="318">
        <f>+F913+F915+F918</f>
        <v>1855389800</v>
      </c>
      <c r="G912" s="1201">
        <f t="shared" ref="G912:G921" si="42">+F912/E912*100</f>
        <v>97.940762246621631</v>
      </c>
      <c r="H912" s="318">
        <f>+G912</f>
        <v>97.940762246621631</v>
      </c>
      <c r="I912" s="663"/>
    </row>
    <row r="913" spans="3:9" s="656" customFormat="1" ht="20.100000000000001" customHeight="1">
      <c r="C913" s="1199"/>
      <c r="D913" s="984" t="s">
        <v>904</v>
      </c>
      <c r="E913" s="1198">
        <v>438000000</v>
      </c>
      <c r="F913" s="1198">
        <v>424181100</v>
      </c>
      <c r="G913" s="707">
        <f t="shared" si="42"/>
        <v>96.844999999999999</v>
      </c>
      <c r="H913" s="905">
        <v>100</v>
      </c>
      <c r="I913" s="663"/>
    </row>
    <row r="914" spans="3:9" s="656" customFormat="1" ht="20.100000000000001" customHeight="1">
      <c r="C914" s="1199"/>
      <c r="D914" s="982" t="s">
        <v>2439</v>
      </c>
      <c r="E914" s="1198">
        <v>438000000</v>
      </c>
      <c r="F914" s="1198">
        <v>424181100</v>
      </c>
      <c r="G914" s="707">
        <f t="shared" si="42"/>
        <v>96.844999999999999</v>
      </c>
      <c r="H914" s="905">
        <v>100</v>
      </c>
      <c r="I914" s="663"/>
    </row>
    <row r="915" spans="3:9" s="656" customFormat="1" ht="20.100000000000001" customHeight="1">
      <c r="C915" s="1199"/>
      <c r="D915" s="984" t="s">
        <v>908</v>
      </c>
      <c r="E915" s="1202">
        <v>650000000</v>
      </c>
      <c r="F915" s="418">
        <f>+F916+F917</f>
        <v>633506400</v>
      </c>
      <c r="G915" s="1201">
        <f t="shared" si="42"/>
        <v>97.462523076923077</v>
      </c>
      <c r="H915" s="318">
        <v>100</v>
      </c>
      <c r="I915" s="663"/>
    </row>
    <row r="916" spans="3:9" s="656" customFormat="1" ht="20.100000000000001" customHeight="1">
      <c r="C916" s="1199"/>
      <c r="D916" s="982" t="s">
        <v>2442</v>
      </c>
      <c r="E916" s="1198">
        <v>300000000</v>
      </c>
      <c r="F916" s="1198">
        <v>284906400</v>
      </c>
      <c r="G916" s="707">
        <f t="shared" si="42"/>
        <v>94.968800000000002</v>
      </c>
      <c r="H916" s="905">
        <v>100</v>
      </c>
      <c r="I916" s="663"/>
    </row>
    <row r="917" spans="3:9" s="656" customFormat="1" ht="20.100000000000001" customHeight="1">
      <c r="C917" s="1199"/>
      <c r="D917" s="982" t="s">
        <v>2829</v>
      </c>
      <c r="E917" s="1198">
        <v>350000000</v>
      </c>
      <c r="F917" s="1198">
        <v>348600000</v>
      </c>
      <c r="G917" s="707">
        <f t="shared" si="42"/>
        <v>99.6</v>
      </c>
      <c r="H917" s="905">
        <v>100</v>
      </c>
      <c r="I917" s="663"/>
    </row>
    <row r="918" spans="3:9" s="656" customFormat="1" ht="20.100000000000001" customHeight="1">
      <c r="C918" s="1199"/>
      <c r="D918" s="984" t="s">
        <v>2445</v>
      </c>
      <c r="E918" s="1200">
        <v>806400000</v>
      </c>
      <c r="F918" s="1200">
        <v>797702300</v>
      </c>
      <c r="G918" s="707">
        <f t="shared" si="42"/>
        <v>98.921416170634927</v>
      </c>
      <c r="H918" s="905">
        <v>100</v>
      </c>
      <c r="I918" s="663"/>
    </row>
    <row r="919" spans="3:9" s="656" customFormat="1" ht="20.100000000000001" customHeight="1">
      <c r="C919" s="1199"/>
      <c r="D919" s="982" t="s">
        <v>2827</v>
      </c>
      <c r="E919" s="1198">
        <v>200000000</v>
      </c>
      <c r="F919" s="1198">
        <v>199739600</v>
      </c>
      <c r="G919" s="707">
        <f t="shared" si="42"/>
        <v>99.869799999999998</v>
      </c>
      <c r="H919" s="905">
        <v>100</v>
      </c>
      <c r="I919" s="663"/>
    </row>
    <row r="920" spans="3:9" s="656" customFormat="1" ht="20.100000000000001" customHeight="1">
      <c r="C920" s="1199"/>
      <c r="D920" s="982" t="s">
        <v>2446</v>
      </c>
      <c r="E920" s="1198">
        <v>206400000</v>
      </c>
      <c r="F920" s="1198">
        <v>206332700</v>
      </c>
      <c r="G920" s="707">
        <f t="shared" si="42"/>
        <v>99.967393410852708</v>
      </c>
      <c r="H920" s="905">
        <v>100</v>
      </c>
      <c r="I920" s="663"/>
    </row>
    <row r="921" spans="3:9" s="656" customFormat="1" ht="20.100000000000001" customHeight="1">
      <c r="C921" s="1199"/>
      <c r="D921" s="982" t="s">
        <v>2447</v>
      </c>
      <c r="E921" s="1198">
        <v>400000000</v>
      </c>
      <c r="F921" s="1198">
        <v>391630000</v>
      </c>
      <c r="G921" s="707">
        <f t="shared" si="42"/>
        <v>97.907499999999999</v>
      </c>
      <c r="H921" s="905">
        <v>100</v>
      </c>
      <c r="I921" s="663"/>
    </row>
    <row r="922" spans="3:9" s="656" customFormat="1" ht="15" customHeight="1">
      <c r="C922" s="1197"/>
      <c r="D922" s="1196"/>
      <c r="E922" s="1195">
        <v>0</v>
      </c>
      <c r="F922" s="1194"/>
      <c r="G922" s="1193"/>
      <c r="H922" s="668"/>
      <c r="I922" s="670"/>
    </row>
    <row r="923" spans="3:9" s="656" customFormat="1" ht="21.75" customHeight="1">
      <c r="C923" s="1192"/>
      <c r="D923" s="1191" t="s">
        <v>76</v>
      </c>
      <c r="E923" s="1190">
        <f>E842+E99+E13</f>
        <v>2078261268559.6189</v>
      </c>
      <c r="F923" s="1190">
        <f>F842+F99+F13</f>
        <v>1577647288066.7</v>
      </c>
      <c r="G923" s="1189">
        <f>F923/E923*100</f>
        <v>75.911884224264085</v>
      </c>
      <c r="H923" s="461">
        <f>(H842+H99+H13)/3</f>
        <v>84.548770661838532</v>
      </c>
      <c r="I923" s="1188"/>
    </row>
    <row r="927" spans="3:9" ht="29.25" customHeight="1">
      <c r="D927" s="1187"/>
    </row>
    <row r="928" spans="3:9">
      <c r="D928" s="1186"/>
    </row>
    <row r="930" spans="1:16138" s="619" customFormat="1">
      <c r="A930" s="18"/>
      <c r="B930" s="18"/>
      <c r="C930" s="832"/>
      <c r="D930" s="835"/>
      <c r="F930" s="466"/>
      <c r="G930" s="1185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  <c r="AV930" s="18"/>
      <c r="AW930" s="18"/>
      <c r="AX930" s="18"/>
      <c r="AY930" s="18"/>
      <c r="AZ930" s="18"/>
      <c r="BA930" s="18"/>
      <c r="BB930" s="18"/>
      <c r="BC930" s="18"/>
      <c r="BD930" s="18"/>
      <c r="BE930" s="18"/>
      <c r="BF930" s="18"/>
      <c r="BG930" s="18"/>
      <c r="BH930" s="18"/>
      <c r="BI930" s="18"/>
      <c r="BJ930" s="18"/>
      <c r="BK930" s="18"/>
      <c r="BL930" s="18"/>
      <c r="BM930" s="18"/>
      <c r="BN930" s="18"/>
      <c r="BO930" s="18"/>
      <c r="BP930" s="18"/>
      <c r="BQ930" s="18"/>
      <c r="BR930" s="18"/>
      <c r="BS930" s="18"/>
      <c r="BT930" s="18"/>
      <c r="BU930" s="18"/>
      <c r="BV930" s="18"/>
      <c r="BW930" s="18"/>
      <c r="BX930" s="18"/>
      <c r="BY930" s="18"/>
      <c r="BZ930" s="18"/>
      <c r="CA930" s="18"/>
      <c r="CB930" s="18"/>
      <c r="CC930" s="18"/>
      <c r="CD930" s="18"/>
      <c r="CE930" s="18"/>
      <c r="CF930" s="18"/>
      <c r="CG930" s="18"/>
      <c r="CH930" s="18"/>
      <c r="CI930" s="18"/>
      <c r="CJ930" s="18"/>
      <c r="CK930" s="18"/>
      <c r="CL930" s="18"/>
      <c r="CM930" s="18"/>
      <c r="CN930" s="18"/>
      <c r="CO930" s="18"/>
      <c r="CP930" s="18"/>
      <c r="CQ930" s="18"/>
      <c r="CR930" s="18"/>
      <c r="CS930" s="18"/>
      <c r="CT930" s="18"/>
      <c r="CU930" s="18"/>
      <c r="CV930" s="18"/>
      <c r="CW930" s="18"/>
      <c r="CX930" s="18"/>
      <c r="CY930" s="18"/>
      <c r="CZ930" s="18"/>
      <c r="DA930" s="18"/>
      <c r="DB930" s="18"/>
      <c r="DC930" s="18"/>
      <c r="DD930" s="18"/>
      <c r="DE930" s="18"/>
      <c r="DF930" s="18"/>
      <c r="DG930" s="18"/>
      <c r="DH930" s="18"/>
      <c r="DI930" s="18"/>
      <c r="DJ930" s="18"/>
      <c r="DK930" s="18"/>
      <c r="DL930" s="18"/>
      <c r="DM930" s="18"/>
      <c r="DN930" s="18"/>
      <c r="DO930" s="18"/>
      <c r="DP930" s="18"/>
      <c r="DQ930" s="18"/>
      <c r="DR930" s="18"/>
      <c r="DS930" s="18"/>
      <c r="DT930" s="18"/>
      <c r="DU930" s="18"/>
      <c r="DV930" s="18"/>
      <c r="DW930" s="18"/>
      <c r="DX930" s="18"/>
      <c r="DY930" s="18"/>
      <c r="DZ930" s="18"/>
      <c r="EA930" s="18"/>
      <c r="EB930" s="18"/>
      <c r="EC930" s="18"/>
      <c r="ED930" s="18"/>
      <c r="EE930" s="18"/>
      <c r="EF930" s="18"/>
      <c r="EG930" s="18"/>
      <c r="EH930" s="18"/>
      <c r="EI930" s="18"/>
      <c r="EJ930" s="18"/>
      <c r="EK930" s="18"/>
      <c r="EL930" s="18"/>
      <c r="EM930" s="18"/>
      <c r="EN930" s="18"/>
      <c r="EO930" s="18"/>
      <c r="EP930" s="18"/>
      <c r="EQ930" s="18"/>
      <c r="ER930" s="18"/>
      <c r="ES930" s="18"/>
      <c r="ET930" s="18"/>
      <c r="EU930" s="18"/>
      <c r="EV930" s="18"/>
      <c r="EW930" s="18"/>
      <c r="EX930" s="18"/>
      <c r="EY930" s="18"/>
      <c r="EZ930" s="18"/>
      <c r="FA930" s="18"/>
      <c r="FB930" s="18"/>
      <c r="FC930" s="18"/>
      <c r="FD930" s="18"/>
      <c r="FE930" s="18"/>
      <c r="FF930" s="18"/>
      <c r="FG930" s="18"/>
      <c r="FH930" s="18"/>
      <c r="FI930" s="18"/>
      <c r="FJ930" s="18"/>
      <c r="FK930" s="18"/>
      <c r="FL930" s="18"/>
      <c r="FM930" s="18"/>
      <c r="FN930" s="18"/>
      <c r="FO930" s="18"/>
      <c r="FP930" s="18"/>
      <c r="FQ930" s="18"/>
      <c r="FR930" s="18"/>
      <c r="FS930" s="18"/>
      <c r="FT930" s="18"/>
      <c r="FU930" s="18"/>
      <c r="FV930" s="18"/>
      <c r="FW930" s="18"/>
      <c r="FX930" s="18"/>
      <c r="FY930" s="18"/>
      <c r="FZ930" s="18"/>
      <c r="GA930" s="18"/>
      <c r="GB930" s="18"/>
      <c r="GC930" s="18"/>
      <c r="GD930" s="18"/>
      <c r="GE930" s="18"/>
      <c r="GF930" s="18"/>
      <c r="GG930" s="18"/>
      <c r="GH930" s="18"/>
      <c r="GI930" s="18"/>
      <c r="GJ930" s="18"/>
      <c r="GK930" s="18"/>
      <c r="GL930" s="18"/>
      <c r="GM930" s="18"/>
      <c r="GN930" s="18"/>
      <c r="GO930" s="18"/>
      <c r="GP930" s="18"/>
      <c r="GQ930" s="18"/>
      <c r="GR930" s="18"/>
      <c r="GS930" s="18"/>
      <c r="GT930" s="18"/>
      <c r="GU930" s="18"/>
      <c r="GV930" s="18"/>
      <c r="GW930" s="18"/>
      <c r="GX930" s="18"/>
      <c r="GY930" s="18"/>
      <c r="GZ930" s="18"/>
      <c r="HA930" s="18"/>
      <c r="HB930" s="18"/>
      <c r="HC930" s="18"/>
      <c r="HD930" s="18"/>
      <c r="HE930" s="18"/>
      <c r="HF930" s="18"/>
      <c r="HG930" s="18"/>
      <c r="HH930" s="18"/>
      <c r="HI930" s="18"/>
      <c r="HJ930" s="18"/>
      <c r="HK930" s="18"/>
      <c r="HL930" s="18"/>
      <c r="HM930" s="18"/>
      <c r="HN930" s="18"/>
      <c r="HO930" s="18"/>
      <c r="HP930" s="18"/>
      <c r="HQ930" s="18"/>
      <c r="HR930" s="18"/>
      <c r="HS930" s="18"/>
      <c r="HT930" s="18"/>
      <c r="HU930" s="18"/>
      <c r="HV930" s="18"/>
      <c r="HW930" s="18"/>
      <c r="HX930" s="18"/>
      <c r="HY930" s="18"/>
      <c r="HZ930" s="18"/>
      <c r="IA930" s="18"/>
      <c r="IB930" s="18"/>
      <c r="IC930" s="18"/>
      <c r="ID930" s="18"/>
      <c r="IE930" s="18"/>
      <c r="IF930" s="18"/>
      <c r="IG930" s="18"/>
      <c r="IH930" s="18"/>
      <c r="II930" s="18"/>
      <c r="IJ930" s="18"/>
      <c r="IK930" s="18"/>
      <c r="IL930" s="18"/>
      <c r="IM930" s="18"/>
      <c r="IN930" s="18"/>
      <c r="IO930" s="18"/>
      <c r="IP930" s="18"/>
      <c r="IQ930" s="18"/>
      <c r="IR930" s="18"/>
      <c r="IS930" s="18"/>
      <c r="IT930" s="18"/>
      <c r="IU930" s="18"/>
      <c r="IV930" s="18"/>
      <c r="IW930" s="18"/>
      <c r="IX930" s="18"/>
      <c r="IY930" s="18"/>
      <c r="IZ930" s="18"/>
      <c r="JA930" s="18"/>
      <c r="JB930" s="18"/>
      <c r="JC930" s="18"/>
      <c r="JD930" s="18"/>
      <c r="JE930" s="18"/>
      <c r="JF930" s="18"/>
      <c r="JG930" s="18"/>
      <c r="JH930" s="18"/>
      <c r="JI930" s="18"/>
      <c r="JJ930" s="18"/>
      <c r="JK930" s="18"/>
      <c r="JL930" s="18"/>
      <c r="JM930" s="18"/>
      <c r="JN930" s="18"/>
      <c r="JO930" s="18"/>
      <c r="JP930" s="18"/>
      <c r="JQ930" s="18"/>
      <c r="JR930" s="18"/>
      <c r="JS930" s="18"/>
      <c r="JT930" s="18"/>
      <c r="JU930" s="18"/>
      <c r="JV930" s="18"/>
      <c r="JW930" s="18"/>
      <c r="JX930" s="18"/>
      <c r="JY930" s="18"/>
      <c r="JZ930" s="18"/>
      <c r="KA930" s="18"/>
      <c r="KB930" s="18"/>
      <c r="KC930" s="18"/>
      <c r="KD930" s="18"/>
      <c r="KE930" s="18"/>
      <c r="KF930" s="18"/>
      <c r="KG930" s="18"/>
      <c r="KH930" s="18"/>
      <c r="KI930" s="18"/>
      <c r="KJ930" s="18"/>
      <c r="KK930" s="18"/>
      <c r="KL930" s="18"/>
      <c r="KM930" s="18"/>
      <c r="KN930" s="18"/>
      <c r="KO930" s="18"/>
      <c r="KP930" s="18"/>
      <c r="KQ930" s="18"/>
      <c r="KR930" s="18"/>
      <c r="KS930" s="18"/>
      <c r="KT930" s="18"/>
      <c r="KU930" s="18"/>
      <c r="KV930" s="18"/>
      <c r="KW930" s="18"/>
      <c r="KX930" s="18"/>
      <c r="KY930" s="18"/>
      <c r="KZ930" s="18"/>
      <c r="LA930" s="18"/>
      <c r="LB930" s="18"/>
      <c r="LC930" s="18"/>
      <c r="LD930" s="18"/>
      <c r="LE930" s="18"/>
      <c r="LF930" s="18"/>
      <c r="LG930" s="18"/>
      <c r="LH930" s="18"/>
      <c r="LI930" s="18"/>
      <c r="LJ930" s="18"/>
      <c r="LK930" s="18"/>
      <c r="LL930" s="18"/>
      <c r="LM930" s="18"/>
      <c r="LN930" s="18"/>
      <c r="LO930" s="18"/>
      <c r="LP930" s="18"/>
      <c r="LQ930" s="18"/>
      <c r="LR930" s="18"/>
      <c r="LS930" s="18"/>
      <c r="LT930" s="18"/>
      <c r="LU930" s="18"/>
      <c r="LV930" s="18"/>
      <c r="LW930" s="18"/>
      <c r="LX930" s="18"/>
      <c r="LY930" s="18"/>
      <c r="LZ930" s="18"/>
      <c r="MA930" s="18"/>
      <c r="MB930" s="18"/>
      <c r="MC930" s="18"/>
      <c r="MD930" s="18"/>
      <c r="ME930" s="18"/>
      <c r="MF930" s="18"/>
      <c r="MG930" s="18"/>
      <c r="MH930" s="18"/>
      <c r="MI930" s="18"/>
      <c r="MJ930" s="18"/>
      <c r="MK930" s="18"/>
      <c r="ML930" s="18"/>
      <c r="MM930" s="18"/>
      <c r="MN930" s="18"/>
      <c r="MO930" s="18"/>
      <c r="MP930" s="18"/>
      <c r="MQ930" s="18"/>
      <c r="MR930" s="18"/>
      <c r="MS930" s="18"/>
      <c r="MT930" s="18"/>
      <c r="MU930" s="18"/>
      <c r="MV930" s="18"/>
      <c r="MW930" s="18"/>
      <c r="MX930" s="18"/>
      <c r="MY930" s="18"/>
      <c r="MZ930" s="18"/>
      <c r="NA930" s="18"/>
      <c r="NB930" s="18"/>
      <c r="NC930" s="18"/>
      <c r="ND930" s="18"/>
      <c r="NE930" s="18"/>
      <c r="NF930" s="18"/>
      <c r="NG930" s="18"/>
      <c r="NH930" s="18"/>
      <c r="NI930" s="18"/>
      <c r="NJ930" s="18"/>
      <c r="NK930" s="18"/>
      <c r="NL930" s="18"/>
      <c r="NM930" s="18"/>
      <c r="NN930" s="18"/>
      <c r="NO930" s="18"/>
      <c r="NP930" s="18"/>
      <c r="NQ930" s="18"/>
      <c r="NR930" s="18"/>
      <c r="NS930" s="18"/>
      <c r="NT930" s="18"/>
      <c r="NU930" s="18"/>
      <c r="NV930" s="18"/>
      <c r="NW930" s="18"/>
      <c r="NX930" s="18"/>
      <c r="NY930" s="18"/>
      <c r="NZ930" s="18"/>
      <c r="OA930" s="18"/>
      <c r="OB930" s="18"/>
      <c r="OC930" s="18"/>
      <c r="OD930" s="18"/>
      <c r="OE930" s="18"/>
      <c r="OF930" s="18"/>
      <c r="OG930" s="18"/>
      <c r="OH930" s="18"/>
      <c r="OI930" s="18"/>
      <c r="OJ930" s="18"/>
      <c r="OK930" s="18"/>
      <c r="OL930" s="18"/>
      <c r="OM930" s="18"/>
      <c r="ON930" s="18"/>
      <c r="OO930" s="18"/>
      <c r="OP930" s="18"/>
      <c r="OQ930" s="18"/>
      <c r="OR930" s="18"/>
      <c r="OS930" s="18"/>
      <c r="OT930" s="18"/>
      <c r="OU930" s="18"/>
      <c r="OV930" s="18"/>
      <c r="OW930" s="18"/>
      <c r="OX930" s="18"/>
      <c r="OY930" s="18"/>
      <c r="OZ930" s="18"/>
      <c r="PA930" s="18"/>
      <c r="PB930" s="18"/>
      <c r="PC930" s="18"/>
      <c r="PD930" s="18"/>
      <c r="PE930" s="18"/>
      <c r="PF930" s="18"/>
      <c r="PG930" s="18"/>
      <c r="PH930" s="18"/>
      <c r="PI930" s="18"/>
      <c r="PJ930" s="18"/>
      <c r="PK930" s="18"/>
      <c r="PL930" s="18"/>
      <c r="PM930" s="18"/>
      <c r="PN930" s="18"/>
      <c r="PO930" s="18"/>
      <c r="PP930" s="18"/>
      <c r="PQ930" s="18"/>
      <c r="PR930" s="18"/>
      <c r="PS930" s="18"/>
      <c r="PT930" s="18"/>
      <c r="PU930" s="18"/>
      <c r="PV930" s="18"/>
      <c r="PW930" s="18"/>
      <c r="PX930" s="18"/>
      <c r="PY930" s="18"/>
      <c r="PZ930" s="18"/>
      <c r="QA930" s="18"/>
      <c r="QB930" s="18"/>
      <c r="QC930" s="18"/>
      <c r="QD930" s="18"/>
      <c r="QE930" s="18"/>
      <c r="QF930" s="18"/>
      <c r="QG930" s="18"/>
      <c r="QH930" s="18"/>
      <c r="QI930" s="18"/>
      <c r="QJ930" s="18"/>
      <c r="QK930" s="18"/>
      <c r="QL930" s="18"/>
      <c r="QM930" s="18"/>
      <c r="QN930" s="18"/>
      <c r="QO930" s="18"/>
      <c r="QP930" s="18"/>
      <c r="QQ930" s="18"/>
      <c r="QR930" s="18"/>
      <c r="QS930" s="18"/>
      <c r="QT930" s="18"/>
      <c r="QU930" s="18"/>
      <c r="QV930" s="18"/>
      <c r="QW930" s="18"/>
      <c r="QX930" s="18"/>
      <c r="QY930" s="18"/>
      <c r="QZ930" s="18"/>
      <c r="RA930" s="18"/>
      <c r="RB930" s="18"/>
      <c r="RC930" s="18"/>
      <c r="RD930" s="18"/>
      <c r="RE930" s="18"/>
      <c r="RF930" s="18"/>
      <c r="RG930" s="18"/>
      <c r="RH930" s="18"/>
      <c r="RI930" s="18"/>
      <c r="RJ930" s="18"/>
      <c r="RK930" s="18"/>
      <c r="RL930" s="18"/>
      <c r="RM930" s="18"/>
      <c r="RN930" s="18"/>
      <c r="RO930" s="18"/>
      <c r="RP930" s="18"/>
      <c r="RQ930" s="18"/>
      <c r="RR930" s="18"/>
      <c r="RS930" s="18"/>
      <c r="RT930" s="18"/>
      <c r="RU930" s="18"/>
      <c r="RV930" s="18"/>
      <c r="RW930" s="18"/>
      <c r="RX930" s="18"/>
      <c r="RY930" s="18"/>
      <c r="RZ930" s="18"/>
      <c r="SA930" s="18"/>
      <c r="SB930" s="18"/>
      <c r="SC930" s="18"/>
      <c r="SD930" s="18"/>
      <c r="SE930" s="18"/>
      <c r="SF930" s="18"/>
      <c r="SG930" s="18"/>
      <c r="SH930" s="18"/>
      <c r="SI930" s="18"/>
      <c r="SJ930" s="18"/>
      <c r="SK930" s="18"/>
      <c r="SL930" s="18"/>
      <c r="SM930" s="18"/>
      <c r="SN930" s="18"/>
      <c r="SO930" s="18"/>
      <c r="SP930" s="18"/>
      <c r="SQ930" s="18"/>
      <c r="SR930" s="18"/>
      <c r="SS930" s="18"/>
      <c r="ST930" s="18"/>
      <c r="SU930" s="18"/>
      <c r="SV930" s="18"/>
      <c r="SW930" s="18"/>
      <c r="SX930" s="18"/>
      <c r="SY930" s="18"/>
      <c r="SZ930" s="18"/>
      <c r="TA930" s="18"/>
      <c r="TB930" s="18"/>
      <c r="TC930" s="18"/>
      <c r="TD930" s="18"/>
      <c r="TE930" s="18"/>
      <c r="TF930" s="18"/>
      <c r="TG930" s="18"/>
      <c r="TH930" s="18"/>
      <c r="TI930" s="18"/>
      <c r="TJ930" s="18"/>
      <c r="TK930" s="18"/>
      <c r="TL930" s="18"/>
      <c r="TM930" s="18"/>
      <c r="TN930" s="18"/>
      <c r="TO930" s="18"/>
      <c r="TP930" s="18"/>
      <c r="TQ930" s="18"/>
      <c r="TR930" s="18"/>
      <c r="TS930" s="18"/>
      <c r="TT930" s="18"/>
      <c r="TU930" s="18"/>
      <c r="TV930" s="18"/>
      <c r="TW930" s="18"/>
      <c r="TX930" s="18"/>
      <c r="TY930" s="18"/>
      <c r="TZ930" s="18"/>
      <c r="UA930" s="18"/>
      <c r="UB930" s="18"/>
      <c r="UC930" s="18"/>
      <c r="UD930" s="18"/>
      <c r="UE930" s="18"/>
      <c r="UF930" s="18"/>
      <c r="UG930" s="18"/>
      <c r="UH930" s="18"/>
      <c r="UI930" s="18"/>
      <c r="UJ930" s="18"/>
      <c r="UK930" s="18"/>
      <c r="UL930" s="18"/>
      <c r="UM930" s="18"/>
      <c r="UN930" s="18"/>
      <c r="UO930" s="18"/>
      <c r="UP930" s="18"/>
      <c r="UQ930" s="18"/>
      <c r="UR930" s="18"/>
      <c r="US930" s="18"/>
      <c r="UT930" s="18"/>
      <c r="UU930" s="18"/>
      <c r="UV930" s="18"/>
      <c r="UW930" s="18"/>
      <c r="UX930" s="18"/>
      <c r="UY930" s="18"/>
      <c r="UZ930" s="18"/>
      <c r="VA930" s="18"/>
      <c r="VB930" s="18"/>
      <c r="VC930" s="18"/>
      <c r="VD930" s="18"/>
      <c r="VE930" s="18"/>
      <c r="VF930" s="18"/>
      <c r="VG930" s="18"/>
      <c r="VH930" s="18"/>
      <c r="VI930" s="18"/>
      <c r="VJ930" s="18"/>
      <c r="VK930" s="18"/>
      <c r="VL930" s="18"/>
      <c r="VM930" s="18"/>
      <c r="VN930" s="18"/>
      <c r="VO930" s="18"/>
      <c r="VP930" s="18"/>
      <c r="VQ930" s="18"/>
      <c r="VR930" s="18"/>
      <c r="VS930" s="18"/>
      <c r="VT930" s="18"/>
      <c r="VU930" s="18"/>
      <c r="VV930" s="18"/>
      <c r="VW930" s="18"/>
      <c r="VX930" s="18"/>
      <c r="VY930" s="18"/>
      <c r="VZ930" s="18"/>
      <c r="WA930" s="18"/>
      <c r="WB930" s="18"/>
      <c r="WC930" s="18"/>
      <c r="WD930" s="18"/>
      <c r="WE930" s="18"/>
      <c r="WF930" s="18"/>
      <c r="WG930" s="18"/>
      <c r="WH930" s="18"/>
      <c r="WI930" s="18"/>
      <c r="WJ930" s="18"/>
      <c r="WK930" s="18"/>
      <c r="WL930" s="18"/>
      <c r="WM930" s="18"/>
      <c r="WN930" s="18"/>
      <c r="WO930" s="18"/>
      <c r="WP930" s="18"/>
      <c r="WQ930" s="18"/>
      <c r="WR930" s="18"/>
      <c r="WS930" s="18"/>
      <c r="WT930" s="18"/>
      <c r="WU930" s="18"/>
      <c r="WV930" s="18"/>
      <c r="WW930" s="18"/>
      <c r="WX930" s="18"/>
      <c r="WY930" s="18"/>
      <c r="WZ930" s="18"/>
      <c r="XA930" s="18"/>
      <c r="XB930" s="18"/>
      <c r="XC930" s="18"/>
      <c r="XD930" s="18"/>
      <c r="XE930" s="18"/>
      <c r="XF930" s="18"/>
      <c r="XG930" s="18"/>
      <c r="XH930" s="18"/>
      <c r="XI930" s="18"/>
      <c r="XJ930" s="18"/>
      <c r="XK930" s="18"/>
      <c r="XL930" s="18"/>
      <c r="XM930" s="18"/>
      <c r="XN930" s="18"/>
      <c r="XO930" s="18"/>
      <c r="XP930" s="18"/>
      <c r="XQ930" s="18"/>
      <c r="XR930" s="18"/>
      <c r="XS930" s="18"/>
      <c r="XT930" s="18"/>
      <c r="XU930" s="18"/>
      <c r="XV930" s="18"/>
      <c r="XW930" s="18"/>
      <c r="XX930" s="18"/>
      <c r="XY930" s="18"/>
      <c r="XZ930" s="18"/>
      <c r="YA930" s="18"/>
      <c r="YB930" s="18"/>
      <c r="YC930" s="18"/>
      <c r="YD930" s="18"/>
      <c r="YE930" s="18"/>
      <c r="YF930" s="18"/>
      <c r="YG930" s="18"/>
      <c r="YH930" s="18"/>
      <c r="YI930" s="18"/>
      <c r="YJ930" s="18"/>
      <c r="YK930" s="18"/>
      <c r="YL930" s="18"/>
      <c r="YM930" s="18"/>
      <c r="YN930" s="18"/>
      <c r="YO930" s="18"/>
      <c r="YP930" s="18"/>
      <c r="YQ930" s="18"/>
      <c r="YR930" s="18"/>
      <c r="YS930" s="18"/>
      <c r="YT930" s="18"/>
      <c r="YU930" s="18"/>
      <c r="YV930" s="18"/>
      <c r="YW930" s="18"/>
      <c r="YX930" s="18"/>
      <c r="YY930" s="18"/>
      <c r="YZ930" s="18"/>
      <c r="ZA930" s="18"/>
      <c r="ZB930" s="18"/>
      <c r="ZC930" s="18"/>
      <c r="ZD930" s="18"/>
      <c r="ZE930" s="18"/>
      <c r="ZF930" s="18"/>
      <c r="ZG930" s="18"/>
      <c r="ZH930" s="18"/>
      <c r="ZI930" s="18"/>
      <c r="ZJ930" s="18"/>
      <c r="ZK930" s="18"/>
      <c r="ZL930" s="18"/>
      <c r="ZM930" s="18"/>
      <c r="ZN930" s="18"/>
      <c r="ZO930" s="18"/>
      <c r="ZP930" s="18"/>
      <c r="ZQ930" s="18"/>
      <c r="ZR930" s="18"/>
      <c r="ZS930" s="18"/>
      <c r="ZT930" s="18"/>
      <c r="ZU930" s="18"/>
      <c r="ZV930" s="18"/>
      <c r="ZW930" s="18"/>
      <c r="ZX930" s="18"/>
      <c r="ZY930" s="18"/>
      <c r="ZZ930" s="18"/>
      <c r="AAA930" s="18"/>
      <c r="AAB930" s="18"/>
      <c r="AAC930" s="18"/>
      <c r="AAD930" s="18"/>
      <c r="AAE930" s="18"/>
      <c r="AAF930" s="18"/>
      <c r="AAG930" s="18"/>
      <c r="AAH930" s="18"/>
      <c r="AAI930" s="18"/>
      <c r="AAJ930" s="18"/>
      <c r="AAK930" s="18"/>
      <c r="AAL930" s="18"/>
      <c r="AAM930" s="18"/>
      <c r="AAN930" s="18"/>
      <c r="AAO930" s="18"/>
      <c r="AAP930" s="18"/>
      <c r="AAQ930" s="18"/>
      <c r="AAR930" s="18"/>
      <c r="AAS930" s="18"/>
      <c r="AAT930" s="18"/>
      <c r="AAU930" s="18"/>
      <c r="AAV930" s="18"/>
      <c r="AAW930" s="18"/>
      <c r="AAX930" s="18"/>
      <c r="AAY930" s="18"/>
      <c r="AAZ930" s="18"/>
      <c r="ABA930" s="18"/>
      <c r="ABB930" s="18"/>
      <c r="ABC930" s="18"/>
      <c r="ABD930" s="18"/>
      <c r="ABE930" s="18"/>
      <c r="ABF930" s="18"/>
      <c r="ABG930" s="18"/>
      <c r="ABH930" s="18"/>
      <c r="ABI930" s="18"/>
      <c r="ABJ930" s="18"/>
      <c r="ABK930" s="18"/>
      <c r="ABL930" s="18"/>
      <c r="ABM930" s="18"/>
      <c r="ABN930" s="18"/>
      <c r="ABO930" s="18"/>
      <c r="ABP930" s="18"/>
      <c r="ABQ930" s="18"/>
      <c r="ABR930" s="18"/>
      <c r="ABS930" s="18"/>
      <c r="ABT930" s="18"/>
      <c r="ABU930" s="18"/>
      <c r="ABV930" s="18"/>
      <c r="ABW930" s="18"/>
      <c r="ABX930" s="18"/>
      <c r="ABY930" s="18"/>
      <c r="ABZ930" s="18"/>
      <c r="ACA930" s="18"/>
      <c r="ACB930" s="18"/>
      <c r="ACC930" s="18"/>
      <c r="ACD930" s="18"/>
      <c r="ACE930" s="18"/>
      <c r="ACF930" s="18"/>
      <c r="ACG930" s="18"/>
      <c r="ACH930" s="18"/>
      <c r="ACI930" s="18"/>
      <c r="ACJ930" s="18"/>
      <c r="ACK930" s="18"/>
      <c r="ACL930" s="18"/>
      <c r="ACM930" s="18"/>
      <c r="ACN930" s="18"/>
      <c r="ACO930" s="18"/>
      <c r="ACP930" s="18"/>
      <c r="ACQ930" s="18"/>
      <c r="ACR930" s="18"/>
      <c r="ACS930" s="18"/>
      <c r="ACT930" s="18"/>
      <c r="ACU930" s="18"/>
      <c r="ACV930" s="18"/>
      <c r="ACW930" s="18"/>
      <c r="ACX930" s="18"/>
      <c r="ACY930" s="18"/>
      <c r="ACZ930" s="18"/>
      <c r="ADA930" s="18"/>
      <c r="ADB930" s="18"/>
      <c r="ADC930" s="18"/>
      <c r="ADD930" s="18"/>
      <c r="ADE930" s="18"/>
      <c r="ADF930" s="18"/>
      <c r="ADG930" s="18"/>
      <c r="ADH930" s="18"/>
      <c r="ADI930" s="18"/>
      <c r="ADJ930" s="18"/>
      <c r="ADK930" s="18"/>
      <c r="ADL930" s="18"/>
      <c r="ADM930" s="18"/>
      <c r="ADN930" s="18"/>
      <c r="ADO930" s="18"/>
      <c r="ADP930" s="18"/>
      <c r="ADQ930" s="18"/>
      <c r="ADR930" s="18"/>
      <c r="ADS930" s="18"/>
      <c r="ADT930" s="18"/>
      <c r="ADU930" s="18"/>
      <c r="ADV930" s="18"/>
      <c r="ADW930" s="18"/>
      <c r="ADX930" s="18"/>
      <c r="ADY930" s="18"/>
      <c r="ADZ930" s="18"/>
      <c r="AEA930" s="18"/>
      <c r="AEB930" s="18"/>
      <c r="AEC930" s="18"/>
      <c r="AED930" s="18"/>
      <c r="AEE930" s="18"/>
      <c r="AEF930" s="18"/>
      <c r="AEG930" s="18"/>
      <c r="AEH930" s="18"/>
      <c r="AEI930" s="18"/>
      <c r="AEJ930" s="18"/>
      <c r="AEK930" s="18"/>
      <c r="AEL930" s="18"/>
      <c r="AEM930" s="18"/>
      <c r="AEN930" s="18"/>
      <c r="AEO930" s="18"/>
      <c r="AEP930" s="18"/>
      <c r="AEQ930" s="18"/>
      <c r="AER930" s="18"/>
      <c r="AES930" s="18"/>
      <c r="AET930" s="18"/>
      <c r="AEU930" s="18"/>
      <c r="AEV930" s="18"/>
      <c r="AEW930" s="18"/>
      <c r="AEX930" s="18"/>
      <c r="AEY930" s="18"/>
      <c r="AEZ930" s="18"/>
      <c r="AFA930" s="18"/>
      <c r="AFB930" s="18"/>
      <c r="AFC930" s="18"/>
      <c r="AFD930" s="18"/>
      <c r="AFE930" s="18"/>
      <c r="AFF930" s="18"/>
      <c r="AFG930" s="18"/>
      <c r="AFH930" s="18"/>
      <c r="AFI930" s="18"/>
      <c r="AFJ930" s="18"/>
      <c r="AFK930" s="18"/>
      <c r="AFL930" s="18"/>
      <c r="AFM930" s="18"/>
      <c r="AFN930" s="18"/>
      <c r="AFO930" s="18"/>
      <c r="AFP930" s="18"/>
      <c r="AFQ930" s="18"/>
      <c r="AFR930" s="18"/>
      <c r="AFS930" s="18"/>
      <c r="AFT930" s="18"/>
      <c r="AFU930" s="18"/>
      <c r="AFV930" s="18"/>
      <c r="AFW930" s="18"/>
      <c r="AFX930" s="18"/>
      <c r="AFY930" s="18"/>
      <c r="AFZ930" s="18"/>
      <c r="AGA930" s="18"/>
      <c r="AGB930" s="18"/>
      <c r="AGC930" s="18"/>
      <c r="AGD930" s="18"/>
      <c r="AGE930" s="18"/>
      <c r="AGF930" s="18"/>
      <c r="AGG930" s="18"/>
      <c r="AGH930" s="18"/>
      <c r="AGI930" s="18"/>
      <c r="AGJ930" s="18"/>
      <c r="AGK930" s="18"/>
      <c r="AGL930" s="18"/>
      <c r="AGM930" s="18"/>
      <c r="AGN930" s="18"/>
      <c r="AGO930" s="18"/>
      <c r="AGP930" s="18"/>
      <c r="AGQ930" s="18"/>
      <c r="AGR930" s="18"/>
      <c r="AGS930" s="18"/>
      <c r="AGT930" s="18"/>
      <c r="AGU930" s="18"/>
      <c r="AGV930" s="18"/>
      <c r="AGW930" s="18"/>
      <c r="AGX930" s="18"/>
      <c r="AGY930" s="18"/>
      <c r="AGZ930" s="18"/>
      <c r="AHA930" s="18"/>
      <c r="AHB930" s="18"/>
      <c r="AHC930" s="18"/>
      <c r="AHD930" s="18"/>
      <c r="AHE930" s="18"/>
      <c r="AHF930" s="18"/>
      <c r="AHG930" s="18"/>
      <c r="AHH930" s="18"/>
      <c r="AHI930" s="18"/>
      <c r="AHJ930" s="18"/>
      <c r="AHK930" s="18"/>
      <c r="AHL930" s="18"/>
      <c r="AHM930" s="18"/>
      <c r="AHN930" s="18"/>
      <c r="AHO930" s="18"/>
      <c r="AHP930" s="18"/>
      <c r="AHQ930" s="18"/>
      <c r="AHR930" s="18"/>
      <c r="AHS930" s="18"/>
      <c r="AHT930" s="18"/>
      <c r="AHU930" s="18"/>
      <c r="AHV930" s="18"/>
      <c r="AHW930" s="18"/>
      <c r="AHX930" s="18"/>
      <c r="AHY930" s="18"/>
      <c r="AHZ930" s="18"/>
      <c r="AIA930" s="18"/>
      <c r="AIB930" s="18"/>
      <c r="AIC930" s="18"/>
      <c r="AID930" s="18"/>
      <c r="AIE930" s="18"/>
      <c r="AIF930" s="18"/>
      <c r="AIG930" s="18"/>
      <c r="AIH930" s="18"/>
      <c r="AII930" s="18"/>
      <c r="AIJ930" s="18"/>
      <c r="AIK930" s="18"/>
      <c r="AIL930" s="18"/>
      <c r="AIM930" s="18"/>
      <c r="AIN930" s="18"/>
      <c r="AIO930" s="18"/>
      <c r="AIP930" s="18"/>
      <c r="AIQ930" s="18"/>
      <c r="AIR930" s="18"/>
      <c r="AIS930" s="18"/>
      <c r="AIT930" s="18"/>
      <c r="AIU930" s="18"/>
      <c r="AIV930" s="18"/>
      <c r="AIW930" s="18"/>
      <c r="AIX930" s="18"/>
      <c r="AIY930" s="18"/>
      <c r="AIZ930" s="18"/>
      <c r="AJA930" s="18"/>
      <c r="AJB930" s="18"/>
      <c r="AJC930" s="18"/>
      <c r="AJD930" s="18"/>
      <c r="AJE930" s="18"/>
      <c r="AJF930" s="18"/>
      <c r="AJG930" s="18"/>
      <c r="AJH930" s="18"/>
      <c r="AJI930" s="18"/>
      <c r="AJJ930" s="18"/>
      <c r="AJK930" s="18"/>
      <c r="AJL930" s="18"/>
      <c r="AJM930" s="18"/>
      <c r="AJN930" s="18"/>
      <c r="AJO930" s="18"/>
      <c r="AJP930" s="18"/>
      <c r="AJQ930" s="18"/>
      <c r="AJR930" s="18"/>
      <c r="AJS930" s="18"/>
      <c r="AJT930" s="18"/>
      <c r="AJU930" s="18"/>
      <c r="AJV930" s="18"/>
      <c r="AJW930" s="18"/>
      <c r="AJX930" s="18"/>
      <c r="AJY930" s="18"/>
      <c r="AJZ930" s="18"/>
      <c r="AKA930" s="18"/>
      <c r="AKB930" s="18"/>
      <c r="AKC930" s="18"/>
      <c r="AKD930" s="18"/>
      <c r="AKE930" s="18"/>
      <c r="AKF930" s="18"/>
      <c r="AKG930" s="18"/>
      <c r="AKH930" s="18"/>
      <c r="AKI930" s="18"/>
      <c r="AKJ930" s="18"/>
      <c r="AKK930" s="18"/>
      <c r="AKL930" s="18"/>
      <c r="AKM930" s="18"/>
      <c r="AKN930" s="18"/>
      <c r="AKO930" s="18"/>
      <c r="AKP930" s="18"/>
      <c r="AKQ930" s="18"/>
      <c r="AKR930" s="18"/>
      <c r="AKS930" s="18"/>
      <c r="AKT930" s="18"/>
      <c r="AKU930" s="18"/>
      <c r="AKV930" s="18"/>
      <c r="AKW930" s="18"/>
      <c r="AKX930" s="18"/>
      <c r="AKY930" s="18"/>
      <c r="AKZ930" s="18"/>
      <c r="ALA930" s="18"/>
      <c r="ALB930" s="18"/>
      <c r="ALC930" s="18"/>
      <c r="ALD930" s="18"/>
      <c r="ALE930" s="18"/>
      <c r="ALF930" s="18"/>
      <c r="ALG930" s="18"/>
      <c r="ALH930" s="18"/>
      <c r="ALI930" s="18"/>
      <c r="ALJ930" s="18"/>
      <c r="ALK930" s="18"/>
      <c r="ALL930" s="18"/>
      <c r="ALM930" s="18"/>
      <c r="ALN930" s="18"/>
      <c r="ALO930" s="18"/>
      <c r="ALP930" s="18"/>
      <c r="ALQ930" s="18"/>
      <c r="ALR930" s="18"/>
      <c r="ALS930" s="18"/>
      <c r="ALT930" s="18"/>
      <c r="ALU930" s="18"/>
      <c r="ALV930" s="18"/>
      <c r="ALW930" s="18"/>
      <c r="ALX930" s="18"/>
      <c r="ALY930" s="18"/>
      <c r="ALZ930" s="18"/>
      <c r="AMA930" s="18"/>
      <c r="AMB930" s="18"/>
      <c r="AMC930" s="18"/>
      <c r="AMD930" s="18"/>
      <c r="AME930" s="18"/>
      <c r="AMF930" s="18"/>
      <c r="AMG930" s="18"/>
      <c r="AMH930" s="18"/>
      <c r="AMI930" s="18"/>
      <c r="AMJ930" s="18"/>
      <c r="AMK930" s="18"/>
      <c r="AML930" s="18"/>
      <c r="AMM930" s="18"/>
      <c r="AMN930" s="18"/>
      <c r="AMO930" s="18"/>
      <c r="AMP930" s="18"/>
      <c r="AMQ930" s="18"/>
      <c r="AMR930" s="18"/>
      <c r="AMS930" s="18"/>
      <c r="AMT930" s="18"/>
      <c r="AMU930" s="18"/>
      <c r="AMV930" s="18"/>
      <c r="AMW930" s="18"/>
      <c r="AMX930" s="18"/>
      <c r="AMY930" s="18"/>
      <c r="AMZ930" s="18"/>
      <c r="ANA930" s="18"/>
      <c r="ANB930" s="18"/>
      <c r="ANC930" s="18"/>
      <c r="AND930" s="18"/>
      <c r="ANE930" s="18"/>
      <c r="ANF930" s="18"/>
      <c r="ANG930" s="18"/>
      <c r="ANH930" s="18"/>
      <c r="ANI930" s="18"/>
      <c r="ANJ930" s="18"/>
      <c r="ANK930" s="18"/>
      <c r="ANL930" s="18"/>
      <c r="ANM930" s="18"/>
      <c r="ANN930" s="18"/>
      <c r="ANO930" s="18"/>
      <c r="ANP930" s="18"/>
      <c r="ANQ930" s="18"/>
      <c r="ANR930" s="18"/>
      <c r="ANS930" s="18"/>
      <c r="ANT930" s="18"/>
      <c r="ANU930" s="18"/>
      <c r="ANV930" s="18"/>
      <c r="ANW930" s="18"/>
      <c r="ANX930" s="18"/>
      <c r="ANY930" s="18"/>
      <c r="ANZ930" s="18"/>
      <c r="AOA930" s="18"/>
      <c r="AOB930" s="18"/>
      <c r="AOC930" s="18"/>
      <c r="AOD930" s="18"/>
      <c r="AOE930" s="18"/>
      <c r="AOF930" s="18"/>
      <c r="AOG930" s="18"/>
      <c r="AOH930" s="18"/>
      <c r="AOI930" s="18"/>
      <c r="AOJ930" s="18"/>
      <c r="AOK930" s="18"/>
      <c r="AOL930" s="18"/>
      <c r="AOM930" s="18"/>
      <c r="AON930" s="18"/>
      <c r="AOO930" s="18"/>
      <c r="AOP930" s="18"/>
      <c r="AOQ930" s="18"/>
      <c r="AOR930" s="18"/>
      <c r="AOS930" s="18"/>
      <c r="AOT930" s="18"/>
      <c r="AOU930" s="18"/>
      <c r="AOV930" s="18"/>
      <c r="AOW930" s="18"/>
      <c r="AOX930" s="18"/>
      <c r="AOY930" s="18"/>
      <c r="AOZ930" s="18"/>
      <c r="APA930" s="18"/>
      <c r="APB930" s="18"/>
      <c r="APC930" s="18"/>
      <c r="APD930" s="18"/>
      <c r="APE930" s="18"/>
      <c r="APF930" s="18"/>
      <c r="APG930" s="18"/>
      <c r="APH930" s="18"/>
      <c r="API930" s="18"/>
      <c r="APJ930" s="18"/>
      <c r="APK930" s="18"/>
      <c r="APL930" s="18"/>
      <c r="APM930" s="18"/>
      <c r="APN930" s="18"/>
      <c r="APO930" s="18"/>
      <c r="APP930" s="18"/>
      <c r="APQ930" s="18"/>
      <c r="APR930" s="18"/>
      <c r="APS930" s="18"/>
      <c r="APT930" s="18"/>
      <c r="APU930" s="18"/>
      <c r="APV930" s="18"/>
      <c r="APW930" s="18"/>
      <c r="APX930" s="18"/>
      <c r="APY930" s="18"/>
      <c r="APZ930" s="18"/>
      <c r="AQA930" s="18"/>
      <c r="AQB930" s="18"/>
      <c r="AQC930" s="18"/>
      <c r="AQD930" s="18"/>
      <c r="AQE930" s="18"/>
      <c r="AQF930" s="18"/>
      <c r="AQG930" s="18"/>
      <c r="AQH930" s="18"/>
      <c r="AQI930" s="18"/>
      <c r="AQJ930" s="18"/>
      <c r="AQK930" s="18"/>
      <c r="AQL930" s="18"/>
      <c r="AQM930" s="18"/>
      <c r="AQN930" s="18"/>
      <c r="AQO930" s="18"/>
      <c r="AQP930" s="18"/>
      <c r="AQQ930" s="18"/>
      <c r="AQR930" s="18"/>
      <c r="AQS930" s="18"/>
      <c r="AQT930" s="18"/>
      <c r="AQU930" s="18"/>
      <c r="AQV930" s="18"/>
      <c r="AQW930" s="18"/>
      <c r="AQX930" s="18"/>
      <c r="AQY930" s="18"/>
      <c r="AQZ930" s="18"/>
      <c r="ARA930" s="18"/>
      <c r="ARB930" s="18"/>
      <c r="ARC930" s="18"/>
      <c r="ARD930" s="18"/>
      <c r="ARE930" s="18"/>
      <c r="ARF930" s="18"/>
      <c r="ARG930" s="18"/>
      <c r="ARH930" s="18"/>
      <c r="ARI930" s="18"/>
      <c r="ARJ930" s="18"/>
      <c r="ARK930" s="18"/>
      <c r="ARL930" s="18"/>
      <c r="ARM930" s="18"/>
      <c r="ARN930" s="18"/>
      <c r="ARO930" s="18"/>
      <c r="ARP930" s="18"/>
      <c r="ARQ930" s="18"/>
      <c r="ARR930" s="18"/>
      <c r="ARS930" s="18"/>
      <c r="ART930" s="18"/>
      <c r="ARU930" s="18"/>
      <c r="ARV930" s="18"/>
      <c r="ARW930" s="18"/>
      <c r="ARX930" s="18"/>
      <c r="ARY930" s="18"/>
      <c r="ARZ930" s="18"/>
      <c r="ASA930" s="18"/>
      <c r="ASB930" s="18"/>
      <c r="ASC930" s="18"/>
      <c r="ASD930" s="18"/>
      <c r="ASE930" s="18"/>
      <c r="ASF930" s="18"/>
      <c r="ASG930" s="18"/>
      <c r="ASH930" s="18"/>
      <c r="ASI930" s="18"/>
      <c r="ASJ930" s="18"/>
      <c r="ASK930" s="18"/>
      <c r="ASL930" s="18"/>
      <c r="ASM930" s="18"/>
      <c r="ASN930" s="18"/>
      <c r="ASO930" s="18"/>
      <c r="ASP930" s="18"/>
      <c r="ASQ930" s="18"/>
      <c r="ASR930" s="18"/>
      <c r="ASS930" s="18"/>
      <c r="AST930" s="18"/>
      <c r="ASU930" s="18"/>
      <c r="ASV930" s="18"/>
      <c r="ASW930" s="18"/>
      <c r="ASX930" s="18"/>
      <c r="ASY930" s="18"/>
      <c r="ASZ930" s="18"/>
      <c r="ATA930" s="18"/>
      <c r="ATB930" s="18"/>
      <c r="ATC930" s="18"/>
      <c r="ATD930" s="18"/>
      <c r="ATE930" s="18"/>
      <c r="ATF930" s="18"/>
      <c r="ATG930" s="18"/>
      <c r="ATH930" s="18"/>
      <c r="ATI930" s="18"/>
      <c r="ATJ930" s="18"/>
      <c r="ATK930" s="18"/>
      <c r="ATL930" s="18"/>
      <c r="ATM930" s="18"/>
      <c r="ATN930" s="18"/>
      <c r="ATO930" s="18"/>
      <c r="ATP930" s="18"/>
      <c r="ATQ930" s="18"/>
      <c r="ATR930" s="18"/>
      <c r="ATS930" s="18"/>
      <c r="ATT930" s="18"/>
      <c r="ATU930" s="18"/>
      <c r="ATV930" s="18"/>
      <c r="ATW930" s="18"/>
      <c r="ATX930" s="18"/>
      <c r="ATY930" s="18"/>
      <c r="ATZ930" s="18"/>
      <c r="AUA930" s="18"/>
      <c r="AUB930" s="18"/>
      <c r="AUC930" s="18"/>
      <c r="AUD930" s="18"/>
      <c r="AUE930" s="18"/>
      <c r="AUF930" s="18"/>
      <c r="AUG930" s="18"/>
      <c r="AUH930" s="18"/>
      <c r="AUI930" s="18"/>
      <c r="AUJ930" s="18"/>
      <c r="AUK930" s="18"/>
      <c r="AUL930" s="18"/>
      <c r="AUM930" s="18"/>
      <c r="AUN930" s="18"/>
      <c r="AUO930" s="18"/>
      <c r="AUP930" s="18"/>
      <c r="AUQ930" s="18"/>
      <c r="AUR930" s="18"/>
      <c r="AUS930" s="18"/>
      <c r="AUT930" s="18"/>
      <c r="AUU930" s="18"/>
      <c r="AUV930" s="18"/>
      <c r="AUW930" s="18"/>
      <c r="AUX930" s="18"/>
      <c r="AUY930" s="18"/>
      <c r="AUZ930" s="18"/>
      <c r="AVA930" s="18"/>
      <c r="AVB930" s="18"/>
      <c r="AVC930" s="18"/>
      <c r="AVD930" s="18"/>
      <c r="AVE930" s="18"/>
      <c r="AVF930" s="18"/>
      <c r="AVG930" s="18"/>
      <c r="AVH930" s="18"/>
      <c r="AVI930" s="18"/>
      <c r="AVJ930" s="18"/>
      <c r="AVK930" s="18"/>
      <c r="AVL930" s="18"/>
      <c r="AVM930" s="18"/>
      <c r="AVN930" s="18"/>
      <c r="AVO930" s="18"/>
      <c r="AVP930" s="18"/>
      <c r="AVQ930" s="18"/>
      <c r="AVR930" s="18"/>
      <c r="AVS930" s="18"/>
      <c r="AVT930" s="18"/>
      <c r="AVU930" s="18"/>
      <c r="AVV930" s="18"/>
      <c r="AVW930" s="18"/>
      <c r="AVX930" s="18"/>
      <c r="AVY930" s="18"/>
      <c r="AVZ930" s="18"/>
      <c r="AWA930" s="18"/>
      <c r="AWB930" s="18"/>
      <c r="AWC930" s="18"/>
      <c r="AWD930" s="18"/>
      <c r="AWE930" s="18"/>
      <c r="AWF930" s="18"/>
      <c r="AWG930" s="18"/>
      <c r="AWH930" s="18"/>
      <c r="AWI930" s="18"/>
      <c r="AWJ930" s="18"/>
      <c r="AWK930" s="18"/>
      <c r="AWL930" s="18"/>
      <c r="AWM930" s="18"/>
      <c r="AWN930" s="18"/>
      <c r="AWO930" s="18"/>
      <c r="AWP930" s="18"/>
      <c r="AWQ930" s="18"/>
      <c r="AWR930" s="18"/>
      <c r="AWS930" s="18"/>
      <c r="AWT930" s="18"/>
      <c r="AWU930" s="18"/>
      <c r="AWV930" s="18"/>
      <c r="AWW930" s="18"/>
      <c r="AWX930" s="18"/>
      <c r="AWY930" s="18"/>
      <c r="AWZ930" s="18"/>
      <c r="AXA930" s="18"/>
      <c r="AXB930" s="18"/>
      <c r="AXC930" s="18"/>
      <c r="AXD930" s="18"/>
      <c r="AXE930" s="18"/>
      <c r="AXF930" s="18"/>
      <c r="AXG930" s="18"/>
      <c r="AXH930" s="18"/>
      <c r="AXI930" s="18"/>
      <c r="AXJ930" s="18"/>
      <c r="AXK930" s="18"/>
      <c r="AXL930" s="18"/>
      <c r="AXM930" s="18"/>
      <c r="AXN930" s="18"/>
      <c r="AXO930" s="18"/>
      <c r="AXP930" s="18"/>
      <c r="AXQ930" s="18"/>
      <c r="AXR930" s="18"/>
      <c r="AXS930" s="18"/>
      <c r="AXT930" s="18"/>
      <c r="AXU930" s="18"/>
      <c r="AXV930" s="18"/>
      <c r="AXW930" s="18"/>
      <c r="AXX930" s="18"/>
      <c r="AXY930" s="18"/>
      <c r="AXZ930" s="18"/>
      <c r="AYA930" s="18"/>
      <c r="AYB930" s="18"/>
      <c r="AYC930" s="18"/>
      <c r="AYD930" s="18"/>
      <c r="AYE930" s="18"/>
      <c r="AYF930" s="18"/>
      <c r="AYG930" s="18"/>
      <c r="AYH930" s="18"/>
      <c r="AYI930" s="18"/>
      <c r="AYJ930" s="18"/>
      <c r="AYK930" s="18"/>
      <c r="AYL930" s="18"/>
      <c r="AYM930" s="18"/>
      <c r="AYN930" s="18"/>
      <c r="AYO930" s="18"/>
      <c r="AYP930" s="18"/>
      <c r="AYQ930" s="18"/>
      <c r="AYR930" s="18"/>
      <c r="AYS930" s="18"/>
      <c r="AYT930" s="18"/>
      <c r="AYU930" s="18"/>
      <c r="AYV930" s="18"/>
      <c r="AYW930" s="18"/>
      <c r="AYX930" s="18"/>
      <c r="AYY930" s="18"/>
      <c r="AYZ930" s="18"/>
      <c r="AZA930" s="18"/>
      <c r="AZB930" s="18"/>
      <c r="AZC930" s="18"/>
      <c r="AZD930" s="18"/>
      <c r="AZE930" s="18"/>
      <c r="AZF930" s="18"/>
      <c r="AZG930" s="18"/>
      <c r="AZH930" s="18"/>
      <c r="AZI930" s="18"/>
      <c r="AZJ930" s="18"/>
      <c r="AZK930" s="18"/>
      <c r="AZL930" s="18"/>
      <c r="AZM930" s="18"/>
      <c r="AZN930" s="18"/>
      <c r="AZO930" s="18"/>
      <c r="AZP930" s="18"/>
      <c r="AZQ930" s="18"/>
      <c r="AZR930" s="18"/>
      <c r="AZS930" s="18"/>
      <c r="AZT930" s="18"/>
      <c r="AZU930" s="18"/>
      <c r="AZV930" s="18"/>
      <c r="AZW930" s="18"/>
      <c r="AZX930" s="18"/>
      <c r="AZY930" s="18"/>
      <c r="AZZ930" s="18"/>
      <c r="BAA930" s="18"/>
      <c r="BAB930" s="18"/>
      <c r="BAC930" s="18"/>
      <c r="BAD930" s="18"/>
      <c r="BAE930" s="18"/>
      <c r="BAF930" s="18"/>
      <c r="BAG930" s="18"/>
      <c r="BAH930" s="18"/>
      <c r="BAI930" s="18"/>
      <c r="BAJ930" s="18"/>
      <c r="BAK930" s="18"/>
      <c r="BAL930" s="18"/>
      <c r="BAM930" s="18"/>
      <c r="BAN930" s="18"/>
      <c r="BAO930" s="18"/>
      <c r="BAP930" s="18"/>
      <c r="BAQ930" s="18"/>
      <c r="BAR930" s="18"/>
      <c r="BAS930" s="18"/>
      <c r="BAT930" s="18"/>
      <c r="BAU930" s="18"/>
      <c r="BAV930" s="18"/>
      <c r="BAW930" s="18"/>
      <c r="BAX930" s="18"/>
      <c r="BAY930" s="18"/>
      <c r="BAZ930" s="18"/>
      <c r="BBA930" s="18"/>
      <c r="BBB930" s="18"/>
      <c r="BBC930" s="18"/>
      <c r="BBD930" s="18"/>
      <c r="BBE930" s="18"/>
      <c r="BBF930" s="18"/>
      <c r="BBG930" s="18"/>
      <c r="BBH930" s="18"/>
      <c r="BBI930" s="18"/>
      <c r="BBJ930" s="18"/>
      <c r="BBK930" s="18"/>
      <c r="BBL930" s="18"/>
      <c r="BBM930" s="18"/>
      <c r="BBN930" s="18"/>
      <c r="BBO930" s="18"/>
      <c r="BBP930" s="18"/>
      <c r="BBQ930" s="18"/>
      <c r="BBR930" s="18"/>
      <c r="BBS930" s="18"/>
      <c r="BBT930" s="18"/>
      <c r="BBU930" s="18"/>
      <c r="BBV930" s="18"/>
      <c r="BBW930" s="18"/>
      <c r="BBX930" s="18"/>
      <c r="BBY930" s="18"/>
      <c r="BBZ930" s="18"/>
      <c r="BCA930" s="18"/>
      <c r="BCB930" s="18"/>
      <c r="BCC930" s="18"/>
      <c r="BCD930" s="18"/>
      <c r="BCE930" s="18"/>
      <c r="BCF930" s="18"/>
      <c r="BCG930" s="18"/>
      <c r="BCH930" s="18"/>
      <c r="BCI930" s="18"/>
      <c r="BCJ930" s="18"/>
      <c r="BCK930" s="18"/>
      <c r="BCL930" s="18"/>
      <c r="BCM930" s="18"/>
      <c r="BCN930" s="18"/>
      <c r="BCO930" s="18"/>
      <c r="BCP930" s="18"/>
      <c r="BCQ930" s="18"/>
      <c r="BCR930" s="18"/>
      <c r="BCS930" s="18"/>
      <c r="BCT930" s="18"/>
      <c r="BCU930" s="18"/>
      <c r="BCV930" s="18"/>
      <c r="BCW930" s="18"/>
      <c r="BCX930" s="18"/>
      <c r="BCY930" s="18"/>
      <c r="BCZ930" s="18"/>
      <c r="BDA930" s="18"/>
      <c r="BDB930" s="18"/>
      <c r="BDC930" s="18"/>
      <c r="BDD930" s="18"/>
      <c r="BDE930" s="18"/>
      <c r="BDF930" s="18"/>
      <c r="BDG930" s="18"/>
      <c r="BDH930" s="18"/>
      <c r="BDI930" s="18"/>
      <c r="BDJ930" s="18"/>
      <c r="BDK930" s="18"/>
      <c r="BDL930" s="18"/>
      <c r="BDM930" s="18"/>
      <c r="BDN930" s="18"/>
      <c r="BDO930" s="18"/>
      <c r="BDP930" s="18"/>
      <c r="BDQ930" s="18"/>
      <c r="BDR930" s="18"/>
      <c r="BDS930" s="18"/>
      <c r="BDT930" s="18"/>
      <c r="BDU930" s="18"/>
      <c r="BDV930" s="18"/>
      <c r="BDW930" s="18"/>
      <c r="BDX930" s="18"/>
      <c r="BDY930" s="18"/>
      <c r="BDZ930" s="18"/>
      <c r="BEA930" s="18"/>
      <c r="BEB930" s="18"/>
      <c r="BEC930" s="18"/>
      <c r="BED930" s="18"/>
      <c r="BEE930" s="18"/>
      <c r="BEF930" s="18"/>
      <c r="BEG930" s="18"/>
      <c r="BEH930" s="18"/>
      <c r="BEI930" s="18"/>
      <c r="BEJ930" s="18"/>
      <c r="BEK930" s="18"/>
      <c r="BEL930" s="18"/>
      <c r="BEM930" s="18"/>
      <c r="BEN930" s="18"/>
      <c r="BEO930" s="18"/>
      <c r="BEP930" s="18"/>
      <c r="BEQ930" s="18"/>
      <c r="BER930" s="18"/>
      <c r="BES930" s="18"/>
      <c r="BET930" s="18"/>
      <c r="BEU930" s="18"/>
      <c r="BEV930" s="18"/>
      <c r="BEW930" s="18"/>
      <c r="BEX930" s="18"/>
      <c r="BEY930" s="18"/>
      <c r="BEZ930" s="18"/>
      <c r="BFA930" s="18"/>
      <c r="BFB930" s="18"/>
      <c r="BFC930" s="18"/>
      <c r="BFD930" s="18"/>
      <c r="BFE930" s="18"/>
      <c r="BFF930" s="18"/>
      <c r="BFG930" s="18"/>
      <c r="BFH930" s="18"/>
      <c r="BFI930" s="18"/>
      <c r="BFJ930" s="18"/>
      <c r="BFK930" s="18"/>
      <c r="BFL930" s="18"/>
      <c r="BFM930" s="18"/>
      <c r="BFN930" s="18"/>
      <c r="BFO930" s="18"/>
      <c r="BFP930" s="18"/>
      <c r="BFQ930" s="18"/>
      <c r="BFR930" s="18"/>
      <c r="BFS930" s="18"/>
      <c r="BFT930" s="18"/>
      <c r="BFU930" s="18"/>
      <c r="BFV930" s="18"/>
      <c r="BFW930" s="18"/>
      <c r="BFX930" s="18"/>
      <c r="BFY930" s="18"/>
      <c r="BFZ930" s="18"/>
      <c r="BGA930" s="18"/>
      <c r="BGB930" s="18"/>
      <c r="BGC930" s="18"/>
      <c r="BGD930" s="18"/>
      <c r="BGE930" s="18"/>
      <c r="BGF930" s="18"/>
      <c r="BGG930" s="18"/>
      <c r="BGH930" s="18"/>
      <c r="BGI930" s="18"/>
      <c r="BGJ930" s="18"/>
      <c r="BGK930" s="18"/>
      <c r="BGL930" s="18"/>
      <c r="BGM930" s="18"/>
      <c r="BGN930" s="18"/>
      <c r="BGO930" s="18"/>
      <c r="BGP930" s="18"/>
      <c r="BGQ930" s="18"/>
      <c r="BGR930" s="18"/>
      <c r="BGS930" s="18"/>
      <c r="BGT930" s="18"/>
      <c r="BGU930" s="18"/>
      <c r="BGV930" s="18"/>
      <c r="BGW930" s="18"/>
      <c r="BGX930" s="18"/>
      <c r="BGY930" s="18"/>
      <c r="BGZ930" s="18"/>
      <c r="BHA930" s="18"/>
      <c r="BHB930" s="18"/>
      <c r="BHC930" s="18"/>
      <c r="BHD930" s="18"/>
      <c r="BHE930" s="18"/>
      <c r="BHF930" s="18"/>
      <c r="BHG930" s="18"/>
      <c r="BHH930" s="18"/>
      <c r="BHI930" s="18"/>
      <c r="BHJ930" s="18"/>
      <c r="BHK930" s="18"/>
      <c r="BHL930" s="18"/>
      <c r="BHM930" s="18"/>
      <c r="BHN930" s="18"/>
      <c r="BHO930" s="18"/>
      <c r="BHP930" s="18"/>
      <c r="BHQ930" s="18"/>
      <c r="BHR930" s="18"/>
      <c r="BHS930" s="18"/>
      <c r="BHT930" s="18"/>
      <c r="BHU930" s="18"/>
      <c r="BHV930" s="18"/>
      <c r="BHW930" s="18"/>
      <c r="BHX930" s="18"/>
      <c r="BHY930" s="18"/>
      <c r="BHZ930" s="18"/>
      <c r="BIA930" s="18"/>
      <c r="BIB930" s="18"/>
      <c r="BIC930" s="18"/>
      <c r="BID930" s="18"/>
      <c r="BIE930" s="18"/>
      <c r="BIF930" s="18"/>
      <c r="BIG930" s="18"/>
      <c r="BIH930" s="18"/>
      <c r="BII930" s="18"/>
      <c r="BIJ930" s="18"/>
      <c r="BIK930" s="18"/>
      <c r="BIL930" s="18"/>
      <c r="BIM930" s="18"/>
      <c r="BIN930" s="18"/>
      <c r="BIO930" s="18"/>
      <c r="BIP930" s="18"/>
      <c r="BIQ930" s="18"/>
      <c r="BIR930" s="18"/>
      <c r="BIS930" s="18"/>
      <c r="BIT930" s="18"/>
      <c r="BIU930" s="18"/>
      <c r="BIV930" s="18"/>
      <c r="BIW930" s="18"/>
      <c r="BIX930" s="18"/>
      <c r="BIY930" s="18"/>
      <c r="BIZ930" s="18"/>
      <c r="BJA930" s="18"/>
      <c r="BJB930" s="18"/>
      <c r="BJC930" s="18"/>
      <c r="BJD930" s="18"/>
      <c r="BJE930" s="18"/>
      <c r="BJF930" s="18"/>
      <c r="BJG930" s="18"/>
      <c r="BJH930" s="18"/>
      <c r="BJI930" s="18"/>
      <c r="BJJ930" s="18"/>
      <c r="BJK930" s="18"/>
      <c r="BJL930" s="18"/>
      <c r="BJM930" s="18"/>
      <c r="BJN930" s="18"/>
      <c r="BJO930" s="18"/>
      <c r="BJP930" s="18"/>
      <c r="BJQ930" s="18"/>
      <c r="BJR930" s="18"/>
      <c r="BJS930" s="18"/>
      <c r="BJT930" s="18"/>
      <c r="BJU930" s="18"/>
      <c r="BJV930" s="18"/>
      <c r="BJW930" s="18"/>
      <c r="BJX930" s="18"/>
      <c r="BJY930" s="18"/>
      <c r="BJZ930" s="18"/>
      <c r="BKA930" s="18"/>
      <c r="BKB930" s="18"/>
      <c r="BKC930" s="18"/>
      <c r="BKD930" s="18"/>
      <c r="BKE930" s="18"/>
      <c r="BKF930" s="18"/>
      <c r="BKG930" s="18"/>
      <c r="BKH930" s="18"/>
      <c r="BKI930" s="18"/>
      <c r="BKJ930" s="18"/>
      <c r="BKK930" s="18"/>
      <c r="BKL930" s="18"/>
      <c r="BKM930" s="18"/>
      <c r="BKN930" s="18"/>
      <c r="BKO930" s="18"/>
      <c r="BKP930" s="18"/>
      <c r="BKQ930" s="18"/>
      <c r="BKR930" s="18"/>
      <c r="BKS930" s="18"/>
      <c r="BKT930" s="18"/>
      <c r="BKU930" s="18"/>
      <c r="BKV930" s="18"/>
      <c r="BKW930" s="18"/>
      <c r="BKX930" s="18"/>
      <c r="BKY930" s="18"/>
      <c r="BKZ930" s="18"/>
      <c r="BLA930" s="18"/>
      <c r="BLB930" s="18"/>
      <c r="BLC930" s="18"/>
      <c r="BLD930" s="18"/>
      <c r="BLE930" s="18"/>
      <c r="BLF930" s="18"/>
      <c r="BLG930" s="18"/>
      <c r="BLH930" s="18"/>
      <c r="BLI930" s="18"/>
      <c r="BLJ930" s="18"/>
      <c r="BLK930" s="18"/>
      <c r="BLL930" s="18"/>
      <c r="BLM930" s="18"/>
      <c r="BLN930" s="18"/>
      <c r="BLO930" s="18"/>
      <c r="BLP930" s="18"/>
      <c r="BLQ930" s="18"/>
      <c r="BLR930" s="18"/>
      <c r="BLS930" s="18"/>
      <c r="BLT930" s="18"/>
      <c r="BLU930" s="18"/>
      <c r="BLV930" s="18"/>
      <c r="BLW930" s="18"/>
      <c r="BLX930" s="18"/>
      <c r="BLY930" s="18"/>
      <c r="BLZ930" s="18"/>
      <c r="BMA930" s="18"/>
      <c r="BMB930" s="18"/>
      <c r="BMC930" s="18"/>
      <c r="BMD930" s="18"/>
      <c r="BME930" s="18"/>
      <c r="BMF930" s="18"/>
      <c r="BMG930" s="18"/>
      <c r="BMH930" s="18"/>
      <c r="BMI930" s="18"/>
      <c r="BMJ930" s="18"/>
      <c r="BMK930" s="18"/>
      <c r="BML930" s="18"/>
      <c r="BMM930" s="18"/>
      <c r="BMN930" s="18"/>
      <c r="BMO930" s="18"/>
      <c r="BMP930" s="18"/>
      <c r="BMQ930" s="18"/>
      <c r="BMR930" s="18"/>
      <c r="BMS930" s="18"/>
      <c r="BMT930" s="18"/>
      <c r="BMU930" s="18"/>
      <c r="BMV930" s="18"/>
      <c r="BMW930" s="18"/>
      <c r="BMX930" s="18"/>
      <c r="BMY930" s="18"/>
      <c r="BMZ930" s="18"/>
      <c r="BNA930" s="18"/>
      <c r="BNB930" s="18"/>
      <c r="BNC930" s="18"/>
      <c r="BND930" s="18"/>
      <c r="BNE930" s="18"/>
      <c r="BNF930" s="18"/>
      <c r="BNG930" s="18"/>
      <c r="BNH930" s="18"/>
      <c r="BNI930" s="18"/>
      <c r="BNJ930" s="18"/>
      <c r="BNK930" s="18"/>
      <c r="BNL930" s="18"/>
      <c r="BNM930" s="18"/>
      <c r="BNN930" s="18"/>
      <c r="BNO930" s="18"/>
      <c r="BNP930" s="18"/>
      <c r="BNQ930" s="18"/>
      <c r="BNR930" s="18"/>
      <c r="BNS930" s="18"/>
      <c r="BNT930" s="18"/>
      <c r="BNU930" s="18"/>
      <c r="BNV930" s="18"/>
      <c r="BNW930" s="18"/>
      <c r="BNX930" s="18"/>
      <c r="BNY930" s="18"/>
      <c r="BNZ930" s="18"/>
      <c r="BOA930" s="18"/>
      <c r="BOB930" s="18"/>
      <c r="BOC930" s="18"/>
      <c r="BOD930" s="18"/>
      <c r="BOE930" s="18"/>
      <c r="BOF930" s="18"/>
      <c r="BOG930" s="18"/>
      <c r="BOH930" s="18"/>
      <c r="BOI930" s="18"/>
      <c r="BOJ930" s="18"/>
      <c r="BOK930" s="18"/>
      <c r="BOL930" s="18"/>
      <c r="BOM930" s="18"/>
      <c r="BON930" s="18"/>
      <c r="BOO930" s="18"/>
      <c r="BOP930" s="18"/>
      <c r="BOQ930" s="18"/>
      <c r="BOR930" s="18"/>
      <c r="BOS930" s="18"/>
      <c r="BOT930" s="18"/>
      <c r="BOU930" s="18"/>
      <c r="BOV930" s="18"/>
      <c r="BOW930" s="18"/>
      <c r="BOX930" s="18"/>
      <c r="BOY930" s="18"/>
      <c r="BOZ930" s="18"/>
      <c r="BPA930" s="18"/>
      <c r="BPB930" s="18"/>
      <c r="BPC930" s="18"/>
      <c r="BPD930" s="18"/>
      <c r="BPE930" s="18"/>
      <c r="BPF930" s="18"/>
      <c r="BPG930" s="18"/>
      <c r="BPH930" s="18"/>
      <c r="BPI930" s="18"/>
      <c r="BPJ930" s="18"/>
      <c r="BPK930" s="18"/>
      <c r="BPL930" s="18"/>
      <c r="BPM930" s="18"/>
      <c r="BPN930" s="18"/>
      <c r="BPO930" s="18"/>
      <c r="BPP930" s="18"/>
      <c r="BPQ930" s="18"/>
      <c r="BPR930" s="18"/>
      <c r="BPS930" s="18"/>
      <c r="BPT930" s="18"/>
      <c r="BPU930" s="18"/>
      <c r="BPV930" s="18"/>
      <c r="BPW930" s="18"/>
      <c r="BPX930" s="18"/>
      <c r="BPY930" s="18"/>
      <c r="BPZ930" s="18"/>
      <c r="BQA930" s="18"/>
      <c r="BQB930" s="18"/>
      <c r="BQC930" s="18"/>
      <c r="BQD930" s="18"/>
      <c r="BQE930" s="18"/>
      <c r="BQF930" s="18"/>
      <c r="BQG930" s="18"/>
      <c r="BQH930" s="18"/>
      <c r="BQI930" s="18"/>
      <c r="BQJ930" s="18"/>
      <c r="BQK930" s="18"/>
      <c r="BQL930" s="18"/>
      <c r="BQM930" s="18"/>
      <c r="BQN930" s="18"/>
      <c r="BQO930" s="18"/>
      <c r="BQP930" s="18"/>
      <c r="BQQ930" s="18"/>
      <c r="BQR930" s="18"/>
      <c r="BQS930" s="18"/>
      <c r="BQT930" s="18"/>
      <c r="BQU930" s="18"/>
      <c r="BQV930" s="18"/>
      <c r="BQW930" s="18"/>
      <c r="BQX930" s="18"/>
      <c r="BQY930" s="18"/>
      <c r="BQZ930" s="18"/>
      <c r="BRA930" s="18"/>
      <c r="BRB930" s="18"/>
      <c r="BRC930" s="18"/>
      <c r="BRD930" s="18"/>
      <c r="BRE930" s="18"/>
      <c r="BRF930" s="18"/>
      <c r="BRG930" s="18"/>
      <c r="BRH930" s="18"/>
      <c r="BRI930" s="18"/>
      <c r="BRJ930" s="18"/>
      <c r="BRK930" s="18"/>
      <c r="BRL930" s="18"/>
      <c r="BRM930" s="18"/>
      <c r="BRN930" s="18"/>
      <c r="BRO930" s="18"/>
      <c r="BRP930" s="18"/>
      <c r="BRQ930" s="18"/>
      <c r="BRR930" s="18"/>
      <c r="BRS930" s="18"/>
      <c r="BRT930" s="18"/>
      <c r="BRU930" s="18"/>
      <c r="BRV930" s="18"/>
      <c r="BRW930" s="18"/>
      <c r="BRX930" s="18"/>
      <c r="BRY930" s="18"/>
      <c r="BRZ930" s="18"/>
      <c r="BSA930" s="18"/>
      <c r="BSB930" s="18"/>
      <c r="BSC930" s="18"/>
      <c r="BSD930" s="18"/>
      <c r="BSE930" s="18"/>
      <c r="BSF930" s="18"/>
      <c r="BSG930" s="18"/>
      <c r="BSH930" s="18"/>
      <c r="BSI930" s="18"/>
      <c r="BSJ930" s="18"/>
      <c r="BSK930" s="18"/>
      <c r="BSL930" s="18"/>
      <c r="BSM930" s="18"/>
      <c r="BSN930" s="18"/>
      <c r="BSO930" s="18"/>
      <c r="BSP930" s="18"/>
      <c r="BSQ930" s="18"/>
      <c r="BSR930" s="18"/>
      <c r="BSS930" s="18"/>
      <c r="BST930" s="18"/>
      <c r="BSU930" s="18"/>
      <c r="BSV930" s="18"/>
      <c r="BSW930" s="18"/>
      <c r="BSX930" s="18"/>
      <c r="BSY930" s="18"/>
      <c r="BSZ930" s="18"/>
      <c r="BTA930" s="18"/>
      <c r="BTB930" s="18"/>
      <c r="BTC930" s="18"/>
      <c r="BTD930" s="18"/>
      <c r="BTE930" s="18"/>
      <c r="BTF930" s="18"/>
      <c r="BTG930" s="18"/>
      <c r="BTH930" s="18"/>
      <c r="BTI930" s="18"/>
      <c r="BTJ930" s="18"/>
      <c r="BTK930" s="18"/>
      <c r="BTL930" s="18"/>
      <c r="BTM930" s="18"/>
      <c r="BTN930" s="18"/>
      <c r="BTO930" s="18"/>
      <c r="BTP930" s="18"/>
      <c r="BTQ930" s="18"/>
      <c r="BTR930" s="18"/>
      <c r="BTS930" s="18"/>
      <c r="BTT930" s="18"/>
      <c r="BTU930" s="18"/>
      <c r="BTV930" s="18"/>
      <c r="BTW930" s="18"/>
      <c r="BTX930" s="18"/>
      <c r="BTY930" s="18"/>
      <c r="BTZ930" s="18"/>
      <c r="BUA930" s="18"/>
      <c r="BUB930" s="18"/>
      <c r="BUC930" s="18"/>
      <c r="BUD930" s="18"/>
      <c r="BUE930" s="18"/>
      <c r="BUF930" s="18"/>
      <c r="BUG930" s="18"/>
      <c r="BUH930" s="18"/>
      <c r="BUI930" s="18"/>
      <c r="BUJ930" s="18"/>
      <c r="BUK930" s="18"/>
      <c r="BUL930" s="18"/>
      <c r="BUM930" s="18"/>
      <c r="BUN930" s="18"/>
      <c r="BUO930" s="18"/>
      <c r="BUP930" s="18"/>
      <c r="BUQ930" s="18"/>
      <c r="BUR930" s="18"/>
      <c r="BUS930" s="18"/>
      <c r="BUT930" s="18"/>
      <c r="BUU930" s="18"/>
      <c r="BUV930" s="18"/>
      <c r="BUW930" s="18"/>
      <c r="BUX930" s="18"/>
      <c r="BUY930" s="18"/>
      <c r="BUZ930" s="18"/>
      <c r="BVA930" s="18"/>
      <c r="BVB930" s="18"/>
      <c r="BVC930" s="18"/>
      <c r="BVD930" s="18"/>
      <c r="BVE930" s="18"/>
      <c r="BVF930" s="18"/>
      <c r="BVG930" s="18"/>
      <c r="BVH930" s="18"/>
      <c r="BVI930" s="18"/>
      <c r="BVJ930" s="18"/>
      <c r="BVK930" s="18"/>
      <c r="BVL930" s="18"/>
      <c r="BVM930" s="18"/>
      <c r="BVN930" s="18"/>
      <c r="BVO930" s="18"/>
      <c r="BVP930" s="18"/>
      <c r="BVQ930" s="18"/>
      <c r="BVR930" s="18"/>
      <c r="BVS930" s="18"/>
      <c r="BVT930" s="18"/>
      <c r="BVU930" s="18"/>
      <c r="BVV930" s="18"/>
      <c r="BVW930" s="18"/>
      <c r="BVX930" s="18"/>
      <c r="BVY930" s="18"/>
      <c r="BVZ930" s="18"/>
      <c r="BWA930" s="18"/>
      <c r="BWB930" s="18"/>
      <c r="BWC930" s="18"/>
      <c r="BWD930" s="18"/>
      <c r="BWE930" s="18"/>
      <c r="BWF930" s="18"/>
      <c r="BWG930" s="18"/>
      <c r="BWH930" s="18"/>
      <c r="BWI930" s="18"/>
      <c r="BWJ930" s="18"/>
      <c r="BWK930" s="18"/>
      <c r="BWL930" s="18"/>
      <c r="BWM930" s="18"/>
      <c r="BWN930" s="18"/>
      <c r="BWO930" s="18"/>
      <c r="BWP930" s="18"/>
      <c r="BWQ930" s="18"/>
      <c r="BWR930" s="18"/>
      <c r="BWS930" s="18"/>
      <c r="BWT930" s="18"/>
      <c r="BWU930" s="18"/>
      <c r="BWV930" s="18"/>
      <c r="BWW930" s="18"/>
      <c r="BWX930" s="18"/>
      <c r="BWY930" s="18"/>
      <c r="BWZ930" s="18"/>
      <c r="BXA930" s="18"/>
      <c r="BXB930" s="18"/>
      <c r="BXC930" s="18"/>
      <c r="BXD930" s="18"/>
      <c r="BXE930" s="18"/>
      <c r="BXF930" s="18"/>
      <c r="BXG930" s="18"/>
      <c r="BXH930" s="18"/>
      <c r="BXI930" s="18"/>
      <c r="BXJ930" s="18"/>
      <c r="BXK930" s="18"/>
      <c r="BXL930" s="18"/>
      <c r="BXM930" s="18"/>
      <c r="BXN930" s="18"/>
      <c r="BXO930" s="18"/>
      <c r="BXP930" s="18"/>
      <c r="BXQ930" s="18"/>
      <c r="BXR930" s="18"/>
      <c r="BXS930" s="18"/>
      <c r="BXT930" s="18"/>
      <c r="BXU930" s="18"/>
      <c r="BXV930" s="18"/>
      <c r="BXW930" s="18"/>
      <c r="BXX930" s="18"/>
      <c r="BXY930" s="18"/>
      <c r="BXZ930" s="18"/>
      <c r="BYA930" s="18"/>
      <c r="BYB930" s="18"/>
      <c r="BYC930" s="18"/>
      <c r="BYD930" s="18"/>
      <c r="BYE930" s="18"/>
      <c r="BYF930" s="18"/>
      <c r="BYG930" s="18"/>
      <c r="BYH930" s="18"/>
      <c r="BYI930" s="18"/>
      <c r="BYJ930" s="18"/>
      <c r="BYK930" s="18"/>
      <c r="BYL930" s="18"/>
      <c r="BYM930" s="18"/>
      <c r="BYN930" s="18"/>
      <c r="BYO930" s="18"/>
      <c r="BYP930" s="18"/>
      <c r="BYQ930" s="18"/>
      <c r="BYR930" s="18"/>
      <c r="BYS930" s="18"/>
      <c r="BYT930" s="18"/>
      <c r="BYU930" s="18"/>
      <c r="BYV930" s="18"/>
      <c r="BYW930" s="18"/>
      <c r="BYX930" s="18"/>
      <c r="BYY930" s="18"/>
      <c r="BYZ930" s="18"/>
      <c r="BZA930" s="18"/>
      <c r="BZB930" s="18"/>
      <c r="BZC930" s="18"/>
      <c r="BZD930" s="18"/>
      <c r="BZE930" s="18"/>
      <c r="BZF930" s="18"/>
      <c r="BZG930" s="18"/>
      <c r="BZH930" s="18"/>
      <c r="BZI930" s="18"/>
      <c r="BZJ930" s="18"/>
      <c r="BZK930" s="18"/>
      <c r="BZL930" s="18"/>
      <c r="BZM930" s="18"/>
      <c r="BZN930" s="18"/>
      <c r="BZO930" s="18"/>
      <c r="BZP930" s="18"/>
      <c r="BZQ930" s="18"/>
      <c r="BZR930" s="18"/>
      <c r="BZS930" s="18"/>
      <c r="BZT930" s="18"/>
      <c r="BZU930" s="18"/>
      <c r="BZV930" s="18"/>
      <c r="BZW930" s="18"/>
      <c r="BZX930" s="18"/>
      <c r="BZY930" s="18"/>
      <c r="BZZ930" s="18"/>
      <c r="CAA930" s="18"/>
      <c r="CAB930" s="18"/>
      <c r="CAC930" s="18"/>
      <c r="CAD930" s="18"/>
      <c r="CAE930" s="18"/>
      <c r="CAF930" s="18"/>
      <c r="CAG930" s="18"/>
      <c r="CAH930" s="18"/>
      <c r="CAI930" s="18"/>
      <c r="CAJ930" s="18"/>
      <c r="CAK930" s="18"/>
      <c r="CAL930" s="18"/>
      <c r="CAM930" s="18"/>
      <c r="CAN930" s="18"/>
      <c r="CAO930" s="18"/>
      <c r="CAP930" s="18"/>
      <c r="CAQ930" s="18"/>
      <c r="CAR930" s="18"/>
      <c r="CAS930" s="18"/>
      <c r="CAT930" s="18"/>
      <c r="CAU930" s="18"/>
      <c r="CAV930" s="18"/>
      <c r="CAW930" s="18"/>
      <c r="CAX930" s="18"/>
      <c r="CAY930" s="18"/>
      <c r="CAZ930" s="18"/>
      <c r="CBA930" s="18"/>
      <c r="CBB930" s="18"/>
      <c r="CBC930" s="18"/>
      <c r="CBD930" s="18"/>
      <c r="CBE930" s="18"/>
      <c r="CBF930" s="18"/>
      <c r="CBG930" s="18"/>
      <c r="CBH930" s="18"/>
      <c r="CBI930" s="18"/>
      <c r="CBJ930" s="18"/>
      <c r="CBK930" s="18"/>
      <c r="CBL930" s="18"/>
      <c r="CBM930" s="18"/>
      <c r="CBN930" s="18"/>
      <c r="CBO930" s="18"/>
      <c r="CBP930" s="18"/>
      <c r="CBQ930" s="18"/>
      <c r="CBR930" s="18"/>
      <c r="CBS930" s="18"/>
      <c r="CBT930" s="18"/>
      <c r="CBU930" s="18"/>
      <c r="CBV930" s="18"/>
      <c r="CBW930" s="18"/>
      <c r="CBX930" s="18"/>
      <c r="CBY930" s="18"/>
      <c r="CBZ930" s="18"/>
      <c r="CCA930" s="18"/>
      <c r="CCB930" s="18"/>
      <c r="CCC930" s="18"/>
      <c r="CCD930" s="18"/>
      <c r="CCE930" s="18"/>
      <c r="CCF930" s="18"/>
      <c r="CCG930" s="18"/>
      <c r="CCH930" s="18"/>
      <c r="CCI930" s="18"/>
      <c r="CCJ930" s="18"/>
      <c r="CCK930" s="18"/>
      <c r="CCL930" s="18"/>
      <c r="CCM930" s="18"/>
      <c r="CCN930" s="18"/>
      <c r="CCO930" s="18"/>
      <c r="CCP930" s="18"/>
      <c r="CCQ930" s="18"/>
      <c r="CCR930" s="18"/>
      <c r="CCS930" s="18"/>
      <c r="CCT930" s="18"/>
      <c r="CCU930" s="18"/>
      <c r="CCV930" s="18"/>
      <c r="CCW930" s="18"/>
      <c r="CCX930" s="18"/>
      <c r="CCY930" s="18"/>
      <c r="CCZ930" s="18"/>
      <c r="CDA930" s="18"/>
      <c r="CDB930" s="18"/>
      <c r="CDC930" s="18"/>
      <c r="CDD930" s="18"/>
      <c r="CDE930" s="18"/>
      <c r="CDF930" s="18"/>
      <c r="CDG930" s="18"/>
      <c r="CDH930" s="18"/>
      <c r="CDI930" s="18"/>
      <c r="CDJ930" s="18"/>
      <c r="CDK930" s="18"/>
      <c r="CDL930" s="18"/>
      <c r="CDM930" s="18"/>
      <c r="CDN930" s="18"/>
      <c r="CDO930" s="18"/>
      <c r="CDP930" s="18"/>
      <c r="CDQ930" s="18"/>
      <c r="CDR930" s="18"/>
      <c r="CDS930" s="18"/>
      <c r="CDT930" s="18"/>
      <c r="CDU930" s="18"/>
      <c r="CDV930" s="18"/>
      <c r="CDW930" s="18"/>
      <c r="CDX930" s="18"/>
      <c r="CDY930" s="18"/>
      <c r="CDZ930" s="18"/>
      <c r="CEA930" s="18"/>
      <c r="CEB930" s="18"/>
      <c r="CEC930" s="18"/>
      <c r="CED930" s="18"/>
      <c r="CEE930" s="18"/>
      <c r="CEF930" s="18"/>
      <c r="CEG930" s="18"/>
      <c r="CEH930" s="18"/>
      <c r="CEI930" s="18"/>
      <c r="CEJ930" s="18"/>
      <c r="CEK930" s="18"/>
      <c r="CEL930" s="18"/>
      <c r="CEM930" s="18"/>
      <c r="CEN930" s="18"/>
      <c r="CEO930" s="18"/>
      <c r="CEP930" s="18"/>
      <c r="CEQ930" s="18"/>
      <c r="CER930" s="18"/>
      <c r="CES930" s="18"/>
      <c r="CET930" s="18"/>
      <c r="CEU930" s="18"/>
      <c r="CEV930" s="18"/>
      <c r="CEW930" s="18"/>
      <c r="CEX930" s="18"/>
      <c r="CEY930" s="18"/>
      <c r="CEZ930" s="18"/>
      <c r="CFA930" s="18"/>
      <c r="CFB930" s="18"/>
      <c r="CFC930" s="18"/>
      <c r="CFD930" s="18"/>
      <c r="CFE930" s="18"/>
      <c r="CFF930" s="18"/>
      <c r="CFG930" s="18"/>
      <c r="CFH930" s="18"/>
      <c r="CFI930" s="18"/>
      <c r="CFJ930" s="18"/>
      <c r="CFK930" s="18"/>
      <c r="CFL930" s="18"/>
      <c r="CFM930" s="18"/>
      <c r="CFN930" s="18"/>
      <c r="CFO930" s="18"/>
      <c r="CFP930" s="18"/>
      <c r="CFQ930" s="18"/>
      <c r="CFR930" s="18"/>
      <c r="CFS930" s="18"/>
      <c r="CFT930" s="18"/>
      <c r="CFU930" s="18"/>
      <c r="CFV930" s="18"/>
      <c r="CFW930" s="18"/>
      <c r="CFX930" s="18"/>
      <c r="CFY930" s="18"/>
      <c r="CFZ930" s="18"/>
      <c r="CGA930" s="18"/>
      <c r="CGB930" s="18"/>
      <c r="CGC930" s="18"/>
      <c r="CGD930" s="18"/>
      <c r="CGE930" s="18"/>
      <c r="CGF930" s="18"/>
      <c r="CGG930" s="18"/>
      <c r="CGH930" s="18"/>
      <c r="CGI930" s="18"/>
      <c r="CGJ930" s="18"/>
      <c r="CGK930" s="18"/>
      <c r="CGL930" s="18"/>
      <c r="CGM930" s="18"/>
      <c r="CGN930" s="18"/>
      <c r="CGO930" s="18"/>
      <c r="CGP930" s="18"/>
      <c r="CGQ930" s="18"/>
      <c r="CGR930" s="18"/>
      <c r="CGS930" s="18"/>
      <c r="CGT930" s="18"/>
      <c r="CGU930" s="18"/>
      <c r="CGV930" s="18"/>
      <c r="CGW930" s="18"/>
      <c r="CGX930" s="18"/>
      <c r="CGY930" s="18"/>
      <c r="CGZ930" s="18"/>
      <c r="CHA930" s="18"/>
      <c r="CHB930" s="18"/>
      <c r="CHC930" s="18"/>
      <c r="CHD930" s="18"/>
      <c r="CHE930" s="18"/>
      <c r="CHF930" s="18"/>
      <c r="CHG930" s="18"/>
      <c r="CHH930" s="18"/>
      <c r="CHI930" s="18"/>
      <c r="CHJ930" s="18"/>
      <c r="CHK930" s="18"/>
      <c r="CHL930" s="18"/>
      <c r="CHM930" s="18"/>
      <c r="CHN930" s="18"/>
      <c r="CHO930" s="18"/>
      <c r="CHP930" s="18"/>
      <c r="CHQ930" s="18"/>
      <c r="CHR930" s="18"/>
      <c r="CHS930" s="18"/>
      <c r="CHT930" s="18"/>
      <c r="CHU930" s="18"/>
      <c r="CHV930" s="18"/>
      <c r="CHW930" s="18"/>
      <c r="CHX930" s="18"/>
      <c r="CHY930" s="18"/>
      <c r="CHZ930" s="18"/>
      <c r="CIA930" s="18"/>
      <c r="CIB930" s="18"/>
      <c r="CIC930" s="18"/>
      <c r="CID930" s="18"/>
      <c r="CIE930" s="18"/>
      <c r="CIF930" s="18"/>
      <c r="CIG930" s="18"/>
      <c r="CIH930" s="18"/>
      <c r="CII930" s="18"/>
      <c r="CIJ930" s="18"/>
      <c r="CIK930" s="18"/>
      <c r="CIL930" s="18"/>
      <c r="CIM930" s="18"/>
      <c r="CIN930" s="18"/>
      <c r="CIO930" s="18"/>
      <c r="CIP930" s="18"/>
      <c r="CIQ930" s="18"/>
      <c r="CIR930" s="18"/>
      <c r="CIS930" s="18"/>
      <c r="CIT930" s="18"/>
      <c r="CIU930" s="18"/>
      <c r="CIV930" s="18"/>
      <c r="CIW930" s="18"/>
      <c r="CIX930" s="18"/>
      <c r="CIY930" s="18"/>
      <c r="CIZ930" s="18"/>
      <c r="CJA930" s="18"/>
      <c r="CJB930" s="18"/>
      <c r="CJC930" s="18"/>
      <c r="CJD930" s="18"/>
      <c r="CJE930" s="18"/>
      <c r="CJF930" s="18"/>
      <c r="CJG930" s="18"/>
      <c r="CJH930" s="18"/>
      <c r="CJI930" s="18"/>
      <c r="CJJ930" s="18"/>
      <c r="CJK930" s="18"/>
      <c r="CJL930" s="18"/>
      <c r="CJM930" s="18"/>
      <c r="CJN930" s="18"/>
      <c r="CJO930" s="18"/>
      <c r="CJP930" s="18"/>
      <c r="CJQ930" s="18"/>
      <c r="CJR930" s="18"/>
      <c r="CJS930" s="18"/>
      <c r="CJT930" s="18"/>
      <c r="CJU930" s="18"/>
      <c r="CJV930" s="18"/>
      <c r="CJW930" s="18"/>
      <c r="CJX930" s="18"/>
      <c r="CJY930" s="18"/>
      <c r="CJZ930" s="18"/>
      <c r="CKA930" s="18"/>
      <c r="CKB930" s="18"/>
      <c r="CKC930" s="18"/>
      <c r="CKD930" s="18"/>
      <c r="CKE930" s="18"/>
      <c r="CKF930" s="18"/>
      <c r="CKG930" s="18"/>
      <c r="CKH930" s="18"/>
      <c r="CKI930" s="18"/>
      <c r="CKJ930" s="18"/>
      <c r="CKK930" s="18"/>
      <c r="CKL930" s="18"/>
      <c r="CKM930" s="18"/>
      <c r="CKN930" s="18"/>
      <c r="CKO930" s="18"/>
      <c r="CKP930" s="18"/>
      <c r="CKQ930" s="18"/>
      <c r="CKR930" s="18"/>
      <c r="CKS930" s="18"/>
      <c r="CKT930" s="18"/>
      <c r="CKU930" s="18"/>
      <c r="CKV930" s="18"/>
      <c r="CKW930" s="18"/>
      <c r="CKX930" s="18"/>
      <c r="CKY930" s="18"/>
      <c r="CKZ930" s="18"/>
      <c r="CLA930" s="18"/>
      <c r="CLB930" s="18"/>
      <c r="CLC930" s="18"/>
      <c r="CLD930" s="18"/>
      <c r="CLE930" s="18"/>
      <c r="CLF930" s="18"/>
      <c r="CLG930" s="18"/>
      <c r="CLH930" s="18"/>
      <c r="CLI930" s="18"/>
      <c r="CLJ930" s="18"/>
      <c r="CLK930" s="18"/>
      <c r="CLL930" s="18"/>
      <c r="CLM930" s="18"/>
      <c r="CLN930" s="18"/>
      <c r="CLO930" s="18"/>
      <c r="CLP930" s="18"/>
      <c r="CLQ930" s="18"/>
      <c r="CLR930" s="18"/>
      <c r="CLS930" s="18"/>
      <c r="CLT930" s="18"/>
      <c r="CLU930" s="18"/>
      <c r="CLV930" s="18"/>
      <c r="CLW930" s="18"/>
      <c r="CLX930" s="18"/>
      <c r="CLY930" s="18"/>
      <c r="CLZ930" s="18"/>
      <c r="CMA930" s="18"/>
      <c r="CMB930" s="18"/>
      <c r="CMC930" s="18"/>
      <c r="CMD930" s="18"/>
      <c r="CME930" s="18"/>
      <c r="CMF930" s="18"/>
      <c r="CMG930" s="18"/>
      <c r="CMH930" s="18"/>
      <c r="CMI930" s="18"/>
      <c r="CMJ930" s="18"/>
      <c r="CMK930" s="18"/>
      <c r="CML930" s="18"/>
      <c r="CMM930" s="18"/>
      <c r="CMN930" s="18"/>
      <c r="CMO930" s="18"/>
      <c r="CMP930" s="18"/>
      <c r="CMQ930" s="18"/>
      <c r="CMR930" s="18"/>
      <c r="CMS930" s="18"/>
      <c r="CMT930" s="18"/>
      <c r="CMU930" s="18"/>
      <c r="CMV930" s="18"/>
      <c r="CMW930" s="18"/>
      <c r="CMX930" s="18"/>
      <c r="CMY930" s="18"/>
      <c r="CMZ930" s="18"/>
      <c r="CNA930" s="18"/>
      <c r="CNB930" s="18"/>
      <c r="CNC930" s="18"/>
      <c r="CND930" s="18"/>
      <c r="CNE930" s="18"/>
      <c r="CNF930" s="18"/>
      <c r="CNG930" s="18"/>
      <c r="CNH930" s="18"/>
      <c r="CNI930" s="18"/>
      <c r="CNJ930" s="18"/>
      <c r="CNK930" s="18"/>
      <c r="CNL930" s="18"/>
      <c r="CNM930" s="18"/>
      <c r="CNN930" s="18"/>
      <c r="CNO930" s="18"/>
      <c r="CNP930" s="18"/>
      <c r="CNQ930" s="18"/>
      <c r="CNR930" s="18"/>
      <c r="CNS930" s="18"/>
      <c r="CNT930" s="18"/>
      <c r="CNU930" s="18"/>
      <c r="CNV930" s="18"/>
      <c r="CNW930" s="18"/>
      <c r="CNX930" s="18"/>
      <c r="CNY930" s="18"/>
      <c r="CNZ930" s="18"/>
      <c r="COA930" s="18"/>
      <c r="COB930" s="18"/>
      <c r="COC930" s="18"/>
      <c r="COD930" s="18"/>
      <c r="COE930" s="18"/>
      <c r="COF930" s="18"/>
      <c r="COG930" s="18"/>
      <c r="COH930" s="18"/>
      <c r="COI930" s="18"/>
      <c r="COJ930" s="18"/>
      <c r="COK930" s="18"/>
      <c r="COL930" s="18"/>
      <c r="COM930" s="18"/>
      <c r="CON930" s="18"/>
      <c r="COO930" s="18"/>
      <c r="COP930" s="18"/>
      <c r="COQ930" s="18"/>
      <c r="COR930" s="18"/>
      <c r="COS930" s="18"/>
      <c r="COT930" s="18"/>
      <c r="COU930" s="18"/>
      <c r="COV930" s="18"/>
      <c r="COW930" s="18"/>
      <c r="COX930" s="18"/>
      <c r="COY930" s="18"/>
      <c r="COZ930" s="18"/>
      <c r="CPA930" s="18"/>
      <c r="CPB930" s="18"/>
      <c r="CPC930" s="18"/>
      <c r="CPD930" s="18"/>
      <c r="CPE930" s="18"/>
      <c r="CPF930" s="18"/>
      <c r="CPG930" s="18"/>
      <c r="CPH930" s="18"/>
      <c r="CPI930" s="18"/>
      <c r="CPJ930" s="18"/>
      <c r="CPK930" s="18"/>
      <c r="CPL930" s="18"/>
      <c r="CPM930" s="18"/>
      <c r="CPN930" s="18"/>
      <c r="CPO930" s="18"/>
      <c r="CPP930" s="18"/>
      <c r="CPQ930" s="18"/>
      <c r="CPR930" s="18"/>
      <c r="CPS930" s="18"/>
      <c r="CPT930" s="18"/>
      <c r="CPU930" s="18"/>
      <c r="CPV930" s="18"/>
      <c r="CPW930" s="18"/>
      <c r="CPX930" s="18"/>
      <c r="CPY930" s="18"/>
      <c r="CPZ930" s="18"/>
      <c r="CQA930" s="18"/>
      <c r="CQB930" s="18"/>
      <c r="CQC930" s="18"/>
      <c r="CQD930" s="18"/>
      <c r="CQE930" s="18"/>
      <c r="CQF930" s="18"/>
      <c r="CQG930" s="18"/>
      <c r="CQH930" s="18"/>
      <c r="CQI930" s="18"/>
      <c r="CQJ930" s="18"/>
      <c r="CQK930" s="18"/>
      <c r="CQL930" s="18"/>
      <c r="CQM930" s="18"/>
      <c r="CQN930" s="18"/>
      <c r="CQO930" s="18"/>
      <c r="CQP930" s="18"/>
      <c r="CQQ930" s="18"/>
      <c r="CQR930" s="18"/>
      <c r="CQS930" s="18"/>
      <c r="CQT930" s="18"/>
      <c r="CQU930" s="18"/>
      <c r="CQV930" s="18"/>
      <c r="CQW930" s="18"/>
      <c r="CQX930" s="18"/>
      <c r="CQY930" s="18"/>
      <c r="CQZ930" s="18"/>
      <c r="CRA930" s="18"/>
      <c r="CRB930" s="18"/>
      <c r="CRC930" s="18"/>
      <c r="CRD930" s="18"/>
      <c r="CRE930" s="18"/>
      <c r="CRF930" s="18"/>
      <c r="CRG930" s="18"/>
      <c r="CRH930" s="18"/>
      <c r="CRI930" s="18"/>
      <c r="CRJ930" s="18"/>
      <c r="CRK930" s="18"/>
      <c r="CRL930" s="18"/>
      <c r="CRM930" s="18"/>
      <c r="CRN930" s="18"/>
      <c r="CRO930" s="18"/>
      <c r="CRP930" s="18"/>
      <c r="CRQ930" s="18"/>
      <c r="CRR930" s="18"/>
      <c r="CRS930" s="18"/>
      <c r="CRT930" s="18"/>
      <c r="CRU930" s="18"/>
      <c r="CRV930" s="18"/>
      <c r="CRW930" s="18"/>
      <c r="CRX930" s="18"/>
      <c r="CRY930" s="18"/>
      <c r="CRZ930" s="18"/>
      <c r="CSA930" s="18"/>
      <c r="CSB930" s="18"/>
      <c r="CSC930" s="18"/>
      <c r="CSD930" s="18"/>
      <c r="CSE930" s="18"/>
      <c r="CSF930" s="18"/>
      <c r="CSG930" s="18"/>
      <c r="CSH930" s="18"/>
      <c r="CSI930" s="18"/>
      <c r="CSJ930" s="18"/>
      <c r="CSK930" s="18"/>
      <c r="CSL930" s="18"/>
      <c r="CSM930" s="18"/>
      <c r="CSN930" s="18"/>
      <c r="CSO930" s="18"/>
      <c r="CSP930" s="18"/>
      <c r="CSQ930" s="18"/>
      <c r="CSR930" s="18"/>
      <c r="CSS930" s="18"/>
      <c r="CST930" s="18"/>
      <c r="CSU930" s="18"/>
      <c r="CSV930" s="18"/>
      <c r="CSW930" s="18"/>
      <c r="CSX930" s="18"/>
      <c r="CSY930" s="18"/>
      <c r="CSZ930" s="18"/>
      <c r="CTA930" s="18"/>
      <c r="CTB930" s="18"/>
      <c r="CTC930" s="18"/>
      <c r="CTD930" s="18"/>
      <c r="CTE930" s="18"/>
      <c r="CTF930" s="18"/>
      <c r="CTG930" s="18"/>
      <c r="CTH930" s="18"/>
      <c r="CTI930" s="18"/>
      <c r="CTJ930" s="18"/>
      <c r="CTK930" s="18"/>
      <c r="CTL930" s="18"/>
      <c r="CTM930" s="18"/>
      <c r="CTN930" s="18"/>
      <c r="CTO930" s="18"/>
      <c r="CTP930" s="18"/>
      <c r="CTQ930" s="18"/>
      <c r="CTR930" s="18"/>
      <c r="CTS930" s="18"/>
      <c r="CTT930" s="18"/>
      <c r="CTU930" s="18"/>
      <c r="CTV930" s="18"/>
      <c r="CTW930" s="18"/>
      <c r="CTX930" s="18"/>
      <c r="CTY930" s="18"/>
      <c r="CTZ930" s="18"/>
      <c r="CUA930" s="18"/>
      <c r="CUB930" s="18"/>
      <c r="CUC930" s="18"/>
      <c r="CUD930" s="18"/>
      <c r="CUE930" s="18"/>
      <c r="CUF930" s="18"/>
      <c r="CUG930" s="18"/>
      <c r="CUH930" s="18"/>
      <c r="CUI930" s="18"/>
      <c r="CUJ930" s="18"/>
      <c r="CUK930" s="18"/>
      <c r="CUL930" s="18"/>
      <c r="CUM930" s="18"/>
      <c r="CUN930" s="18"/>
      <c r="CUO930" s="18"/>
      <c r="CUP930" s="18"/>
      <c r="CUQ930" s="18"/>
      <c r="CUR930" s="18"/>
      <c r="CUS930" s="18"/>
      <c r="CUT930" s="18"/>
      <c r="CUU930" s="18"/>
      <c r="CUV930" s="18"/>
      <c r="CUW930" s="18"/>
      <c r="CUX930" s="18"/>
      <c r="CUY930" s="18"/>
      <c r="CUZ930" s="18"/>
      <c r="CVA930" s="18"/>
      <c r="CVB930" s="18"/>
      <c r="CVC930" s="18"/>
      <c r="CVD930" s="18"/>
      <c r="CVE930" s="18"/>
      <c r="CVF930" s="18"/>
      <c r="CVG930" s="18"/>
      <c r="CVH930" s="18"/>
      <c r="CVI930" s="18"/>
      <c r="CVJ930" s="18"/>
      <c r="CVK930" s="18"/>
      <c r="CVL930" s="18"/>
      <c r="CVM930" s="18"/>
      <c r="CVN930" s="18"/>
      <c r="CVO930" s="18"/>
      <c r="CVP930" s="18"/>
      <c r="CVQ930" s="18"/>
      <c r="CVR930" s="18"/>
      <c r="CVS930" s="18"/>
      <c r="CVT930" s="18"/>
      <c r="CVU930" s="18"/>
      <c r="CVV930" s="18"/>
      <c r="CVW930" s="18"/>
      <c r="CVX930" s="18"/>
      <c r="CVY930" s="18"/>
      <c r="CVZ930" s="18"/>
      <c r="CWA930" s="18"/>
      <c r="CWB930" s="18"/>
      <c r="CWC930" s="18"/>
      <c r="CWD930" s="18"/>
      <c r="CWE930" s="18"/>
      <c r="CWF930" s="18"/>
      <c r="CWG930" s="18"/>
      <c r="CWH930" s="18"/>
      <c r="CWI930" s="18"/>
      <c r="CWJ930" s="18"/>
      <c r="CWK930" s="18"/>
      <c r="CWL930" s="18"/>
      <c r="CWM930" s="18"/>
      <c r="CWN930" s="18"/>
      <c r="CWO930" s="18"/>
      <c r="CWP930" s="18"/>
      <c r="CWQ930" s="18"/>
      <c r="CWR930" s="18"/>
      <c r="CWS930" s="18"/>
      <c r="CWT930" s="18"/>
      <c r="CWU930" s="18"/>
      <c r="CWV930" s="18"/>
      <c r="CWW930" s="18"/>
      <c r="CWX930" s="18"/>
      <c r="CWY930" s="18"/>
      <c r="CWZ930" s="18"/>
      <c r="CXA930" s="18"/>
      <c r="CXB930" s="18"/>
      <c r="CXC930" s="18"/>
      <c r="CXD930" s="18"/>
      <c r="CXE930" s="18"/>
      <c r="CXF930" s="18"/>
      <c r="CXG930" s="18"/>
      <c r="CXH930" s="18"/>
      <c r="CXI930" s="18"/>
      <c r="CXJ930" s="18"/>
      <c r="CXK930" s="18"/>
      <c r="CXL930" s="18"/>
      <c r="CXM930" s="18"/>
      <c r="CXN930" s="18"/>
      <c r="CXO930" s="18"/>
      <c r="CXP930" s="18"/>
      <c r="CXQ930" s="18"/>
      <c r="CXR930" s="18"/>
      <c r="CXS930" s="18"/>
      <c r="CXT930" s="18"/>
      <c r="CXU930" s="18"/>
      <c r="CXV930" s="18"/>
      <c r="CXW930" s="18"/>
      <c r="CXX930" s="18"/>
      <c r="CXY930" s="18"/>
      <c r="CXZ930" s="18"/>
      <c r="CYA930" s="18"/>
      <c r="CYB930" s="18"/>
      <c r="CYC930" s="18"/>
      <c r="CYD930" s="18"/>
      <c r="CYE930" s="18"/>
      <c r="CYF930" s="18"/>
      <c r="CYG930" s="18"/>
      <c r="CYH930" s="18"/>
      <c r="CYI930" s="18"/>
      <c r="CYJ930" s="18"/>
      <c r="CYK930" s="18"/>
      <c r="CYL930" s="18"/>
      <c r="CYM930" s="18"/>
      <c r="CYN930" s="18"/>
      <c r="CYO930" s="18"/>
      <c r="CYP930" s="18"/>
      <c r="CYQ930" s="18"/>
      <c r="CYR930" s="18"/>
      <c r="CYS930" s="18"/>
      <c r="CYT930" s="18"/>
      <c r="CYU930" s="18"/>
      <c r="CYV930" s="18"/>
      <c r="CYW930" s="18"/>
      <c r="CYX930" s="18"/>
      <c r="CYY930" s="18"/>
      <c r="CYZ930" s="18"/>
      <c r="CZA930" s="18"/>
      <c r="CZB930" s="18"/>
      <c r="CZC930" s="18"/>
      <c r="CZD930" s="18"/>
      <c r="CZE930" s="18"/>
      <c r="CZF930" s="18"/>
      <c r="CZG930" s="18"/>
      <c r="CZH930" s="18"/>
      <c r="CZI930" s="18"/>
      <c r="CZJ930" s="18"/>
      <c r="CZK930" s="18"/>
      <c r="CZL930" s="18"/>
      <c r="CZM930" s="18"/>
      <c r="CZN930" s="18"/>
      <c r="CZO930" s="18"/>
      <c r="CZP930" s="18"/>
      <c r="CZQ930" s="18"/>
      <c r="CZR930" s="18"/>
      <c r="CZS930" s="18"/>
      <c r="CZT930" s="18"/>
      <c r="CZU930" s="18"/>
      <c r="CZV930" s="18"/>
      <c r="CZW930" s="18"/>
      <c r="CZX930" s="18"/>
      <c r="CZY930" s="18"/>
      <c r="CZZ930" s="18"/>
      <c r="DAA930" s="18"/>
      <c r="DAB930" s="18"/>
      <c r="DAC930" s="18"/>
      <c r="DAD930" s="18"/>
      <c r="DAE930" s="18"/>
      <c r="DAF930" s="18"/>
      <c r="DAG930" s="18"/>
      <c r="DAH930" s="18"/>
      <c r="DAI930" s="18"/>
      <c r="DAJ930" s="18"/>
      <c r="DAK930" s="18"/>
      <c r="DAL930" s="18"/>
      <c r="DAM930" s="18"/>
      <c r="DAN930" s="18"/>
      <c r="DAO930" s="18"/>
      <c r="DAP930" s="18"/>
      <c r="DAQ930" s="18"/>
      <c r="DAR930" s="18"/>
      <c r="DAS930" s="18"/>
      <c r="DAT930" s="18"/>
      <c r="DAU930" s="18"/>
      <c r="DAV930" s="18"/>
      <c r="DAW930" s="18"/>
      <c r="DAX930" s="18"/>
      <c r="DAY930" s="18"/>
      <c r="DAZ930" s="18"/>
      <c r="DBA930" s="18"/>
      <c r="DBB930" s="18"/>
      <c r="DBC930" s="18"/>
      <c r="DBD930" s="18"/>
      <c r="DBE930" s="18"/>
      <c r="DBF930" s="18"/>
      <c r="DBG930" s="18"/>
      <c r="DBH930" s="18"/>
      <c r="DBI930" s="18"/>
      <c r="DBJ930" s="18"/>
      <c r="DBK930" s="18"/>
      <c r="DBL930" s="18"/>
      <c r="DBM930" s="18"/>
      <c r="DBN930" s="18"/>
      <c r="DBO930" s="18"/>
      <c r="DBP930" s="18"/>
      <c r="DBQ930" s="18"/>
      <c r="DBR930" s="18"/>
      <c r="DBS930" s="18"/>
      <c r="DBT930" s="18"/>
      <c r="DBU930" s="18"/>
      <c r="DBV930" s="18"/>
      <c r="DBW930" s="18"/>
      <c r="DBX930" s="18"/>
      <c r="DBY930" s="18"/>
      <c r="DBZ930" s="18"/>
      <c r="DCA930" s="18"/>
      <c r="DCB930" s="18"/>
      <c r="DCC930" s="18"/>
      <c r="DCD930" s="18"/>
      <c r="DCE930" s="18"/>
      <c r="DCF930" s="18"/>
      <c r="DCG930" s="18"/>
      <c r="DCH930" s="18"/>
      <c r="DCI930" s="18"/>
      <c r="DCJ930" s="18"/>
      <c r="DCK930" s="18"/>
      <c r="DCL930" s="18"/>
      <c r="DCM930" s="18"/>
      <c r="DCN930" s="18"/>
      <c r="DCO930" s="18"/>
      <c r="DCP930" s="18"/>
      <c r="DCQ930" s="18"/>
      <c r="DCR930" s="18"/>
      <c r="DCS930" s="18"/>
      <c r="DCT930" s="18"/>
      <c r="DCU930" s="18"/>
      <c r="DCV930" s="18"/>
      <c r="DCW930" s="18"/>
      <c r="DCX930" s="18"/>
      <c r="DCY930" s="18"/>
      <c r="DCZ930" s="18"/>
      <c r="DDA930" s="18"/>
      <c r="DDB930" s="18"/>
      <c r="DDC930" s="18"/>
      <c r="DDD930" s="18"/>
      <c r="DDE930" s="18"/>
      <c r="DDF930" s="18"/>
      <c r="DDG930" s="18"/>
      <c r="DDH930" s="18"/>
      <c r="DDI930" s="18"/>
      <c r="DDJ930" s="18"/>
      <c r="DDK930" s="18"/>
      <c r="DDL930" s="18"/>
      <c r="DDM930" s="18"/>
      <c r="DDN930" s="18"/>
      <c r="DDO930" s="18"/>
      <c r="DDP930" s="18"/>
      <c r="DDQ930" s="18"/>
      <c r="DDR930" s="18"/>
      <c r="DDS930" s="18"/>
      <c r="DDT930" s="18"/>
      <c r="DDU930" s="18"/>
      <c r="DDV930" s="18"/>
      <c r="DDW930" s="18"/>
      <c r="DDX930" s="18"/>
      <c r="DDY930" s="18"/>
      <c r="DDZ930" s="18"/>
      <c r="DEA930" s="18"/>
      <c r="DEB930" s="18"/>
      <c r="DEC930" s="18"/>
      <c r="DED930" s="18"/>
      <c r="DEE930" s="18"/>
      <c r="DEF930" s="18"/>
      <c r="DEG930" s="18"/>
      <c r="DEH930" s="18"/>
      <c r="DEI930" s="18"/>
      <c r="DEJ930" s="18"/>
      <c r="DEK930" s="18"/>
      <c r="DEL930" s="18"/>
      <c r="DEM930" s="18"/>
      <c r="DEN930" s="18"/>
      <c r="DEO930" s="18"/>
      <c r="DEP930" s="18"/>
      <c r="DEQ930" s="18"/>
      <c r="DER930" s="18"/>
      <c r="DES930" s="18"/>
      <c r="DET930" s="18"/>
      <c r="DEU930" s="18"/>
      <c r="DEV930" s="18"/>
      <c r="DEW930" s="18"/>
      <c r="DEX930" s="18"/>
      <c r="DEY930" s="18"/>
      <c r="DEZ930" s="18"/>
      <c r="DFA930" s="18"/>
      <c r="DFB930" s="18"/>
      <c r="DFC930" s="18"/>
      <c r="DFD930" s="18"/>
      <c r="DFE930" s="18"/>
      <c r="DFF930" s="18"/>
      <c r="DFG930" s="18"/>
      <c r="DFH930" s="18"/>
      <c r="DFI930" s="18"/>
      <c r="DFJ930" s="18"/>
      <c r="DFK930" s="18"/>
      <c r="DFL930" s="18"/>
      <c r="DFM930" s="18"/>
      <c r="DFN930" s="18"/>
      <c r="DFO930" s="18"/>
      <c r="DFP930" s="18"/>
      <c r="DFQ930" s="18"/>
      <c r="DFR930" s="18"/>
      <c r="DFS930" s="18"/>
      <c r="DFT930" s="18"/>
      <c r="DFU930" s="18"/>
      <c r="DFV930" s="18"/>
      <c r="DFW930" s="18"/>
      <c r="DFX930" s="18"/>
      <c r="DFY930" s="18"/>
      <c r="DFZ930" s="18"/>
      <c r="DGA930" s="18"/>
      <c r="DGB930" s="18"/>
      <c r="DGC930" s="18"/>
      <c r="DGD930" s="18"/>
      <c r="DGE930" s="18"/>
      <c r="DGF930" s="18"/>
      <c r="DGG930" s="18"/>
      <c r="DGH930" s="18"/>
      <c r="DGI930" s="18"/>
      <c r="DGJ930" s="18"/>
      <c r="DGK930" s="18"/>
      <c r="DGL930" s="18"/>
      <c r="DGM930" s="18"/>
      <c r="DGN930" s="18"/>
      <c r="DGO930" s="18"/>
      <c r="DGP930" s="18"/>
      <c r="DGQ930" s="18"/>
      <c r="DGR930" s="18"/>
      <c r="DGS930" s="18"/>
      <c r="DGT930" s="18"/>
      <c r="DGU930" s="18"/>
      <c r="DGV930" s="18"/>
      <c r="DGW930" s="18"/>
      <c r="DGX930" s="18"/>
      <c r="DGY930" s="18"/>
      <c r="DGZ930" s="18"/>
      <c r="DHA930" s="18"/>
      <c r="DHB930" s="18"/>
      <c r="DHC930" s="18"/>
      <c r="DHD930" s="18"/>
      <c r="DHE930" s="18"/>
      <c r="DHF930" s="18"/>
      <c r="DHG930" s="18"/>
      <c r="DHH930" s="18"/>
      <c r="DHI930" s="18"/>
      <c r="DHJ930" s="18"/>
      <c r="DHK930" s="18"/>
      <c r="DHL930" s="18"/>
      <c r="DHM930" s="18"/>
      <c r="DHN930" s="18"/>
      <c r="DHO930" s="18"/>
      <c r="DHP930" s="18"/>
      <c r="DHQ930" s="18"/>
      <c r="DHR930" s="18"/>
      <c r="DHS930" s="18"/>
      <c r="DHT930" s="18"/>
      <c r="DHU930" s="18"/>
      <c r="DHV930" s="18"/>
      <c r="DHW930" s="18"/>
      <c r="DHX930" s="18"/>
      <c r="DHY930" s="18"/>
      <c r="DHZ930" s="18"/>
      <c r="DIA930" s="18"/>
      <c r="DIB930" s="18"/>
      <c r="DIC930" s="18"/>
      <c r="DID930" s="18"/>
      <c r="DIE930" s="18"/>
      <c r="DIF930" s="18"/>
      <c r="DIG930" s="18"/>
      <c r="DIH930" s="18"/>
      <c r="DII930" s="18"/>
      <c r="DIJ930" s="18"/>
      <c r="DIK930" s="18"/>
      <c r="DIL930" s="18"/>
      <c r="DIM930" s="18"/>
      <c r="DIN930" s="18"/>
      <c r="DIO930" s="18"/>
      <c r="DIP930" s="18"/>
      <c r="DIQ930" s="18"/>
      <c r="DIR930" s="18"/>
      <c r="DIS930" s="18"/>
      <c r="DIT930" s="18"/>
      <c r="DIU930" s="18"/>
      <c r="DIV930" s="18"/>
      <c r="DIW930" s="18"/>
      <c r="DIX930" s="18"/>
      <c r="DIY930" s="18"/>
      <c r="DIZ930" s="18"/>
      <c r="DJA930" s="18"/>
      <c r="DJB930" s="18"/>
      <c r="DJC930" s="18"/>
      <c r="DJD930" s="18"/>
      <c r="DJE930" s="18"/>
      <c r="DJF930" s="18"/>
      <c r="DJG930" s="18"/>
      <c r="DJH930" s="18"/>
      <c r="DJI930" s="18"/>
      <c r="DJJ930" s="18"/>
      <c r="DJK930" s="18"/>
      <c r="DJL930" s="18"/>
      <c r="DJM930" s="18"/>
      <c r="DJN930" s="18"/>
      <c r="DJO930" s="18"/>
      <c r="DJP930" s="18"/>
      <c r="DJQ930" s="18"/>
      <c r="DJR930" s="18"/>
      <c r="DJS930" s="18"/>
      <c r="DJT930" s="18"/>
      <c r="DJU930" s="18"/>
      <c r="DJV930" s="18"/>
      <c r="DJW930" s="18"/>
      <c r="DJX930" s="18"/>
      <c r="DJY930" s="18"/>
      <c r="DJZ930" s="18"/>
      <c r="DKA930" s="18"/>
      <c r="DKB930" s="18"/>
      <c r="DKC930" s="18"/>
      <c r="DKD930" s="18"/>
      <c r="DKE930" s="18"/>
      <c r="DKF930" s="18"/>
      <c r="DKG930" s="18"/>
      <c r="DKH930" s="18"/>
      <c r="DKI930" s="18"/>
      <c r="DKJ930" s="18"/>
      <c r="DKK930" s="18"/>
      <c r="DKL930" s="18"/>
      <c r="DKM930" s="18"/>
      <c r="DKN930" s="18"/>
      <c r="DKO930" s="18"/>
      <c r="DKP930" s="18"/>
      <c r="DKQ930" s="18"/>
      <c r="DKR930" s="18"/>
      <c r="DKS930" s="18"/>
      <c r="DKT930" s="18"/>
      <c r="DKU930" s="18"/>
      <c r="DKV930" s="18"/>
      <c r="DKW930" s="18"/>
      <c r="DKX930" s="18"/>
      <c r="DKY930" s="18"/>
      <c r="DKZ930" s="18"/>
      <c r="DLA930" s="18"/>
      <c r="DLB930" s="18"/>
      <c r="DLC930" s="18"/>
      <c r="DLD930" s="18"/>
      <c r="DLE930" s="18"/>
      <c r="DLF930" s="18"/>
      <c r="DLG930" s="18"/>
      <c r="DLH930" s="18"/>
      <c r="DLI930" s="18"/>
      <c r="DLJ930" s="18"/>
      <c r="DLK930" s="18"/>
      <c r="DLL930" s="18"/>
      <c r="DLM930" s="18"/>
      <c r="DLN930" s="18"/>
      <c r="DLO930" s="18"/>
      <c r="DLP930" s="18"/>
      <c r="DLQ930" s="18"/>
      <c r="DLR930" s="18"/>
      <c r="DLS930" s="18"/>
      <c r="DLT930" s="18"/>
      <c r="DLU930" s="18"/>
      <c r="DLV930" s="18"/>
      <c r="DLW930" s="18"/>
      <c r="DLX930" s="18"/>
      <c r="DLY930" s="18"/>
      <c r="DLZ930" s="18"/>
      <c r="DMA930" s="18"/>
      <c r="DMB930" s="18"/>
      <c r="DMC930" s="18"/>
      <c r="DMD930" s="18"/>
      <c r="DME930" s="18"/>
      <c r="DMF930" s="18"/>
      <c r="DMG930" s="18"/>
      <c r="DMH930" s="18"/>
      <c r="DMI930" s="18"/>
      <c r="DMJ930" s="18"/>
      <c r="DMK930" s="18"/>
      <c r="DML930" s="18"/>
      <c r="DMM930" s="18"/>
      <c r="DMN930" s="18"/>
      <c r="DMO930" s="18"/>
      <c r="DMP930" s="18"/>
      <c r="DMQ930" s="18"/>
      <c r="DMR930" s="18"/>
      <c r="DMS930" s="18"/>
      <c r="DMT930" s="18"/>
      <c r="DMU930" s="18"/>
      <c r="DMV930" s="18"/>
      <c r="DMW930" s="18"/>
      <c r="DMX930" s="18"/>
      <c r="DMY930" s="18"/>
      <c r="DMZ930" s="18"/>
      <c r="DNA930" s="18"/>
      <c r="DNB930" s="18"/>
      <c r="DNC930" s="18"/>
      <c r="DND930" s="18"/>
      <c r="DNE930" s="18"/>
      <c r="DNF930" s="18"/>
      <c r="DNG930" s="18"/>
      <c r="DNH930" s="18"/>
      <c r="DNI930" s="18"/>
      <c r="DNJ930" s="18"/>
      <c r="DNK930" s="18"/>
      <c r="DNL930" s="18"/>
      <c r="DNM930" s="18"/>
      <c r="DNN930" s="18"/>
      <c r="DNO930" s="18"/>
      <c r="DNP930" s="18"/>
      <c r="DNQ930" s="18"/>
      <c r="DNR930" s="18"/>
      <c r="DNS930" s="18"/>
      <c r="DNT930" s="18"/>
      <c r="DNU930" s="18"/>
      <c r="DNV930" s="18"/>
      <c r="DNW930" s="18"/>
      <c r="DNX930" s="18"/>
      <c r="DNY930" s="18"/>
      <c r="DNZ930" s="18"/>
      <c r="DOA930" s="18"/>
      <c r="DOB930" s="18"/>
      <c r="DOC930" s="18"/>
      <c r="DOD930" s="18"/>
      <c r="DOE930" s="18"/>
      <c r="DOF930" s="18"/>
      <c r="DOG930" s="18"/>
      <c r="DOH930" s="18"/>
      <c r="DOI930" s="18"/>
      <c r="DOJ930" s="18"/>
      <c r="DOK930" s="18"/>
      <c r="DOL930" s="18"/>
      <c r="DOM930" s="18"/>
      <c r="DON930" s="18"/>
      <c r="DOO930" s="18"/>
      <c r="DOP930" s="18"/>
      <c r="DOQ930" s="18"/>
      <c r="DOR930" s="18"/>
      <c r="DOS930" s="18"/>
      <c r="DOT930" s="18"/>
      <c r="DOU930" s="18"/>
      <c r="DOV930" s="18"/>
      <c r="DOW930" s="18"/>
      <c r="DOX930" s="18"/>
      <c r="DOY930" s="18"/>
      <c r="DOZ930" s="18"/>
      <c r="DPA930" s="18"/>
      <c r="DPB930" s="18"/>
      <c r="DPC930" s="18"/>
      <c r="DPD930" s="18"/>
      <c r="DPE930" s="18"/>
      <c r="DPF930" s="18"/>
      <c r="DPG930" s="18"/>
      <c r="DPH930" s="18"/>
      <c r="DPI930" s="18"/>
      <c r="DPJ930" s="18"/>
      <c r="DPK930" s="18"/>
      <c r="DPL930" s="18"/>
      <c r="DPM930" s="18"/>
      <c r="DPN930" s="18"/>
      <c r="DPO930" s="18"/>
      <c r="DPP930" s="18"/>
      <c r="DPQ930" s="18"/>
      <c r="DPR930" s="18"/>
      <c r="DPS930" s="18"/>
      <c r="DPT930" s="18"/>
      <c r="DPU930" s="18"/>
      <c r="DPV930" s="18"/>
      <c r="DPW930" s="18"/>
      <c r="DPX930" s="18"/>
      <c r="DPY930" s="18"/>
      <c r="DPZ930" s="18"/>
      <c r="DQA930" s="18"/>
      <c r="DQB930" s="18"/>
      <c r="DQC930" s="18"/>
      <c r="DQD930" s="18"/>
      <c r="DQE930" s="18"/>
      <c r="DQF930" s="18"/>
      <c r="DQG930" s="18"/>
      <c r="DQH930" s="18"/>
      <c r="DQI930" s="18"/>
      <c r="DQJ930" s="18"/>
      <c r="DQK930" s="18"/>
      <c r="DQL930" s="18"/>
      <c r="DQM930" s="18"/>
      <c r="DQN930" s="18"/>
      <c r="DQO930" s="18"/>
      <c r="DQP930" s="18"/>
      <c r="DQQ930" s="18"/>
      <c r="DQR930" s="18"/>
      <c r="DQS930" s="18"/>
      <c r="DQT930" s="18"/>
      <c r="DQU930" s="18"/>
      <c r="DQV930" s="18"/>
      <c r="DQW930" s="18"/>
      <c r="DQX930" s="18"/>
      <c r="DQY930" s="18"/>
      <c r="DQZ930" s="18"/>
      <c r="DRA930" s="18"/>
      <c r="DRB930" s="18"/>
      <c r="DRC930" s="18"/>
      <c r="DRD930" s="18"/>
      <c r="DRE930" s="18"/>
      <c r="DRF930" s="18"/>
      <c r="DRG930" s="18"/>
      <c r="DRH930" s="18"/>
      <c r="DRI930" s="18"/>
      <c r="DRJ930" s="18"/>
      <c r="DRK930" s="18"/>
      <c r="DRL930" s="18"/>
      <c r="DRM930" s="18"/>
      <c r="DRN930" s="18"/>
      <c r="DRO930" s="18"/>
      <c r="DRP930" s="18"/>
      <c r="DRQ930" s="18"/>
      <c r="DRR930" s="18"/>
      <c r="DRS930" s="18"/>
      <c r="DRT930" s="18"/>
      <c r="DRU930" s="18"/>
      <c r="DRV930" s="18"/>
      <c r="DRW930" s="18"/>
      <c r="DRX930" s="18"/>
      <c r="DRY930" s="18"/>
      <c r="DRZ930" s="18"/>
      <c r="DSA930" s="18"/>
      <c r="DSB930" s="18"/>
      <c r="DSC930" s="18"/>
      <c r="DSD930" s="18"/>
      <c r="DSE930" s="18"/>
      <c r="DSF930" s="18"/>
      <c r="DSG930" s="18"/>
      <c r="DSH930" s="18"/>
      <c r="DSI930" s="18"/>
      <c r="DSJ930" s="18"/>
      <c r="DSK930" s="18"/>
      <c r="DSL930" s="18"/>
      <c r="DSM930" s="18"/>
      <c r="DSN930" s="18"/>
      <c r="DSO930" s="18"/>
      <c r="DSP930" s="18"/>
      <c r="DSQ930" s="18"/>
      <c r="DSR930" s="18"/>
      <c r="DSS930" s="18"/>
      <c r="DST930" s="18"/>
      <c r="DSU930" s="18"/>
      <c r="DSV930" s="18"/>
      <c r="DSW930" s="18"/>
      <c r="DSX930" s="18"/>
      <c r="DSY930" s="18"/>
      <c r="DSZ930" s="18"/>
      <c r="DTA930" s="18"/>
      <c r="DTB930" s="18"/>
      <c r="DTC930" s="18"/>
      <c r="DTD930" s="18"/>
      <c r="DTE930" s="18"/>
      <c r="DTF930" s="18"/>
      <c r="DTG930" s="18"/>
      <c r="DTH930" s="18"/>
      <c r="DTI930" s="18"/>
      <c r="DTJ930" s="18"/>
      <c r="DTK930" s="18"/>
      <c r="DTL930" s="18"/>
      <c r="DTM930" s="18"/>
      <c r="DTN930" s="18"/>
      <c r="DTO930" s="18"/>
      <c r="DTP930" s="18"/>
      <c r="DTQ930" s="18"/>
      <c r="DTR930" s="18"/>
      <c r="DTS930" s="18"/>
      <c r="DTT930" s="18"/>
      <c r="DTU930" s="18"/>
      <c r="DTV930" s="18"/>
      <c r="DTW930" s="18"/>
      <c r="DTX930" s="18"/>
      <c r="DTY930" s="18"/>
      <c r="DTZ930" s="18"/>
      <c r="DUA930" s="18"/>
      <c r="DUB930" s="18"/>
      <c r="DUC930" s="18"/>
      <c r="DUD930" s="18"/>
      <c r="DUE930" s="18"/>
      <c r="DUF930" s="18"/>
      <c r="DUG930" s="18"/>
      <c r="DUH930" s="18"/>
      <c r="DUI930" s="18"/>
      <c r="DUJ930" s="18"/>
      <c r="DUK930" s="18"/>
      <c r="DUL930" s="18"/>
      <c r="DUM930" s="18"/>
      <c r="DUN930" s="18"/>
      <c r="DUO930" s="18"/>
      <c r="DUP930" s="18"/>
      <c r="DUQ930" s="18"/>
      <c r="DUR930" s="18"/>
      <c r="DUS930" s="18"/>
      <c r="DUT930" s="18"/>
      <c r="DUU930" s="18"/>
      <c r="DUV930" s="18"/>
      <c r="DUW930" s="18"/>
      <c r="DUX930" s="18"/>
      <c r="DUY930" s="18"/>
      <c r="DUZ930" s="18"/>
      <c r="DVA930" s="18"/>
      <c r="DVB930" s="18"/>
      <c r="DVC930" s="18"/>
      <c r="DVD930" s="18"/>
      <c r="DVE930" s="18"/>
      <c r="DVF930" s="18"/>
      <c r="DVG930" s="18"/>
      <c r="DVH930" s="18"/>
      <c r="DVI930" s="18"/>
      <c r="DVJ930" s="18"/>
      <c r="DVK930" s="18"/>
      <c r="DVL930" s="18"/>
      <c r="DVM930" s="18"/>
      <c r="DVN930" s="18"/>
      <c r="DVO930" s="18"/>
      <c r="DVP930" s="18"/>
      <c r="DVQ930" s="18"/>
      <c r="DVR930" s="18"/>
      <c r="DVS930" s="18"/>
      <c r="DVT930" s="18"/>
      <c r="DVU930" s="18"/>
      <c r="DVV930" s="18"/>
      <c r="DVW930" s="18"/>
      <c r="DVX930" s="18"/>
      <c r="DVY930" s="18"/>
      <c r="DVZ930" s="18"/>
      <c r="DWA930" s="18"/>
      <c r="DWB930" s="18"/>
      <c r="DWC930" s="18"/>
      <c r="DWD930" s="18"/>
      <c r="DWE930" s="18"/>
      <c r="DWF930" s="18"/>
      <c r="DWG930" s="18"/>
      <c r="DWH930" s="18"/>
      <c r="DWI930" s="18"/>
      <c r="DWJ930" s="18"/>
      <c r="DWK930" s="18"/>
      <c r="DWL930" s="18"/>
      <c r="DWM930" s="18"/>
      <c r="DWN930" s="18"/>
      <c r="DWO930" s="18"/>
      <c r="DWP930" s="18"/>
      <c r="DWQ930" s="18"/>
      <c r="DWR930" s="18"/>
      <c r="DWS930" s="18"/>
      <c r="DWT930" s="18"/>
      <c r="DWU930" s="18"/>
      <c r="DWV930" s="18"/>
      <c r="DWW930" s="18"/>
      <c r="DWX930" s="18"/>
      <c r="DWY930" s="18"/>
      <c r="DWZ930" s="18"/>
      <c r="DXA930" s="18"/>
      <c r="DXB930" s="18"/>
      <c r="DXC930" s="18"/>
      <c r="DXD930" s="18"/>
      <c r="DXE930" s="18"/>
      <c r="DXF930" s="18"/>
      <c r="DXG930" s="18"/>
      <c r="DXH930" s="18"/>
      <c r="DXI930" s="18"/>
      <c r="DXJ930" s="18"/>
      <c r="DXK930" s="18"/>
      <c r="DXL930" s="18"/>
      <c r="DXM930" s="18"/>
      <c r="DXN930" s="18"/>
      <c r="DXO930" s="18"/>
      <c r="DXP930" s="18"/>
      <c r="DXQ930" s="18"/>
      <c r="DXR930" s="18"/>
      <c r="DXS930" s="18"/>
      <c r="DXT930" s="18"/>
      <c r="DXU930" s="18"/>
      <c r="DXV930" s="18"/>
      <c r="DXW930" s="18"/>
      <c r="DXX930" s="18"/>
      <c r="DXY930" s="18"/>
      <c r="DXZ930" s="18"/>
      <c r="DYA930" s="18"/>
      <c r="DYB930" s="18"/>
      <c r="DYC930" s="18"/>
      <c r="DYD930" s="18"/>
      <c r="DYE930" s="18"/>
      <c r="DYF930" s="18"/>
      <c r="DYG930" s="18"/>
      <c r="DYH930" s="18"/>
      <c r="DYI930" s="18"/>
      <c r="DYJ930" s="18"/>
      <c r="DYK930" s="18"/>
      <c r="DYL930" s="18"/>
      <c r="DYM930" s="18"/>
      <c r="DYN930" s="18"/>
      <c r="DYO930" s="18"/>
      <c r="DYP930" s="18"/>
      <c r="DYQ930" s="18"/>
      <c r="DYR930" s="18"/>
      <c r="DYS930" s="18"/>
      <c r="DYT930" s="18"/>
      <c r="DYU930" s="18"/>
      <c r="DYV930" s="18"/>
      <c r="DYW930" s="18"/>
      <c r="DYX930" s="18"/>
      <c r="DYY930" s="18"/>
      <c r="DYZ930" s="18"/>
      <c r="DZA930" s="18"/>
      <c r="DZB930" s="18"/>
      <c r="DZC930" s="18"/>
      <c r="DZD930" s="18"/>
      <c r="DZE930" s="18"/>
      <c r="DZF930" s="18"/>
      <c r="DZG930" s="18"/>
      <c r="DZH930" s="18"/>
      <c r="DZI930" s="18"/>
      <c r="DZJ930" s="18"/>
      <c r="DZK930" s="18"/>
      <c r="DZL930" s="18"/>
      <c r="DZM930" s="18"/>
      <c r="DZN930" s="18"/>
      <c r="DZO930" s="18"/>
      <c r="DZP930" s="18"/>
      <c r="DZQ930" s="18"/>
      <c r="DZR930" s="18"/>
      <c r="DZS930" s="18"/>
      <c r="DZT930" s="18"/>
      <c r="DZU930" s="18"/>
      <c r="DZV930" s="18"/>
      <c r="DZW930" s="18"/>
      <c r="DZX930" s="18"/>
      <c r="DZY930" s="18"/>
      <c r="DZZ930" s="18"/>
      <c r="EAA930" s="18"/>
      <c r="EAB930" s="18"/>
      <c r="EAC930" s="18"/>
      <c r="EAD930" s="18"/>
      <c r="EAE930" s="18"/>
      <c r="EAF930" s="18"/>
      <c r="EAG930" s="18"/>
      <c r="EAH930" s="18"/>
      <c r="EAI930" s="18"/>
      <c r="EAJ930" s="18"/>
      <c r="EAK930" s="18"/>
      <c r="EAL930" s="18"/>
      <c r="EAM930" s="18"/>
      <c r="EAN930" s="18"/>
      <c r="EAO930" s="18"/>
      <c r="EAP930" s="18"/>
      <c r="EAQ930" s="18"/>
      <c r="EAR930" s="18"/>
      <c r="EAS930" s="18"/>
      <c r="EAT930" s="18"/>
      <c r="EAU930" s="18"/>
      <c r="EAV930" s="18"/>
      <c r="EAW930" s="18"/>
      <c r="EAX930" s="18"/>
      <c r="EAY930" s="18"/>
      <c r="EAZ930" s="18"/>
      <c r="EBA930" s="18"/>
      <c r="EBB930" s="18"/>
      <c r="EBC930" s="18"/>
      <c r="EBD930" s="18"/>
      <c r="EBE930" s="18"/>
      <c r="EBF930" s="18"/>
      <c r="EBG930" s="18"/>
      <c r="EBH930" s="18"/>
      <c r="EBI930" s="18"/>
      <c r="EBJ930" s="18"/>
      <c r="EBK930" s="18"/>
      <c r="EBL930" s="18"/>
      <c r="EBM930" s="18"/>
      <c r="EBN930" s="18"/>
      <c r="EBO930" s="18"/>
      <c r="EBP930" s="18"/>
      <c r="EBQ930" s="18"/>
      <c r="EBR930" s="18"/>
      <c r="EBS930" s="18"/>
      <c r="EBT930" s="18"/>
      <c r="EBU930" s="18"/>
      <c r="EBV930" s="18"/>
      <c r="EBW930" s="18"/>
      <c r="EBX930" s="18"/>
      <c r="EBY930" s="18"/>
      <c r="EBZ930" s="18"/>
      <c r="ECA930" s="18"/>
      <c r="ECB930" s="18"/>
      <c r="ECC930" s="18"/>
      <c r="ECD930" s="18"/>
      <c r="ECE930" s="18"/>
      <c r="ECF930" s="18"/>
      <c r="ECG930" s="18"/>
      <c r="ECH930" s="18"/>
      <c r="ECI930" s="18"/>
      <c r="ECJ930" s="18"/>
      <c r="ECK930" s="18"/>
      <c r="ECL930" s="18"/>
      <c r="ECM930" s="18"/>
      <c r="ECN930" s="18"/>
      <c r="ECO930" s="18"/>
      <c r="ECP930" s="18"/>
      <c r="ECQ930" s="18"/>
      <c r="ECR930" s="18"/>
      <c r="ECS930" s="18"/>
      <c r="ECT930" s="18"/>
      <c r="ECU930" s="18"/>
      <c r="ECV930" s="18"/>
      <c r="ECW930" s="18"/>
      <c r="ECX930" s="18"/>
      <c r="ECY930" s="18"/>
      <c r="ECZ930" s="18"/>
      <c r="EDA930" s="18"/>
      <c r="EDB930" s="18"/>
      <c r="EDC930" s="18"/>
      <c r="EDD930" s="18"/>
      <c r="EDE930" s="18"/>
      <c r="EDF930" s="18"/>
      <c r="EDG930" s="18"/>
      <c r="EDH930" s="18"/>
      <c r="EDI930" s="18"/>
      <c r="EDJ930" s="18"/>
      <c r="EDK930" s="18"/>
      <c r="EDL930" s="18"/>
      <c r="EDM930" s="18"/>
      <c r="EDN930" s="18"/>
      <c r="EDO930" s="18"/>
      <c r="EDP930" s="18"/>
      <c r="EDQ930" s="18"/>
      <c r="EDR930" s="18"/>
      <c r="EDS930" s="18"/>
      <c r="EDT930" s="18"/>
      <c r="EDU930" s="18"/>
      <c r="EDV930" s="18"/>
      <c r="EDW930" s="18"/>
      <c r="EDX930" s="18"/>
      <c r="EDY930" s="18"/>
      <c r="EDZ930" s="18"/>
      <c r="EEA930" s="18"/>
      <c r="EEB930" s="18"/>
      <c r="EEC930" s="18"/>
      <c r="EED930" s="18"/>
      <c r="EEE930" s="18"/>
      <c r="EEF930" s="18"/>
      <c r="EEG930" s="18"/>
      <c r="EEH930" s="18"/>
      <c r="EEI930" s="18"/>
      <c r="EEJ930" s="18"/>
      <c r="EEK930" s="18"/>
      <c r="EEL930" s="18"/>
      <c r="EEM930" s="18"/>
      <c r="EEN930" s="18"/>
      <c r="EEO930" s="18"/>
      <c r="EEP930" s="18"/>
      <c r="EEQ930" s="18"/>
      <c r="EER930" s="18"/>
      <c r="EES930" s="18"/>
      <c r="EET930" s="18"/>
      <c r="EEU930" s="18"/>
      <c r="EEV930" s="18"/>
      <c r="EEW930" s="18"/>
      <c r="EEX930" s="18"/>
      <c r="EEY930" s="18"/>
      <c r="EEZ930" s="18"/>
      <c r="EFA930" s="18"/>
      <c r="EFB930" s="18"/>
      <c r="EFC930" s="18"/>
      <c r="EFD930" s="18"/>
      <c r="EFE930" s="18"/>
      <c r="EFF930" s="18"/>
      <c r="EFG930" s="18"/>
      <c r="EFH930" s="18"/>
      <c r="EFI930" s="18"/>
      <c r="EFJ930" s="18"/>
      <c r="EFK930" s="18"/>
      <c r="EFL930" s="18"/>
      <c r="EFM930" s="18"/>
      <c r="EFN930" s="18"/>
      <c r="EFO930" s="18"/>
      <c r="EFP930" s="18"/>
      <c r="EFQ930" s="18"/>
      <c r="EFR930" s="18"/>
      <c r="EFS930" s="18"/>
      <c r="EFT930" s="18"/>
      <c r="EFU930" s="18"/>
      <c r="EFV930" s="18"/>
      <c r="EFW930" s="18"/>
      <c r="EFX930" s="18"/>
      <c r="EFY930" s="18"/>
      <c r="EFZ930" s="18"/>
      <c r="EGA930" s="18"/>
      <c r="EGB930" s="18"/>
      <c r="EGC930" s="18"/>
      <c r="EGD930" s="18"/>
      <c r="EGE930" s="18"/>
      <c r="EGF930" s="18"/>
      <c r="EGG930" s="18"/>
      <c r="EGH930" s="18"/>
      <c r="EGI930" s="18"/>
      <c r="EGJ930" s="18"/>
      <c r="EGK930" s="18"/>
      <c r="EGL930" s="18"/>
      <c r="EGM930" s="18"/>
      <c r="EGN930" s="18"/>
      <c r="EGO930" s="18"/>
      <c r="EGP930" s="18"/>
      <c r="EGQ930" s="18"/>
      <c r="EGR930" s="18"/>
      <c r="EGS930" s="18"/>
      <c r="EGT930" s="18"/>
      <c r="EGU930" s="18"/>
      <c r="EGV930" s="18"/>
      <c r="EGW930" s="18"/>
      <c r="EGX930" s="18"/>
      <c r="EGY930" s="18"/>
      <c r="EGZ930" s="18"/>
      <c r="EHA930" s="18"/>
      <c r="EHB930" s="18"/>
      <c r="EHC930" s="18"/>
      <c r="EHD930" s="18"/>
      <c r="EHE930" s="18"/>
      <c r="EHF930" s="18"/>
      <c r="EHG930" s="18"/>
      <c r="EHH930" s="18"/>
      <c r="EHI930" s="18"/>
      <c r="EHJ930" s="18"/>
      <c r="EHK930" s="18"/>
      <c r="EHL930" s="18"/>
      <c r="EHM930" s="18"/>
      <c r="EHN930" s="18"/>
      <c r="EHO930" s="18"/>
      <c r="EHP930" s="18"/>
      <c r="EHQ930" s="18"/>
      <c r="EHR930" s="18"/>
      <c r="EHS930" s="18"/>
      <c r="EHT930" s="18"/>
      <c r="EHU930" s="18"/>
      <c r="EHV930" s="18"/>
      <c r="EHW930" s="18"/>
      <c r="EHX930" s="18"/>
      <c r="EHY930" s="18"/>
      <c r="EHZ930" s="18"/>
      <c r="EIA930" s="18"/>
      <c r="EIB930" s="18"/>
      <c r="EIC930" s="18"/>
      <c r="EID930" s="18"/>
      <c r="EIE930" s="18"/>
      <c r="EIF930" s="18"/>
      <c r="EIG930" s="18"/>
      <c r="EIH930" s="18"/>
      <c r="EII930" s="18"/>
      <c r="EIJ930" s="18"/>
      <c r="EIK930" s="18"/>
      <c r="EIL930" s="18"/>
      <c r="EIM930" s="18"/>
      <c r="EIN930" s="18"/>
      <c r="EIO930" s="18"/>
      <c r="EIP930" s="18"/>
      <c r="EIQ930" s="18"/>
      <c r="EIR930" s="18"/>
      <c r="EIS930" s="18"/>
      <c r="EIT930" s="18"/>
      <c r="EIU930" s="18"/>
      <c r="EIV930" s="18"/>
      <c r="EIW930" s="18"/>
      <c r="EIX930" s="18"/>
      <c r="EIY930" s="18"/>
      <c r="EIZ930" s="18"/>
      <c r="EJA930" s="18"/>
      <c r="EJB930" s="18"/>
      <c r="EJC930" s="18"/>
      <c r="EJD930" s="18"/>
      <c r="EJE930" s="18"/>
      <c r="EJF930" s="18"/>
      <c r="EJG930" s="18"/>
      <c r="EJH930" s="18"/>
      <c r="EJI930" s="18"/>
      <c r="EJJ930" s="18"/>
      <c r="EJK930" s="18"/>
      <c r="EJL930" s="18"/>
      <c r="EJM930" s="18"/>
      <c r="EJN930" s="18"/>
      <c r="EJO930" s="18"/>
      <c r="EJP930" s="18"/>
      <c r="EJQ930" s="18"/>
      <c r="EJR930" s="18"/>
      <c r="EJS930" s="18"/>
      <c r="EJT930" s="18"/>
      <c r="EJU930" s="18"/>
      <c r="EJV930" s="18"/>
      <c r="EJW930" s="18"/>
      <c r="EJX930" s="18"/>
      <c r="EJY930" s="18"/>
      <c r="EJZ930" s="18"/>
      <c r="EKA930" s="18"/>
      <c r="EKB930" s="18"/>
      <c r="EKC930" s="18"/>
      <c r="EKD930" s="18"/>
      <c r="EKE930" s="18"/>
      <c r="EKF930" s="18"/>
      <c r="EKG930" s="18"/>
      <c r="EKH930" s="18"/>
      <c r="EKI930" s="18"/>
      <c r="EKJ930" s="18"/>
      <c r="EKK930" s="18"/>
      <c r="EKL930" s="18"/>
      <c r="EKM930" s="18"/>
      <c r="EKN930" s="18"/>
      <c r="EKO930" s="18"/>
      <c r="EKP930" s="18"/>
      <c r="EKQ930" s="18"/>
      <c r="EKR930" s="18"/>
      <c r="EKS930" s="18"/>
      <c r="EKT930" s="18"/>
      <c r="EKU930" s="18"/>
      <c r="EKV930" s="18"/>
      <c r="EKW930" s="18"/>
      <c r="EKX930" s="18"/>
      <c r="EKY930" s="18"/>
      <c r="EKZ930" s="18"/>
      <c r="ELA930" s="18"/>
      <c r="ELB930" s="18"/>
      <c r="ELC930" s="18"/>
      <c r="ELD930" s="18"/>
      <c r="ELE930" s="18"/>
      <c r="ELF930" s="18"/>
      <c r="ELG930" s="18"/>
      <c r="ELH930" s="18"/>
      <c r="ELI930" s="18"/>
      <c r="ELJ930" s="18"/>
      <c r="ELK930" s="18"/>
      <c r="ELL930" s="18"/>
      <c r="ELM930" s="18"/>
      <c r="ELN930" s="18"/>
      <c r="ELO930" s="18"/>
      <c r="ELP930" s="18"/>
      <c r="ELQ930" s="18"/>
      <c r="ELR930" s="18"/>
      <c r="ELS930" s="18"/>
      <c r="ELT930" s="18"/>
      <c r="ELU930" s="18"/>
      <c r="ELV930" s="18"/>
      <c r="ELW930" s="18"/>
      <c r="ELX930" s="18"/>
      <c r="ELY930" s="18"/>
      <c r="ELZ930" s="18"/>
      <c r="EMA930" s="18"/>
      <c r="EMB930" s="18"/>
      <c r="EMC930" s="18"/>
      <c r="EMD930" s="18"/>
      <c r="EME930" s="18"/>
      <c r="EMF930" s="18"/>
      <c r="EMG930" s="18"/>
      <c r="EMH930" s="18"/>
      <c r="EMI930" s="18"/>
      <c r="EMJ930" s="18"/>
      <c r="EMK930" s="18"/>
      <c r="EML930" s="18"/>
      <c r="EMM930" s="18"/>
      <c r="EMN930" s="18"/>
      <c r="EMO930" s="18"/>
      <c r="EMP930" s="18"/>
      <c r="EMQ930" s="18"/>
      <c r="EMR930" s="18"/>
      <c r="EMS930" s="18"/>
      <c r="EMT930" s="18"/>
      <c r="EMU930" s="18"/>
      <c r="EMV930" s="18"/>
      <c r="EMW930" s="18"/>
      <c r="EMX930" s="18"/>
      <c r="EMY930" s="18"/>
      <c r="EMZ930" s="18"/>
      <c r="ENA930" s="18"/>
      <c r="ENB930" s="18"/>
      <c r="ENC930" s="18"/>
      <c r="END930" s="18"/>
      <c r="ENE930" s="18"/>
      <c r="ENF930" s="18"/>
      <c r="ENG930" s="18"/>
      <c r="ENH930" s="18"/>
      <c r="ENI930" s="18"/>
      <c r="ENJ930" s="18"/>
      <c r="ENK930" s="18"/>
      <c r="ENL930" s="18"/>
      <c r="ENM930" s="18"/>
      <c r="ENN930" s="18"/>
      <c r="ENO930" s="18"/>
      <c r="ENP930" s="18"/>
      <c r="ENQ930" s="18"/>
      <c r="ENR930" s="18"/>
      <c r="ENS930" s="18"/>
      <c r="ENT930" s="18"/>
      <c r="ENU930" s="18"/>
      <c r="ENV930" s="18"/>
      <c r="ENW930" s="18"/>
      <c r="ENX930" s="18"/>
      <c r="ENY930" s="18"/>
      <c r="ENZ930" s="18"/>
      <c r="EOA930" s="18"/>
      <c r="EOB930" s="18"/>
      <c r="EOC930" s="18"/>
      <c r="EOD930" s="18"/>
      <c r="EOE930" s="18"/>
      <c r="EOF930" s="18"/>
      <c r="EOG930" s="18"/>
      <c r="EOH930" s="18"/>
      <c r="EOI930" s="18"/>
      <c r="EOJ930" s="18"/>
      <c r="EOK930" s="18"/>
      <c r="EOL930" s="18"/>
      <c r="EOM930" s="18"/>
      <c r="EON930" s="18"/>
      <c r="EOO930" s="18"/>
      <c r="EOP930" s="18"/>
      <c r="EOQ930" s="18"/>
      <c r="EOR930" s="18"/>
      <c r="EOS930" s="18"/>
      <c r="EOT930" s="18"/>
      <c r="EOU930" s="18"/>
      <c r="EOV930" s="18"/>
      <c r="EOW930" s="18"/>
      <c r="EOX930" s="18"/>
      <c r="EOY930" s="18"/>
      <c r="EOZ930" s="18"/>
      <c r="EPA930" s="18"/>
      <c r="EPB930" s="18"/>
      <c r="EPC930" s="18"/>
      <c r="EPD930" s="18"/>
      <c r="EPE930" s="18"/>
      <c r="EPF930" s="18"/>
      <c r="EPG930" s="18"/>
      <c r="EPH930" s="18"/>
      <c r="EPI930" s="18"/>
      <c r="EPJ930" s="18"/>
      <c r="EPK930" s="18"/>
      <c r="EPL930" s="18"/>
      <c r="EPM930" s="18"/>
      <c r="EPN930" s="18"/>
      <c r="EPO930" s="18"/>
      <c r="EPP930" s="18"/>
      <c r="EPQ930" s="18"/>
      <c r="EPR930" s="18"/>
      <c r="EPS930" s="18"/>
      <c r="EPT930" s="18"/>
      <c r="EPU930" s="18"/>
      <c r="EPV930" s="18"/>
      <c r="EPW930" s="18"/>
      <c r="EPX930" s="18"/>
      <c r="EPY930" s="18"/>
      <c r="EPZ930" s="18"/>
      <c r="EQA930" s="18"/>
      <c r="EQB930" s="18"/>
      <c r="EQC930" s="18"/>
      <c r="EQD930" s="18"/>
      <c r="EQE930" s="18"/>
      <c r="EQF930" s="18"/>
      <c r="EQG930" s="18"/>
      <c r="EQH930" s="18"/>
      <c r="EQI930" s="18"/>
      <c r="EQJ930" s="18"/>
      <c r="EQK930" s="18"/>
      <c r="EQL930" s="18"/>
      <c r="EQM930" s="18"/>
      <c r="EQN930" s="18"/>
      <c r="EQO930" s="18"/>
      <c r="EQP930" s="18"/>
      <c r="EQQ930" s="18"/>
      <c r="EQR930" s="18"/>
      <c r="EQS930" s="18"/>
      <c r="EQT930" s="18"/>
      <c r="EQU930" s="18"/>
      <c r="EQV930" s="18"/>
      <c r="EQW930" s="18"/>
      <c r="EQX930" s="18"/>
      <c r="EQY930" s="18"/>
      <c r="EQZ930" s="18"/>
      <c r="ERA930" s="18"/>
      <c r="ERB930" s="18"/>
      <c r="ERC930" s="18"/>
      <c r="ERD930" s="18"/>
      <c r="ERE930" s="18"/>
      <c r="ERF930" s="18"/>
      <c r="ERG930" s="18"/>
      <c r="ERH930" s="18"/>
      <c r="ERI930" s="18"/>
      <c r="ERJ930" s="18"/>
      <c r="ERK930" s="18"/>
      <c r="ERL930" s="18"/>
      <c r="ERM930" s="18"/>
      <c r="ERN930" s="18"/>
      <c r="ERO930" s="18"/>
      <c r="ERP930" s="18"/>
      <c r="ERQ930" s="18"/>
      <c r="ERR930" s="18"/>
      <c r="ERS930" s="18"/>
      <c r="ERT930" s="18"/>
      <c r="ERU930" s="18"/>
      <c r="ERV930" s="18"/>
      <c r="ERW930" s="18"/>
      <c r="ERX930" s="18"/>
      <c r="ERY930" s="18"/>
      <c r="ERZ930" s="18"/>
      <c r="ESA930" s="18"/>
      <c r="ESB930" s="18"/>
      <c r="ESC930" s="18"/>
      <c r="ESD930" s="18"/>
      <c r="ESE930" s="18"/>
      <c r="ESF930" s="18"/>
      <c r="ESG930" s="18"/>
      <c r="ESH930" s="18"/>
      <c r="ESI930" s="18"/>
      <c r="ESJ930" s="18"/>
      <c r="ESK930" s="18"/>
      <c r="ESL930" s="18"/>
      <c r="ESM930" s="18"/>
      <c r="ESN930" s="18"/>
      <c r="ESO930" s="18"/>
      <c r="ESP930" s="18"/>
      <c r="ESQ930" s="18"/>
      <c r="ESR930" s="18"/>
      <c r="ESS930" s="18"/>
      <c r="EST930" s="18"/>
      <c r="ESU930" s="18"/>
      <c r="ESV930" s="18"/>
      <c r="ESW930" s="18"/>
      <c r="ESX930" s="18"/>
      <c r="ESY930" s="18"/>
      <c r="ESZ930" s="18"/>
      <c r="ETA930" s="18"/>
      <c r="ETB930" s="18"/>
      <c r="ETC930" s="18"/>
      <c r="ETD930" s="18"/>
      <c r="ETE930" s="18"/>
      <c r="ETF930" s="18"/>
      <c r="ETG930" s="18"/>
      <c r="ETH930" s="18"/>
      <c r="ETI930" s="18"/>
      <c r="ETJ930" s="18"/>
      <c r="ETK930" s="18"/>
      <c r="ETL930" s="18"/>
      <c r="ETM930" s="18"/>
      <c r="ETN930" s="18"/>
      <c r="ETO930" s="18"/>
      <c r="ETP930" s="18"/>
      <c r="ETQ930" s="18"/>
      <c r="ETR930" s="18"/>
      <c r="ETS930" s="18"/>
      <c r="ETT930" s="18"/>
      <c r="ETU930" s="18"/>
      <c r="ETV930" s="18"/>
      <c r="ETW930" s="18"/>
      <c r="ETX930" s="18"/>
      <c r="ETY930" s="18"/>
      <c r="ETZ930" s="18"/>
      <c r="EUA930" s="18"/>
      <c r="EUB930" s="18"/>
      <c r="EUC930" s="18"/>
      <c r="EUD930" s="18"/>
      <c r="EUE930" s="18"/>
      <c r="EUF930" s="18"/>
      <c r="EUG930" s="18"/>
      <c r="EUH930" s="18"/>
      <c r="EUI930" s="18"/>
      <c r="EUJ930" s="18"/>
      <c r="EUK930" s="18"/>
      <c r="EUL930" s="18"/>
      <c r="EUM930" s="18"/>
      <c r="EUN930" s="18"/>
      <c r="EUO930" s="18"/>
      <c r="EUP930" s="18"/>
      <c r="EUQ930" s="18"/>
      <c r="EUR930" s="18"/>
      <c r="EUS930" s="18"/>
      <c r="EUT930" s="18"/>
      <c r="EUU930" s="18"/>
      <c r="EUV930" s="18"/>
      <c r="EUW930" s="18"/>
      <c r="EUX930" s="18"/>
      <c r="EUY930" s="18"/>
      <c r="EUZ930" s="18"/>
      <c r="EVA930" s="18"/>
      <c r="EVB930" s="18"/>
      <c r="EVC930" s="18"/>
      <c r="EVD930" s="18"/>
      <c r="EVE930" s="18"/>
      <c r="EVF930" s="18"/>
      <c r="EVG930" s="18"/>
      <c r="EVH930" s="18"/>
      <c r="EVI930" s="18"/>
      <c r="EVJ930" s="18"/>
      <c r="EVK930" s="18"/>
      <c r="EVL930" s="18"/>
      <c r="EVM930" s="18"/>
      <c r="EVN930" s="18"/>
      <c r="EVO930" s="18"/>
      <c r="EVP930" s="18"/>
      <c r="EVQ930" s="18"/>
      <c r="EVR930" s="18"/>
      <c r="EVS930" s="18"/>
      <c r="EVT930" s="18"/>
      <c r="EVU930" s="18"/>
      <c r="EVV930" s="18"/>
      <c r="EVW930" s="18"/>
      <c r="EVX930" s="18"/>
      <c r="EVY930" s="18"/>
      <c r="EVZ930" s="18"/>
      <c r="EWA930" s="18"/>
      <c r="EWB930" s="18"/>
      <c r="EWC930" s="18"/>
      <c r="EWD930" s="18"/>
      <c r="EWE930" s="18"/>
      <c r="EWF930" s="18"/>
      <c r="EWG930" s="18"/>
      <c r="EWH930" s="18"/>
      <c r="EWI930" s="18"/>
      <c r="EWJ930" s="18"/>
      <c r="EWK930" s="18"/>
      <c r="EWL930" s="18"/>
      <c r="EWM930" s="18"/>
      <c r="EWN930" s="18"/>
      <c r="EWO930" s="18"/>
      <c r="EWP930" s="18"/>
      <c r="EWQ930" s="18"/>
      <c r="EWR930" s="18"/>
      <c r="EWS930" s="18"/>
      <c r="EWT930" s="18"/>
      <c r="EWU930" s="18"/>
      <c r="EWV930" s="18"/>
      <c r="EWW930" s="18"/>
      <c r="EWX930" s="18"/>
      <c r="EWY930" s="18"/>
      <c r="EWZ930" s="18"/>
      <c r="EXA930" s="18"/>
      <c r="EXB930" s="18"/>
      <c r="EXC930" s="18"/>
      <c r="EXD930" s="18"/>
      <c r="EXE930" s="18"/>
      <c r="EXF930" s="18"/>
      <c r="EXG930" s="18"/>
      <c r="EXH930" s="18"/>
      <c r="EXI930" s="18"/>
      <c r="EXJ930" s="18"/>
      <c r="EXK930" s="18"/>
      <c r="EXL930" s="18"/>
      <c r="EXM930" s="18"/>
      <c r="EXN930" s="18"/>
      <c r="EXO930" s="18"/>
      <c r="EXP930" s="18"/>
      <c r="EXQ930" s="18"/>
      <c r="EXR930" s="18"/>
      <c r="EXS930" s="18"/>
      <c r="EXT930" s="18"/>
      <c r="EXU930" s="18"/>
      <c r="EXV930" s="18"/>
      <c r="EXW930" s="18"/>
      <c r="EXX930" s="18"/>
      <c r="EXY930" s="18"/>
      <c r="EXZ930" s="18"/>
      <c r="EYA930" s="18"/>
      <c r="EYB930" s="18"/>
      <c r="EYC930" s="18"/>
      <c r="EYD930" s="18"/>
      <c r="EYE930" s="18"/>
      <c r="EYF930" s="18"/>
      <c r="EYG930" s="18"/>
      <c r="EYH930" s="18"/>
      <c r="EYI930" s="18"/>
      <c r="EYJ930" s="18"/>
      <c r="EYK930" s="18"/>
      <c r="EYL930" s="18"/>
      <c r="EYM930" s="18"/>
      <c r="EYN930" s="18"/>
      <c r="EYO930" s="18"/>
      <c r="EYP930" s="18"/>
      <c r="EYQ930" s="18"/>
      <c r="EYR930" s="18"/>
      <c r="EYS930" s="18"/>
      <c r="EYT930" s="18"/>
      <c r="EYU930" s="18"/>
      <c r="EYV930" s="18"/>
      <c r="EYW930" s="18"/>
      <c r="EYX930" s="18"/>
      <c r="EYY930" s="18"/>
      <c r="EYZ930" s="18"/>
      <c r="EZA930" s="18"/>
      <c r="EZB930" s="18"/>
      <c r="EZC930" s="18"/>
      <c r="EZD930" s="18"/>
      <c r="EZE930" s="18"/>
      <c r="EZF930" s="18"/>
      <c r="EZG930" s="18"/>
      <c r="EZH930" s="18"/>
      <c r="EZI930" s="18"/>
      <c r="EZJ930" s="18"/>
      <c r="EZK930" s="18"/>
      <c r="EZL930" s="18"/>
      <c r="EZM930" s="18"/>
      <c r="EZN930" s="18"/>
      <c r="EZO930" s="18"/>
      <c r="EZP930" s="18"/>
      <c r="EZQ930" s="18"/>
      <c r="EZR930" s="18"/>
      <c r="EZS930" s="18"/>
      <c r="EZT930" s="18"/>
      <c r="EZU930" s="18"/>
      <c r="EZV930" s="18"/>
      <c r="EZW930" s="18"/>
      <c r="EZX930" s="18"/>
      <c r="EZY930" s="18"/>
      <c r="EZZ930" s="18"/>
      <c r="FAA930" s="18"/>
      <c r="FAB930" s="18"/>
      <c r="FAC930" s="18"/>
      <c r="FAD930" s="18"/>
      <c r="FAE930" s="18"/>
      <c r="FAF930" s="18"/>
      <c r="FAG930" s="18"/>
      <c r="FAH930" s="18"/>
      <c r="FAI930" s="18"/>
      <c r="FAJ930" s="18"/>
      <c r="FAK930" s="18"/>
      <c r="FAL930" s="18"/>
      <c r="FAM930" s="18"/>
      <c r="FAN930" s="18"/>
      <c r="FAO930" s="18"/>
      <c r="FAP930" s="18"/>
      <c r="FAQ930" s="18"/>
      <c r="FAR930" s="18"/>
      <c r="FAS930" s="18"/>
      <c r="FAT930" s="18"/>
      <c r="FAU930" s="18"/>
      <c r="FAV930" s="18"/>
      <c r="FAW930" s="18"/>
      <c r="FAX930" s="18"/>
      <c r="FAY930" s="18"/>
      <c r="FAZ930" s="18"/>
      <c r="FBA930" s="18"/>
      <c r="FBB930" s="18"/>
      <c r="FBC930" s="18"/>
      <c r="FBD930" s="18"/>
      <c r="FBE930" s="18"/>
      <c r="FBF930" s="18"/>
      <c r="FBG930" s="18"/>
      <c r="FBH930" s="18"/>
      <c r="FBI930" s="18"/>
      <c r="FBJ930" s="18"/>
      <c r="FBK930" s="18"/>
      <c r="FBL930" s="18"/>
      <c r="FBM930" s="18"/>
      <c r="FBN930" s="18"/>
      <c r="FBO930" s="18"/>
      <c r="FBP930" s="18"/>
      <c r="FBQ930" s="18"/>
      <c r="FBR930" s="18"/>
      <c r="FBS930" s="18"/>
      <c r="FBT930" s="18"/>
      <c r="FBU930" s="18"/>
      <c r="FBV930" s="18"/>
      <c r="FBW930" s="18"/>
      <c r="FBX930" s="18"/>
      <c r="FBY930" s="18"/>
      <c r="FBZ930" s="18"/>
      <c r="FCA930" s="18"/>
      <c r="FCB930" s="18"/>
      <c r="FCC930" s="18"/>
      <c r="FCD930" s="18"/>
      <c r="FCE930" s="18"/>
      <c r="FCF930" s="18"/>
      <c r="FCG930" s="18"/>
      <c r="FCH930" s="18"/>
      <c r="FCI930" s="18"/>
      <c r="FCJ930" s="18"/>
      <c r="FCK930" s="18"/>
      <c r="FCL930" s="18"/>
      <c r="FCM930" s="18"/>
      <c r="FCN930" s="18"/>
      <c r="FCO930" s="18"/>
      <c r="FCP930" s="18"/>
      <c r="FCQ930" s="18"/>
      <c r="FCR930" s="18"/>
      <c r="FCS930" s="18"/>
      <c r="FCT930" s="18"/>
      <c r="FCU930" s="18"/>
      <c r="FCV930" s="18"/>
      <c r="FCW930" s="18"/>
      <c r="FCX930" s="18"/>
      <c r="FCY930" s="18"/>
      <c r="FCZ930" s="18"/>
      <c r="FDA930" s="18"/>
      <c r="FDB930" s="18"/>
      <c r="FDC930" s="18"/>
      <c r="FDD930" s="18"/>
      <c r="FDE930" s="18"/>
      <c r="FDF930" s="18"/>
      <c r="FDG930" s="18"/>
      <c r="FDH930" s="18"/>
      <c r="FDI930" s="18"/>
      <c r="FDJ930" s="18"/>
      <c r="FDK930" s="18"/>
      <c r="FDL930" s="18"/>
      <c r="FDM930" s="18"/>
      <c r="FDN930" s="18"/>
      <c r="FDO930" s="18"/>
      <c r="FDP930" s="18"/>
      <c r="FDQ930" s="18"/>
      <c r="FDR930" s="18"/>
      <c r="FDS930" s="18"/>
      <c r="FDT930" s="18"/>
      <c r="FDU930" s="18"/>
      <c r="FDV930" s="18"/>
      <c r="FDW930" s="18"/>
      <c r="FDX930" s="18"/>
      <c r="FDY930" s="18"/>
      <c r="FDZ930" s="18"/>
      <c r="FEA930" s="18"/>
      <c r="FEB930" s="18"/>
      <c r="FEC930" s="18"/>
      <c r="FED930" s="18"/>
      <c r="FEE930" s="18"/>
      <c r="FEF930" s="18"/>
      <c r="FEG930" s="18"/>
      <c r="FEH930" s="18"/>
      <c r="FEI930" s="18"/>
      <c r="FEJ930" s="18"/>
      <c r="FEK930" s="18"/>
      <c r="FEL930" s="18"/>
      <c r="FEM930" s="18"/>
      <c r="FEN930" s="18"/>
      <c r="FEO930" s="18"/>
      <c r="FEP930" s="18"/>
      <c r="FEQ930" s="18"/>
      <c r="FER930" s="18"/>
      <c r="FES930" s="18"/>
      <c r="FET930" s="18"/>
      <c r="FEU930" s="18"/>
      <c r="FEV930" s="18"/>
      <c r="FEW930" s="18"/>
      <c r="FEX930" s="18"/>
      <c r="FEY930" s="18"/>
      <c r="FEZ930" s="18"/>
      <c r="FFA930" s="18"/>
      <c r="FFB930" s="18"/>
      <c r="FFC930" s="18"/>
      <c r="FFD930" s="18"/>
      <c r="FFE930" s="18"/>
      <c r="FFF930" s="18"/>
      <c r="FFG930" s="18"/>
      <c r="FFH930" s="18"/>
      <c r="FFI930" s="18"/>
      <c r="FFJ930" s="18"/>
      <c r="FFK930" s="18"/>
      <c r="FFL930" s="18"/>
      <c r="FFM930" s="18"/>
      <c r="FFN930" s="18"/>
      <c r="FFO930" s="18"/>
      <c r="FFP930" s="18"/>
      <c r="FFQ930" s="18"/>
      <c r="FFR930" s="18"/>
      <c r="FFS930" s="18"/>
      <c r="FFT930" s="18"/>
      <c r="FFU930" s="18"/>
      <c r="FFV930" s="18"/>
      <c r="FFW930" s="18"/>
      <c r="FFX930" s="18"/>
      <c r="FFY930" s="18"/>
      <c r="FFZ930" s="18"/>
      <c r="FGA930" s="18"/>
      <c r="FGB930" s="18"/>
      <c r="FGC930" s="18"/>
      <c r="FGD930" s="18"/>
      <c r="FGE930" s="18"/>
      <c r="FGF930" s="18"/>
      <c r="FGG930" s="18"/>
      <c r="FGH930" s="18"/>
      <c r="FGI930" s="18"/>
      <c r="FGJ930" s="18"/>
      <c r="FGK930" s="18"/>
      <c r="FGL930" s="18"/>
      <c r="FGM930" s="18"/>
      <c r="FGN930" s="18"/>
      <c r="FGO930" s="18"/>
      <c r="FGP930" s="18"/>
      <c r="FGQ930" s="18"/>
      <c r="FGR930" s="18"/>
      <c r="FGS930" s="18"/>
      <c r="FGT930" s="18"/>
      <c r="FGU930" s="18"/>
      <c r="FGV930" s="18"/>
      <c r="FGW930" s="18"/>
      <c r="FGX930" s="18"/>
      <c r="FGY930" s="18"/>
      <c r="FGZ930" s="18"/>
      <c r="FHA930" s="18"/>
      <c r="FHB930" s="18"/>
      <c r="FHC930" s="18"/>
      <c r="FHD930" s="18"/>
      <c r="FHE930" s="18"/>
      <c r="FHF930" s="18"/>
      <c r="FHG930" s="18"/>
      <c r="FHH930" s="18"/>
      <c r="FHI930" s="18"/>
      <c r="FHJ930" s="18"/>
      <c r="FHK930" s="18"/>
      <c r="FHL930" s="18"/>
      <c r="FHM930" s="18"/>
      <c r="FHN930" s="18"/>
      <c r="FHO930" s="18"/>
      <c r="FHP930" s="18"/>
      <c r="FHQ930" s="18"/>
      <c r="FHR930" s="18"/>
      <c r="FHS930" s="18"/>
      <c r="FHT930" s="18"/>
      <c r="FHU930" s="18"/>
      <c r="FHV930" s="18"/>
      <c r="FHW930" s="18"/>
      <c r="FHX930" s="18"/>
      <c r="FHY930" s="18"/>
      <c r="FHZ930" s="18"/>
      <c r="FIA930" s="18"/>
      <c r="FIB930" s="18"/>
      <c r="FIC930" s="18"/>
      <c r="FID930" s="18"/>
      <c r="FIE930" s="18"/>
      <c r="FIF930" s="18"/>
      <c r="FIG930" s="18"/>
      <c r="FIH930" s="18"/>
      <c r="FII930" s="18"/>
      <c r="FIJ930" s="18"/>
      <c r="FIK930" s="18"/>
      <c r="FIL930" s="18"/>
      <c r="FIM930" s="18"/>
      <c r="FIN930" s="18"/>
      <c r="FIO930" s="18"/>
      <c r="FIP930" s="18"/>
      <c r="FIQ930" s="18"/>
      <c r="FIR930" s="18"/>
      <c r="FIS930" s="18"/>
      <c r="FIT930" s="18"/>
      <c r="FIU930" s="18"/>
      <c r="FIV930" s="18"/>
      <c r="FIW930" s="18"/>
      <c r="FIX930" s="18"/>
      <c r="FIY930" s="18"/>
      <c r="FIZ930" s="18"/>
      <c r="FJA930" s="18"/>
      <c r="FJB930" s="18"/>
      <c r="FJC930" s="18"/>
      <c r="FJD930" s="18"/>
      <c r="FJE930" s="18"/>
      <c r="FJF930" s="18"/>
      <c r="FJG930" s="18"/>
      <c r="FJH930" s="18"/>
      <c r="FJI930" s="18"/>
      <c r="FJJ930" s="18"/>
      <c r="FJK930" s="18"/>
      <c r="FJL930" s="18"/>
      <c r="FJM930" s="18"/>
      <c r="FJN930" s="18"/>
      <c r="FJO930" s="18"/>
      <c r="FJP930" s="18"/>
      <c r="FJQ930" s="18"/>
      <c r="FJR930" s="18"/>
      <c r="FJS930" s="18"/>
      <c r="FJT930" s="18"/>
      <c r="FJU930" s="18"/>
      <c r="FJV930" s="18"/>
      <c r="FJW930" s="18"/>
      <c r="FJX930" s="18"/>
      <c r="FJY930" s="18"/>
      <c r="FJZ930" s="18"/>
      <c r="FKA930" s="18"/>
      <c r="FKB930" s="18"/>
      <c r="FKC930" s="18"/>
      <c r="FKD930" s="18"/>
      <c r="FKE930" s="18"/>
      <c r="FKF930" s="18"/>
      <c r="FKG930" s="18"/>
      <c r="FKH930" s="18"/>
      <c r="FKI930" s="18"/>
      <c r="FKJ930" s="18"/>
      <c r="FKK930" s="18"/>
      <c r="FKL930" s="18"/>
      <c r="FKM930" s="18"/>
      <c r="FKN930" s="18"/>
      <c r="FKO930" s="18"/>
      <c r="FKP930" s="18"/>
      <c r="FKQ930" s="18"/>
      <c r="FKR930" s="18"/>
      <c r="FKS930" s="18"/>
      <c r="FKT930" s="18"/>
      <c r="FKU930" s="18"/>
      <c r="FKV930" s="18"/>
      <c r="FKW930" s="18"/>
      <c r="FKX930" s="18"/>
      <c r="FKY930" s="18"/>
      <c r="FKZ930" s="18"/>
      <c r="FLA930" s="18"/>
      <c r="FLB930" s="18"/>
      <c r="FLC930" s="18"/>
      <c r="FLD930" s="18"/>
      <c r="FLE930" s="18"/>
      <c r="FLF930" s="18"/>
      <c r="FLG930" s="18"/>
      <c r="FLH930" s="18"/>
      <c r="FLI930" s="18"/>
      <c r="FLJ930" s="18"/>
      <c r="FLK930" s="18"/>
      <c r="FLL930" s="18"/>
      <c r="FLM930" s="18"/>
      <c r="FLN930" s="18"/>
      <c r="FLO930" s="18"/>
      <c r="FLP930" s="18"/>
      <c r="FLQ930" s="18"/>
      <c r="FLR930" s="18"/>
      <c r="FLS930" s="18"/>
      <c r="FLT930" s="18"/>
      <c r="FLU930" s="18"/>
      <c r="FLV930" s="18"/>
      <c r="FLW930" s="18"/>
      <c r="FLX930" s="18"/>
      <c r="FLY930" s="18"/>
      <c r="FLZ930" s="18"/>
      <c r="FMA930" s="18"/>
      <c r="FMB930" s="18"/>
      <c r="FMC930" s="18"/>
      <c r="FMD930" s="18"/>
      <c r="FME930" s="18"/>
      <c r="FMF930" s="18"/>
      <c r="FMG930" s="18"/>
      <c r="FMH930" s="18"/>
      <c r="FMI930" s="18"/>
      <c r="FMJ930" s="18"/>
      <c r="FMK930" s="18"/>
      <c r="FML930" s="18"/>
      <c r="FMM930" s="18"/>
      <c r="FMN930" s="18"/>
      <c r="FMO930" s="18"/>
      <c r="FMP930" s="18"/>
      <c r="FMQ930" s="18"/>
      <c r="FMR930" s="18"/>
      <c r="FMS930" s="18"/>
      <c r="FMT930" s="18"/>
      <c r="FMU930" s="18"/>
      <c r="FMV930" s="18"/>
      <c r="FMW930" s="18"/>
      <c r="FMX930" s="18"/>
      <c r="FMY930" s="18"/>
      <c r="FMZ930" s="18"/>
      <c r="FNA930" s="18"/>
      <c r="FNB930" s="18"/>
      <c r="FNC930" s="18"/>
      <c r="FND930" s="18"/>
      <c r="FNE930" s="18"/>
      <c r="FNF930" s="18"/>
      <c r="FNG930" s="18"/>
      <c r="FNH930" s="18"/>
      <c r="FNI930" s="18"/>
      <c r="FNJ930" s="18"/>
      <c r="FNK930" s="18"/>
      <c r="FNL930" s="18"/>
      <c r="FNM930" s="18"/>
      <c r="FNN930" s="18"/>
      <c r="FNO930" s="18"/>
      <c r="FNP930" s="18"/>
      <c r="FNQ930" s="18"/>
      <c r="FNR930" s="18"/>
      <c r="FNS930" s="18"/>
      <c r="FNT930" s="18"/>
      <c r="FNU930" s="18"/>
      <c r="FNV930" s="18"/>
      <c r="FNW930" s="18"/>
      <c r="FNX930" s="18"/>
      <c r="FNY930" s="18"/>
      <c r="FNZ930" s="18"/>
      <c r="FOA930" s="18"/>
      <c r="FOB930" s="18"/>
      <c r="FOC930" s="18"/>
      <c r="FOD930" s="18"/>
      <c r="FOE930" s="18"/>
      <c r="FOF930" s="18"/>
      <c r="FOG930" s="18"/>
      <c r="FOH930" s="18"/>
      <c r="FOI930" s="18"/>
      <c r="FOJ930" s="18"/>
      <c r="FOK930" s="18"/>
      <c r="FOL930" s="18"/>
      <c r="FOM930" s="18"/>
      <c r="FON930" s="18"/>
      <c r="FOO930" s="18"/>
      <c r="FOP930" s="18"/>
      <c r="FOQ930" s="18"/>
      <c r="FOR930" s="18"/>
      <c r="FOS930" s="18"/>
      <c r="FOT930" s="18"/>
      <c r="FOU930" s="18"/>
      <c r="FOV930" s="18"/>
      <c r="FOW930" s="18"/>
      <c r="FOX930" s="18"/>
      <c r="FOY930" s="18"/>
      <c r="FOZ930" s="18"/>
      <c r="FPA930" s="18"/>
      <c r="FPB930" s="18"/>
      <c r="FPC930" s="18"/>
      <c r="FPD930" s="18"/>
      <c r="FPE930" s="18"/>
      <c r="FPF930" s="18"/>
      <c r="FPG930" s="18"/>
      <c r="FPH930" s="18"/>
      <c r="FPI930" s="18"/>
      <c r="FPJ930" s="18"/>
      <c r="FPK930" s="18"/>
      <c r="FPL930" s="18"/>
      <c r="FPM930" s="18"/>
      <c r="FPN930" s="18"/>
      <c r="FPO930" s="18"/>
      <c r="FPP930" s="18"/>
      <c r="FPQ930" s="18"/>
      <c r="FPR930" s="18"/>
      <c r="FPS930" s="18"/>
      <c r="FPT930" s="18"/>
      <c r="FPU930" s="18"/>
      <c r="FPV930" s="18"/>
      <c r="FPW930" s="18"/>
      <c r="FPX930" s="18"/>
      <c r="FPY930" s="18"/>
      <c r="FPZ930" s="18"/>
      <c r="FQA930" s="18"/>
      <c r="FQB930" s="18"/>
      <c r="FQC930" s="18"/>
      <c r="FQD930" s="18"/>
      <c r="FQE930" s="18"/>
      <c r="FQF930" s="18"/>
      <c r="FQG930" s="18"/>
      <c r="FQH930" s="18"/>
      <c r="FQI930" s="18"/>
      <c r="FQJ930" s="18"/>
      <c r="FQK930" s="18"/>
      <c r="FQL930" s="18"/>
      <c r="FQM930" s="18"/>
      <c r="FQN930" s="18"/>
      <c r="FQO930" s="18"/>
      <c r="FQP930" s="18"/>
      <c r="FQQ930" s="18"/>
      <c r="FQR930" s="18"/>
      <c r="FQS930" s="18"/>
      <c r="FQT930" s="18"/>
      <c r="FQU930" s="18"/>
      <c r="FQV930" s="18"/>
      <c r="FQW930" s="18"/>
      <c r="FQX930" s="18"/>
      <c r="FQY930" s="18"/>
      <c r="FQZ930" s="18"/>
      <c r="FRA930" s="18"/>
      <c r="FRB930" s="18"/>
      <c r="FRC930" s="18"/>
      <c r="FRD930" s="18"/>
      <c r="FRE930" s="18"/>
      <c r="FRF930" s="18"/>
      <c r="FRG930" s="18"/>
      <c r="FRH930" s="18"/>
      <c r="FRI930" s="18"/>
      <c r="FRJ930" s="18"/>
      <c r="FRK930" s="18"/>
      <c r="FRL930" s="18"/>
      <c r="FRM930" s="18"/>
      <c r="FRN930" s="18"/>
      <c r="FRO930" s="18"/>
      <c r="FRP930" s="18"/>
      <c r="FRQ930" s="18"/>
      <c r="FRR930" s="18"/>
      <c r="FRS930" s="18"/>
      <c r="FRT930" s="18"/>
      <c r="FRU930" s="18"/>
      <c r="FRV930" s="18"/>
      <c r="FRW930" s="18"/>
      <c r="FRX930" s="18"/>
      <c r="FRY930" s="18"/>
      <c r="FRZ930" s="18"/>
      <c r="FSA930" s="18"/>
      <c r="FSB930" s="18"/>
      <c r="FSC930" s="18"/>
      <c r="FSD930" s="18"/>
      <c r="FSE930" s="18"/>
      <c r="FSF930" s="18"/>
      <c r="FSG930" s="18"/>
      <c r="FSH930" s="18"/>
      <c r="FSI930" s="18"/>
      <c r="FSJ930" s="18"/>
      <c r="FSK930" s="18"/>
      <c r="FSL930" s="18"/>
      <c r="FSM930" s="18"/>
      <c r="FSN930" s="18"/>
      <c r="FSO930" s="18"/>
      <c r="FSP930" s="18"/>
      <c r="FSQ930" s="18"/>
      <c r="FSR930" s="18"/>
      <c r="FSS930" s="18"/>
      <c r="FST930" s="18"/>
      <c r="FSU930" s="18"/>
      <c r="FSV930" s="18"/>
      <c r="FSW930" s="18"/>
      <c r="FSX930" s="18"/>
      <c r="FSY930" s="18"/>
      <c r="FSZ930" s="18"/>
      <c r="FTA930" s="18"/>
      <c r="FTB930" s="18"/>
      <c r="FTC930" s="18"/>
      <c r="FTD930" s="18"/>
      <c r="FTE930" s="18"/>
      <c r="FTF930" s="18"/>
      <c r="FTG930" s="18"/>
      <c r="FTH930" s="18"/>
      <c r="FTI930" s="18"/>
      <c r="FTJ930" s="18"/>
      <c r="FTK930" s="18"/>
      <c r="FTL930" s="18"/>
      <c r="FTM930" s="18"/>
      <c r="FTN930" s="18"/>
      <c r="FTO930" s="18"/>
      <c r="FTP930" s="18"/>
      <c r="FTQ930" s="18"/>
      <c r="FTR930" s="18"/>
      <c r="FTS930" s="18"/>
      <c r="FTT930" s="18"/>
      <c r="FTU930" s="18"/>
      <c r="FTV930" s="18"/>
      <c r="FTW930" s="18"/>
      <c r="FTX930" s="18"/>
      <c r="FTY930" s="18"/>
      <c r="FTZ930" s="18"/>
      <c r="FUA930" s="18"/>
      <c r="FUB930" s="18"/>
      <c r="FUC930" s="18"/>
      <c r="FUD930" s="18"/>
      <c r="FUE930" s="18"/>
      <c r="FUF930" s="18"/>
      <c r="FUG930" s="18"/>
      <c r="FUH930" s="18"/>
      <c r="FUI930" s="18"/>
      <c r="FUJ930" s="18"/>
      <c r="FUK930" s="18"/>
      <c r="FUL930" s="18"/>
      <c r="FUM930" s="18"/>
      <c r="FUN930" s="18"/>
      <c r="FUO930" s="18"/>
      <c r="FUP930" s="18"/>
      <c r="FUQ930" s="18"/>
      <c r="FUR930" s="18"/>
      <c r="FUS930" s="18"/>
      <c r="FUT930" s="18"/>
      <c r="FUU930" s="18"/>
      <c r="FUV930" s="18"/>
      <c r="FUW930" s="18"/>
      <c r="FUX930" s="18"/>
      <c r="FUY930" s="18"/>
      <c r="FUZ930" s="18"/>
      <c r="FVA930" s="18"/>
      <c r="FVB930" s="18"/>
      <c r="FVC930" s="18"/>
      <c r="FVD930" s="18"/>
      <c r="FVE930" s="18"/>
      <c r="FVF930" s="18"/>
      <c r="FVG930" s="18"/>
      <c r="FVH930" s="18"/>
      <c r="FVI930" s="18"/>
      <c r="FVJ930" s="18"/>
      <c r="FVK930" s="18"/>
      <c r="FVL930" s="18"/>
      <c r="FVM930" s="18"/>
      <c r="FVN930" s="18"/>
      <c r="FVO930" s="18"/>
      <c r="FVP930" s="18"/>
      <c r="FVQ930" s="18"/>
      <c r="FVR930" s="18"/>
      <c r="FVS930" s="18"/>
      <c r="FVT930" s="18"/>
      <c r="FVU930" s="18"/>
      <c r="FVV930" s="18"/>
      <c r="FVW930" s="18"/>
      <c r="FVX930" s="18"/>
      <c r="FVY930" s="18"/>
      <c r="FVZ930" s="18"/>
      <c r="FWA930" s="18"/>
      <c r="FWB930" s="18"/>
      <c r="FWC930" s="18"/>
      <c r="FWD930" s="18"/>
      <c r="FWE930" s="18"/>
      <c r="FWF930" s="18"/>
      <c r="FWG930" s="18"/>
      <c r="FWH930" s="18"/>
      <c r="FWI930" s="18"/>
      <c r="FWJ930" s="18"/>
      <c r="FWK930" s="18"/>
      <c r="FWL930" s="18"/>
      <c r="FWM930" s="18"/>
      <c r="FWN930" s="18"/>
      <c r="FWO930" s="18"/>
      <c r="FWP930" s="18"/>
      <c r="FWQ930" s="18"/>
      <c r="FWR930" s="18"/>
      <c r="FWS930" s="18"/>
      <c r="FWT930" s="18"/>
      <c r="FWU930" s="18"/>
      <c r="FWV930" s="18"/>
      <c r="FWW930" s="18"/>
      <c r="FWX930" s="18"/>
      <c r="FWY930" s="18"/>
      <c r="FWZ930" s="18"/>
      <c r="FXA930" s="18"/>
      <c r="FXB930" s="18"/>
      <c r="FXC930" s="18"/>
      <c r="FXD930" s="18"/>
      <c r="FXE930" s="18"/>
      <c r="FXF930" s="18"/>
      <c r="FXG930" s="18"/>
      <c r="FXH930" s="18"/>
      <c r="FXI930" s="18"/>
      <c r="FXJ930" s="18"/>
      <c r="FXK930" s="18"/>
      <c r="FXL930" s="18"/>
      <c r="FXM930" s="18"/>
      <c r="FXN930" s="18"/>
      <c r="FXO930" s="18"/>
      <c r="FXP930" s="18"/>
      <c r="FXQ930" s="18"/>
      <c r="FXR930" s="18"/>
      <c r="FXS930" s="18"/>
      <c r="FXT930" s="18"/>
      <c r="FXU930" s="18"/>
      <c r="FXV930" s="18"/>
      <c r="FXW930" s="18"/>
      <c r="FXX930" s="18"/>
      <c r="FXY930" s="18"/>
      <c r="FXZ930" s="18"/>
      <c r="FYA930" s="18"/>
      <c r="FYB930" s="18"/>
      <c r="FYC930" s="18"/>
      <c r="FYD930" s="18"/>
      <c r="FYE930" s="18"/>
      <c r="FYF930" s="18"/>
      <c r="FYG930" s="18"/>
      <c r="FYH930" s="18"/>
      <c r="FYI930" s="18"/>
      <c r="FYJ930" s="18"/>
      <c r="FYK930" s="18"/>
      <c r="FYL930" s="18"/>
      <c r="FYM930" s="18"/>
      <c r="FYN930" s="18"/>
      <c r="FYO930" s="18"/>
      <c r="FYP930" s="18"/>
      <c r="FYQ930" s="18"/>
      <c r="FYR930" s="18"/>
      <c r="FYS930" s="18"/>
      <c r="FYT930" s="18"/>
      <c r="FYU930" s="18"/>
      <c r="FYV930" s="18"/>
      <c r="FYW930" s="18"/>
      <c r="FYX930" s="18"/>
      <c r="FYY930" s="18"/>
      <c r="FYZ930" s="18"/>
      <c r="FZA930" s="18"/>
      <c r="FZB930" s="18"/>
      <c r="FZC930" s="18"/>
      <c r="FZD930" s="18"/>
      <c r="FZE930" s="18"/>
      <c r="FZF930" s="18"/>
      <c r="FZG930" s="18"/>
      <c r="FZH930" s="18"/>
      <c r="FZI930" s="18"/>
      <c r="FZJ930" s="18"/>
      <c r="FZK930" s="18"/>
      <c r="FZL930" s="18"/>
      <c r="FZM930" s="18"/>
      <c r="FZN930" s="18"/>
      <c r="FZO930" s="18"/>
      <c r="FZP930" s="18"/>
      <c r="FZQ930" s="18"/>
      <c r="FZR930" s="18"/>
      <c r="FZS930" s="18"/>
      <c r="FZT930" s="18"/>
      <c r="FZU930" s="18"/>
      <c r="FZV930" s="18"/>
      <c r="FZW930" s="18"/>
      <c r="FZX930" s="18"/>
      <c r="FZY930" s="18"/>
      <c r="FZZ930" s="18"/>
      <c r="GAA930" s="18"/>
      <c r="GAB930" s="18"/>
      <c r="GAC930" s="18"/>
      <c r="GAD930" s="18"/>
      <c r="GAE930" s="18"/>
      <c r="GAF930" s="18"/>
      <c r="GAG930" s="18"/>
      <c r="GAH930" s="18"/>
      <c r="GAI930" s="18"/>
      <c r="GAJ930" s="18"/>
      <c r="GAK930" s="18"/>
      <c r="GAL930" s="18"/>
      <c r="GAM930" s="18"/>
      <c r="GAN930" s="18"/>
      <c r="GAO930" s="18"/>
      <c r="GAP930" s="18"/>
      <c r="GAQ930" s="18"/>
      <c r="GAR930" s="18"/>
      <c r="GAS930" s="18"/>
      <c r="GAT930" s="18"/>
      <c r="GAU930" s="18"/>
      <c r="GAV930" s="18"/>
      <c r="GAW930" s="18"/>
      <c r="GAX930" s="18"/>
      <c r="GAY930" s="18"/>
      <c r="GAZ930" s="18"/>
      <c r="GBA930" s="18"/>
      <c r="GBB930" s="18"/>
      <c r="GBC930" s="18"/>
      <c r="GBD930" s="18"/>
      <c r="GBE930" s="18"/>
      <c r="GBF930" s="18"/>
      <c r="GBG930" s="18"/>
      <c r="GBH930" s="18"/>
      <c r="GBI930" s="18"/>
      <c r="GBJ930" s="18"/>
      <c r="GBK930" s="18"/>
      <c r="GBL930" s="18"/>
      <c r="GBM930" s="18"/>
      <c r="GBN930" s="18"/>
      <c r="GBO930" s="18"/>
      <c r="GBP930" s="18"/>
      <c r="GBQ930" s="18"/>
      <c r="GBR930" s="18"/>
      <c r="GBS930" s="18"/>
      <c r="GBT930" s="18"/>
      <c r="GBU930" s="18"/>
      <c r="GBV930" s="18"/>
      <c r="GBW930" s="18"/>
      <c r="GBX930" s="18"/>
      <c r="GBY930" s="18"/>
      <c r="GBZ930" s="18"/>
      <c r="GCA930" s="18"/>
      <c r="GCB930" s="18"/>
      <c r="GCC930" s="18"/>
      <c r="GCD930" s="18"/>
      <c r="GCE930" s="18"/>
      <c r="GCF930" s="18"/>
      <c r="GCG930" s="18"/>
      <c r="GCH930" s="18"/>
      <c r="GCI930" s="18"/>
      <c r="GCJ930" s="18"/>
      <c r="GCK930" s="18"/>
      <c r="GCL930" s="18"/>
      <c r="GCM930" s="18"/>
      <c r="GCN930" s="18"/>
      <c r="GCO930" s="18"/>
      <c r="GCP930" s="18"/>
      <c r="GCQ930" s="18"/>
      <c r="GCR930" s="18"/>
      <c r="GCS930" s="18"/>
      <c r="GCT930" s="18"/>
      <c r="GCU930" s="18"/>
      <c r="GCV930" s="18"/>
      <c r="GCW930" s="18"/>
      <c r="GCX930" s="18"/>
      <c r="GCY930" s="18"/>
      <c r="GCZ930" s="18"/>
      <c r="GDA930" s="18"/>
      <c r="GDB930" s="18"/>
      <c r="GDC930" s="18"/>
      <c r="GDD930" s="18"/>
      <c r="GDE930" s="18"/>
      <c r="GDF930" s="18"/>
      <c r="GDG930" s="18"/>
      <c r="GDH930" s="18"/>
      <c r="GDI930" s="18"/>
      <c r="GDJ930" s="18"/>
      <c r="GDK930" s="18"/>
      <c r="GDL930" s="18"/>
      <c r="GDM930" s="18"/>
      <c r="GDN930" s="18"/>
      <c r="GDO930" s="18"/>
      <c r="GDP930" s="18"/>
      <c r="GDQ930" s="18"/>
      <c r="GDR930" s="18"/>
      <c r="GDS930" s="18"/>
      <c r="GDT930" s="18"/>
      <c r="GDU930" s="18"/>
      <c r="GDV930" s="18"/>
      <c r="GDW930" s="18"/>
      <c r="GDX930" s="18"/>
      <c r="GDY930" s="18"/>
      <c r="GDZ930" s="18"/>
      <c r="GEA930" s="18"/>
      <c r="GEB930" s="18"/>
      <c r="GEC930" s="18"/>
      <c r="GED930" s="18"/>
      <c r="GEE930" s="18"/>
      <c r="GEF930" s="18"/>
      <c r="GEG930" s="18"/>
      <c r="GEH930" s="18"/>
      <c r="GEI930" s="18"/>
      <c r="GEJ930" s="18"/>
      <c r="GEK930" s="18"/>
      <c r="GEL930" s="18"/>
      <c r="GEM930" s="18"/>
      <c r="GEN930" s="18"/>
      <c r="GEO930" s="18"/>
      <c r="GEP930" s="18"/>
      <c r="GEQ930" s="18"/>
      <c r="GER930" s="18"/>
      <c r="GES930" s="18"/>
      <c r="GET930" s="18"/>
      <c r="GEU930" s="18"/>
      <c r="GEV930" s="18"/>
      <c r="GEW930" s="18"/>
      <c r="GEX930" s="18"/>
      <c r="GEY930" s="18"/>
      <c r="GEZ930" s="18"/>
      <c r="GFA930" s="18"/>
      <c r="GFB930" s="18"/>
      <c r="GFC930" s="18"/>
      <c r="GFD930" s="18"/>
      <c r="GFE930" s="18"/>
      <c r="GFF930" s="18"/>
      <c r="GFG930" s="18"/>
      <c r="GFH930" s="18"/>
      <c r="GFI930" s="18"/>
      <c r="GFJ930" s="18"/>
      <c r="GFK930" s="18"/>
      <c r="GFL930" s="18"/>
      <c r="GFM930" s="18"/>
      <c r="GFN930" s="18"/>
      <c r="GFO930" s="18"/>
      <c r="GFP930" s="18"/>
      <c r="GFQ930" s="18"/>
      <c r="GFR930" s="18"/>
      <c r="GFS930" s="18"/>
      <c r="GFT930" s="18"/>
      <c r="GFU930" s="18"/>
      <c r="GFV930" s="18"/>
      <c r="GFW930" s="18"/>
      <c r="GFX930" s="18"/>
      <c r="GFY930" s="18"/>
      <c r="GFZ930" s="18"/>
      <c r="GGA930" s="18"/>
      <c r="GGB930" s="18"/>
      <c r="GGC930" s="18"/>
      <c r="GGD930" s="18"/>
      <c r="GGE930" s="18"/>
      <c r="GGF930" s="18"/>
      <c r="GGG930" s="18"/>
      <c r="GGH930" s="18"/>
      <c r="GGI930" s="18"/>
      <c r="GGJ930" s="18"/>
      <c r="GGK930" s="18"/>
      <c r="GGL930" s="18"/>
      <c r="GGM930" s="18"/>
      <c r="GGN930" s="18"/>
      <c r="GGO930" s="18"/>
      <c r="GGP930" s="18"/>
      <c r="GGQ930" s="18"/>
      <c r="GGR930" s="18"/>
      <c r="GGS930" s="18"/>
      <c r="GGT930" s="18"/>
      <c r="GGU930" s="18"/>
      <c r="GGV930" s="18"/>
      <c r="GGW930" s="18"/>
      <c r="GGX930" s="18"/>
      <c r="GGY930" s="18"/>
      <c r="GGZ930" s="18"/>
      <c r="GHA930" s="18"/>
      <c r="GHB930" s="18"/>
      <c r="GHC930" s="18"/>
      <c r="GHD930" s="18"/>
      <c r="GHE930" s="18"/>
      <c r="GHF930" s="18"/>
      <c r="GHG930" s="18"/>
      <c r="GHH930" s="18"/>
      <c r="GHI930" s="18"/>
      <c r="GHJ930" s="18"/>
      <c r="GHK930" s="18"/>
      <c r="GHL930" s="18"/>
      <c r="GHM930" s="18"/>
      <c r="GHN930" s="18"/>
      <c r="GHO930" s="18"/>
      <c r="GHP930" s="18"/>
      <c r="GHQ930" s="18"/>
      <c r="GHR930" s="18"/>
      <c r="GHS930" s="18"/>
      <c r="GHT930" s="18"/>
      <c r="GHU930" s="18"/>
      <c r="GHV930" s="18"/>
      <c r="GHW930" s="18"/>
      <c r="GHX930" s="18"/>
      <c r="GHY930" s="18"/>
      <c r="GHZ930" s="18"/>
      <c r="GIA930" s="18"/>
      <c r="GIB930" s="18"/>
      <c r="GIC930" s="18"/>
      <c r="GID930" s="18"/>
      <c r="GIE930" s="18"/>
      <c r="GIF930" s="18"/>
      <c r="GIG930" s="18"/>
      <c r="GIH930" s="18"/>
      <c r="GII930" s="18"/>
      <c r="GIJ930" s="18"/>
      <c r="GIK930" s="18"/>
      <c r="GIL930" s="18"/>
      <c r="GIM930" s="18"/>
      <c r="GIN930" s="18"/>
      <c r="GIO930" s="18"/>
      <c r="GIP930" s="18"/>
      <c r="GIQ930" s="18"/>
      <c r="GIR930" s="18"/>
      <c r="GIS930" s="18"/>
      <c r="GIT930" s="18"/>
      <c r="GIU930" s="18"/>
      <c r="GIV930" s="18"/>
      <c r="GIW930" s="18"/>
      <c r="GIX930" s="18"/>
      <c r="GIY930" s="18"/>
      <c r="GIZ930" s="18"/>
      <c r="GJA930" s="18"/>
      <c r="GJB930" s="18"/>
      <c r="GJC930" s="18"/>
      <c r="GJD930" s="18"/>
      <c r="GJE930" s="18"/>
      <c r="GJF930" s="18"/>
      <c r="GJG930" s="18"/>
      <c r="GJH930" s="18"/>
      <c r="GJI930" s="18"/>
      <c r="GJJ930" s="18"/>
      <c r="GJK930" s="18"/>
      <c r="GJL930" s="18"/>
      <c r="GJM930" s="18"/>
      <c r="GJN930" s="18"/>
      <c r="GJO930" s="18"/>
      <c r="GJP930" s="18"/>
      <c r="GJQ930" s="18"/>
      <c r="GJR930" s="18"/>
      <c r="GJS930" s="18"/>
      <c r="GJT930" s="18"/>
      <c r="GJU930" s="18"/>
      <c r="GJV930" s="18"/>
      <c r="GJW930" s="18"/>
      <c r="GJX930" s="18"/>
      <c r="GJY930" s="18"/>
      <c r="GJZ930" s="18"/>
      <c r="GKA930" s="18"/>
      <c r="GKB930" s="18"/>
      <c r="GKC930" s="18"/>
      <c r="GKD930" s="18"/>
      <c r="GKE930" s="18"/>
      <c r="GKF930" s="18"/>
      <c r="GKG930" s="18"/>
      <c r="GKH930" s="18"/>
      <c r="GKI930" s="18"/>
      <c r="GKJ930" s="18"/>
      <c r="GKK930" s="18"/>
      <c r="GKL930" s="18"/>
      <c r="GKM930" s="18"/>
      <c r="GKN930" s="18"/>
      <c r="GKO930" s="18"/>
      <c r="GKP930" s="18"/>
      <c r="GKQ930" s="18"/>
      <c r="GKR930" s="18"/>
      <c r="GKS930" s="18"/>
      <c r="GKT930" s="18"/>
      <c r="GKU930" s="18"/>
      <c r="GKV930" s="18"/>
      <c r="GKW930" s="18"/>
      <c r="GKX930" s="18"/>
      <c r="GKY930" s="18"/>
      <c r="GKZ930" s="18"/>
      <c r="GLA930" s="18"/>
      <c r="GLB930" s="18"/>
      <c r="GLC930" s="18"/>
      <c r="GLD930" s="18"/>
      <c r="GLE930" s="18"/>
      <c r="GLF930" s="18"/>
      <c r="GLG930" s="18"/>
      <c r="GLH930" s="18"/>
      <c r="GLI930" s="18"/>
      <c r="GLJ930" s="18"/>
      <c r="GLK930" s="18"/>
      <c r="GLL930" s="18"/>
      <c r="GLM930" s="18"/>
      <c r="GLN930" s="18"/>
      <c r="GLO930" s="18"/>
      <c r="GLP930" s="18"/>
      <c r="GLQ930" s="18"/>
      <c r="GLR930" s="18"/>
      <c r="GLS930" s="18"/>
      <c r="GLT930" s="18"/>
      <c r="GLU930" s="18"/>
      <c r="GLV930" s="18"/>
      <c r="GLW930" s="18"/>
      <c r="GLX930" s="18"/>
      <c r="GLY930" s="18"/>
      <c r="GLZ930" s="18"/>
      <c r="GMA930" s="18"/>
      <c r="GMB930" s="18"/>
      <c r="GMC930" s="18"/>
      <c r="GMD930" s="18"/>
      <c r="GME930" s="18"/>
      <c r="GMF930" s="18"/>
      <c r="GMG930" s="18"/>
      <c r="GMH930" s="18"/>
      <c r="GMI930" s="18"/>
      <c r="GMJ930" s="18"/>
      <c r="GMK930" s="18"/>
      <c r="GML930" s="18"/>
      <c r="GMM930" s="18"/>
      <c r="GMN930" s="18"/>
      <c r="GMO930" s="18"/>
      <c r="GMP930" s="18"/>
      <c r="GMQ930" s="18"/>
      <c r="GMR930" s="18"/>
      <c r="GMS930" s="18"/>
      <c r="GMT930" s="18"/>
      <c r="GMU930" s="18"/>
      <c r="GMV930" s="18"/>
      <c r="GMW930" s="18"/>
      <c r="GMX930" s="18"/>
      <c r="GMY930" s="18"/>
      <c r="GMZ930" s="18"/>
      <c r="GNA930" s="18"/>
      <c r="GNB930" s="18"/>
      <c r="GNC930" s="18"/>
      <c r="GND930" s="18"/>
      <c r="GNE930" s="18"/>
      <c r="GNF930" s="18"/>
      <c r="GNG930" s="18"/>
      <c r="GNH930" s="18"/>
      <c r="GNI930" s="18"/>
      <c r="GNJ930" s="18"/>
      <c r="GNK930" s="18"/>
      <c r="GNL930" s="18"/>
      <c r="GNM930" s="18"/>
      <c r="GNN930" s="18"/>
      <c r="GNO930" s="18"/>
      <c r="GNP930" s="18"/>
      <c r="GNQ930" s="18"/>
      <c r="GNR930" s="18"/>
      <c r="GNS930" s="18"/>
      <c r="GNT930" s="18"/>
      <c r="GNU930" s="18"/>
      <c r="GNV930" s="18"/>
      <c r="GNW930" s="18"/>
      <c r="GNX930" s="18"/>
      <c r="GNY930" s="18"/>
      <c r="GNZ930" s="18"/>
      <c r="GOA930" s="18"/>
      <c r="GOB930" s="18"/>
      <c r="GOC930" s="18"/>
      <c r="GOD930" s="18"/>
      <c r="GOE930" s="18"/>
      <c r="GOF930" s="18"/>
      <c r="GOG930" s="18"/>
      <c r="GOH930" s="18"/>
      <c r="GOI930" s="18"/>
      <c r="GOJ930" s="18"/>
      <c r="GOK930" s="18"/>
      <c r="GOL930" s="18"/>
      <c r="GOM930" s="18"/>
      <c r="GON930" s="18"/>
      <c r="GOO930" s="18"/>
      <c r="GOP930" s="18"/>
      <c r="GOQ930" s="18"/>
      <c r="GOR930" s="18"/>
      <c r="GOS930" s="18"/>
      <c r="GOT930" s="18"/>
      <c r="GOU930" s="18"/>
      <c r="GOV930" s="18"/>
      <c r="GOW930" s="18"/>
      <c r="GOX930" s="18"/>
      <c r="GOY930" s="18"/>
      <c r="GOZ930" s="18"/>
      <c r="GPA930" s="18"/>
      <c r="GPB930" s="18"/>
      <c r="GPC930" s="18"/>
      <c r="GPD930" s="18"/>
      <c r="GPE930" s="18"/>
      <c r="GPF930" s="18"/>
      <c r="GPG930" s="18"/>
      <c r="GPH930" s="18"/>
      <c r="GPI930" s="18"/>
      <c r="GPJ930" s="18"/>
      <c r="GPK930" s="18"/>
      <c r="GPL930" s="18"/>
      <c r="GPM930" s="18"/>
      <c r="GPN930" s="18"/>
      <c r="GPO930" s="18"/>
      <c r="GPP930" s="18"/>
      <c r="GPQ930" s="18"/>
      <c r="GPR930" s="18"/>
      <c r="GPS930" s="18"/>
      <c r="GPT930" s="18"/>
      <c r="GPU930" s="18"/>
      <c r="GPV930" s="18"/>
      <c r="GPW930" s="18"/>
      <c r="GPX930" s="18"/>
      <c r="GPY930" s="18"/>
      <c r="GPZ930" s="18"/>
      <c r="GQA930" s="18"/>
      <c r="GQB930" s="18"/>
      <c r="GQC930" s="18"/>
      <c r="GQD930" s="18"/>
      <c r="GQE930" s="18"/>
      <c r="GQF930" s="18"/>
      <c r="GQG930" s="18"/>
      <c r="GQH930" s="18"/>
      <c r="GQI930" s="18"/>
      <c r="GQJ930" s="18"/>
      <c r="GQK930" s="18"/>
      <c r="GQL930" s="18"/>
      <c r="GQM930" s="18"/>
      <c r="GQN930" s="18"/>
      <c r="GQO930" s="18"/>
      <c r="GQP930" s="18"/>
      <c r="GQQ930" s="18"/>
      <c r="GQR930" s="18"/>
      <c r="GQS930" s="18"/>
      <c r="GQT930" s="18"/>
      <c r="GQU930" s="18"/>
      <c r="GQV930" s="18"/>
      <c r="GQW930" s="18"/>
      <c r="GQX930" s="18"/>
      <c r="GQY930" s="18"/>
      <c r="GQZ930" s="18"/>
      <c r="GRA930" s="18"/>
      <c r="GRB930" s="18"/>
      <c r="GRC930" s="18"/>
      <c r="GRD930" s="18"/>
      <c r="GRE930" s="18"/>
      <c r="GRF930" s="18"/>
      <c r="GRG930" s="18"/>
      <c r="GRH930" s="18"/>
      <c r="GRI930" s="18"/>
      <c r="GRJ930" s="18"/>
      <c r="GRK930" s="18"/>
      <c r="GRL930" s="18"/>
      <c r="GRM930" s="18"/>
      <c r="GRN930" s="18"/>
      <c r="GRO930" s="18"/>
      <c r="GRP930" s="18"/>
      <c r="GRQ930" s="18"/>
      <c r="GRR930" s="18"/>
      <c r="GRS930" s="18"/>
      <c r="GRT930" s="18"/>
      <c r="GRU930" s="18"/>
      <c r="GRV930" s="18"/>
      <c r="GRW930" s="18"/>
      <c r="GRX930" s="18"/>
      <c r="GRY930" s="18"/>
      <c r="GRZ930" s="18"/>
      <c r="GSA930" s="18"/>
      <c r="GSB930" s="18"/>
      <c r="GSC930" s="18"/>
      <c r="GSD930" s="18"/>
      <c r="GSE930" s="18"/>
      <c r="GSF930" s="18"/>
      <c r="GSG930" s="18"/>
      <c r="GSH930" s="18"/>
      <c r="GSI930" s="18"/>
      <c r="GSJ930" s="18"/>
      <c r="GSK930" s="18"/>
      <c r="GSL930" s="18"/>
      <c r="GSM930" s="18"/>
      <c r="GSN930" s="18"/>
      <c r="GSO930" s="18"/>
      <c r="GSP930" s="18"/>
      <c r="GSQ930" s="18"/>
      <c r="GSR930" s="18"/>
      <c r="GSS930" s="18"/>
      <c r="GST930" s="18"/>
      <c r="GSU930" s="18"/>
      <c r="GSV930" s="18"/>
      <c r="GSW930" s="18"/>
      <c r="GSX930" s="18"/>
      <c r="GSY930" s="18"/>
      <c r="GSZ930" s="18"/>
      <c r="GTA930" s="18"/>
      <c r="GTB930" s="18"/>
      <c r="GTC930" s="18"/>
      <c r="GTD930" s="18"/>
      <c r="GTE930" s="18"/>
      <c r="GTF930" s="18"/>
      <c r="GTG930" s="18"/>
      <c r="GTH930" s="18"/>
      <c r="GTI930" s="18"/>
      <c r="GTJ930" s="18"/>
      <c r="GTK930" s="18"/>
      <c r="GTL930" s="18"/>
      <c r="GTM930" s="18"/>
      <c r="GTN930" s="18"/>
      <c r="GTO930" s="18"/>
      <c r="GTP930" s="18"/>
      <c r="GTQ930" s="18"/>
      <c r="GTR930" s="18"/>
      <c r="GTS930" s="18"/>
      <c r="GTT930" s="18"/>
      <c r="GTU930" s="18"/>
      <c r="GTV930" s="18"/>
      <c r="GTW930" s="18"/>
      <c r="GTX930" s="18"/>
      <c r="GTY930" s="18"/>
      <c r="GTZ930" s="18"/>
      <c r="GUA930" s="18"/>
      <c r="GUB930" s="18"/>
      <c r="GUC930" s="18"/>
      <c r="GUD930" s="18"/>
      <c r="GUE930" s="18"/>
      <c r="GUF930" s="18"/>
      <c r="GUG930" s="18"/>
      <c r="GUH930" s="18"/>
      <c r="GUI930" s="18"/>
      <c r="GUJ930" s="18"/>
      <c r="GUK930" s="18"/>
      <c r="GUL930" s="18"/>
      <c r="GUM930" s="18"/>
      <c r="GUN930" s="18"/>
      <c r="GUO930" s="18"/>
      <c r="GUP930" s="18"/>
      <c r="GUQ930" s="18"/>
      <c r="GUR930" s="18"/>
      <c r="GUS930" s="18"/>
      <c r="GUT930" s="18"/>
      <c r="GUU930" s="18"/>
      <c r="GUV930" s="18"/>
      <c r="GUW930" s="18"/>
      <c r="GUX930" s="18"/>
      <c r="GUY930" s="18"/>
      <c r="GUZ930" s="18"/>
      <c r="GVA930" s="18"/>
      <c r="GVB930" s="18"/>
      <c r="GVC930" s="18"/>
      <c r="GVD930" s="18"/>
      <c r="GVE930" s="18"/>
      <c r="GVF930" s="18"/>
      <c r="GVG930" s="18"/>
      <c r="GVH930" s="18"/>
      <c r="GVI930" s="18"/>
      <c r="GVJ930" s="18"/>
      <c r="GVK930" s="18"/>
      <c r="GVL930" s="18"/>
      <c r="GVM930" s="18"/>
      <c r="GVN930" s="18"/>
      <c r="GVO930" s="18"/>
      <c r="GVP930" s="18"/>
      <c r="GVQ930" s="18"/>
      <c r="GVR930" s="18"/>
      <c r="GVS930" s="18"/>
      <c r="GVT930" s="18"/>
      <c r="GVU930" s="18"/>
      <c r="GVV930" s="18"/>
      <c r="GVW930" s="18"/>
      <c r="GVX930" s="18"/>
      <c r="GVY930" s="18"/>
      <c r="GVZ930" s="18"/>
      <c r="GWA930" s="18"/>
      <c r="GWB930" s="18"/>
      <c r="GWC930" s="18"/>
      <c r="GWD930" s="18"/>
      <c r="GWE930" s="18"/>
      <c r="GWF930" s="18"/>
      <c r="GWG930" s="18"/>
      <c r="GWH930" s="18"/>
      <c r="GWI930" s="18"/>
      <c r="GWJ930" s="18"/>
      <c r="GWK930" s="18"/>
      <c r="GWL930" s="18"/>
      <c r="GWM930" s="18"/>
      <c r="GWN930" s="18"/>
      <c r="GWO930" s="18"/>
      <c r="GWP930" s="18"/>
      <c r="GWQ930" s="18"/>
      <c r="GWR930" s="18"/>
      <c r="GWS930" s="18"/>
      <c r="GWT930" s="18"/>
      <c r="GWU930" s="18"/>
      <c r="GWV930" s="18"/>
      <c r="GWW930" s="18"/>
      <c r="GWX930" s="18"/>
      <c r="GWY930" s="18"/>
      <c r="GWZ930" s="18"/>
      <c r="GXA930" s="18"/>
      <c r="GXB930" s="18"/>
      <c r="GXC930" s="18"/>
      <c r="GXD930" s="18"/>
      <c r="GXE930" s="18"/>
      <c r="GXF930" s="18"/>
      <c r="GXG930" s="18"/>
      <c r="GXH930" s="18"/>
      <c r="GXI930" s="18"/>
      <c r="GXJ930" s="18"/>
      <c r="GXK930" s="18"/>
      <c r="GXL930" s="18"/>
      <c r="GXM930" s="18"/>
      <c r="GXN930" s="18"/>
      <c r="GXO930" s="18"/>
      <c r="GXP930" s="18"/>
      <c r="GXQ930" s="18"/>
      <c r="GXR930" s="18"/>
      <c r="GXS930" s="18"/>
      <c r="GXT930" s="18"/>
      <c r="GXU930" s="18"/>
      <c r="GXV930" s="18"/>
      <c r="GXW930" s="18"/>
      <c r="GXX930" s="18"/>
      <c r="GXY930" s="18"/>
      <c r="GXZ930" s="18"/>
      <c r="GYA930" s="18"/>
      <c r="GYB930" s="18"/>
      <c r="GYC930" s="18"/>
      <c r="GYD930" s="18"/>
      <c r="GYE930" s="18"/>
      <c r="GYF930" s="18"/>
      <c r="GYG930" s="18"/>
      <c r="GYH930" s="18"/>
      <c r="GYI930" s="18"/>
      <c r="GYJ930" s="18"/>
      <c r="GYK930" s="18"/>
      <c r="GYL930" s="18"/>
      <c r="GYM930" s="18"/>
      <c r="GYN930" s="18"/>
      <c r="GYO930" s="18"/>
      <c r="GYP930" s="18"/>
      <c r="GYQ930" s="18"/>
      <c r="GYR930" s="18"/>
      <c r="GYS930" s="18"/>
      <c r="GYT930" s="18"/>
      <c r="GYU930" s="18"/>
      <c r="GYV930" s="18"/>
      <c r="GYW930" s="18"/>
      <c r="GYX930" s="18"/>
      <c r="GYY930" s="18"/>
      <c r="GYZ930" s="18"/>
      <c r="GZA930" s="18"/>
      <c r="GZB930" s="18"/>
      <c r="GZC930" s="18"/>
      <c r="GZD930" s="18"/>
      <c r="GZE930" s="18"/>
      <c r="GZF930" s="18"/>
      <c r="GZG930" s="18"/>
      <c r="GZH930" s="18"/>
      <c r="GZI930" s="18"/>
      <c r="GZJ930" s="18"/>
      <c r="GZK930" s="18"/>
      <c r="GZL930" s="18"/>
      <c r="GZM930" s="18"/>
      <c r="GZN930" s="18"/>
      <c r="GZO930" s="18"/>
      <c r="GZP930" s="18"/>
      <c r="GZQ930" s="18"/>
      <c r="GZR930" s="18"/>
      <c r="GZS930" s="18"/>
      <c r="GZT930" s="18"/>
      <c r="GZU930" s="18"/>
      <c r="GZV930" s="18"/>
      <c r="GZW930" s="18"/>
      <c r="GZX930" s="18"/>
      <c r="GZY930" s="18"/>
      <c r="GZZ930" s="18"/>
      <c r="HAA930" s="18"/>
      <c r="HAB930" s="18"/>
      <c r="HAC930" s="18"/>
      <c r="HAD930" s="18"/>
      <c r="HAE930" s="18"/>
      <c r="HAF930" s="18"/>
      <c r="HAG930" s="18"/>
      <c r="HAH930" s="18"/>
      <c r="HAI930" s="18"/>
      <c r="HAJ930" s="18"/>
      <c r="HAK930" s="18"/>
      <c r="HAL930" s="18"/>
      <c r="HAM930" s="18"/>
      <c r="HAN930" s="18"/>
      <c r="HAO930" s="18"/>
      <c r="HAP930" s="18"/>
      <c r="HAQ930" s="18"/>
      <c r="HAR930" s="18"/>
      <c r="HAS930" s="18"/>
      <c r="HAT930" s="18"/>
      <c r="HAU930" s="18"/>
      <c r="HAV930" s="18"/>
      <c r="HAW930" s="18"/>
      <c r="HAX930" s="18"/>
      <c r="HAY930" s="18"/>
      <c r="HAZ930" s="18"/>
      <c r="HBA930" s="18"/>
      <c r="HBB930" s="18"/>
      <c r="HBC930" s="18"/>
      <c r="HBD930" s="18"/>
      <c r="HBE930" s="18"/>
      <c r="HBF930" s="18"/>
      <c r="HBG930" s="18"/>
      <c r="HBH930" s="18"/>
      <c r="HBI930" s="18"/>
      <c r="HBJ930" s="18"/>
      <c r="HBK930" s="18"/>
      <c r="HBL930" s="18"/>
      <c r="HBM930" s="18"/>
      <c r="HBN930" s="18"/>
      <c r="HBO930" s="18"/>
      <c r="HBP930" s="18"/>
      <c r="HBQ930" s="18"/>
      <c r="HBR930" s="18"/>
      <c r="HBS930" s="18"/>
      <c r="HBT930" s="18"/>
      <c r="HBU930" s="18"/>
      <c r="HBV930" s="18"/>
      <c r="HBW930" s="18"/>
      <c r="HBX930" s="18"/>
      <c r="HBY930" s="18"/>
      <c r="HBZ930" s="18"/>
      <c r="HCA930" s="18"/>
      <c r="HCB930" s="18"/>
      <c r="HCC930" s="18"/>
      <c r="HCD930" s="18"/>
      <c r="HCE930" s="18"/>
      <c r="HCF930" s="18"/>
      <c r="HCG930" s="18"/>
      <c r="HCH930" s="18"/>
      <c r="HCI930" s="18"/>
      <c r="HCJ930" s="18"/>
      <c r="HCK930" s="18"/>
      <c r="HCL930" s="18"/>
      <c r="HCM930" s="18"/>
      <c r="HCN930" s="18"/>
      <c r="HCO930" s="18"/>
      <c r="HCP930" s="18"/>
      <c r="HCQ930" s="18"/>
      <c r="HCR930" s="18"/>
      <c r="HCS930" s="18"/>
      <c r="HCT930" s="18"/>
      <c r="HCU930" s="18"/>
      <c r="HCV930" s="18"/>
      <c r="HCW930" s="18"/>
      <c r="HCX930" s="18"/>
      <c r="HCY930" s="18"/>
      <c r="HCZ930" s="18"/>
      <c r="HDA930" s="18"/>
      <c r="HDB930" s="18"/>
      <c r="HDC930" s="18"/>
      <c r="HDD930" s="18"/>
      <c r="HDE930" s="18"/>
      <c r="HDF930" s="18"/>
      <c r="HDG930" s="18"/>
      <c r="HDH930" s="18"/>
      <c r="HDI930" s="18"/>
      <c r="HDJ930" s="18"/>
      <c r="HDK930" s="18"/>
      <c r="HDL930" s="18"/>
      <c r="HDM930" s="18"/>
      <c r="HDN930" s="18"/>
      <c r="HDO930" s="18"/>
      <c r="HDP930" s="18"/>
      <c r="HDQ930" s="18"/>
      <c r="HDR930" s="18"/>
      <c r="HDS930" s="18"/>
      <c r="HDT930" s="18"/>
      <c r="HDU930" s="18"/>
      <c r="HDV930" s="18"/>
      <c r="HDW930" s="18"/>
      <c r="HDX930" s="18"/>
      <c r="HDY930" s="18"/>
      <c r="HDZ930" s="18"/>
      <c r="HEA930" s="18"/>
      <c r="HEB930" s="18"/>
      <c r="HEC930" s="18"/>
      <c r="HED930" s="18"/>
      <c r="HEE930" s="18"/>
      <c r="HEF930" s="18"/>
      <c r="HEG930" s="18"/>
      <c r="HEH930" s="18"/>
      <c r="HEI930" s="18"/>
      <c r="HEJ930" s="18"/>
      <c r="HEK930" s="18"/>
      <c r="HEL930" s="18"/>
      <c r="HEM930" s="18"/>
      <c r="HEN930" s="18"/>
      <c r="HEO930" s="18"/>
      <c r="HEP930" s="18"/>
      <c r="HEQ930" s="18"/>
      <c r="HER930" s="18"/>
      <c r="HES930" s="18"/>
      <c r="HET930" s="18"/>
      <c r="HEU930" s="18"/>
      <c r="HEV930" s="18"/>
      <c r="HEW930" s="18"/>
      <c r="HEX930" s="18"/>
      <c r="HEY930" s="18"/>
      <c r="HEZ930" s="18"/>
      <c r="HFA930" s="18"/>
      <c r="HFB930" s="18"/>
      <c r="HFC930" s="18"/>
      <c r="HFD930" s="18"/>
      <c r="HFE930" s="18"/>
      <c r="HFF930" s="18"/>
      <c r="HFG930" s="18"/>
      <c r="HFH930" s="18"/>
      <c r="HFI930" s="18"/>
      <c r="HFJ930" s="18"/>
      <c r="HFK930" s="18"/>
      <c r="HFL930" s="18"/>
      <c r="HFM930" s="18"/>
      <c r="HFN930" s="18"/>
      <c r="HFO930" s="18"/>
      <c r="HFP930" s="18"/>
      <c r="HFQ930" s="18"/>
      <c r="HFR930" s="18"/>
      <c r="HFS930" s="18"/>
      <c r="HFT930" s="18"/>
      <c r="HFU930" s="18"/>
      <c r="HFV930" s="18"/>
      <c r="HFW930" s="18"/>
      <c r="HFX930" s="18"/>
      <c r="HFY930" s="18"/>
      <c r="HFZ930" s="18"/>
      <c r="HGA930" s="18"/>
      <c r="HGB930" s="18"/>
      <c r="HGC930" s="18"/>
      <c r="HGD930" s="18"/>
      <c r="HGE930" s="18"/>
      <c r="HGF930" s="18"/>
      <c r="HGG930" s="18"/>
      <c r="HGH930" s="18"/>
      <c r="HGI930" s="18"/>
      <c r="HGJ930" s="18"/>
      <c r="HGK930" s="18"/>
      <c r="HGL930" s="18"/>
      <c r="HGM930" s="18"/>
      <c r="HGN930" s="18"/>
      <c r="HGO930" s="18"/>
      <c r="HGP930" s="18"/>
      <c r="HGQ930" s="18"/>
      <c r="HGR930" s="18"/>
      <c r="HGS930" s="18"/>
      <c r="HGT930" s="18"/>
      <c r="HGU930" s="18"/>
      <c r="HGV930" s="18"/>
      <c r="HGW930" s="18"/>
      <c r="HGX930" s="18"/>
      <c r="HGY930" s="18"/>
      <c r="HGZ930" s="18"/>
      <c r="HHA930" s="18"/>
      <c r="HHB930" s="18"/>
      <c r="HHC930" s="18"/>
      <c r="HHD930" s="18"/>
      <c r="HHE930" s="18"/>
      <c r="HHF930" s="18"/>
      <c r="HHG930" s="18"/>
      <c r="HHH930" s="18"/>
      <c r="HHI930" s="18"/>
      <c r="HHJ930" s="18"/>
      <c r="HHK930" s="18"/>
      <c r="HHL930" s="18"/>
      <c r="HHM930" s="18"/>
      <c r="HHN930" s="18"/>
      <c r="HHO930" s="18"/>
      <c r="HHP930" s="18"/>
      <c r="HHQ930" s="18"/>
      <c r="HHR930" s="18"/>
      <c r="HHS930" s="18"/>
      <c r="HHT930" s="18"/>
      <c r="HHU930" s="18"/>
      <c r="HHV930" s="18"/>
      <c r="HHW930" s="18"/>
      <c r="HHX930" s="18"/>
      <c r="HHY930" s="18"/>
      <c r="HHZ930" s="18"/>
      <c r="HIA930" s="18"/>
      <c r="HIB930" s="18"/>
      <c r="HIC930" s="18"/>
      <c r="HID930" s="18"/>
      <c r="HIE930" s="18"/>
      <c r="HIF930" s="18"/>
      <c r="HIG930" s="18"/>
      <c r="HIH930" s="18"/>
      <c r="HII930" s="18"/>
      <c r="HIJ930" s="18"/>
      <c r="HIK930" s="18"/>
      <c r="HIL930" s="18"/>
      <c r="HIM930" s="18"/>
      <c r="HIN930" s="18"/>
      <c r="HIO930" s="18"/>
      <c r="HIP930" s="18"/>
      <c r="HIQ930" s="18"/>
      <c r="HIR930" s="18"/>
      <c r="HIS930" s="18"/>
      <c r="HIT930" s="18"/>
      <c r="HIU930" s="18"/>
      <c r="HIV930" s="18"/>
      <c r="HIW930" s="18"/>
      <c r="HIX930" s="18"/>
      <c r="HIY930" s="18"/>
      <c r="HIZ930" s="18"/>
      <c r="HJA930" s="18"/>
      <c r="HJB930" s="18"/>
      <c r="HJC930" s="18"/>
      <c r="HJD930" s="18"/>
      <c r="HJE930" s="18"/>
      <c r="HJF930" s="18"/>
      <c r="HJG930" s="18"/>
      <c r="HJH930" s="18"/>
      <c r="HJI930" s="18"/>
      <c r="HJJ930" s="18"/>
      <c r="HJK930" s="18"/>
      <c r="HJL930" s="18"/>
      <c r="HJM930" s="18"/>
      <c r="HJN930" s="18"/>
      <c r="HJO930" s="18"/>
      <c r="HJP930" s="18"/>
      <c r="HJQ930" s="18"/>
      <c r="HJR930" s="18"/>
      <c r="HJS930" s="18"/>
      <c r="HJT930" s="18"/>
      <c r="HJU930" s="18"/>
      <c r="HJV930" s="18"/>
      <c r="HJW930" s="18"/>
      <c r="HJX930" s="18"/>
      <c r="HJY930" s="18"/>
      <c r="HJZ930" s="18"/>
      <c r="HKA930" s="18"/>
      <c r="HKB930" s="18"/>
      <c r="HKC930" s="18"/>
      <c r="HKD930" s="18"/>
      <c r="HKE930" s="18"/>
      <c r="HKF930" s="18"/>
      <c r="HKG930" s="18"/>
      <c r="HKH930" s="18"/>
      <c r="HKI930" s="18"/>
      <c r="HKJ930" s="18"/>
      <c r="HKK930" s="18"/>
      <c r="HKL930" s="18"/>
      <c r="HKM930" s="18"/>
      <c r="HKN930" s="18"/>
      <c r="HKO930" s="18"/>
      <c r="HKP930" s="18"/>
      <c r="HKQ930" s="18"/>
      <c r="HKR930" s="18"/>
      <c r="HKS930" s="18"/>
      <c r="HKT930" s="18"/>
      <c r="HKU930" s="18"/>
      <c r="HKV930" s="18"/>
      <c r="HKW930" s="18"/>
      <c r="HKX930" s="18"/>
      <c r="HKY930" s="18"/>
      <c r="HKZ930" s="18"/>
      <c r="HLA930" s="18"/>
      <c r="HLB930" s="18"/>
      <c r="HLC930" s="18"/>
      <c r="HLD930" s="18"/>
      <c r="HLE930" s="18"/>
      <c r="HLF930" s="18"/>
      <c r="HLG930" s="18"/>
      <c r="HLH930" s="18"/>
      <c r="HLI930" s="18"/>
      <c r="HLJ930" s="18"/>
      <c r="HLK930" s="18"/>
      <c r="HLL930" s="18"/>
      <c r="HLM930" s="18"/>
      <c r="HLN930" s="18"/>
      <c r="HLO930" s="18"/>
      <c r="HLP930" s="18"/>
      <c r="HLQ930" s="18"/>
      <c r="HLR930" s="18"/>
      <c r="HLS930" s="18"/>
      <c r="HLT930" s="18"/>
      <c r="HLU930" s="18"/>
      <c r="HLV930" s="18"/>
      <c r="HLW930" s="18"/>
      <c r="HLX930" s="18"/>
      <c r="HLY930" s="18"/>
      <c r="HLZ930" s="18"/>
      <c r="HMA930" s="18"/>
      <c r="HMB930" s="18"/>
      <c r="HMC930" s="18"/>
      <c r="HMD930" s="18"/>
      <c r="HME930" s="18"/>
      <c r="HMF930" s="18"/>
      <c r="HMG930" s="18"/>
      <c r="HMH930" s="18"/>
      <c r="HMI930" s="18"/>
      <c r="HMJ930" s="18"/>
      <c r="HMK930" s="18"/>
      <c r="HML930" s="18"/>
      <c r="HMM930" s="18"/>
      <c r="HMN930" s="18"/>
      <c r="HMO930" s="18"/>
      <c r="HMP930" s="18"/>
      <c r="HMQ930" s="18"/>
      <c r="HMR930" s="18"/>
      <c r="HMS930" s="18"/>
      <c r="HMT930" s="18"/>
      <c r="HMU930" s="18"/>
      <c r="HMV930" s="18"/>
      <c r="HMW930" s="18"/>
      <c r="HMX930" s="18"/>
      <c r="HMY930" s="18"/>
      <c r="HMZ930" s="18"/>
      <c r="HNA930" s="18"/>
      <c r="HNB930" s="18"/>
      <c r="HNC930" s="18"/>
      <c r="HND930" s="18"/>
      <c r="HNE930" s="18"/>
      <c r="HNF930" s="18"/>
      <c r="HNG930" s="18"/>
      <c r="HNH930" s="18"/>
      <c r="HNI930" s="18"/>
      <c r="HNJ930" s="18"/>
      <c r="HNK930" s="18"/>
      <c r="HNL930" s="18"/>
      <c r="HNM930" s="18"/>
      <c r="HNN930" s="18"/>
      <c r="HNO930" s="18"/>
      <c r="HNP930" s="18"/>
      <c r="HNQ930" s="18"/>
      <c r="HNR930" s="18"/>
      <c r="HNS930" s="18"/>
      <c r="HNT930" s="18"/>
      <c r="HNU930" s="18"/>
      <c r="HNV930" s="18"/>
      <c r="HNW930" s="18"/>
      <c r="HNX930" s="18"/>
      <c r="HNY930" s="18"/>
      <c r="HNZ930" s="18"/>
      <c r="HOA930" s="18"/>
      <c r="HOB930" s="18"/>
      <c r="HOC930" s="18"/>
      <c r="HOD930" s="18"/>
      <c r="HOE930" s="18"/>
      <c r="HOF930" s="18"/>
      <c r="HOG930" s="18"/>
      <c r="HOH930" s="18"/>
      <c r="HOI930" s="18"/>
      <c r="HOJ930" s="18"/>
      <c r="HOK930" s="18"/>
      <c r="HOL930" s="18"/>
      <c r="HOM930" s="18"/>
      <c r="HON930" s="18"/>
      <c r="HOO930" s="18"/>
      <c r="HOP930" s="18"/>
      <c r="HOQ930" s="18"/>
      <c r="HOR930" s="18"/>
      <c r="HOS930" s="18"/>
      <c r="HOT930" s="18"/>
      <c r="HOU930" s="18"/>
      <c r="HOV930" s="18"/>
      <c r="HOW930" s="18"/>
      <c r="HOX930" s="18"/>
      <c r="HOY930" s="18"/>
      <c r="HOZ930" s="18"/>
      <c r="HPA930" s="18"/>
      <c r="HPB930" s="18"/>
      <c r="HPC930" s="18"/>
      <c r="HPD930" s="18"/>
      <c r="HPE930" s="18"/>
      <c r="HPF930" s="18"/>
      <c r="HPG930" s="18"/>
      <c r="HPH930" s="18"/>
      <c r="HPI930" s="18"/>
      <c r="HPJ930" s="18"/>
      <c r="HPK930" s="18"/>
      <c r="HPL930" s="18"/>
      <c r="HPM930" s="18"/>
      <c r="HPN930" s="18"/>
      <c r="HPO930" s="18"/>
      <c r="HPP930" s="18"/>
      <c r="HPQ930" s="18"/>
      <c r="HPR930" s="18"/>
      <c r="HPS930" s="18"/>
      <c r="HPT930" s="18"/>
      <c r="HPU930" s="18"/>
      <c r="HPV930" s="18"/>
      <c r="HPW930" s="18"/>
      <c r="HPX930" s="18"/>
      <c r="HPY930" s="18"/>
      <c r="HPZ930" s="18"/>
      <c r="HQA930" s="18"/>
      <c r="HQB930" s="18"/>
      <c r="HQC930" s="18"/>
      <c r="HQD930" s="18"/>
      <c r="HQE930" s="18"/>
      <c r="HQF930" s="18"/>
      <c r="HQG930" s="18"/>
      <c r="HQH930" s="18"/>
      <c r="HQI930" s="18"/>
      <c r="HQJ930" s="18"/>
      <c r="HQK930" s="18"/>
      <c r="HQL930" s="18"/>
      <c r="HQM930" s="18"/>
      <c r="HQN930" s="18"/>
      <c r="HQO930" s="18"/>
      <c r="HQP930" s="18"/>
      <c r="HQQ930" s="18"/>
      <c r="HQR930" s="18"/>
      <c r="HQS930" s="18"/>
      <c r="HQT930" s="18"/>
      <c r="HQU930" s="18"/>
      <c r="HQV930" s="18"/>
      <c r="HQW930" s="18"/>
      <c r="HQX930" s="18"/>
      <c r="HQY930" s="18"/>
      <c r="HQZ930" s="18"/>
      <c r="HRA930" s="18"/>
      <c r="HRB930" s="18"/>
      <c r="HRC930" s="18"/>
      <c r="HRD930" s="18"/>
      <c r="HRE930" s="18"/>
      <c r="HRF930" s="18"/>
      <c r="HRG930" s="18"/>
      <c r="HRH930" s="18"/>
      <c r="HRI930" s="18"/>
      <c r="HRJ930" s="18"/>
      <c r="HRK930" s="18"/>
      <c r="HRL930" s="18"/>
      <c r="HRM930" s="18"/>
      <c r="HRN930" s="18"/>
      <c r="HRO930" s="18"/>
      <c r="HRP930" s="18"/>
      <c r="HRQ930" s="18"/>
      <c r="HRR930" s="18"/>
      <c r="HRS930" s="18"/>
      <c r="HRT930" s="18"/>
      <c r="HRU930" s="18"/>
      <c r="HRV930" s="18"/>
      <c r="HRW930" s="18"/>
      <c r="HRX930" s="18"/>
      <c r="HRY930" s="18"/>
      <c r="HRZ930" s="18"/>
      <c r="HSA930" s="18"/>
      <c r="HSB930" s="18"/>
      <c r="HSC930" s="18"/>
      <c r="HSD930" s="18"/>
      <c r="HSE930" s="18"/>
      <c r="HSF930" s="18"/>
      <c r="HSG930" s="18"/>
      <c r="HSH930" s="18"/>
      <c r="HSI930" s="18"/>
      <c r="HSJ930" s="18"/>
      <c r="HSK930" s="18"/>
      <c r="HSL930" s="18"/>
      <c r="HSM930" s="18"/>
      <c r="HSN930" s="18"/>
      <c r="HSO930" s="18"/>
      <c r="HSP930" s="18"/>
      <c r="HSQ930" s="18"/>
      <c r="HSR930" s="18"/>
      <c r="HSS930" s="18"/>
      <c r="HST930" s="18"/>
      <c r="HSU930" s="18"/>
      <c r="HSV930" s="18"/>
      <c r="HSW930" s="18"/>
      <c r="HSX930" s="18"/>
      <c r="HSY930" s="18"/>
      <c r="HSZ930" s="18"/>
      <c r="HTA930" s="18"/>
      <c r="HTB930" s="18"/>
      <c r="HTC930" s="18"/>
      <c r="HTD930" s="18"/>
      <c r="HTE930" s="18"/>
      <c r="HTF930" s="18"/>
      <c r="HTG930" s="18"/>
      <c r="HTH930" s="18"/>
      <c r="HTI930" s="18"/>
      <c r="HTJ930" s="18"/>
      <c r="HTK930" s="18"/>
      <c r="HTL930" s="18"/>
      <c r="HTM930" s="18"/>
      <c r="HTN930" s="18"/>
      <c r="HTO930" s="18"/>
      <c r="HTP930" s="18"/>
      <c r="HTQ930" s="18"/>
      <c r="HTR930" s="18"/>
      <c r="HTS930" s="18"/>
      <c r="HTT930" s="18"/>
      <c r="HTU930" s="18"/>
      <c r="HTV930" s="18"/>
      <c r="HTW930" s="18"/>
      <c r="HTX930" s="18"/>
      <c r="HTY930" s="18"/>
      <c r="HTZ930" s="18"/>
      <c r="HUA930" s="18"/>
      <c r="HUB930" s="18"/>
      <c r="HUC930" s="18"/>
      <c r="HUD930" s="18"/>
      <c r="HUE930" s="18"/>
      <c r="HUF930" s="18"/>
      <c r="HUG930" s="18"/>
      <c r="HUH930" s="18"/>
      <c r="HUI930" s="18"/>
      <c r="HUJ930" s="18"/>
      <c r="HUK930" s="18"/>
      <c r="HUL930" s="18"/>
      <c r="HUM930" s="18"/>
      <c r="HUN930" s="18"/>
      <c r="HUO930" s="18"/>
      <c r="HUP930" s="18"/>
      <c r="HUQ930" s="18"/>
      <c r="HUR930" s="18"/>
      <c r="HUS930" s="18"/>
      <c r="HUT930" s="18"/>
      <c r="HUU930" s="18"/>
      <c r="HUV930" s="18"/>
      <c r="HUW930" s="18"/>
      <c r="HUX930" s="18"/>
      <c r="HUY930" s="18"/>
      <c r="HUZ930" s="18"/>
      <c r="HVA930" s="18"/>
      <c r="HVB930" s="18"/>
      <c r="HVC930" s="18"/>
      <c r="HVD930" s="18"/>
      <c r="HVE930" s="18"/>
      <c r="HVF930" s="18"/>
      <c r="HVG930" s="18"/>
      <c r="HVH930" s="18"/>
      <c r="HVI930" s="18"/>
      <c r="HVJ930" s="18"/>
      <c r="HVK930" s="18"/>
      <c r="HVL930" s="18"/>
      <c r="HVM930" s="18"/>
      <c r="HVN930" s="18"/>
      <c r="HVO930" s="18"/>
      <c r="HVP930" s="18"/>
      <c r="HVQ930" s="18"/>
      <c r="HVR930" s="18"/>
      <c r="HVS930" s="18"/>
      <c r="HVT930" s="18"/>
      <c r="HVU930" s="18"/>
      <c r="HVV930" s="18"/>
      <c r="HVW930" s="18"/>
      <c r="HVX930" s="18"/>
      <c r="HVY930" s="18"/>
      <c r="HVZ930" s="18"/>
      <c r="HWA930" s="18"/>
      <c r="HWB930" s="18"/>
      <c r="HWC930" s="18"/>
      <c r="HWD930" s="18"/>
      <c r="HWE930" s="18"/>
      <c r="HWF930" s="18"/>
      <c r="HWG930" s="18"/>
      <c r="HWH930" s="18"/>
      <c r="HWI930" s="18"/>
      <c r="HWJ930" s="18"/>
      <c r="HWK930" s="18"/>
      <c r="HWL930" s="18"/>
      <c r="HWM930" s="18"/>
      <c r="HWN930" s="18"/>
      <c r="HWO930" s="18"/>
      <c r="HWP930" s="18"/>
      <c r="HWQ930" s="18"/>
      <c r="HWR930" s="18"/>
      <c r="HWS930" s="18"/>
      <c r="HWT930" s="18"/>
      <c r="HWU930" s="18"/>
      <c r="HWV930" s="18"/>
      <c r="HWW930" s="18"/>
      <c r="HWX930" s="18"/>
      <c r="HWY930" s="18"/>
      <c r="HWZ930" s="18"/>
      <c r="HXA930" s="18"/>
      <c r="HXB930" s="18"/>
      <c r="HXC930" s="18"/>
      <c r="HXD930" s="18"/>
      <c r="HXE930" s="18"/>
      <c r="HXF930" s="18"/>
      <c r="HXG930" s="18"/>
      <c r="HXH930" s="18"/>
      <c r="HXI930" s="18"/>
      <c r="HXJ930" s="18"/>
      <c r="HXK930" s="18"/>
      <c r="HXL930" s="18"/>
      <c r="HXM930" s="18"/>
      <c r="HXN930" s="18"/>
      <c r="HXO930" s="18"/>
      <c r="HXP930" s="18"/>
      <c r="HXQ930" s="18"/>
      <c r="HXR930" s="18"/>
      <c r="HXS930" s="18"/>
      <c r="HXT930" s="18"/>
      <c r="HXU930" s="18"/>
      <c r="HXV930" s="18"/>
      <c r="HXW930" s="18"/>
      <c r="HXX930" s="18"/>
      <c r="HXY930" s="18"/>
      <c r="HXZ930" s="18"/>
      <c r="HYA930" s="18"/>
      <c r="HYB930" s="18"/>
      <c r="HYC930" s="18"/>
      <c r="HYD930" s="18"/>
      <c r="HYE930" s="18"/>
      <c r="HYF930" s="18"/>
      <c r="HYG930" s="18"/>
      <c r="HYH930" s="18"/>
      <c r="HYI930" s="18"/>
      <c r="HYJ930" s="18"/>
      <c r="HYK930" s="18"/>
      <c r="HYL930" s="18"/>
      <c r="HYM930" s="18"/>
      <c r="HYN930" s="18"/>
      <c r="HYO930" s="18"/>
      <c r="HYP930" s="18"/>
      <c r="HYQ930" s="18"/>
      <c r="HYR930" s="18"/>
      <c r="HYS930" s="18"/>
      <c r="HYT930" s="18"/>
      <c r="HYU930" s="18"/>
      <c r="HYV930" s="18"/>
      <c r="HYW930" s="18"/>
      <c r="HYX930" s="18"/>
      <c r="HYY930" s="18"/>
      <c r="HYZ930" s="18"/>
      <c r="HZA930" s="18"/>
      <c r="HZB930" s="18"/>
      <c r="HZC930" s="18"/>
      <c r="HZD930" s="18"/>
      <c r="HZE930" s="18"/>
      <c r="HZF930" s="18"/>
      <c r="HZG930" s="18"/>
      <c r="HZH930" s="18"/>
      <c r="HZI930" s="18"/>
      <c r="HZJ930" s="18"/>
      <c r="HZK930" s="18"/>
      <c r="HZL930" s="18"/>
      <c r="HZM930" s="18"/>
      <c r="HZN930" s="18"/>
      <c r="HZO930" s="18"/>
      <c r="HZP930" s="18"/>
      <c r="HZQ930" s="18"/>
      <c r="HZR930" s="18"/>
      <c r="HZS930" s="18"/>
      <c r="HZT930" s="18"/>
      <c r="HZU930" s="18"/>
      <c r="HZV930" s="18"/>
      <c r="HZW930" s="18"/>
      <c r="HZX930" s="18"/>
      <c r="HZY930" s="18"/>
      <c r="HZZ930" s="18"/>
      <c r="IAA930" s="18"/>
      <c r="IAB930" s="18"/>
      <c r="IAC930" s="18"/>
      <c r="IAD930" s="18"/>
      <c r="IAE930" s="18"/>
      <c r="IAF930" s="18"/>
      <c r="IAG930" s="18"/>
      <c r="IAH930" s="18"/>
      <c r="IAI930" s="18"/>
      <c r="IAJ930" s="18"/>
      <c r="IAK930" s="18"/>
      <c r="IAL930" s="18"/>
      <c r="IAM930" s="18"/>
      <c r="IAN930" s="18"/>
      <c r="IAO930" s="18"/>
      <c r="IAP930" s="18"/>
      <c r="IAQ930" s="18"/>
      <c r="IAR930" s="18"/>
      <c r="IAS930" s="18"/>
      <c r="IAT930" s="18"/>
      <c r="IAU930" s="18"/>
      <c r="IAV930" s="18"/>
      <c r="IAW930" s="18"/>
      <c r="IAX930" s="18"/>
      <c r="IAY930" s="18"/>
      <c r="IAZ930" s="18"/>
      <c r="IBA930" s="18"/>
      <c r="IBB930" s="18"/>
      <c r="IBC930" s="18"/>
      <c r="IBD930" s="18"/>
      <c r="IBE930" s="18"/>
      <c r="IBF930" s="18"/>
      <c r="IBG930" s="18"/>
      <c r="IBH930" s="18"/>
      <c r="IBI930" s="18"/>
      <c r="IBJ930" s="18"/>
      <c r="IBK930" s="18"/>
      <c r="IBL930" s="18"/>
      <c r="IBM930" s="18"/>
      <c r="IBN930" s="18"/>
      <c r="IBO930" s="18"/>
      <c r="IBP930" s="18"/>
      <c r="IBQ930" s="18"/>
      <c r="IBR930" s="18"/>
      <c r="IBS930" s="18"/>
      <c r="IBT930" s="18"/>
      <c r="IBU930" s="18"/>
      <c r="IBV930" s="18"/>
      <c r="IBW930" s="18"/>
      <c r="IBX930" s="18"/>
      <c r="IBY930" s="18"/>
      <c r="IBZ930" s="18"/>
      <c r="ICA930" s="18"/>
      <c r="ICB930" s="18"/>
      <c r="ICC930" s="18"/>
      <c r="ICD930" s="18"/>
      <c r="ICE930" s="18"/>
      <c r="ICF930" s="18"/>
      <c r="ICG930" s="18"/>
      <c r="ICH930" s="18"/>
      <c r="ICI930" s="18"/>
      <c r="ICJ930" s="18"/>
      <c r="ICK930" s="18"/>
      <c r="ICL930" s="18"/>
      <c r="ICM930" s="18"/>
      <c r="ICN930" s="18"/>
      <c r="ICO930" s="18"/>
      <c r="ICP930" s="18"/>
      <c r="ICQ930" s="18"/>
      <c r="ICR930" s="18"/>
      <c r="ICS930" s="18"/>
      <c r="ICT930" s="18"/>
      <c r="ICU930" s="18"/>
      <c r="ICV930" s="18"/>
      <c r="ICW930" s="18"/>
      <c r="ICX930" s="18"/>
      <c r="ICY930" s="18"/>
      <c r="ICZ930" s="18"/>
      <c r="IDA930" s="18"/>
      <c r="IDB930" s="18"/>
      <c r="IDC930" s="18"/>
      <c r="IDD930" s="18"/>
      <c r="IDE930" s="18"/>
      <c r="IDF930" s="18"/>
      <c r="IDG930" s="18"/>
      <c r="IDH930" s="18"/>
      <c r="IDI930" s="18"/>
      <c r="IDJ930" s="18"/>
      <c r="IDK930" s="18"/>
      <c r="IDL930" s="18"/>
      <c r="IDM930" s="18"/>
      <c r="IDN930" s="18"/>
      <c r="IDO930" s="18"/>
      <c r="IDP930" s="18"/>
      <c r="IDQ930" s="18"/>
      <c r="IDR930" s="18"/>
      <c r="IDS930" s="18"/>
      <c r="IDT930" s="18"/>
      <c r="IDU930" s="18"/>
      <c r="IDV930" s="18"/>
      <c r="IDW930" s="18"/>
      <c r="IDX930" s="18"/>
      <c r="IDY930" s="18"/>
      <c r="IDZ930" s="18"/>
      <c r="IEA930" s="18"/>
      <c r="IEB930" s="18"/>
      <c r="IEC930" s="18"/>
      <c r="IED930" s="18"/>
      <c r="IEE930" s="18"/>
      <c r="IEF930" s="18"/>
      <c r="IEG930" s="18"/>
      <c r="IEH930" s="18"/>
      <c r="IEI930" s="18"/>
      <c r="IEJ930" s="18"/>
      <c r="IEK930" s="18"/>
      <c r="IEL930" s="18"/>
      <c r="IEM930" s="18"/>
      <c r="IEN930" s="18"/>
      <c r="IEO930" s="18"/>
      <c r="IEP930" s="18"/>
      <c r="IEQ930" s="18"/>
      <c r="IER930" s="18"/>
      <c r="IES930" s="18"/>
      <c r="IET930" s="18"/>
      <c r="IEU930" s="18"/>
      <c r="IEV930" s="18"/>
      <c r="IEW930" s="18"/>
      <c r="IEX930" s="18"/>
      <c r="IEY930" s="18"/>
      <c r="IEZ930" s="18"/>
      <c r="IFA930" s="18"/>
      <c r="IFB930" s="18"/>
      <c r="IFC930" s="18"/>
      <c r="IFD930" s="18"/>
      <c r="IFE930" s="18"/>
      <c r="IFF930" s="18"/>
      <c r="IFG930" s="18"/>
      <c r="IFH930" s="18"/>
      <c r="IFI930" s="18"/>
      <c r="IFJ930" s="18"/>
      <c r="IFK930" s="18"/>
      <c r="IFL930" s="18"/>
      <c r="IFM930" s="18"/>
      <c r="IFN930" s="18"/>
      <c r="IFO930" s="18"/>
      <c r="IFP930" s="18"/>
      <c r="IFQ930" s="18"/>
      <c r="IFR930" s="18"/>
      <c r="IFS930" s="18"/>
      <c r="IFT930" s="18"/>
      <c r="IFU930" s="18"/>
      <c r="IFV930" s="18"/>
      <c r="IFW930" s="18"/>
      <c r="IFX930" s="18"/>
      <c r="IFY930" s="18"/>
      <c r="IFZ930" s="18"/>
      <c r="IGA930" s="18"/>
      <c r="IGB930" s="18"/>
      <c r="IGC930" s="18"/>
      <c r="IGD930" s="18"/>
      <c r="IGE930" s="18"/>
      <c r="IGF930" s="18"/>
      <c r="IGG930" s="18"/>
      <c r="IGH930" s="18"/>
      <c r="IGI930" s="18"/>
      <c r="IGJ930" s="18"/>
      <c r="IGK930" s="18"/>
      <c r="IGL930" s="18"/>
      <c r="IGM930" s="18"/>
      <c r="IGN930" s="18"/>
      <c r="IGO930" s="18"/>
      <c r="IGP930" s="18"/>
      <c r="IGQ930" s="18"/>
      <c r="IGR930" s="18"/>
      <c r="IGS930" s="18"/>
      <c r="IGT930" s="18"/>
      <c r="IGU930" s="18"/>
      <c r="IGV930" s="18"/>
      <c r="IGW930" s="18"/>
      <c r="IGX930" s="18"/>
      <c r="IGY930" s="18"/>
      <c r="IGZ930" s="18"/>
      <c r="IHA930" s="18"/>
      <c r="IHB930" s="18"/>
      <c r="IHC930" s="18"/>
      <c r="IHD930" s="18"/>
      <c r="IHE930" s="18"/>
      <c r="IHF930" s="18"/>
      <c r="IHG930" s="18"/>
      <c r="IHH930" s="18"/>
      <c r="IHI930" s="18"/>
      <c r="IHJ930" s="18"/>
      <c r="IHK930" s="18"/>
      <c r="IHL930" s="18"/>
      <c r="IHM930" s="18"/>
      <c r="IHN930" s="18"/>
      <c r="IHO930" s="18"/>
      <c r="IHP930" s="18"/>
      <c r="IHQ930" s="18"/>
      <c r="IHR930" s="18"/>
      <c r="IHS930" s="18"/>
      <c r="IHT930" s="18"/>
      <c r="IHU930" s="18"/>
      <c r="IHV930" s="18"/>
      <c r="IHW930" s="18"/>
      <c r="IHX930" s="18"/>
      <c r="IHY930" s="18"/>
      <c r="IHZ930" s="18"/>
      <c r="IIA930" s="18"/>
      <c r="IIB930" s="18"/>
      <c r="IIC930" s="18"/>
      <c r="IID930" s="18"/>
      <c r="IIE930" s="18"/>
      <c r="IIF930" s="18"/>
      <c r="IIG930" s="18"/>
      <c r="IIH930" s="18"/>
      <c r="III930" s="18"/>
      <c r="IIJ930" s="18"/>
      <c r="IIK930" s="18"/>
      <c r="IIL930" s="18"/>
      <c r="IIM930" s="18"/>
      <c r="IIN930" s="18"/>
      <c r="IIO930" s="18"/>
      <c r="IIP930" s="18"/>
      <c r="IIQ930" s="18"/>
      <c r="IIR930" s="18"/>
      <c r="IIS930" s="18"/>
      <c r="IIT930" s="18"/>
      <c r="IIU930" s="18"/>
      <c r="IIV930" s="18"/>
      <c r="IIW930" s="18"/>
      <c r="IIX930" s="18"/>
      <c r="IIY930" s="18"/>
      <c r="IIZ930" s="18"/>
      <c r="IJA930" s="18"/>
      <c r="IJB930" s="18"/>
      <c r="IJC930" s="18"/>
      <c r="IJD930" s="18"/>
      <c r="IJE930" s="18"/>
      <c r="IJF930" s="18"/>
      <c r="IJG930" s="18"/>
      <c r="IJH930" s="18"/>
      <c r="IJI930" s="18"/>
      <c r="IJJ930" s="18"/>
      <c r="IJK930" s="18"/>
      <c r="IJL930" s="18"/>
      <c r="IJM930" s="18"/>
      <c r="IJN930" s="18"/>
      <c r="IJO930" s="18"/>
      <c r="IJP930" s="18"/>
      <c r="IJQ930" s="18"/>
      <c r="IJR930" s="18"/>
      <c r="IJS930" s="18"/>
      <c r="IJT930" s="18"/>
      <c r="IJU930" s="18"/>
      <c r="IJV930" s="18"/>
      <c r="IJW930" s="18"/>
      <c r="IJX930" s="18"/>
      <c r="IJY930" s="18"/>
      <c r="IJZ930" s="18"/>
      <c r="IKA930" s="18"/>
      <c r="IKB930" s="18"/>
      <c r="IKC930" s="18"/>
      <c r="IKD930" s="18"/>
      <c r="IKE930" s="18"/>
      <c r="IKF930" s="18"/>
      <c r="IKG930" s="18"/>
      <c r="IKH930" s="18"/>
      <c r="IKI930" s="18"/>
      <c r="IKJ930" s="18"/>
      <c r="IKK930" s="18"/>
      <c r="IKL930" s="18"/>
      <c r="IKM930" s="18"/>
      <c r="IKN930" s="18"/>
      <c r="IKO930" s="18"/>
      <c r="IKP930" s="18"/>
      <c r="IKQ930" s="18"/>
      <c r="IKR930" s="18"/>
      <c r="IKS930" s="18"/>
      <c r="IKT930" s="18"/>
      <c r="IKU930" s="18"/>
      <c r="IKV930" s="18"/>
      <c r="IKW930" s="18"/>
      <c r="IKX930" s="18"/>
      <c r="IKY930" s="18"/>
      <c r="IKZ930" s="18"/>
      <c r="ILA930" s="18"/>
      <c r="ILB930" s="18"/>
      <c r="ILC930" s="18"/>
      <c r="ILD930" s="18"/>
      <c r="ILE930" s="18"/>
      <c r="ILF930" s="18"/>
      <c r="ILG930" s="18"/>
      <c r="ILH930" s="18"/>
      <c r="ILI930" s="18"/>
      <c r="ILJ930" s="18"/>
      <c r="ILK930" s="18"/>
      <c r="ILL930" s="18"/>
      <c r="ILM930" s="18"/>
      <c r="ILN930" s="18"/>
      <c r="ILO930" s="18"/>
      <c r="ILP930" s="18"/>
      <c r="ILQ930" s="18"/>
      <c r="ILR930" s="18"/>
      <c r="ILS930" s="18"/>
      <c r="ILT930" s="18"/>
      <c r="ILU930" s="18"/>
      <c r="ILV930" s="18"/>
      <c r="ILW930" s="18"/>
      <c r="ILX930" s="18"/>
      <c r="ILY930" s="18"/>
      <c r="ILZ930" s="18"/>
      <c r="IMA930" s="18"/>
      <c r="IMB930" s="18"/>
      <c r="IMC930" s="18"/>
      <c r="IMD930" s="18"/>
      <c r="IME930" s="18"/>
      <c r="IMF930" s="18"/>
      <c r="IMG930" s="18"/>
      <c r="IMH930" s="18"/>
      <c r="IMI930" s="18"/>
      <c r="IMJ930" s="18"/>
      <c r="IMK930" s="18"/>
      <c r="IML930" s="18"/>
      <c r="IMM930" s="18"/>
      <c r="IMN930" s="18"/>
      <c r="IMO930" s="18"/>
      <c r="IMP930" s="18"/>
      <c r="IMQ930" s="18"/>
      <c r="IMR930" s="18"/>
      <c r="IMS930" s="18"/>
      <c r="IMT930" s="18"/>
      <c r="IMU930" s="18"/>
      <c r="IMV930" s="18"/>
      <c r="IMW930" s="18"/>
      <c r="IMX930" s="18"/>
      <c r="IMY930" s="18"/>
      <c r="IMZ930" s="18"/>
      <c r="INA930" s="18"/>
      <c r="INB930" s="18"/>
      <c r="INC930" s="18"/>
      <c r="IND930" s="18"/>
      <c r="INE930" s="18"/>
      <c r="INF930" s="18"/>
      <c r="ING930" s="18"/>
      <c r="INH930" s="18"/>
      <c r="INI930" s="18"/>
      <c r="INJ930" s="18"/>
      <c r="INK930" s="18"/>
      <c r="INL930" s="18"/>
      <c r="INM930" s="18"/>
      <c r="INN930" s="18"/>
      <c r="INO930" s="18"/>
      <c r="INP930" s="18"/>
      <c r="INQ930" s="18"/>
      <c r="INR930" s="18"/>
      <c r="INS930" s="18"/>
      <c r="INT930" s="18"/>
      <c r="INU930" s="18"/>
      <c r="INV930" s="18"/>
      <c r="INW930" s="18"/>
      <c r="INX930" s="18"/>
      <c r="INY930" s="18"/>
      <c r="INZ930" s="18"/>
      <c r="IOA930" s="18"/>
      <c r="IOB930" s="18"/>
      <c r="IOC930" s="18"/>
      <c r="IOD930" s="18"/>
      <c r="IOE930" s="18"/>
      <c r="IOF930" s="18"/>
      <c r="IOG930" s="18"/>
      <c r="IOH930" s="18"/>
      <c r="IOI930" s="18"/>
      <c r="IOJ930" s="18"/>
      <c r="IOK930" s="18"/>
      <c r="IOL930" s="18"/>
      <c r="IOM930" s="18"/>
      <c r="ION930" s="18"/>
      <c r="IOO930" s="18"/>
      <c r="IOP930" s="18"/>
      <c r="IOQ930" s="18"/>
      <c r="IOR930" s="18"/>
      <c r="IOS930" s="18"/>
      <c r="IOT930" s="18"/>
      <c r="IOU930" s="18"/>
      <c r="IOV930" s="18"/>
      <c r="IOW930" s="18"/>
      <c r="IOX930" s="18"/>
      <c r="IOY930" s="18"/>
      <c r="IOZ930" s="18"/>
      <c r="IPA930" s="18"/>
      <c r="IPB930" s="18"/>
      <c r="IPC930" s="18"/>
      <c r="IPD930" s="18"/>
      <c r="IPE930" s="18"/>
      <c r="IPF930" s="18"/>
      <c r="IPG930" s="18"/>
      <c r="IPH930" s="18"/>
      <c r="IPI930" s="18"/>
      <c r="IPJ930" s="18"/>
      <c r="IPK930" s="18"/>
      <c r="IPL930" s="18"/>
      <c r="IPM930" s="18"/>
      <c r="IPN930" s="18"/>
      <c r="IPO930" s="18"/>
      <c r="IPP930" s="18"/>
      <c r="IPQ930" s="18"/>
      <c r="IPR930" s="18"/>
      <c r="IPS930" s="18"/>
      <c r="IPT930" s="18"/>
      <c r="IPU930" s="18"/>
      <c r="IPV930" s="18"/>
      <c r="IPW930" s="18"/>
      <c r="IPX930" s="18"/>
      <c r="IPY930" s="18"/>
      <c r="IPZ930" s="18"/>
      <c r="IQA930" s="18"/>
      <c r="IQB930" s="18"/>
      <c r="IQC930" s="18"/>
      <c r="IQD930" s="18"/>
      <c r="IQE930" s="18"/>
      <c r="IQF930" s="18"/>
      <c r="IQG930" s="18"/>
      <c r="IQH930" s="18"/>
      <c r="IQI930" s="18"/>
      <c r="IQJ930" s="18"/>
      <c r="IQK930" s="18"/>
      <c r="IQL930" s="18"/>
      <c r="IQM930" s="18"/>
      <c r="IQN930" s="18"/>
      <c r="IQO930" s="18"/>
      <c r="IQP930" s="18"/>
      <c r="IQQ930" s="18"/>
      <c r="IQR930" s="18"/>
      <c r="IQS930" s="18"/>
      <c r="IQT930" s="18"/>
      <c r="IQU930" s="18"/>
      <c r="IQV930" s="18"/>
      <c r="IQW930" s="18"/>
      <c r="IQX930" s="18"/>
      <c r="IQY930" s="18"/>
      <c r="IQZ930" s="18"/>
      <c r="IRA930" s="18"/>
      <c r="IRB930" s="18"/>
      <c r="IRC930" s="18"/>
      <c r="IRD930" s="18"/>
      <c r="IRE930" s="18"/>
      <c r="IRF930" s="18"/>
      <c r="IRG930" s="18"/>
      <c r="IRH930" s="18"/>
      <c r="IRI930" s="18"/>
      <c r="IRJ930" s="18"/>
      <c r="IRK930" s="18"/>
      <c r="IRL930" s="18"/>
      <c r="IRM930" s="18"/>
      <c r="IRN930" s="18"/>
      <c r="IRO930" s="18"/>
      <c r="IRP930" s="18"/>
      <c r="IRQ930" s="18"/>
      <c r="IRR930" s="18"/>
      <c r="IRS930" s="18"/>
      <c r="IRT930" s="18"/>
      <c r="IRU930" s="18"/>
      <c r="IRV930" s="18"/>
      <c r="IRW930" s="18"/>
      <c r="IRX930" s="18"/>
      <c r="IRY930" s="18"/>
      <c r="IRZ930" s="18"/>
      <c r="ISA930" s="18"/>
      <c r="ISB930" s="18"/>
      <c r="ISC930" s="18"/>
      <c r="ISD930" s="18"/>
      <c r="ISE930" s="18"/>
      <c r="ISF930" s="18"/>
      <c r="ISG930" s="18"/>
      <c r="ISH930" s="18"/>
      <c r="ISI930" s="18"/>
      <c r="ISJ930" s="18"/>
      <c r="ISK930" s="18"/>
      <c r="ISL930" s="18"/>
      <c r="ISM930" s="18"/>
      <c r="ISN930" s="18"/>
      <c r="ISO930" s="18"/>
      <c r="ISP930" s="18"/>
      <c r="ISQ930" s="18"/>
      <c r="ISR930" s="18"/>
      <c r="ISS930" s="18"/>
      <c r="IST930" s="18"/>
      <c r="ISU930" s="18"/>
      <c r="ISV930" s="18"/>
      <c r="ISW930" s="18"/>
      <c r="ISX930" s="18"/>
      <c r="ISY930" s="18"/>
      <c r="ISZ930" s="18"/>
      <c r="ITA930" s="18"/>
      <c r="ITB930" s="18"/>
      <c r="ITC930" s="18"/>
      <c r="ITD930" s="18"/>
      <c r="ITE930" s="18"/>
      <c r="ITF930" s="18"/>
      <c r="ITG930" s="18"/>
      <c r="ITH930" s="18"/>
      <c r="ITI930" s="18"/>
      <c r="ITJ930" s="18"/>
      <c r="ITK930" s="18"/>
      <c r="ITL930" s="18"/>
      <c r="ITM930" s="18"/>
      <c r="ITN930" s="18"/>
      <c r="ITO930" s="18"/>
      <c r="ITP930" s="18"/>
      <c r="ITQ930" s="18"/>
      <c r="ITR930" s="18"/>
      <c r="ITS930" s="18"/>
      <c r="ITT930" s="18"/>
      <c r="ITU930" s="18"/>
      <c r="ITV930" s="18"/>
      <c r="ITW930" s="18"/>
      <c r="ITX930" s="18"/>
      <c r="ITY930" s="18"/>
      <c r="ITZ930" s="18"/>
      <c r="IUA930" s="18"/>
      <c r="IUB930" s="18"/>
      <c r="IUC930" s="18"/>
      <c r="IUD930" s="18"/>
      <c r="IUE930" s="18"/>
      <c r="IUF930" s="18"/>
      <c r="IUG930" s="18"/>
      <c r="IUH930" s="18"/>
      <c r="IUI930" s="18"/>
      <c r="IUJ930" s="18"/>
      <c r="IUK930" s="18"/>
      <c r="IUL930" s="18"/>
      <c r="IUM930" s="18"/>
      <c r="IUN930" s="18"/>
      <c r="IUO930" s="18"/>
      <c r="IUP930" s="18"/>
      <c r="IUQ930" s="18"/>
      <c r="IUR930" s="18"/>
      <c r="IUS930" s="18"/>
      <c r="IUT930" s="18"/>
      <c r="IUU930" s="18"/>
      <c r="IUV930" s="18"/>
      <c r="IUW930" s="18"/>
      <c r="IUX930" s="18"/>
      <c r="IUY930" s="18"/>
      <c r="IUZ930" s="18"/>
      <c r="IVA930" s="18"/>
      <c r="IVB930" s="18"/>
      <c r="IVC930" s="18"/>
      <c r="IVD930" s="18"/>
      <c r="IVE930" s="18"/>
      <c r="IVF930" s="18"/>
      <c r="IVG930" s="18"/>
      <c r="IVH930" s="18"/>
      <c r="IVI930" s="18"/>
      <c r="IVJ930" s="18"/>
      <c r="IVK930" s="18"/>
      <c r="IVL930" s="18"/>
      <c r="IVM930" s="18"/>
      <c r="IVN930" s="18"/>
      <c r="IVO930" s="18"/>
      <c r="IVP930" s="18"/>
      <c r="IVQ930" s="18"/>
      <c r="IVR930" s="18"/>
      <c r="IVS930" s="18"/>
      <c r="IVT930" s="18"/>
      <c r="IVU930" s="18"/>
      <c r="IVV930" s="18"/>
      <c r="IVW930" s="18"/>
      <c r="IVX930" s="18"/>
      <c r="IVY930" s="18"/>
      <c r="IVZ930" s="18"/>
      <c r="IWA930" s="18"/>
      <c r="IWB930" s="18"/>
      <c r="IWC930" s="18"/>
      <c r="IWD930" s="18"/>
      <c r="IWE930" s="18"/>
      <c r="IWF930" s="18"/>
      <c r="IWG930" s="18"/>
      <c r="IWH930" s="18"/>
      <c r="IWI930" s="18"/>
      <c r="IWJ930" s="18"/>
      <c r="IWK930" s="18"/>
      <c r="IWL930" s="18"/>
      <c r="IWM930" s="18"/>
      <c r="IWN930" s="18"/>
      <c r="IWO930" s="18"/>
      <c r="IWP930" s="18"/>
      <c r="IWQ930" s="18"/>
      <c r="IWR930" s="18"/>
      <c r="IWS930" s="18"/>
      <c r="IWT930" s="18"/>
      <c r="IWU930" s="18"/>
      <c r="IWV930" s="18"/>
      <c r="IWW930" s="18"/>
      <c r="IWX930" s="18"/>
      <c r="IWY930" s="18"/>
      <c r="IWZ930" s="18"/>
      <c r="IXA930" s="18"/>
      <c r="IXB930" s="18"/>
      <c r="IXC930" s="18"/>
      <c r="IXD930" s="18"/>
      <c r="IXE930" s="18"/>
      <c r="IXF930" s="18"/>
      <c r="IXG930" s="18"/>
      <c r="IXH930" s="18"/>
      <c r="IXI930" s="18"/>
      <c r="IXJ930" s="18"/>
      <c r="IXK930" s="18"/>
      <c r="IXL930" s="18"/>
      <c r="IXM930" s="18"/>
      <c r="IXN930" s="18"/>
      <c r="IXO930" s="18"/>
      <c r="IXP930" s="18"/>
      <c r="IXQ930" s="18"/>
      <c r="IXR930" s="18"/>
      <c r="IXS930" s="18"/>
      <c r="IXT930" s="18"/>
      <c r="IXU930" s="18"/>
      <c r="IXV930" s="18"/>
      <c r="IXW930" s="18"/>
      <c r="IXX930" s="18"/>
      <c r="IXY930" s="18"/>
      <c r="IXZ930" s="18"/>
      <c r="IYA930" s="18"/>
      <c r="IYB930" s="18"/>
      <c r="IYC930" s="18"/>
      <c r="IYD930" s="18"/>
      <c r="IYE930" s="18"/>
      <c r="IYF930" s="18"/>
      <c r="IYG930" s="18"/>
      <c r="IYH930" s="18"/>
      <c r="IYI930" s="18"/>
      <c r="IYJ930" s="18"/>
      <c r="IYK930" s="18"/>
      <c r="IYL930" s="18"/>
      <c r="IYM930" s="18"/>
      <c r="IYN930" s="18"/>
      <c r="IYO930" s="18"/>
      <c r="IYP930" s="18"/>
      <c r="IYQ930" s="18"/>
      <c r="IYR930" s="18"/>
      <c r="IYS930" s="18"/>
      <c r="IYT930" s="18"/>
      <c r="IYU930" s="18"/>
      <c r="IYV930" s="18"/>
      <c r="IYW930" s="18"/>
      <c r="IYX930" s="18"/>
      <c r="IYY930" s="18"/>
      <c r="IYZ930" s="18"/>
      <c r="IZA930" s="18"/>
      <c r="IZB930" s="18"/>
      <c r="IZC930" s="18"/>
      <c r="IZD930" s="18"/>
      <c r="IZE930" s="18"/>
      <c r="IZF930" s="18"/>
      <c r="IZG930" s="18"/>
      <c r="IZH930" s="18"/>
      <c r="IZI930" s="18"/>
      <c r="IZJ930" s="18"/>
      <c r="IZK930" s="18"/>
      <c r="IZL930" s="18"/>
      <c r="IZM930" s="18"/>
      <c r="IZN930" s="18"/>
      <c r="IZO930" s="18"/>
      <c r="IZP930" s="18"/>
      <c r="IZQ930" s="18"/>
      <c r="IZR930" s="18"/>
      <c r="IZS930" s="18"/>
      <c r="IZT930" s="18"/>
      <c r="IZU930" s="18"/>
      <c r="IZV930" s="18"/>
      <c r="IZW930" s="18"/>
      <c r="IZX930" s="18"/>
      <c r="IZY930" s="18"/>
      <c r="IZZ930" s="18"/>
      <c r="JAA930" s="18"/>
      <c r="JAB930" s="18"/>
      <c r="JAC930" s="18"/>
      <c r="JAD930" s="18"/>
      <c r="JAE930" s="18"/>
      <c r="JAF930" s="18"/>
      <c r="JAG930" s="18"/>
      <c r="JAH930" s="18"/>
      <c r="JAI930" s="18"/>
      <c r="JAJ930" s="18"/>
      <c r="JAK930" s="18"/>
      <c r="JAL930" s="18"/>
      <c r="JAM930" s="18"/>
      <c r="JAN930" s="18"/>
      <c r="JAO930" s="18"/>
      <c r="JAP930" s="18"/>
      <c r="JAQ930" s="18"/>
      <c r="JAR930" s="18"/>
      <c r="JAS930" s="18"/>
      <c r="JAT930" s="18"/>
      <c r="JAU930" s="18"/>
      <c r="JAV930" s="18"/>
      <c r="JAW930" s="18"/>
      <c r="JAX930" s="18"/>
      <c r="JAY930" s="18"/>
      <c r="JAZ930" s="18"/>
      <c r="JBA930" s="18"/>
      <c r="JBB930" s="18"/>
      <c r="JBC930" s="18"/>
      <c r="JBD930" s="18"/>
      <c r="JBE930" s="18"/>
      <c r="JBF930" s="18"/>
      <c r="JBG930" s="18"/>
      <c r="JBH930" s="18"/>
      <c r="JBI930" s="18"/>
      <c r="JBJ930" s="18"/>
      <c r="JBK930" s="18"/>
      <c r="JBL930" s="18"/>
      <c r="JBM930" s="18"/>
      <c r="JBN930" s="18"/>
      <c r="JBO930" s="18"/>
      <c r="JBP930" s="18"/>
      <c r="JBQ930" s="18"/>
      <c r="JBR930" s="18"/>
      <c r="JBS930" s="18"/>
      <c r="JBT930" s="18"/>
      <c r="JBU930" s="18"/>
      <c r="JBV930" s="18"/>
      <c r="JBW930" s="18"/>
      <c r="JBX930" s="18"/>
      <c r="JBY930" s="18"/>
      <c r="JBZ930" s="18"/>
      <c r="JCA930" s="18"/>
      <c r="JCB930" s="18"/>
      <c r="JCC930" s="18"/>
      <c r="JCD930" s="18"/>
      <c r="JCE930" s="18"/>
      <c r="JCF930" s="18"/>
      <c r="JCG930" s="18"/>
      <c r="JCH930" s="18"/>
      <c r="JCI930" s="18"/>
      <c r="JCJ930" s="18"/>
      <c r="JCK930" s="18"/>
      <c r="JCL930" s="18"/>
      <c r="JCM930" s="18"/>
      <c r="JCN930" s="18"/>
      <c r="JCO930" s="18"/>
      <c r="JCP930" s="18"/>
      <c r="JCQ930" s="18"/>
      <c r="JCR930" s="18"/>
      <c r="JCS930" s="18"/>
      <c r="JCT930" s="18"/>
      <c r="JCU930" s="18"/>
      <c r="JCV930" s="18"/>
      <c r="JCW930" s="18"/>
      <c r="JCX930" s="18"/>
      <c r="JCY930" s="18"/>
      <c r="JCZ930" s="18"/>
      <c r="JDA930" s="18"/>
      <c r="JDB930" s="18"/>
      <c r="JDC930" s="18"/>
      <c r="JDD930" s="18"/>
      <c r="JDE930" s="18"/>
      <c r="JDF930" s="18"/>
      <c r="JDG930" s="18"/>
      <c r="JDH930" s="18"/>
      <c r="JDI930" s="18"/>
      <c r="JDJ930" s="18"/>
      <c r="JDK930" s="18"/>
      <c r="JDL930" s="18"/>
      <c r="JDM930" s="18"/>
      <c r="JDN930" s="18"/>
      <c r="JDO930" s="18"/>
      <c r="JDP930" s="18"/>
      <c r="JDQ930" s="18"/>
      <c r="JDR930" s="18"/>
      <c r="JDS930" s="18"/>
      <c r="JDT930" s="18"/>
      <c r="JDU930" s="18"/>
      <c r="JDV930" s="18"/>
      <c r="JDW930" s="18"/>
      <c r="JDX930" s="18"/>
      <c r="JDY930" s="18"/>
      <c r="JDZ930" s="18"/>
      <c r="JEA930" s="18"/>
      <c r="JEB930" s="18"/>
      <c r="JEC930" s="18"/>
      <c r="JED930" s="18"/>
      <c r="JEE930" s="18"/>
      <c r="JEF930" s="18"/>
      <c r="JEG930" s="18"/>
      <c r="JEH930" s="18"/>
      <c r="JEI930" s="18"/>
      <c r="JEJ930" s="18"/>
      <c r="JEK930" s="18"/>
      <c r="JEL930" s="18"/>
      <c r="JEM930" s="18"/>
      <c r="JEN930" s="18"/>
      <c r="JEO930" s="18"/>
      <c r="JEP930" s="18"/>
      <c r="JEQ930" s="18"/>
      <c r="JER930" s="18"/>
      <c r="JES930" s="18"/>
      <c r="JET930" s="18"/>
      <c r="JEU930" s="18"/>
      <c r="JEV930" s="18"/>
      <c r="JEW930" s="18"/>
      <c r="JEX930" s="18"/>
      <c r="JEY930" s="18"/>
      <c r="JEZ930" s="18"/>
      <c r="JFA930" s="18"/>
      <c r="JFB930" s="18"/>
      <c r="JFC930" s="18"/>
      <c r="JFD930" s="18"/>
      <c r="JFE930" s="18"/>
      <c r="JFF930" s="18"/>
      <c r="JFG930" s="18"/>
      <c r="JFH930" s="18"/>
      <c r="JFI930" s="18"/>
      <c r="JFJ930" s="18"/>
      <c r="JFK930" s="18"/>
      <c r="JFL930" s="18"/>
      <c r="JFM930" s="18"/>
      <c r="JFN930" s="18"/>
      <c r="JFO930" s="18"/>
      <c r="JFP930" s="18"/>
      <c r="JFQ930" s="18"/>
      <c r="JFR930" s="18"/>
      <c r="JFS930" s="18"/>
      <c r="JFT930" s="18"/>
      <c r="JFU930" s="18"/>
      <c r="JFV930" s="18"/>
      <c r="JFW930" s="18"/>
      <c r="JFX930" s="18"/>
      <c r="JFY930" s="18"/>
      <c r="JFZ930" s="18"/>
      <c r="JGA930" s="18"/>
      <c r="JGB930" s="18"/>
      <c r="JGC930" s="18"/>
      <c r="JGD930" s="18"/>
      <c r="JGE930" s="18"/>
      <c r="JGF930" s="18"/>
      <c r="JGG930" s="18"/>
      <c r="JGH930" s="18"/>
      <c r="JGI930" s="18"/>
      <c r="JGJ930" s="18"/>
      <c r="JGK930" s="18"/>
      <c r="JGL930" s="18"/>
      <c r="JGM930" s="18"/>
      <c r="JGN930" s="18"/>
      <c r="JGO930" s="18"/>
      <c r="JGP930" s="18"/>
      <c r="JGQ930" s="18"/>
      <c r="JGR930" s="18"/>
      <c r="JGS930" s="18"/>
      <c r="JGT930" s="18"/>
      <c r="JGU930" s="18"/>
      <c r="JGV930" s="18"/>
      <c r="JGW930" s="18"/>
      <c r="JGX930" s="18"/>
      <c r="JGY930" s="18"/>
      <c r="JGZ930" s="18"/>
      <c r="JHA930" s="18"/>
      <c r="JHB930" s="18"/>
      <c r="JHC930" s="18"/>
      <c r="JHD930" s="18"/>
      <c r="JHE930" s="18"/>
      <c r="JHF930" s="18"/>
      <c r="JHG930" s="18"/>
      <c r="JHH930" s="18"/>
      <c r="JHI930" s="18"/>
      <c r="JHJ930" s="18"/>
      <c r="JHK930" s="18"/>
      <c r="JHL930" s="18"/>
      <c r="JHM930" s="18"/>
      <c r="JHN930" s="18"/>
      <c r="JHO930" s="18"/>
      <c r="JHP930" s="18"/>
      <c r="JHQ930" s="18"/>
      <c r="JHR930" s="18"/>
      <c r="JHS930" s="18"/>
      <c r="JHT930" s="18"/>
      <c r="JHU930" s="18"/>
      <c r="JHV930" s="18"/>
      <c r="JHW930" s="18"/>
      <c r="JHX930" s="18"/>
      <c r="JHY930" s="18"/>
      <c r="JHZ930" s="18"/>
      <c r="JIA930" s="18"/>
      <c r="JIB930" s="18"/>
      <c r="JIC930" s="18"/>
      <c r="JID930" s="18"/>
      <c r="JIE930" s="18"/>
      <c r="JIF930" s="18"/>
      <c r="JIG930" s="18"/>
      <c r="JIH930" s="18"/>
      <c r="JII930" s="18"/>
      <c r="JIJ930" s="18"/>
      <c r="JIK930" s="18"/>
      <c r="JIL930" s="18"/>
      <c r="JIM930" s="18"/>
      <c r="JIN930" s="18"/>
      <c r="JIO930" s="18"/>
      <c r="JIP930" s="18"/>
      <c r="JIQ930" s="18"/>
      <c r="JIR930" s="18"/>
      <c r="JIS930" s="18"/>
      <c r="JIT930" s="18"/>
      <c r="JIU930" s="18"/>
      <c r="JIV930" s="18"/>
      <c r="JIW930" s="18"/>
      <c r="JIX930" s="18"/>
      <c r="JIY930" s="18"/>
      <c r="JIZ930" s="18"/>
      <c r="JJA930" s="18"/>
      <c r="JJB930" s="18"/>
      <c r="JJC930" s="18"/>
      <c r="JJD930" s="18"/>
      <c r="JJE930" s="18"/>
      <c r="JJF930" s="18"/>
      <c r="JJG930" s="18"/>
      <c r="JJH930" s="18"/>
      <c r="JJI930" s="18"/>
      <c r="JJJ930" s="18"/>
      <c r="JJK930" s="18"/>
      <c r="JJL930" s="18"/>
      <c r="JJM930" s="18"/>
      <c r="JJN930" s="18"/>
      <c r="JJO930" s="18"/>
      <c r="JJP930" s="18"/>
      <c r="JJQ930" s="18"/>
      <c r="JJR930" s="18"/>
      <c r="JJS930" s="18"/>
      <c r="JJT930" s="18"/>
      <c r="JJU930" s="18"/>
      <c r="JJV930" s="18"/>
      <c r="JJW930" s="18"/>
      <c r="JJX930" s="18"/>
      <c r="JJY930" s="18"/>
      <c r="JJZ930" s="18"/>
      <c r="JKA930" s="18"/>
      <c r="JKB930" s="18"/>
      <c r="JKC930" s="18"/>
      <c r="JKD930" s="18"/>
      <c r="JKE930" s="18"/>
      <c r="JKF930" s="18"/>
      <c r="JKG930" s="18"/>
      <c r="JKH930" s="18"/>
      <c r="JKI930" s="18"/>
      <c r="JKJ930" s="18"/>
      <c r="JKK930" s="18"/>
      <c r="JKL930" s="18"/>
      <c r="JKM930" s="18"/>
      <c r="JKN930" s="18"/>
      <c r="JKO930" s="18"/>
      <c r="JKP930" s="18"/>
      <c r="JKQ930" s="18"/>
      <c r="JKR930" s="18"/>
      <c r="JKS930" s="18"/>
      <c r="JKT930" s="18"/>
      <c r="JKU930" s="18"/>
      <c r="JKV930" s="18"/>
      <c r="JKW930" s="18"/>
      <c r="JKX930" s="18"/>
      <c r="JKY930" s="18"/>
      <c r="JKZ930" s="18"/>
      <c r="JLA930" s="18"/>
      <c r="JLB930" s="18"/>
      <c r="JLC930" s="18"/>
      <c r="JLD930" s="18"/>
      <c r="JLE930" s="18"/>
      <c r="JLF930" s="18"/>
      <c r="JLG930" s="18"/>
      <c r="JLH930" s="18"/>
      <c r="JLI930" s="18"/>
      <c r="JLJ930" s="18"/>
      <c r="JLK930" s="18"/>
      <c r="JLL930" s="18"/>
      <c r="JLM930" s="18"/>
      <c r="JLN930" s="18"/>
      <c r="JLO930" s="18"/>
      <c r="JLP930" s="18"/>
      <c r="JLQ930" s="18"/>
      <c r="JLR930" s="18"/>
      <c r="JLS930" s="18"/>
      <c r="JLT930" s="18"/>
      <c r="JLU930" s="18"/>
      <c r="JLV930" s="18"/>
      <c r="JLW930" s="18"/>
      <c r="JLX930" s="18"/>
      <c r="JLY930" s="18"/>
      <c r="JLZ930" s="18"/>
      <c r="JMA930" s="18"/>
      <c r="JMB930" s="18"/>
      <c r="JMC930" s="18"/>
      <c r="JMD930" s="18"/>
      <c r="JME930" s="18"/>
      <c r="JMF930" s="18"/>
      <c r="JMG930" s="18"/>
      <c r="JMH930" s="18"/>
      <c r="JMI930" s="18"/>
      <c r="JMJ930" s="18"/>
      <c r="JMK930" s="18"/>
      <c r="JML930" s="18"/>
      <c r="JMM930" s="18"/>
      <c r="JMN930" s="18"/>
      <c r="JMO930" s="18"/>
      <c r="JMP930" s="18"/>
      <c r="JMQ930" s="18"/>
      <c r="JMR930" s="18"/>
      <c r="JMS930" s="18"/>
      <c r="JMT930" s="18"/>
      <c r="JMU930" s="18"/>
      <c r="JMV930" s="18"/>
      <c r="JMW930" s="18"/>
      <c r="JMX930" s="18"/>
      <c r="JMY930" s="18"/>
      <c r="JMZ930" s="18"/>
      <c r="JNA930" s="18"/>
      <c r="JNB930" s="18"/>
      <c r="JNC930" s="18"/>
      <c r="JND930" s="18"/>
      <c r="JNE930" s="18"/>
      <c r="JNF930" s="18"/>
      <c r="JNG930" s="18"/>
      <c r="JNH930" s="18"/>
      <c r="JNI930" s="18"/>
      <c r="JNJ930" s="18"/>
      <c r="JNK930" s="18"/>
      <c r="JNL930" s="18"/>
      <c r="JNM930" s="18"/>
      <c r="JNN930" s="18"/>
      <c r="JNO930" s="18"/>
      <c r="JNP930" s="18"/>
      <c r="JNQ930" s="18"/>
      <c r="JNR930" s="18"/>
      <c r="JNS930" s="18"/>
      <c r="JNT930" s="18"/>
      <c r="JNU930" s="18"/>
      <c r="JNV930" s="18"/>
      <c r="JNW930" s="18"/>
      <c r="JNX930" s="18"/>
      <c r="JNY930" s="18"/>
      <c r="JNZ930" s="18"/>
      <c r="JOA930" s="18"/>
      <c r="JOB930" s="18"/>
      <c r="JOC930" s="18"/>
      <c r="JOD930" s="18"/>
      <c r="JOE930" s="18"/>
      <c r="JOF930" s="18"/>
      <c r="JOG930" s="18"/>
      <c r="JOH930" s="18"/>
      <c r="JOI930" s="18"/>
      <c r="JOJ930" s="18"/>
      <c r="JOK930" s="18"/>
      <c r="JOL930" s="18"/>
      <c r="JOM930" s="18"/>
      <c r="JON930" s="18"/>
      <c r="JOO930" s="18"/>
      <c r="JOP930" s="18"/>
      <c r="JOQ930" s="18"/>
      <c r="JOR930" s="18"/>
      <c r="JOS930" s="18"/>
      <c r="JOT930" s="18"/>
      <c r="JOU930" s="18"/>
      <c r="JOV930" s="18"/>
      <c r="JOW930" s="18"/>
      <c r="JOX930" s="18"/>
      <c r="JOY930" s="18"/>
      <c r="JOZ930" s="18"/>
      <c r="JPA930" s="18"/>
      <c r="JPB930" s="18"/>
      <c r="JPC930" s="18"/>
      <c r="JPD930" s="18"/>
      <c r="JPE930" s="18"/>
      <c r="JPF930" s="18"/>
      <c r="JPG930" s="18"/>
      <c r="JPH930" s="18"/>
      <c r="JPI930" s="18"/>
      <c r="JPJ930" s="18"/>
      <c r="JPK930" s="18"/>
      <c r="JPL930" s="18"/>
      <c r="JPM930" s="18"/>
      <c r="JPN930" s="18"/>
      <c r="JPO930" s="18"/>
      <c r="JPP930" s="18"/>
      <c r="JPQ930" s="18"/>
      <c r="JPR930" s="18"/>
      <c r="JPS930" s="18"/>
      <c r="JPT930" s="18"/>
      <c r="JPU930" s="18"/>
      <c r="JPV930" s="18"/>
      <c r="JPW930" s="18"/>
      <c r="JPX930" s="18"/>
      <c r="JPY930" s="18"/>
      <c r="JPZ930" s="18"/>
      <c r="JQA930" s="18"/>
      <c r="JQB930" s="18"/>
      <c r="JQC930" s="18"/>
      <c r="JQD930" s="18"/>
      <c r="JQE930" s="18"/>
      <c r="JQF930" s="18"/>
      <c r="JQG930" s="18"/>
      <c r="JQH930" s="18"/>
      <c r="JQI930" s="18"/>
      <c r="JQJ930" s="18"/>
      <c r="JQK930" s="18"/>
      <c r="JQL930" s="18"/>
      <c r="JQM930" s="18"/>
      <c r="JQN930" s="18"/>
      <c r="JQO930" s="18"/>
      <c r="JQP930" s="18"/>
      <c r="JQQ930" s="18"/>
      <c r="JQR930" s="18"/>
      <c r="JQS930" s="18"/>
      <c r="JQT930" s="18"/>
      <c r="JQU930" s="18"/>
      <c r="JQV930" s="18"/>
      <c r="JQW930" s="18"/>
      <c r="JQX930" s="18"/>
      <c r="JQY930" s="18"/>
      <c r="JQZ930" s="18"/>
      <c r="JRA930" s="18"/>
      <c r="JRB930" s="18"/>
      <c r="JRC930" s="18"/>
      <c r="JRD930" s="18"/>
      <c r="JRE930" s="18"/>
      <c r="JRF930" s="18"/>
      <c r="JRG930" s="18"/>
      <c r="JRH930" s="18"/>
      <c r="JRI930" s="18"/>
      <c r="JRJ930" s="18"/>
      <c r="JRK930" s="18"/>
      <c r="JRL930" s="18"/>
      <c r="JRM930" s="18"/>
      <c r="JRN930" s="18"/>
      <c r="JRO930" s="18"/>
      <c r="JRP930" s="18"/>
      <c r="JRQ930" s="18"/>
      <c r="JRR930" s="18"/>
      <c r="JRS930" s="18"/>
      <c r="JRT930" s="18"/>
      <c r="JRU930" s="18"/>
      <c r="JRV930" s="18"/>
      <c r="JRW930" s="18"/>
      <c r="JRX930" s="18"/>
      <c r="JRY930" s="18"/>
      <c r="JRZ930" s="18"/>
      <c r="JSA930" s="18"/>
      <c r="JSB930" s="18"/>
      <c r="JSC930" s="18"/>
      <c r="JSD930" s="18"/>
      <c r="JSE930" s="18"/>
      <c r="JSF930" s="18"/>
      <c r="JSG930" s="18"/>
      <c r="JSH930" s="18"/>
      <c r="JSI930" s="18"/>
      <c r="JSJ930" s="18"/>
      <c r="JSK930" s="18"/>
      <c r="JSL930" s="18"/>
      <c r="JSM930" s="18"/>
      <c r="JSN930" s="18"/>
      <c r="JSO930" s="18"/>
      <c r="JSP930" s="18"/>
      <c r="JSQ930" s="18"/>
      <c r="JSR930" s="18"/>
      <c r="JSS930" s="18"/>
      <c r="JST930" s="18"/>
      <c r="JSU930" s="18"/>
      <c r="JSV930" s="18"/>
      <c r="JSW930" s="18"/>
      <c r="JSX930" s="18"/>
      <c r="JSY930" s="18"/>
      <c r="JSZ930" s="18"/>
      <c r="JTA930" s="18"/>
      <c r="JTB930" s="18"/>
      <c r="JTC930" s="18"/>
      <c r="JTD930" s="18"/>
      <c r="JTE930" s="18"/>
      <c r="JTF930" s="18"/>
      <c r="JTG930" s="18"/>
      <c r="JTH930" s="18"/>
      <c r="JTI930" s="18"/>
      <c r="JTJ930" s="18"/>
      <c r="JTK930" s="18"/>
      <c r="JTL930" s="18"/>
      <c r="JTM930" s="18"/>
      <c r="JTN930" s="18"/>
      <c r="JTO930" s="18"/>
      <c r="JTP930" s="18"/>
      <c r="JTQ930" s="18"/>
      <c r="JTR930" s="18"/>
      <c r="JTS930" s="18"/>
      <c r="JTT930" s="18"/>
      <c r="JTU930" s="18"/>
      <c r="JTV930" s="18"/>
      <c r="JTW930" s="18"/>
      <c r="JTX930" s="18"/>
      <c r="JTY930" s="18"/>
      <c r="JTZ930" s="18"/>
      <c r="JUA930" s="18"/>
      <c r="JUB930" s="18"/>
      <c r="JUC930" s="18"/>
      <c r="JUD930" s="18"/>
      <c r="JUE930" s="18"/>
      <c r="JUF930" s="18"/>
      <c r="JUG930" s="18"/>
      <c r="JUH930" s="18"/>
      <c r="JUI930" s="18"/>
      <c r="JUJ930" s="18"/>
      <c r="JUK930" s="18"/>
      <c r="JUL930" s="18"/>
      <c r="JUM930" s="18"/>
      <c r="JUN930" s="18"/>
      <c r="JUO930" s="18"/>
      <c r="JUP930" s="18"/>
      <c r="JUQ930" s="18"/>
      <c r="JUR930" s="18"/>
      <c r="JUS930" s="18"/>
      <c r="JUT930" s="18"/>
      <c r="JUU930" s="18"/>
      <c r="JUV930" s="18"/>
      <c r="JUW930" s="18"/>
      <c r="JUX930" s="18"/>
      <c r="JUY930" s="18"/>
      <c r="JUZ930" s="18"/>
      <c r="JVA930" s="18"/>
      <c r="JVB930" s="18"/>
      <c r="JVC930" s="18"/>
      <c r="JVD930" s="18"/>
      <c r="JVE930" s="18"/>
      <c r="JVF930" s="18"/>
      <c r="JVG930" s="18"/>
      <c r="JVH930" s="18"/>
      <c r="JVI930" s="18"/>
      <c r="JVJ930" s="18"/>
      <c r="JVK930" s="18"/>
      <c r="JVL930" s="18"/>
      <c r="JVM930" s="18"/>
      <c r="JVN930" s="18"/>
      <c r="JVO930" s="18"/>
      <c r="JVP930" s="18"/>
      <c r="JVQ930" s="18"/>
      <c r="JVR930" s="18"/>
      <c r="JVS930" s="18"/>
      <c r="JVT930" s="18"/>
      <c r="JVU930" s="18"/>
      <c r="JVV930" s="18"/>
      <c r="JVW930" s="18"/>
      <c r="JVX930" s="18"/>
      <c r="JVY930" s="18"/>
      <c r="JVZ930" s="18"/>
      <c r="JWA930" s="18"/>
      <c r="JWB930" s="18"/>
      <c r="JWC930" s="18"/>
      <c r="JWD930" s="18"/>
      <c r="JWE930" s="18"/>
      <c r="JWF930" s="18"/>
      <c r="JWG930" s="18"/>
      <c r="JWH930" s="18"/>
      <c r="JWI930" s="18"/>
      <c r="JWJ930" s="18"/>
      <c r="JWK930" s="18"/>
      <c r="JWL930" s="18"/>
      <c r="JWM930" s="18"/>
      <c r="JWN930" s="18"/>
      <c r="JWO930" s="18"/>
      <c r="JWP930" s="18"/>
      <c r="JWQ930" s="18"/>
      <c r="JWR930" s="18"/>
      <c r="JWS930" s="18"/>
      <c r="JWT930" s="18"/>
      <c r="JWU930" s="18"/>
      <c r="JWV930" s="18"/>
      <c r="JWW930" s="18"/>
      <c r="JWX930" s="18"/>
      <c r="JWY930" s="18"/>
      <c r="JWZ930" s="18"/>
      <c r="JXA930" s="18"/>
      <c r="JXB930" s="18"/>
      <c r="JXC930" s="18"/>
      <c r="JXD930" s="18"/>
      <c r="JXE930" s="18"/>
      <c r="JXF930" s="18"/>
      <c r="JXG930" s="18"/>
      <c r="JXH930" s="18"/>
      <c r="JXI930" s="18"/>
      <c r="JXJ930" s="18"/>
      <c r="JXK930" s="18"/>
      <c r="JXL930" s="18"/>
      <c r="JXM930" s="18"/>
      <c r="JXN930" s="18"/>
      <c r="JXO930" s="18"/>
      <c r="JXP930" s="18"/>
      <c r="JXQ930" s="18"/>
      <c r="JXR930" s="18"/>
      <c r="JXS930" s="18"/>
      <c r="JXT930" s="18"/>
      <c r="JXU930" s="18"/>
      <c r="JXV930" s="18"/>
      <c r="JXW930" s="18"/>
      <c r="JXX930" s="18"/>
      <c r="JXY930" s="18"/>
      <c r="JXZ930" s="18"/>
      <c r="JYA930" s="18"/>
      <c r="JYB930" s="18"/>
      <c r="JYC930" s="18"/>
      <c r="JYD930" s="18"/>
      <c r="JYE930" s="18"/>
      <c r="JYF930" s="18"/>
      <c r="JYG930" s="18"/>
      <c r="JYH930" s="18"/>
      <c r="JYI930" s="18"/>
      <c r="JYJ930" s="18"/>
      <c r="JYK930" s="18"/>
      <c r="JYL930" s="18"/>
      <c r="JYM930" s="18"/>
      <c r="JYN930" s="18"/>
      <c r="JYO930" s="18"/>
      <c r="JYP930" s="18"/>
      <c r="JYQ930" s="18"/>
      <c r="JYR930" s="18"/>
      <c r="JYS930" s="18"/>
      <c r="JYT930" s="18"/>
      <c r="JYU930" s="18"/>
      <c r="JYV930" s="18"/>
      <c r="JYW930" s="18"/>
      <c r="JYX930" s="18"/>
      <c r="JYY930" s="18"/>
      <c r="JYZ930" s="18"/>
      <c r="JZA930" s="18"/>
      <c r="JZB930" s="18"/>
      <c r="JZC930" s="18"/>
      <c r="JZD930" s="18"/>
      <c r="JZE930" s="18"/>
      <c r="JZF930" s="18"/>
      <c r="JZG930" s="18"/>
      <c r="JZH930" s="18"/>
      <c r="JZI930" s="18"/>
      <c r="JZJ930" s="18"/>
      <c r="JZK930" s="18"/>
      <c r="JZL930" s="18"/>
      <c r="JZM930" s="18"/>
      <c r="JZN930" s="18"/>
      <c r="JZO930" s="18"/>
      <c r="JZP930" s="18"/>
      <c r="JZQ930" s="18"/>
      <c r="JZR930" s="18"/>
      <c r="JZS930" s="18"/>
      <c r="JZT930" s="18"/>
      <c r="JZU930" s="18"/>
      <c r="JZV930" s="18"/>
      <c r="JZW930" s="18"/>
      <c r="JZX930" s="18"/>
      <c r="JZY930" s="18"/>
      <c r="JZZ930" s="18"/>
      <c r="KAA930" s="18"/>
      <c r="KAB930" s="18"/>
      <c r="KAC930" s="18"/>
      <c r="KAD930" s="18"/>
      <c r="KAE930" s="18"/>
      <c r="KAF930" s="18"/>
      <c r="KAG930" s="18"/>
      <c r="KAH930" s="18"/>
      <c r="KAI930" s="18"/>
      <c r="KAJ930" s="18"/>
      <c r="KAK930" s="18"/>
      <c r="KAL930" s="18"/>
      <c r="KAM930" s="18"/>
      <c r="KAN930" s="18"/>
      <c r="KAO930" s="18"/>
      <c r="KAP930" s="18"/>
      <c r="KAQ930" s="18"/>
      <c r="KAR930" s="18"/>
      <c r="KAS930" s="18"/>
      <c r="KAT930" s="18"/>
      <c r="KAU930" s="18"/>
      <c r="KAV930" s="18"/>
      <c r="KAW930" s="18"/>
      <c r="KAX930" s="18"/>
      <c r="KAY930" s="18"/>
      <c r="KAZ930" s="18"/>
      <c r="KBA930" s="18"/>
      <c r="KBB930" s="18"/>
      <c r="KBC930" s="18"/>
      <c r="KBD930" s="18"/>
      <c r="KBE930" s="18"/>
      <c r="KBF930" s="18"/>
      <c r="KBG930" s="18"/>
      <c r="KBH930" s="18"/>
      <c r="KBI930" s="18"/>
      <c r="KBJ930" s="18"/>
      <c r="KBK930" s="18"/>
      <c r="KBL930" s="18"/>
      <c r="KBM930" s="18"/>
      <c r="KBN930" s="18"/>
      <c r="KBO930" s="18"/>
      <c r="KBP930" s="18"/>
      <c r="KBQ930" s="18"/>
      <c r="KBR930" s="18"/>
      <c r="KBS930" s="18"/>
      <c r="KBT930" s="18"/>
      <c r="KBU930" s="18"/>
      <c r="KBV930" s="18"/>
      <c r="KBW930" s="18"/>
      <c r="KBX930" s="18"/>
      <c r="KBY930" s="18"/>
      <c r="KBZ930" s="18"/>
      <c r="KCA930" s="18"/>
      <c r="KCB930" s="18"/>
      <c r="KCC930" s="18"/>
      <c r="KCD930" s="18"/>
      <c r="KCE930" s="18"/>
      <c r="KCF930" s="18"/>
      <c r="KCG930" s="18"/>
      <c r="KCH930" s="18"/>
      <c r="KCI930" s="18"/>
      <c r="KCJ930" s="18"/>
      <c r="KCK930" s="18"/>
      <c r="KCL930" s="18"/>
      <c r="KCM930" s="18"/>
      <c r="KCN930" s="18"/>
      <c r="KCO930" s="18"/>
      <c r="KCP930" s="18"/>
      <c r="KCQ930" s="18"/>
      <c r="KCR930" s="18"/>
      <c r="KCS930" s="18"/>
      <c r="KCT930" s="18"/>
      <c r="KCU930" s="18"/>
      <c r="KCV930" s="18"/>
      <c r="KCW930" s="18"/>
      <c r="KCX930" s="18"/>
      <c r="KCY930" s="18"/>
      <c r="KCZ930" s="18"/>
      <c r="KDA930" s="18"/>
      <c r="KDB930" s="18"/>
      <c r="KDC930" s="18"/>
      <c r="KDD930" s="18"/>
      <c r="KDE930" s="18"/>
      <c r="KDF930" s="18"/>
      <c r="KDG930" s="18"/>
      <c r="KDH930" s="18"/>
      <c r="KDI930" s="18"/>
      <c r="KDJ930" s="18"/>
      <c r="KDK930" s="18"/>
      <c r="KDL930" s="18"/>
      <c r="KDM930" s="18"/>
      <c r="KDN930" s="18"/>
      <c r="KDO930" s="18"/>
      <c r="KDP930" s="18"/>
      <c r="KDQ930" s="18"/>
      <c r="KDR930" s="18"/>
      <c r="KDS930" s="18"/>
      <c r="KDT930" s="18"/>
      <c r="KDU930" s="18"/>
      <c r="KDV930" s="18"/>
      <c r="KDW930" s="18"/>
      <c r="KDX930" s="18"/>
      <c r="KDY930" s="18"/>
      <c r="KDZ930" s="18"/>
      <c r="KEA930" s="18"/>
      <c r="KEB930" s="18"/>
      <c r="KEC930" s="18"/>
      <c r="KED930" s="18"/>
      <c r="KEE930" s="18"/>
      <c r="KEF930" s="18"/>
      <c r="KEG930" s="18"/>
      <c r="KEH930" s="18"/>
      <c r="KEI930" s="18"/>
      <c r="KEJ930" s="18"/>
      <c r="KEK930" s="18"/>
      <c r="KEL930" s="18"/>
      <c r="KEM930" s="18"/>
      <c r="KEN930" s="18"/>
      <c r="KEO930" s="18"/>
      <c r="KEP930" s="18"/>
      <c r="KEQ930" s="18"/>
      <c r="KER930" s="18"/>
      <c r="KES930" s="18"/>
      <c r="KET930" s="18"/>
      <c r="KEU930" s="18"/>
      <c r="KEV930" s="18"/>
      <c r="KEW930" s="18"/>
      <c r="KEX930" s="18"/>
      <c r="KEY930" s="18"/>
      <c r="KEZ930" s="18"/>
      <c r="KFA930" s="18"/>
      <c r="KFB930" s="18"/>
      <c r="KFC930" s="18"/>
      <c r="KFD930" s="18"/>
      <c r="KFE930" s="18"/>
      <c r="KFF930" s="18"/>
      <c r="KFG930" s="18"/>
      <c r="KFH930" s="18"/>
      <c r="KFI930" s="18"/>
      <c r="KFJ930" s="18"/>
      <c r="KFK930" s="18"/>
      <c r="KFL930" s="18"/>
      <c r="KFM930" s="18"/>
      <c r="KFN930" s="18"/>
      <c r="KFO930" s="18"/>
      <c r="KFP930" s="18"/>
      <c r="KFQ930" s="18"/>
      <c r="KFR930" s="18"/>
      <c r="KFS930" s="18"/>
      <c r="KFT930" s="18"/>
      <c r="KFU930" s="18"/>
      <c r="KFV930" s="18"/>
      <c r="KFW930" s="18"/>
      <c r="KFX930" s="18"/>
      <c r="KFY930" s="18"/>
      <c r="KFZ930" s="18"/>
      <c r="KGA930" s="18"/>
      <c r="KGB930" s="18"/>
      <c r="KGC930" s="18"/>
      <c r="KGD930" s="18"/>
      <c r="KGE930" s="18"/>
      <c r="KGF930" s="18"/>
      <c r="KGG930" s="18"/>
      <c r="KGH930" s="18"/>
      <c r="KGI930" s="18"/>
      <c r="KGJ930" s="18"/>
      <c r="KGK930" s="18"/>
      <c r="KGL930" s="18"/>
      <c r="KGM930" s="18"/>
      <c r="KGN930" s="18"/>
      <c r="KGO930" s="18"/>
      <c r="KGP930" s="18"/>
      <c r="KGQ930" s="18"/>
      <c r="KGR930" s="18"/>
      <c r="KGS930" s="18"/>
      <c r="KGT930" s="18"/>
      <c r="KGU930" s="18"/>
      <c r="KGV930" s="18"/>
      <c r="KGW930" s="18"/>
      <c r="KGX930" s="18"/>
      <c r="KGY930" s="18"/>
      <c r="KGZ930" s="18"/>
      <c r="KHA930" s="18"/>
      <c r="KHB930" s="18"/>
      <c r="KHC930" s="18"/>
      <c r="KHD930" s="18"/>
      <c r="KHE930" s="18"/>
      <c r="KHF930" s="18"/>
      <c r="KHG930" s="18"/>
      <c r="KHH930" s="18"/>
      <c r="KHI930" s="18"/>
      <c r="KHJ930" s="18"/>
      <c r="KHK930" s="18"/>
      <c r="KHL930" s="18"/>
      <c r="KHM930" s="18"/>
      <c r="KHN930" s="18"/>
      <c r="KHO930" s="18"/>
      <c r="KHP930" s="18"/>
      <c r="KHQ930" s="18"/>
      <c r="KHR930" s="18"/>
      <c r="KHS930" s="18"/>
      <c r="KHT930" s="18"/>
      <c r="KHU930" s="18"/>
      <c r="KHV930" s="18"/>
      <c r="KHW930" s="18"/>
      <c r="KHX930" s="18"/>
      <c r="KHY930" s="18"/>
      <c r="KHZ930" s="18"/>
      <c r="KIA930" s="18"/>
      <c r="KIB930" s="18"/>
      <c r="KIC930" s="18"/>
      <c r="KID930" s="18"/>
      <c r="KIE930" s="18"/>
      <c r="KIF930" s="18"/>
      <c r="KIG930" s="18"/>
      <c r="KIH930" s="18"/>
      <c r="KII930" s="18"/>
      <c r="KIJ930" s="18"/>
      <c r="KIK930" s="18"/>
      <c r="KIL930" s="18"/>
      <c r="KIM930" s="18"/>
      <c r="KIN930" s="18"/>
      <c r="KIO930" s="18"/>
      <c r="KIP930" s="18"/>
      <c r="KIQ930" s="18"/>
      <c r="KIR930" s="18"/>
      <c r="KIS930" s="18"/>
      <c r="KIT930" s="18"/>
      <c r="KIU930" s="18"/>
      <c r="KIV930" s="18"/>
      <c r="KIW930" s="18"/>
      <c r="KIX930" s="18"/>
      <c r="KIY930" s="18"/>
      <c r="KIZ930" s="18"/>
      <c r="KJA930" s="18"/>
      <c r="KJB930" s="18"/>
      <c r="KJC930" s="18"/>
      <c r="KJD930" s="18"/>
      <c r="KJE930" s="18"/>
      <c r="KJF930" s="18"/>
      <c r="KJG930" s="18"/>
      <c r="KJH930" s="18"/>
      <c r="KJI930" s="18"/>
      <c r="KJJ930" s="18"/>
      <c r="KJK930" s="18"/>
      <c r="KJL930" s="18"/>
      <c r="KJM930" s="18"/>
      <c r="KJN930" s="18"/>
      <c r="KJO930" s="18"/>
      <c r="KJP930" s="18"/>
      <c r="KJQ930" s="18"/>
      <c r="KJR930" s="18"/>
      <c r="KJS930" s="18"/>
      <c r="KJT930" s="18"/>
      <c r="KJU930" s="18"/>
      <c r="KJV930" s="18"/>
      <c r="KJW930" s="18"/>
      <c r="KJX930" s="18"/>
      <c r="KJY930" s="18"/>
      <c r="KJZ930" s="18"/>
      <c r="KKA930" s="18"/>
      <c r="KKB930" s="18"/>
      <c r="KKC930" s="18"/>
      <c r="KKD930" s="18"/>
      <c r="KKE930" s="18"/>
      <c r="KKF930" s="18"/>
      <c r="KKG930" s="18"/>
      <c r="KKH930" s="18"/>
      <c r="KKI930" s="18"/>
      <c r="KKJ930" s="18"/>
      <c r="KKK930" s="18"/>
      <c r="KKL930" s="18"/>
      <c r="KKM930" s="18"/>
      <c r="KKN930" s="18"/>
      <c r="KKO930" s="18"/>
      <c r="KKP930" s="18"/>
      <c r="KKQ930" s="18"/>
      <c r="KKR930" s="18"/>
      <c r="KKS930" s="18"/>
      <c r="KKT930" s="18"/>
      <c r="KKU930" s="18"/>
      <c r="KKV930" s="18"/>
      <c r="KKW930" s="18"/>
      <c r="KKX930" s="18"/>
      <c r="KKY930" s="18"/>
      <c r="KKZ930" s="18"/>
      <c r="KLA930" s="18"/>
      <c r="KLB930" s="18"/>
      <c r="KLC930" s="18"/>
      <c r="KLD930" s="18"/>
      <c r="KLE930" s="18"/>
      <c r="KLF930" s="18"/>
      <c r="KLG930" s="18"/>
      <c r="KLH930" s="18"/>
      <c r="KLI930" s="18"/>
      <c r="KLJ930" s="18"/>
      <c r="KLK930" s="18"/>
      <c r="KLL930" s="18"/>
      <c r="KLM930" s="18"/>
      <c r="KLN930" s="18"/>
      <c r="KLO930" s="18"/>
      <c r="KLP930" s="18"/>
      <c r="KLQ930" s="18"/>
      <c r="KLR930" s="18"/>
      <c r="KLS930" s="18"/>
      <c r="KLT930" s="18"/>
      <c r="KLU930" s="18"/>
      <c r="KLV930" s="18"/>
      <c r="KLW930" s="18"/>
      <c r="KLX930" s="18"/>
      <c r="KLY930" s="18"/>
      <c r="KLZ930" s="18"/>
      <c r="KMA930" s="18"/>
      <c r="KMB930" s="18"/>
      <c r="KMC930" s="18"/>
      <c r="KMD930" s="18"/>
      <c r="KME930" s="18"/>
      <c r="KMF930" s="18"/>
      <c r="KMG930" s="18"/>
      <c r="KMH930" s="18"/>
      <c r="KMI930" s="18"/>
      <c r="KMJ930" s="18"/>
      <c r="KMK930" s="18"/>
      <c r="KML930" s="18"/>
      <c r="KMM930" s="18"/>
      <c r="KMN930" s="18"/>
      <c r="KMO930" s="18"/>
      <c r="KMP930" s="18"/>
      <c r="KMQ930" s="18"/>
      <c r="KMR930" s="18"/>
      <c r="KMS930" s="18"/>
      <c r="KMT930" s="18"/>
      <c r="KMU930" s="18"/>
      <c r="KMV930" s="18"/>
      <c r="KMW930" s="18"/>
      <c r="KMX930" s="18"/>
      <c r="KMY930" s="18"/>
      <c r="KMZ930" s="18"/>
      <c r="KNA930" s="18"/>
      <c r="KNB930" s="18"/>
      <c r="KNC930" s="18"/>
      <c r="KND930" s="18"/>
      <c r="KNE930" s="18"/>
      <c r="KNF930" s="18"/>
      <c r="KNG930" s="18"/>
      <c r="KNH930" s="18"/>
      <c r="KNI930" s="18"/>
      <c r="KNJ930" s="18"/>
      <c r="KNK930" s="18"/>
      <c r="KNL930" s="18"/>
      <c r="KNM930" s="18"/>
      <c r="KNN930" s="18"/>
      <c r="KNO930" s="18"/>
      <c r="KNP930" s="18"/>
      <c r="KNQ930" s="18"/>
      <c r="KNR930" s="18"/>
      <c r="KNS930" s="18"/>
      <c r="KNT930" s="18"/>
      <c r="KNU930" s="18"/>
      <c r="KNV930" s="18"/>
      <c r="KNW930" s="18"/>
      <c r="KNX930" s="18"/>
      <c r="KNY930" s="18"/>
      <c r="KNZ930" s="18"/>
      <c r="KOA930" s="18"/>
      <c r="KOB930" s="18"/>
      <c r="KOC930" s="18"/>
      <c r="KOD930" s="18"/>
      <c r="KOE930" s="18"/>
      <c r="KOF930" s="18"/>
      <c r="KOG930" s="18"/>
      <c r="KOH930" s="18"/>
      <c r="KOI930" s="18"/>
      <c r="KOJ930" s="18"/>
      <c r="KOK930" s="18"/>
      <c r="KOL930" s="18"/>
      <c r="KOM930" s="18"/>
      <c r="KON930" s="18"/>
      <c r="KOO930" s="18"/>
      <c r="KOP930" s="18"/>
      <c r="KOQ930" s="18"/>
      <c r="KOR930" s="18"/>
      <c r="KOS930" s="18"/>
      <c r="KOT930" s="18"/>
      <c r="KOU930" s="18"/>
      <c r="KOV930" s="18"/>
      <c r="KOW930" s="18"/>
      <c r="KOX930" s="18"/>
      <c r="KOY930" s="18"/>
      <c r="KOZ930" s="18"/>
      <c r="KPA930" s="18"/>
      <c r="KPB930" s="18"/>
      <c r="KPC930" s="18"/>
      <c r="KPD930" s="18"/>
      <c r="KPE930" s="18"/>
      <c r="KPF930" s="18"/>
      <c r="KPG930" s="18"/>
      <c r="KPH930" s="18"/>
      <c r="KPI930" s="18"/>
      <c r="KPJ930" s="18"/>
      <c r="KPK930" s="18"/>
      <c r="KPL930" s="18"/>
      <c r="KPM930" s="18"/>
      <c r="KPN930" s="18"/>
      <c r="KPO930" s="18"/>
      <c r="KPP930" s="18"/>
      <c r="KPQ930" s="18"/>
      <c r="KPR930" s="18"/>
      <c r="KPS930" s="18"/>
      <c r="KPT930" s="18"/>
      <c r="KPU930" s="18"/>
      <c r="KPV930" s="18"/>
      <c r="KPW930" s="18"/>
      <c r="KPX930" s="18"/>
      <c r="KPY930" s="18"/>
      <c r="KPZ930" s="18"/>
      <c r="KQA930" s="18"/>
      <c r="KQB930" s="18"/>
      <c r="KQC930" s="18"/>
      <c r="KQD930" s="18"/>
      <c r="KQE930" s="18"/>
      <c r="KQF930" s="18"/>
      <c r="KQG930" s="18"/>
      <c r="KQH930" s="18"/>
      <c r="KQI930" s="18"/>
      <c r="KQJ930" s="18"/>
      <c r="KQK930" s="18"/>
      <c r="KQL930" s="18"/>
      <c r="KQM930" s="18"/>
      <c r="KQN930" s="18"/>
      <c r="KQO930" s="18"/>
      <c r="KQP930" s="18"/>
      <c r="KQQ930" s="18"/>
      <c r="KQR930" s="18"/>
      <c r="KQS930" s="18"/>
      <c r="KQT930" s="18"/>
      <c r="KQU930" s="18"/>
      <c r="KQV930" s="18"/>
      <c r="KQW930" s="18"/>
      <c r="KQX930" s="18"/>
      <c r="KQY930" s="18"/>
      <c r="KQZ930" s="18"/>
      <c r="KRA930" s="18"/>
      <c r="KRB930" s="18"/>
      <c r="KRC930" s="18"/>
      <c r="KRD930" s="18"/>
      <c r="KRE930" s="18"/>
      <c r="KRF930" s="18"/>
      <c r="KRG930" s="18"/>
      <c r="KRH930" s="18"/>
      <c r="KRI930" s="18"/>
      <c r="KRJ930" s="18"/>
      <c r="KRK930" s="18"/>
      <c r="KRL930" s="18"/>
      <c r="KRM930" s="18"/>
      <c r="KRN930" s="18"/>
      <c r="KRO930" s="18"/>
      <c r="KRP930" s="18"/>
      <c r="KRQ930" s="18"/>
      <c r="KRR930" s="18"/>
      <c r="KRS930" s="18"/>
      <c r="KRT930" s="18"/>
      <c r="KRU930" s="18"/>
      <c r="KRV930" s="18"/>
      <c r="KRW930" s="18"/>
      <c r="KRX930" s="18"/>
      <c r="KRY930" s="18"/>
      <c r="KRZ930" s="18"/>
      <c r="KSA930" s="18"/>
      <c r="KSB930" s="18"/>
      <c r="KSC930" s="18"/>
      <c r="KSD930" s="18"/>
      <c r="KSE930" s="18"/>
      <c r="KSF930" s="18"/>
      <c r="KSG930" s="18"/>
      <c r="KSH930" s="18"/>
      <c r="KSI930" s="18"/>
      <c r="KSJ930" s="18"/>
      <c r="KSK930" s="18"/>
      <c r="KSL930" s="18"/>
      <c r="KSM930" s="18"/>
      <c r="KSN930" s="18"/>
      <c r="KSO930" s="18"/>
      <c r="KSP930" s="18"/>
      <c r="KSQ930" s="18"/>
      <c r="KSR930" s="18"/>
      <c r="KSS930" s="18"/>
      <c r="KST930" s="18"/>
      <c r="KSU930" s="18"/>
      <c r="KSV930" s="18"/>
      <c r="KSW930" s="18"/>
      <c r="KSX930" s="18"/>
      <c r="KSY930" s="18"/>
      <c r="KSZ930" s="18"/>
      <c r="KTA930" s="18"/>
      <c r="KTB930" s="18"/>
      <c r="KTC930" s="18"/>
      <c r="KTD930" s="18"/>
      <c r="KTE930" s="18"/>
      <c r="KTF930" s="18"/>
      <c r="KTG930" s="18"/>
      <c r="KTH930" s="18"/>
      <c r="KTI930" s="18"/>
      <c r="KTJ930" s="18"/>
      <c r="KTK930" s="18"/>
      <c r="KTL930" s="18"/>
      <c r="KTM930" s="18"/>
      <c r="KTN930" s="18"/>
      <c r="KTO930" s="18"/>
      <c r="KTP930" s="18"/>
      <c r="KTQ930" s="18"/>
      <c r="KTR930" s="18"/>
      <c r="KTS930" s="18"/>
      <c r="KTT930" s="18"/>
      <c r="KTU930" s="18"/>
      <c r="KTV930" s="18"/>
      <c r="KTW930" s="18"/>
      <c r="KTX930" s="18"/>
      <c r="KTY930" s="18"/>
      <c r="KTZ930" s="18"/>
      <c r="KUA930" s="18"/>
      <c r="KUB930" s="18"/>
      <c r="KUC930" s="18"/>
      <c r="KUD930" s="18"/>
      <c r="KUE930" s="18"/>
      <c r="KUF930" s="18"/>
      <c r="KUG930" s="18"/>
      <c r="KUH930" s="18"/>
      <c r="KUI930" s="18"/>
      <c r="KUJ930" s="18"/>
      <c r="KUK930" s="18"/>
      <c r="KUL930" s="18"/>
      <c r="KUM930" s="18"/>
      <c r="KUN930" s="18"/>
      <c r="KUO930" s="18"/>
      <c r="KUP930" s="18"/>
      <c r="KUQ930" s="18"/>
      <c r="KUR930" s="18"/>
      <c r="KUS930" s="18"/>
      <c r="KUT930" s="18"/>
      <c r="KUU930" s="18"/>
      <c r="KUV930" s="18"/>
      <c r="KUW930" s="18"/>
      <c r="KUX930" s="18"/>
      <c r="KUY930" s="18"/>
      <c r="KUZ930" s="18"/>
      <c r="KVA930" s="18"/>
      <c r="KVB930" s="18"/>
      <c r="KVC930" s="18"/>
      <c r="KVD930" s="18"/>
      <c r="KVE930" s="18"/>
      <c r="KVF930" s="18"/>
      <c r="KVG930" s="18"/>
      <c r="KVH930" s="18"/>
      <c r="KVI930" s="18"/>
      <c r="KVJ930" s="18"/>
      <c r="KVK930" s="18"/>
      <c r="KVL930" s="18"/>
      <c r="KVM930" s="18"/>
      <c r="KVN930" s="18"/>
      <c r="KVO930" s="18"/>
      <c r="KVP930" s="18"/>
      <c r="KVQ930" s="18"/>
      <c r="KVR930" s="18"/>
      <c r="KVS930" s="18"/>
      <c r="KVT930" s="18"/>
      <c r="KVU930" s="18"/>
      <c r="KVV930" s="18"/>
      <c r="KVW930" s="18"/>
      <c r="KVX930" s="18"/>
      <c r="KVY930" s="18"/>
      <c r="KVZ930" s="18"/>
      <c r="KWA930" s="18"/>
      <c r="KWB930" s="18"/>
      <c r="KWC930" s="18"/>
      <c r="KWD930" s="18"/>
      <c r="KWE930" s="18"/>
      <c r="KWF930" s="18"/>
      <c r="KWG930" s="18"/>
      <c r="KWH930" s="18"/>
      <c r="KWI930" s="18"/>
      <c r="KWJ930" s="18"/>
      <c r="KWK930" s="18"/>
      <c r="KWL930" s="18"/>
      <c r="KWM930" s="18"/>
      <c r="KWN930" s="18"/>
      <c r="KWO930" s="18"/>
      <c r="KWP930" s="18"/>
      <c r="KWQ930" s="18"/>
      <c r="KWR930" s="18"/>
      <c r="KWS930" s="18"/>
      <c r="KWT930" s="18"/>
      <c r="KWU930" s="18"/>
      <c r="KWV930" s="18"/>
      <c r="KWW930" s="18"/>
      <c r="KWX930" s="18"/>
      <c r="KWY930" s="18"/>
      <c r="KWZ930" s="18"/>
      <c r="KXA930" s="18"/>
      <c r="KXB930" s="18"/>
      <c r="KXC930" s="18"/>
      <c r="KXD930" s="18"/>
      <c r="KXE930" s="18"/>
      <c r="KXF930" s="18"/>
      <c r="KXG930" s="18"/>
      <c r="KXH930" s="18"/>
      <c r="KXI930" s="18"/>
      <c r="KXJ930" s="18"/>
      <c r="KXK930" s="18"/>
      <c r="KXL930" s="18"/>
      <c r="KXM930" s="18"/>
      <c r="KXN930" s="18"/>
      <c r="KXO930" s="18"/>
      <c r="KXP930" s="18"/>
      <c r="KXQ930" s="18"/>
      <c r="KXR930" s="18"/>
      <c r="KXS930" s="18"/>
      <c r="KXT930" s="18"/>
      <c r="KXU930" s="18"/>
      <c r="KXV930" s="18"/>
      <c r="KXW930" s="18"/>
      <c r="KXX930" s="18"/>
      <c r="KXY930" s="18"/>
      <c r="KXZ930" s="18"/>
      <c r="KYA930" s="18"/>
      <c r="KYB930" s="18"/>
      <c r="KYC930" s="18"/>
      <c r="KYD930" s="18"/>
      <c r="KYE930" s="18"/>
      <c r="KYF930" s="18"/>
      <c r="KYG930" s="18"/>
      <c r="KYH930" s="18"/>
      <c r="KYI930" s="18"/>
      <c r="KYJ930" s="18"/>
      <c r="KYK930" s="18"/>
      <c r="KYL930" s="18"/>
      <c r="KYM930" s="18"/>
      <c r="KYN930" s="18"/>
      <c r="KYO930" s="18"/>
      <c r="KYP930" s="18"/>
      <c r="KYQ930" s="18"/>
      <c r="KYR930" s="18"/>
      <c r="KYS930" s="18"/>
      <c r="KYT930" s="18"/>
      <c r="KYU930" s="18"/>
      <c r="KYV930" s="18"/>
      <c r="KYW930" s="18"/>
      <c r="KYX930" s="18"/>
      <c r="KYY930" s="18"/>
      <c r="KYZ930" s="18"/>
      <c r="KZA930" s="18"/>
      <c r="KZB930" s="18"/>
      <c r="KZC930" s="18"/>
      <c r="KZD930" s="18"/>
      <c r="KZE930" s="18"/>
      <c r="KZF930" s="18"/>
      <c r="KZG930" s="18"/>
      <c r="KZH930" s="18"/>
      <c r="KZI930" s="18"/>
      <c r="KZJ930" s="18"/>
      <c r="KZK930" s="18"/>
      <c r="KZL930" s="18"/>
      <c r="KZM930" s="18"/>
      <c r="KZN930" s="18"/>
      <c r="KZO930" s="18"/>
      <c r="KZP930" s="18"/>
      <c r="KZQ930" s="18"/>
      <c r="KZR930" s="18"/>
      <c r="KZS930" s="18"/>
      <c r="KZT930" s="18"/>
      <c r="KZU930" s="18"/>
      <c r="KZV930" s="18"/>
      <c r="KZW930" s="18"/>
      <c r="KZX930" s="18"/>
      <c r="KZY930" s="18"/>
      <c r="KZZ930" s="18"/>
      <c r="LAA930" s="18"/>
      <c r="LAB930" s="18"/>
      <c r="LAC930" s="18"/>
      <c r="LAD930" s="18"/>
      <c r="LAE930" s="18"/>
      <c r="LAF930" s="18"/>
      <c r="LAG930" s="18"/>
      <c r="LAH930" s="18"/>
      <c r="LAI930" s="18"/>
      <c r="LAJ930" s="18"/>
      <c r="LAK930" s="18"/>
      <c r="LAL930" s="18"/>
      <c r="LAM930" s="18"/>
      <c r="LAN930" s="18"/>
      <c r="LAO930" s="18"/>
      <c r="LAP930" s="18"/>
      <c r="LAQ930" s="18"/>
      <c r="LAR930" s="18"/>
      <c r="LAS930" s="18"/>
      <c r="LAT930" s="18"/>
      <c r="LAU930" s="18"/>
      <c r="LAV930" s="18"/>
      <c r="LAW930" s="18"/>
      <c r="LAX930" s="18"/>
      <c r="LAY930" s="18"/>
      <c r="LAZ930" s="18"/>
      <c r="LBA930" s="18"/>
      <c r="LBB930" s="18"/>
      <c r="LBC930" s="18"/>
      <c r="LBD930" s="18"/>
      <c r="LBE930" s="18"/>
      <c r="LBF930" s="18"/>
      <c r="LBG930" s="18"/>
      <c r="LBH930" s="18"/>
      <c r="LBI930" s="18"/>
      <c r="LBJ930" s="18"/>
      <c r="LBK930" s="18"/>
      <c r="LBL930" s="18"/>
      <c r="LBM930" s="18"/>
      <c r="LBN930" s="18"/>
      <c r="LBO930" s="18"/>
      <c r="LBP930" s="18"/>
      <c r="LBQ930" s="18"/>
      <c r="LBR930" s="18"/>
      <c r="LBS930" s="18"/>
      <c r="LBT930" s="18"/>
      <c r="LBU930" s="18"/>
      <c r="LBV930" s="18"/>
      <c r="LBW930" s="18"/>
      <c r="LBX930" s="18"/>
      <c r="LBY930" s="18"/>
      <c r="LBZ930" s="18"/>
      <c r="LCA930" s="18"/>
      <c r="LCB930" s="18"/>
      <c r="LCC930" s="18"/>
      <c r="LCD930" s="18"/>
      <c r="LCE930" s="18"/>
      <c r="LCF930" s="18"/>
      <c r="LCG930" s="18"/>
      <c r="LCH930" s="18"/>
      <c r="LCI930" s="18"/>
      <c r="LCJ930" s="18"/>
      <c r="LCK930" s="18"/>
      <c r="LCL930" s="18"/>
      <c r="LCM930" s="18"/>
      <c r="LCN930" s="18"/>
      <c r="LCO930" s="18"/>
      <c r="LCP930" s="18"/>
      <c r="LCQ930" s="18"/>
      <c r="LCR930" s="18"/>
      <c r="LCS930" s="18"/>
      <c r="LCT930" s="18"/>
      <c r="LCU930" s="18"/>
      <c r="LCV930" s="18"/>
      <c r="LCW930" s="18"/>
      <c r="LCX930" s="18"/>
      <c r="LCY930" s="18"/>
      <c r="LCZ930" s="18"/>
      <c r="LDA930" s="18"/>
      <c r="LDB930" s="18"/>
      <c r="LDC930" s="18"/>
      <c r="LDD930" s="18"/>
      <c r="LDE930" s="18"/>
      <c r="LDF930" s="18"/>
      <c r="LDG930" s="18"/>
      <c r="LDH930" s="18"/>
      <c r="LDI930" s="18"/>
      <c r="LDJ930" s="18"/>
      <c r="LDK930" s="18"/>
      <c r="LDL930" s="18"/>
      <c r="LDM930" s="18"/>
      <c r="LDN930" s="18"/>
      <c r="LDO930" s="18"/>
      <c r="LDP930" s="18"/>
      <c r="LDQ930" s="18"/>
      <c r="LDR930" s="18"/>
      <c r="LDS930" s="18"/>
      <c r="LDT930" s="18"/>
      <c r="LDU930" s="18"/>
      <c r="LDV930" s="18"/>
      <c r="LDW930" s="18"/>
      <c r="LDX930" s="18"/>
      <c r="LDY930" s="18"/>
      <c r="LDZ930" s="18"/>
      <c r="LEA930" s="18"/>
      <c r="LEB930" s="18"/>
      <c r="LEC930" s="18"/>
      <c r="LED930" s="18"/>
      <c r="LEE930" s="18"/>
      <c r="LEF930" s="18"/>
      <c r="LEG930" s="18"/>
      <c r="LEH930" s="18"/>
      <c r="LEI930" s="18"/>
      <c r="LEJ930" s="18"/>
      <c r="LEK930" s="18"/>
      <c r="LEL930" s="18"/>
      <c r="LEM930" s="18"/>
      <c r="LEN930" s="18"/>
      <c r="LEO930" s="18"/>
      <c r="LEP930" s="18"/>
      <c r="LEQ930" s="18"/>
      <c r="LER930" s="18"/>
      <c r="LES930" s="18"/>
      <c r="LET930" s="18"/>
      <c r="LEU930" s="18"/>
      <c r="LEV930" s="18"/>
      <c r="LEW930" s="18"/>
      <c r="LEX930" s="18"/>
      <c r="LEY930" s="18"/>
      <c r="LEZ930" s="18"/>
      <c r="LFA930" s="18"/>
      <c r="LFB930" s="18"/>
      <c r="LFC930" s="18"/>
      <c r="LFD930" s="18"/>
      <c r="LFE930" s="18"/>
      <c r="LFF930" s="18"/>
      <c r="LFG930" s="18"/>
      <c r="LFH930" s="18"/>
      <c r="LFI930" s="18"/>
      <c r="LFJ930" s="18"/>
      <c r="LFK930" s="18"/>
      <c r="LFL930" s="18"/>
      <c r="LFM930" s="18"/>
      <c r="LFN930" s="18"/>
      <c r="LFO930" s="18"/>
      <c r="LFP930" s="18"/>
      <c r="LFQ930" s="18"/>
      <c r="LFR930" s="18"/>
      <c r="LFS930" s="18"/>
      <c r="LFT930" s="18"/>
      <c r="LFU930" s="18"/>
      <c r="LFV930" s="18"/>
      <c r="LFW930" s="18"/>
      <c r="LFX930" s="18"/>
      <c r="LFY930" s="18"/>
      <c r="LFZ930" s="18"/>
      <c r="LGA930" s="18"/>
      <c r="LGB930" s="18"/>
      <c r="LGC930" s="18"/>
      <c r="LGD930" s="18"/>
      <c r="LGE930" s="18"/>
      <c r="LGF930" s="18"/>
      <c r="LGG930" s="18"/>
      <c r="LGH930" s="18"/>
      <c r="LGI930" s="18"/>
      <c r="LGJ930" s="18"/>
      <c r="LGK930" s="18"/>
      <c r="LGL930" s="18"/>
      <c r="LGM930" s="18"/>
      <c r="LGN930" s="18"/>
      <c r="LGO930" s="18"/>
      <c r="LGP930" s="18"/>
      <c r="LGQ930" s="18"/>
      <c r="LGR930" s="18"/>
      <c r="LGS930" s="18"/>
      <c r="LGT930" s="18"/>
      <c r="LGU930" s="18"/>
      <c r="LGV930" s="18"/>
      <c r="LGW930" s="18"/>
      <c r="LGX930" s="18"/>
      <c r="LGY930" s="18"/>
      <c r="LGZ930" s="18"/>
      <c r="LHA930" s="18"/>
      <c r="LHB930" s="18"/>
      <c r="LHC930" s="18"/>
      <c r="LHD930" s="18"/>
      <c r="LHE930" s="18"/>
      <c r="LHF930" s="18"/>
      <c r="LHG930" s="18"/>
      <c r="LHH930" s="18"/>
      <c r="LHI930" s="18"/>
      <c r="LHJ930" s="18"/>
      <c r="LHK930" s="18"/>
      <c r="LHL930" s="18"/>
      <c r="LHM930" s="18"/>
      <c r="LHN930" s="18"/>
      <c r="LHO930" s="18"/>
      <c r="LHP930" s="18"/>
      <c r="LHQ930" s="18"/>
      <c r="LHR930" s="18"/>
      <c r="LHS930" s="18"/>
      <c r="LHT930" s="18"/>
      <c r="LHU930" s="18"/>
      <c r="LHV930" s="18"/>
      <c r="LHW930" s="18"/>
      <c r="LHX930" s="18"/>
      <c r="LHY930" s="18"/>
      <c r="LHZ930" s="18"/>
      <c r="LIA930" s="18"/>
      <c r="LIB930" s="18"/>
      <c r="LIC930" s="18"/>
      <c r="LID930" s="18"/>
      <c r="LIE930" s="18"/>
      <c r="LIF930" s="18"/>
      <c r="LIG930" s="18"/>
      <c r="LIH930" s="18"/>
      <c r="LII930" s="18"/>
      <c r="LIJ930" s="18"/>
      <c r="LIK930" s="18"/>
      <c r="LIL930" s="18"/>
      <c r="LIM930" s="18"/>
      <c r="LIN930" s="18"/>
      <c r="LIO930" s="18"/>
      <c r="LIP930" s="18"/>
      <c r="LIQ930" s="18"/>
      <c r="LIR930" s="18"/>
      <c r="LIS930" s="18"/>
      <c r="LIT930" s="18"/>
      <c r="LIU930" s="18"/>
      <c r="LIV930" s="18"/>
      <c r="LIW930" s="18"/>
      <c r="LIX930" s="18"/>
      <c r="LIY930" s="18"/>
      <c r="LIZ930" s="18"/>
      <c r="LJA930" s="18"/>
      <c r="LJB930" s="18"/>
      <c r="LJC930" s="18"/>
      <c r="LJD930" s="18"/>
      <c r="LJE930" s="18"/>
      <c r="LJF930" s="18"/>
      <c r="LJG930" s="18"/>
      <c r="LJH930" s="18"/>
      <c r="LJI930" s="18"/>
      <c r="LJJ930" s="18"/>
      <c r="LJK930" s="18"/>
      <c r="LJL930" s="18"/>
      <c r="LJM930" s="18"/>
      <c r="LJN930" s="18"/>
      <c r="LJO930" s="18"/>
      <c r="LJP930" s="18"/>
      <c r="LJQ930" s="18"/>
      <c r="LJR930" s="18"/>
      <c r="LJS930" s="18"/>
      <c r="LJT930" s="18"/>
      <c r="LJU930" s="18"/>
      <c r="LJV930" s="18"/>
      <c r="LJW930" s="18"/>
      <c r="LJX930" s="18"/>
      <c r="LJY930" s="18"/>
      <c r="LJZ930" s="18"/>
      <c r="LKA930" s="18"/>
      <c r="LKB930" s="18"/>
      <c r="LKC930" s="18"/>
      <c r="LKD930" s="18"/>
      <c r="LKE930" s="18"/>
      <c r="LKF930" s="18"/>
      <c r="LKG930" s="18"/>
      <c r="LKH930" s="18"/>
      <c r="LKI930" s="18"/>
      <c r="LKJ930" s="18"/>
      <c r="LKK930" s="18"/>
      <c r="LKL930" s="18"/>
      <c r="LKM930" s="18"/>
      <c r="LKN930" s="18"/>
      <c r="LKO930" s="18"/>
      <c r="LKP930" s="18"/>
      <c r="LKQ930" s="18"/>
      <c r="LKR930" s="18"/>
      <c r="LKS930" s="18"/>
      <c r="LKT930" s="18"/>
      <c r="LKU930" s="18"/>
      <c r="LKV930" s="18"/>
      <c r="LKW930" s="18"/>
      <c r="LKX930" s="18"/>
      <c r="LKY930" s="18"/>
      <c r="LKZ930" s="18"/>
      <c r="LLA930" s="18"/>
      <c r="LLB930" s="18"/>
      <c r="LLC930" s="18"/>
      <c r="LLD930" s="18"/>
      <c r="LLE930" s="18"/>
      <c r="LLF930" s="18"/>
      <c r="LLG930" s="18"/>
      <c r="LLH930" s="18"/>
      <c r="LLI930" s="18"/>
      <c r="LLJ930" s="18"/>
      <c r="LLK930" s="18"/>
      <c r="LLL930" s="18"/>
      <c r="LLM930" s="18"/>
      <c r="LLN930" s="18"/>
      <c r="LLO930" s="18"/>
      <c r="LLP930" s="18"/>
      <c r="LLQ930" s="18"/>
      <c r="LLR930" s="18"/>
      <c r="LLS930" s="18"/>
      <c r="LLT930" s="18"/>
      <c r="LLU930" s="18"/>
      <c r="LLV930" s="18"/>
      <c r="LLW930" s="18"/>
      <c r="LLX930" s="18"/>
      <c r="LLY930" s="18"/>
      <c r="LLZ930" s="18"/>
      <c r="LMA930" s="18"/>
      <c r="LMB930" s="18"/>
      <c r="LMC930" s="18"/>
      <c r="LMD930" s="18"/>
      <c r="LME930" s="18"/>
      <c r="LMF930" s="18"/>
      <c r="LMG930" s="18"/>
      <c r="LMH930" s="18"/>
      <c r="LMI930" s="18"/>
      <c r="LMJ930" s="18"/>
      <c r="LMK930" s="18"/>
      <c r="LML930" s="18"/>
      <c r="LMM930" s="18"/>
      <c r="LMN930" s="18"/>
      <c r="LMO930" s="18"/>
      <c r="LMP930" s="18"/>
      <c r="LMQ930" s="18"/>
      <c r="LMR930" s="18"/>
      <c r="LMS930" s="18"/>
      <c r="LMT930" s="18"/>
      <c r="LMU930" s="18"/>
      <c r="LMV930" s="18"/>
      <c r="LMW930" s="18"/>
      <c r="LMX930" s="18"/>
      <c r="LMY930" s="18"/>
      <c r="LMZ930" s="18"/>
      <c r="LNA930" s="18"/>
      <c r="LNB930" s="18"/>
      <c r="LNC930" s="18"/>
      <c r="LND930" s="18"/>
      <c r="LNE930" s="18"/>
      <c r="LNF930" s="18"/>
      <c r="LNG930" s="18"/>
      <c r="LNH930" s="18"/>
      <c r="LNI930" s="18"/>
      <c r="LNJ930" s="18"/>
      <c r="LNK930" s="18"/>
      <c r="LNL930" s="18"/>
      <c r="LNM930" s="18"/>
      <c r="LNN930" s="18"/>
      <c r="LNO930" s="18"/>
      <c r="LNP930" s="18"/>
      <c r="LNQ930" s="18"/>
      <c r="LNR930" s="18"/>
      <c r="LNS930" s="18"/>
      <c r="LNT930" s="18"/>
      <c r="LNU930" s="18"/>
      <c r="LNV930" s="18"/>
      <c r="LNW930" s="18"/>
      <c r="LNX930" s="18"/>
      <c r="LNY930" s="18"/>
      <c r="LNZ930" s="18"/>
      <c r="LOA930" s="18"/>
      <c r="LOB930" s="18"/>
      <c r="LOC930" s="18"/>
      <c r="LOD930" s="18"/>
      <c r="LOE930" s="18"/>
      <c r="LOF930" s="18"/>
      <c r="LOG930" s="18"/>
      <c r="LOH930" s="18"/>
      <c r="LOI930" s="18"/>
      <c r="LOJ930" s="18"/>
      <c r="LOK930" s="18"/>
      <c r="LOL930" s="18"/>
      <c r="LOM930" s="18"/>
      <c r="LON930" s="18"/>
      <c r="LOO930" s="18"/>
      <c r="LOP930" s="18"/>
      <c r="LOQ930" s="18"/>
      <c r="LOR930" s="18"/>
      <c r="LOS930" s="18"/>
      <c r="LOT930" s="18"/>
      <c r="LOU930" s="18"/>
      <c r="LOV930" s="18"/>
      <c r="LOW930" s="18"/>
      <c r="LOX930" s="18"/>
      <c r="LOY930" s="18"/>
      <c r="LOZ930" s="18"/>
      <c r="LPA930" s="18"/>
      <c r="LPB930" s="18"/>
      <c r="LPC930" s="18"/>
      <c r="LPD930" s="18"/>
      <c r="LPE930" s="18"/>
      <c r="LPF930" s="18"/>
      <c r="LPG930" s="18"/>
      <c r="LPH930" s="18"/>
      <c r="LPI930" s="18"/>
      <c r="LPJ930" s="18"/>
      <c r="LPK930" s="18"/>
      <c r="LPL930" s="18"/>
      <c r="LPM930" s="18"/>
      <c r="LPN930" s="18"/>
      <c r="LPO930" s="18"/>
      <c r="LPP930" s="18"/>
      <c r="LPQ930" s="18"/>
      <c r="LPR930" s="18"/>
      <c r="LPS930" s="18"/>
      <c r="LPT930" s="18"/>
      <c r="LPU930" s="18"/>
      <c r="LPV930" s="18"/>
      <c r="LPW930" s="18"/>
      <c r="LPX930" s="18"/>
      <c r="LPY930" s="18"/>
      <c r="LPZ930" s="18"/>
      <c r="LQA930" s="18"/>
      <c r="LQB930" s="18"/>
      <c r="LQC930" s="18"/>
      <c r="LQD930" s="18"/>
      <c r="LQE930" s="18"/>
      <c r="LQF930" s="18"/>
      <c r="LQG930" s="18"/>
      <c r="LQH930" s="18"/>
      <c r="LQI930" s="18"/>
      <c r="LQJ930" s="18"/>
      <c r="LQK930" s="18"/>
      <c r="LQL930" s="18"/>
      <c r="LQM930" s="18"/>
      <c r="LQN930" s="18"/>
      <c r="LQO930" s="18"/>
      <c r="LQP930" s="18"/>
      <c r="LQQ930" s="18"/>
      <c r="LQR930" s="18"/>
      <c r="LQS930" s="18"/>
      <c r="LQT930" s="18"/>
      <c r="LQU930" s="18"/>
      <c r="LQV930" s="18"/>
      <c r="LQW930" s="18"/>
      <c r="LQX930" s="18"/>
      <c r="LQY930" s="18"/>
      <c r="LQZ930" s="18"/>
      <c r="LRA930" s="18"/>
      <c r="LRB930" s="18"/>
      <c r="LRC930" s="18"/>
      <c r="LRD930" s="18"/>
      <c r="LRE930" s="18"/>
      <c r="LRF930" s="18"/>
      <c r="LRG930" s="18"/>
      <c r="LRH930" s="18"/>
      <c r="LRI930" s="18"/>
      <c r="LRJ930" s="18"/>
      <c r="LRK930" s="18"/>
      <c r="LRL930" s="18"/>
      <c r="LRM930" s="18"/>
      <c r="LRN930" s="18"/>
      <c r="LRO930" s="18"/>
      <c r="LRP930" s="18"/>
      <c r="LRQ930" s="18"/>
      <c r="LRR930" s="18"/>
      <c r="LRS930" s="18"/>
      <c r="LRT930" s="18"/>
      <c r="LRU930" s="18"/>
      <c r="LRV930" s="18"/>
      <c r="LRW930" s="18"/>
      <c r="LRX930" s="18"/>
      <c r="LRY930" s="18"/>
      <c r="LRZ930" s="18"/>
      <c r="LSA930" s="18"/>
      <c r="LSB930" s="18"/>
      <c r="LSC930" s="18"/>
      <c r="LSD930" s="18"/>
      <c r="LSE930" s="18"/>
      <c r="LSF930" s="18"/>
      <c r="LSG930" s="18"/>
      <c r="LSH930" s="18"/>
      <c r="LSI930" s="18"/>
      <c r="LSJ930" s="18"/>
      <c r="LSK930" s="18"/>
      <c r="LSL930" s="18"/>
      <c r="LSM930" s="18"/>
      <c r="LSN930" s="18"/>
      <c r="LSO930" s="18"/>
      <c r="LSP930" s="18"/>
      <c r="LSQ930" s="18"/>
      <c r="LSR930" s="18"/>
      <c r="LSS930" s="18"/>
      <c r="LST930" s="18"/>
      <c r="LSU930" s="18"/>
      <c r="LSV930" s="18"/>
      <c r="LSW930" s="18"/>
      <c r="LSX930" s="18"/>
      <c r="LSY930" s="18"/>
      <c r="LSZ930" s="18"/>
      <c r="LTA930" s="18"/>
      <c r="LTB930" s="18"/>
      <c r="LTC930" s="18"/>
      <c r="LTD930" s="18"/>
      <c r="LTE930" s="18"/>
      <c r="LTF930" s="18"/>
      <c r="LTG930" s="18"/>
      <c r="LTH930" s="18"/>
      <c r="LTI930" s="18"/>
      <c r="LTJ930" s="18"/>
      <c r="LTK930" s="18"/>
      <c r="LTL930" s="18"/>
      <c r="LTM930" s="18"/>
      <c r="LTN930" s="18"/>
      <c r="LTO930" s="18"/>
      <c r="LTP930" s="18"/>
      <c r="LTQ930" s="18"/>
      <c r="LTR930" s="18"/>
      <c r="LTS930" s="18"/>
      <c r="LTT930" s="18"/>
      <c r="LTU930" s="18"/>
      <c r="LTV930" s="18"/>
      <c r="LTW930" s="18"/>
      <c r="LTX930" s="18"/>
      <c r="LTY930" s="18"/>
      <c r="LTZ930" s="18"/>
      <c r="LUA930" s="18"/>
      <c r="LUB930" s="18"/>
      <c r="LUC930" s="18"/>
      <c r="LUD930" s="18"/>
      <c r="LUE930" s="18"/>
      <c r="LUF930" s="18"/>
      <c r="LUG930" s="18"/>
      <c r="LUH930" s="18"/>
      <c r="LUI930" s="18"/>
      <c r="LUJ930" s="18"/>
      <c r="LUK930" s="18"/>
      <c r="LUL930" s="18"/>
      <c r="LUM930" s="18"/>
      <c r="LUN930" s="18"/>
      <c r="LUO930" s="18"/>
      <c r="LUP930" s="18"/>
      <c r="LUQ930" s="18"/>
      <c r="LUR930" s="18"/>
      <c r="LUS930" s="18"/>
      <c r="LUT930" s="18"/>
      <c r="LUU930" s="18"/>
      <c r="LUV930" s="18"/>
      <c r="LUW930" s="18"/>
      <c r="LUX930" s="18"/>
      <c r="LUY930" s="18"/>
      <c r="LUZ930" s="18"/>
      <c r="LVA930" s="18"/>
      <c r="LVB930" s="18"/>
      <c r="LVC930" s="18"/>
      <c r="LVD930" s="18"/>
      <c r="LVE930" s="18"/>
      <c r="LVF930" s="18"/>
      <c r="LVG930" s="18"/>
      <c r="LVH930" s="18"/>
      <c r="LVI930" s="18"/>
      <c r="LVJ930" s="18"/>
      <c r="LVK930" s="18"/>
      <c r="LVL930" s="18"/>
      <c r="LVM930" s="18"/>
      <c r="LVN930" s="18"/>
      <c r="LVO930" s="18"/>
      <c r="LVP930" s="18"/>
      <c r="LVQ930" s="18"/>
      <c r="LVR930" s="18"/>
      <c r="LVS930" s="18"/>
      <c r="LVT930" s="18"/>
      <c r="LVU930" s="18"/>
      <c r="LVV930" s="18"/>
      <c r="LVW930" s="18"/>
      <c r="LVX930" s="18"/>
      <c r="LVY930" s="18"/>
      <c r="LVZ930" s="18"/>
      <c r="LWA930" s="18"/>
      <c r="LWB930" s="18"/>
      <c r="LWC930" s="18"/>
      <c r="LWD930" s="18"/>
      <c r="LWE930" s="18"/>
      <c r="LWF930" s="18"/>
      <c r="LWG930" s="18"/>
      <c r="LWH930" s="18"/>
      <c r="LWI930" s="18"/>
      <c r="LWJ930" s="18"/>
      <c r="LWK930" s="18"/>
      <c r="LWL930" s="18"/>
      <c r="LWM930" s="18"/>
      <c r="LWN930" s="18"/>
      <c r="LWO930" s="18"/>
      <c r="LWP930" s="18"/>
      <c r="LWQ930" s="18"/>
      <c r="LWR930" s="18"/>
      <c r="LWS930" s="18"/>
      <c r="LWT930" s="18"/>
      <c r="LWU930" s="18"/>
      <c r="LWV930" s="18"/>
      <c r="LWW930" s="18"/>
      <c r="LWX930" s="18"/>
      <c r="LWY930" s="18"/>
      <c r="LWZ930" s="18"/>
      <c r="LXA930" s="18"/>
      <c r="LXB930" s="18"/>
      <c r="LXC930" s="18"/>
      <c r="LXD930" s="18"/>
      <c r="LXE930" s="18"/>
      <c r="LXF930" s="18"/>
      <c r="LXG930" s="18"/>
      <c r="LXH930" s="18"/>
      <c r="LXI930" s="18"/>
      <c r="LXJ930" s="18"/>
      <c r="LXK930" s="18"/>
      <c r="LXL930" s="18"/>
      <c r="LXM930" s="18"/>
      <c r="LXN930" s="18"/>
      <c r="LXO930" s="18"/>
      <c r="LXP930" s="18"/>
      <c r="LXQ930" s="18"/>
      <c r="LXR930" s="18"/>
      <c r="LXS930" s="18"/>
      <c r="LXT930" s="18"/>
      <c r="LXU930" s="18"/>
      <c r="LXV930" s="18"/>
      <c r="LXW930" s="18"/>
      <c r="LXX930" s="18"/>
      <c r="LXY930" s="18"/>
      <c r="LXZ930" s="18"/>
      <c r="LYA930" s="18"/>
      <c r="LYB930" s="18"/>
      <c r="LYC930" s="18"/>
      <c r="LYD930" s="18"/>
      <c r="LYE930" s="18"/>
      <c r="LYF930" s="18"/>
      <c r="LYG930" s="18"/>
      <c r="LYH930" s="18"/>
      <c r="LYI930" s="18"/>
      <c r="LYJ930" s="18"/>
      <c r="LYK930" s="18"/>
      <c r="LYL930" s="18"/>
      <c r="LYM930" s="18"/>
      <c r="LYN930" s="18"/>
      <c r="LYO930" s="18"/>
      <c r="LYP930" s="18"/>
      <c r="LYQ930" s="18"/>
      <c r="LYR930" s="18"/>
      <c r="LYS930" s="18"/>
      <c r="LYT930" s="18"/>
      <c r="LYU930" s="18"/>
      <c r="LYV930" s="18"/>
      <c r="LYW930" s="18"/>
      <c r="LYX930" s="18"/>
      <c r="LYY930" s="18"/>
      <c r="LYZ930" s="18"/>
      <c r="LZA930" s="18"/>
      <c r="LZB930" s="18"/>
      <c r="LZC930" s="18"/>
      <c r="LZD930" s="18"/>
      <c r="LZE930" s="18"/>
      <c r="LZF930" s="18"/>
      <c r="LZG930" s="18"/>
      <c r="LZH930" s="18"/>
      <c r="LZI930" s="18"/>
      <c r="LZJ930" s="18"/>
      <c r="LZK930" s="18"/>
      <c r="LZL930" s="18"/>
      <c r="LZM930" s="18"/>
      <c r="LZN930" s="18"/>
      <c r="LZO930" s="18"/>
      <c r="LZP930" s="18"/>
      <c r="LZQ930" s="18"/>
      <c r="LZR930" s="18"/>
      <c r="LZS930" s="18"/>
      <c r="LZT930" s="18"/>
      <c r="LZU930" s="18"/>
      <c r="LZV930" s="18"/>
      <c r="LZW930" s="18"/>
      <c r="LZX930" s="18"/>
      <c r="LZY930" s="18"/>
      <c r="LZZ930" s="18"/>
      <c r="MAA930" s="18"/>
      <c r="MAB930" s="18"/>
      <c r="MAC930" s="18"/>
      <c r="MAD930" s="18"/>
      <c r="MAE930" s="18"/>
      <c r="MAF930" s="18"/>
      <c r="MAG930" s="18"/>
      <c r="MAH930" s="18"/>
      <c r="MAI930" s="18"/>
      <c r="MAJ930" s="18"/>
      <c r="MAK930" s="18"/>
      <c r="MAL930" s="18"/>
      <c r="MAM930" s="18"/>
      <c r="MAN930" s="18"/>
      <c r="MAO930" s="18"/>
      <c r="MAP930" s="18"/>
      <c r="MAQ930" s="18"/>
      <c r="MAR930" s="18"/>
      <c r="MAS930" s="18"/>
      <c r="MAT930" s="18"/>
      <c r="MAU930" s="18"/>
      <c r="MAV930" s="18"/>
      <c r="MAW930" s="18"/>
      <c r="MAX930" s="18"/>
      <c r="MAY930" s="18"/>
      <c r="MAZ930" s="18"/>
      <c r="MBA930" s="18"/>
      <c r="MBB930" s="18"/>
      <c r="MBC930" s="18"/>
      <c r="MBD930" s="18"/>
      <c r="MBE930" s="18"/>
      <c r="MBF930" s="18"/>
      <c r="MBG930" s="18"/>
      <c r="MBH930" s="18"/>
      <c r="MBI930" s="18"/>
      <c r="MBJ930" s="18"/>
      <c r="MBK930" s="18"/>
      <c r="MBL930" s="18"/>
      <c r="MBM930" s="18"/>
      <c r="MBN930" s="18"/>
      <c r="MBO930" s="18"/>
      <c r="MBP930" s="18"/>
      <c r="MBQ930" s="18"/>
      <c r="MBR930" s="18"/>
      <c r="MBS930" s="18"/>
      <c r="MBT930" s="18"/>
      <c r="MBU930" s="18"/>
      <c r="MBV930" s="18"/>
      <c r="MBW930" s="18"/>
      <c r="MBX930" s="18"/>
      <c r="MBY930" s="18"/>
      <c r="MBZ930" s="18"/>
      <c r="MCA930" s="18"/>
      <c r="MCB930" s="18"/>
      <c r="MCC930" s="18"/>
      <c r="MCD930" s="18"/>
      <c r="MCE930" s="18"/>
      <c r="MCF930" s="18"/>
      <c r="MCG930" s="18"/>
      <c r="MCH930" s="18"/>
      <c r="MCI930" s="18"/>
      <c r="MCJ930" s="18"/>
      <c r="MCK930" s="18"/>
      <c r="MCL930" s="18"/>
      <c r="MCM930" s="18"/>
      <c r="MCN930" s="18"/>
      <c r="MCO930" s="18"/>
      <c r="MCP930" s="18"/>
      <c r="MCQ930" s="18"/>
      <c r="MCR930" s="18"/>
      <c r="MCS930" s="18"/>
      <c r="MCT930" s="18"/>
      <c r="MCU930" s="18"/>
      <c r="MCV930" s="18"/>
      <c r="MCW930" s="18"/>
      <c r="MCX930" s="18"/>
      <c r="MCY930" s="18"/>
      <c r="MCZ930" s="18"/>
      <c r="MDA930" s="18"/>
      <c r="MDB930" s="18"/>
      <c r="MDC930" s="18"/>
      <c r="MDD930" s="18"/>
      <c r="MDE930" s="18"/>
      <c r="MDF930" s="18"/>
      <c r="MDG930" s="18"/>
      <c r="MDH930" s="18"/>
      <c r="MDI930" s="18"/>
      <c r="MDJ930" s="18"/>
      <c r="MDK930" s="18"/>
      <c r="MDL930" s="18"/>
      <c r="MDM930" s="18"/>
      <c r="MDN930" s="18"/>
      <c r="MDO930" s="18"/>
      <c r="MDP930" s="18"/>
      <c r="MDQ930" s="18"/>
      <c r="MDR930" s="18"/>
      <c r="MDS930" s="18"/>
      <c r="MDT930" s="18"/>
      <c r="MDU930" s="18"/>
      <c r="MDV930" s="18"/>
      <c r="MDW930" s="18"/>
      <c r="MDX930" s="18"/>
      <c r="MDY930" s="18"/>
      <c r="MDZ930" s="18"/>
      <c r="MEA930" s="18"/>
      <c r="MEB930" s="18"/>
      <c r="MEC930" s="18"/>
      <c r="MED930" s="18"/>
      <c r="MEE930" s="18"/>
      <c r="MEF930" s="18"/>
      <c r="MEG930" s="18"/>
      <c r="MEH930" s="18"/>
      <c r="MEI930" s="18"/>
      <c r="MEJ930" s="18"/>
      <c r="MEK930" s="18"/>
      <c r="MEL930" s="18"/>
      <c r="MEM930" s="18"/>
      <c r="MEN930" s="18"/>
      <c r="MEO930" s="18"/>
      <c r="MEP930" s="18"/>
      <c r="MEQ930" s="18"/>
      <c r="MER930" s="18"/>
      <c r="MES930" s="18"/>
      <c r="MET930" s="18"/>
      <c r="MEU930" s="18"/>
      <c r="MEV930" s="18"/>
      <c r="MEW930" s="18"/>
      <c r="MEX930" s="18"/>
      <c r="MEY930" s="18"/>
      <c r="MEZ930" s="18"/>
      <c r="MFA930" s="18"/>
      <c r="MFB930" s="18"/>
      <c r="MFC930" s="18"/>
      <c r="MFD930" s="18"/>
      <c r="MFE930" s="18"/>
      <c r="MFF930" s="18"/>
      <c r="MFG930" s="18"/>
      <c r="MFH930" s="18"/>
      <c r="MFI930" s="18"/>
      <c r="MFJ930" s="18"/>
      <c r="MFK930" s="18"/>
      <c r="MFL930" s="18"/>
      <c r="MFM930" s="18"/>
      <c r="MFN930" s="18"/>
      <c r="MFO930" s="18"/>
      <c r="MFP930" s="18"/>
      <c r="MFQ930" s="18"/>
      <c r="MFR930" s="18"/>
      <c r="MFS930" s="18"/>
      <c r="MFT930" s="18"/>
      <c r="MFU930" s="18"/>
      <c r="MFV930" s="18"/>
      <c r="MFW930" s="18"/>
      <c r="MFX930" s="18"/>
      <c r="MFY930" s="18"/>
      <c r="MFZ930" s="18"/>
      <c r="MGA930" s="18"/>
      <c r="MGB930" s="18"/>
      <c r="MGC930" s="18"/>
      <c r="MGD930" s="18"/>
      <c r="MGE930" s="18"/>
      <c r="MGF930" s="18"/>
      <c r="MGG930" s="18"/>
      <c r="MGH930" s="18"/>
      <c r="MGI930" s="18"/>
      <c r="MGJ930" s="18"/>
      <c r="MGK930" s="18"/>
      <c r="MGL930" s="18"/>
      <c r="MGM930" s="18"/>
      <c r="MGN930" s="18"/>
      <c r="MGO930" s="18"/>
      <c r="MGP930" s="18"/>
      <c r="MGQ930" s="18"/>
      <c r="MGR930" s="18"/>
      <c r="MGS930" s="18"/>
      <c r="MGT930" s="18"/>
      <c r="MGU930" s="18"/>
      <c r="MGV930" s="18"/>
      <c r="MGW930" s="18"/>
      <c r="MGX930" s="18"/>
      <c r="MGY930" s="18"/>
      <c r="MGZ930" s="18"/>
      <c r="MHA930" s="18"/>
      <c r="MHB930" s="18"/>
      <c r="MHC930" s="18"/>
      <c r="MHD930" s="18"/>
      <c r="MHE930" s="18"/>
      <c r="MHF930" s="18"/>
      <c r="MHG930" s="18"/>
      <c r="MHH930" s="18"/>
      <c r="MHI930" s="18"/>
      <c r="MHJ930" s="18"/>
      <c r="MHK930" s="18"/>
      <c r="MHL930" s="18"/>
      <c r="MHM930" s="18"/>
      <c r="MHN930" s="18"/>
      <c r="MHO930" s="18"/>
      <c r="MHP930" s="18"/>
      <c r="MHQ930" s="18"/>
      <c r="MHR930" s="18"/>
      <c r="MHS930" s="18"/>
      <c r="MHT930" s="18"/>
      <c r="MHU930" s="18"/>
      <c r="MHV930" s="18"/>
      <c r="MHW930" s="18"/>
      <c r="MHX930" s="18"/>
      <c r="MHY930" s="18"/>
      <c r="MHZ930" s="18"/>
      <c r="MIA930" s="18"/>
      <c r="MIB930" s="18"/>
      <c r="MIC930" s="18"/>
      <c r="MID930" s="18"/>
      <c r="MIE930" s="18"/>
      <c r="MIF930" s="18"/>
      <c r="MIG930" s="18"/>
      <c r="MIH930" s="18"/>
      <c r="MII930" s="18"/>
      <c r="MIJ930" s="18"/>
      <c r="MIK930" s="18"/>
      <c r="MIL930" s="18"/>
      <c r="MIM930" s="18"/>
      <c r="MIN930" s="18"/>
      <c r="MIO930" s="18"/>
      <c r="MIP930" s="18"/>
      <c r="MIQ930" s="18"/>
      <c r="MIR930" s="18"/>
      <c r="MIS930" s="18"/>
      <c r="MIT930" s="18"/>
      <c r="MIU930" s="18"/>
      <c r="MIV930" s="18"/>
      <c r="MIW930" s="18"/>
      <c r="MIX930" s="18"/>
      <c r="MIY930" s="18"/>
      <c r="MIZ930" s="18"/>
      <c r="MJA930" s="18"/>
      <c r="MJB930" s="18"/>
      <c r="MJC930" s="18"/>
      <c r="MJD930" s="18"/>
      <c r="MJE930" s="18"/>
      <c r="MJF930" s="18"/>
      <c r="MJG930" s="18"/>
      <c r="MJH930" s="18"/>
      <c r="MJI930" s="18"/>
      <c r="MJJ930" s="18"/>
      <c r="MJK930" s="18"/>
      <c r="MJL930" s="18"/>
      <c r="MJM930" s="18"/>
      <c r="MJN930" s="18"/>
      <c r="MJO930" s="18"/>
      <c r="MJP930" s="18"/>
      <c r="MJQ930" s="18"/>
      <c r="MJR930" s="18"/>
      <c r="MJS930" s="18"/>
      <c r="MJT930" s="18"/>
      <c r="MJU930" s="18"/>
      <c r="MJV930" s="18"/>
      <c r="MJW930" s="18"/>
      <c r="MJX930" s="18"/>
      <c r="MJY930" s="18"/>
      <c r="MJZ930" s="18"/>
      <c r="MKA930" s="18"/>
      <c r="MKB930" s="18"/>
      <c r="MKC930" s="18"/>
      <c r="MKD930" s="18"/>
      <c r="MKE930" s="18"/>
      <c r="MKF930" s="18"/>
      <c r="MKG930" s="18"/>
      <c r="MKH930" s="18"/>
      <c r="MKI930" s="18"/>
      <c r="MKJ930" s="18"/>
      <c r="MKK930" s="18"/>
      <c r="MKL930" s="18"/>
      <c r="MKM930" s="18"/>
      <c r="MKN930" s="18"/>
      <c r="MKO930" s="18"/>
      <c r="MKP930" s="18"/>
      <c r="MKQ930" s="18"/>
      <c r="MKR930" s="18"/>
      <c r="MKS930" s="18"/>
      <c r="MKT930" s="18"/>
      <c r="MKU930" s="18"/>
      <c r="MKV930" s="18"/>
      <c r="MKW930" s="18"/>
      <c r="MKX930" s="18"/>
      <c r="MKY930" s="18"/>
      <c r="MKZ930" s="18"/>
      <c r="MLA930" s="18"/>
      <c r="MLB930" s="18"/>
      <c r="MLC930" s="18"/>
      <c r="MLD930" s="18"/>
      <c r="MLE930" s="18"/>
      <c r="MLF930" s="18"/>
      <c r="MLG930" s="18"/>
      <c r="MLH930" s="18"/>
      <c r="MLI930" s="18"/>
      <c r="MLJ930" s="18"/>
      <c r="MLK930" s="18"/>
      <c r="MLL930" s="18"/>
      <c r="MLM930" s="18"/>
      <c r="MLN930" s="18"/>
      <c r="MLO930" s="18"/>
      <c r="MLP930" s="18"/>
      <c r="MLQ930" s="18"/>
      <c r="MLR930" s="18"/>
      <c r="MLS930" s="18"/>
      <c r="MLT930" s="18"/>
      <c r="MLU930" s="18"/>
      <c r="MLV930" s="18"/>
      <c r="MLW930" s="18"/>
      <c r="MLX930" s="18"/>
      <c r="MLY930" s="18"/>
      <c r="MLZ930" s="18"/>
      <c r="MMA930" s="18"/>
      <c r="MMB930" s="18"/>
      <c r="MMC930" s="18"/>
      <c r="MMD930" s="18"/>
      <c r="MME930" s="18"/>
      <c r="MMF930" s="18"/>
      <c r="MMG930" s="18"/>
      <c r="MMH930" s="18"/>
      <c r="MMI930" s="18"/>
      <c r="MMJ930" s="18"/>
      <c r="MMK930" s="18"/>
      <c r="MML930" s="18"/>
      <c r="MMM930" s="18"/>
      <c r="MMN930" s="18"/>
      <c r="MMO930" s="18"/>
      <c r="MMP930" s="18"/>
      <c r="MMQ930" s="18"/>
      <c r="MMR930" s="18"/>
      <c r="MMS930" s="18"/>
      <c r="MMT930" s="18"/>
      <c r="MMU930" s="18"/>
      <c r="MMV930" s="18"/>
      <c r="MMW930" s="18"/>
      <c r="MMX930" s="18"/>
      <c r="MMY930" s="18"/>
      <c r="MMZ930" s="18"/>
      <c r="MNA930" s="18"/>
      <c r="MNB930" s="18"/>
      <c r="MNC930" s="18"/>
      <c r="MND930" s="18"/>
      <c r="MNE930" s="18"/>
      <c r="MNF930" s="18"/>
      <c r="MNG930" s="18"/>
      <c r="MNH930" s="18"/>
      <c r="MNI930" s="18"/>
      <c r="MNJ930" s="18"/>
      <c r="MNK930" s="18"/>
      <c r="MNL930" s="18"/>
      <c r="MNM930" s="18"/>
      <c r="MNN930" s="18"/>
      <c r="MNO930" s="18"/>
      <c r="MNP930" s="18"/>
      <c r="MNQ930" s="18"/>
      <c r="MNR930" s="18"/>
      <c r="MNS930" s="18"/>
      <c r="MNT930" s="18"/>
      <c r="MNU930" s="18"/>
      <c r="MNV930" s="18"/>
      <c r="MNW930" s="18"/>
      <c r="MNX930" s="18"/>
      <c r="MNY930" s="18"/>
      <c r="MNZ930" s="18"/>
      <c r="MOA930" s="18"/>
      <c r="MOB930" s="18"/>
      <c r="MOC930" s="18"/>
      <c r="MOD930" s="18"/>
      <c r="MOE930" s="18"/>
      <c r="MOF930" s="18"/>
      <c r="MOG930" s="18"/>
      <c r="MOH930" s="18"/>
      <c r="MOI930" s="18"/>
      <c r="MOJ930" s="18"/>
      <c r="MOK930" s="18"/>
      <c r="MOL930" s="18"/>
      <c r="MOM930" s="18"/>
      <c r="MON930" s="18"/>
      <c r="MOO930" s="18"/>
      <c r="MOP930" s="18"/>
      <c r="MOQ930" s="18"/>
      <c r="MOR930" s="18"/>
      <c r="MOS930" s="18"/>
      <c r="MOT930" s="18"/>
      <c r="MOU930" s="18"/>
      <c r="MOV930" s="18"/>
      <c r="MOW930" s="18"/>
      <c r="MOX930" s="18"/>
      <c r="MOY930" s="18"/>
      <c r="MOZ930" s="18"/>
      <c r="MPA930" s="18"/>
      <c r="MPB930" s="18"/>
      <c r="MPC930" s="18"/>
      <c r="MPD930" s="18"/>
      <c r="MPE930" s="18"/>
      <c r="MPF930" s="18"/>
      <c r="MPG930" s="18"/>
      <c r="MPH930" s="18"/>
      <c r="MPI930" s="18"/>
      <c r="MPJ930" s="18"/>
      <c r="MPK930" s="18"/>
      <c r="MPL930" s="18"/>
      <c r="MPM930" s="18"/>
      <c r="MPN930" s="18"/>
      <c r="MPO930" s="18"/>
      <c r="MPP930" s="18"/>
      <c r="MPQ930" s="18"/>
      <c r="MPR930" s="18"/>
      <c r="MPS930" s="18"/>
      <c r="MPT930" s="18"/>
      <c r="MPU930" s="18"/>
      <c r="MPV930" s="18"/>
      <c r="MPW930" s="18"/>
      <c r="MPX930" s="18"/>
      <c r="MPY930" s="18"/>
      <c r="MPZ930" s="18"/>
      <c r="MQA930" s="18"/>
      <c r="MQB930" s="18"/>
      <c r="MQC930" s="18"/>
      <c r="MQD930" s="18"/>
      <c r="MQE930" s="18"/>
      <c r="MQF930" s="18"/>
      <c r="MQG930" s="18"/>
      <c r="MQH930" s="18"/>
      <c r="MQI930" s="18"/>
      <c r="MQJ930" s="18"/>
      <c r="MQK930" s="18"/>
      <c r="MQL930" s="18"/>
      <c r="MQM930" s="18"/>
      <c r="MQN930" s="18"/>
      <c r="MQO930" s="18"/>
      <c r="MQP930" s="18"/>
      <c r="MQQ930" s="18"/>
      <c r="MQR930" s="18"/>
      <c r="MQS930" s="18"/>
      <c r="MQT930" s="18"/>
      <c r="MQU930" s="18"/>
      <c r="MQV930" s="18"/>
      <c r="MQW930" s="18"/>
      <c r="MQX930" s="18"/>
      <c r="MQY930" s="18"/>
      <c r="MQZ930" s="18"/>
      <c r="MRA930" s="18"/>
      <c r="MRB930" s="18"/>
      <c r="MRC930" s="18"/>
      <c r="MRD930" s="18"/>
      <c r="MRE930" s="18"/>
      <c r="MRF930" s="18"/>
      <c r="MRG930" s="18"/>
      <c r="MRH930" s="18"/>
      <c r="MRI930" s="18"/>
      <c r="MRJ930" s="18"/>
      <c r="MRK930" s="18"/>
      <c r="MRL930" s="18"/>
      <c r="MRM930" s="18"/>
      <c r="MRN930" s="18"/>
      <c r="MRO930" s="18"/>
      <c r="MRP930" s="18"/>
      <c r="MRQ930" s="18"/>
      <c r="MRR930" s="18"/>
      <c r="MRS930" s="18"/>
      <c r="MRT930" s="18"/>
      <c r="MRU930" s="18"/>
      <c r="MRV930" s="18"/>
      <c r="MRW930" s="18"/>
      <c r="MRX930" s="18"/>
      <c r="MRY930" s="18"/>
      <c r="MRZ930" s="18"/>
      <c r="MSA930" s="18"/>
      <c r="MSB930" s="18"/>
      <c r="MSC930" s="18"/>
      <c r="MSD930" s="18"/>
      <c r="MSE930" s="18"/>
      <c r="MSF930" s="18"/>
      <c r="MSG930" s="18"/>
      <c r="MSH930" s="18"/>
      <c r="MSI930" s="18"/>
      <c r="MSJ930" s="18"/>
      <c r="MSK930" s="18"/>
      <c r="MSL930" s="18"/>
      <c r="MSM930" s="18"/>
      <c r="MSN930" s="18"/>
      <c r="MSO930" s="18"/>
      <c r="MSP930" s="18"/>
      <c r="MSQ930" s="18"/>
      <c r="MSR930" s="18"/>
      <c r="MSS930" s="18"/>
      <c r="MST930" s="18"/>
      <c r="MSU930" s="18"/>
      <c r="MSV930" s="18"/>
      <c r="MSW930" s="18"/>
      <c r="MSX930" s="18"/>
      <c r="MSY930" s="18"/>
      <c r="MSZ930" s="18"/>
      <c r="MTA930" s="18"/>
      <c r="MTB930" s="18"/>
      <c r="MTC930" s="18"/>
      <c r="MTD930" s="18"/>
      <c r="MTE930" s="18"/>
      <c r="MTF930" s="18"/>
      <c r="MTG930" s="18"/>
      <c r="MTH930" s="18"/>
      <c r="MTI930" s="18"/>
      <c r="MTJ930" s="18"/>
      <c r="MTK930" s="18"/>
      <c r="MTL930" s="18"/>
      <c r="MTM930" s="18"/>
      <c r="MTN930" s="18"/>
      <c r="MTO930" s="18"/>
      <c r="MTP930" s="18"/>
      <c r="MTQ930" s="18"/>
      <c r="MTR930" s="18"/>
      <c r="MTS930" s="18"/>
      <c r="MTT930" s="18"/>
      <c r="MTU930" s="18"/>
      <c r="MTV930" s="18"/>
      <c r="MTW930" s="18"/>
      <c r="MTX930" s="18"/>
      <c r="MTY930" s="18"/>
      <c r="MTZ930" s="18"/>
      <c r="MUA930" s="18"/>
      <c r="MUB930" s="18"/>
      <c r="MUC930" s="18"/>
      <c r="MUD930" s="18"/>
      <c r="MUE930" s="18"/>
      <c r="MUF930" s="18"/>
      <c r="MUG930" s="18"/>
      <c r="MUH930" s="18"/>
      <c r="MUI930" s="18"/>
      <c r="MUJ930" s="18"/>
      <c r="MUK930" s="18"/>
      <c r="MUL930" s="18"/>
      <c r="MUM930" s="18"/>
      <c r="MUN930" s="18"/>
      <c r="MUO930" s="18"/>
      <c r="MUP930" s="18"/>
      <c r="MUQ930" s="18"/>
      <c r="MUR930" s="18"/>
      <c r="MUS930" s="18"/>
      <c r="MUT930" s="18"/>
      <c r="MUU930" s="18"/>
      <c r="MUV930" s="18"/>
      <c r="MUW930" s="18"/>
      <c r="MUX930" s="18"/>
      <c r="MUY930" s="18"/>
      <c r="MUZ930" s="18"/>
      <c r="MVA930" s="18"/>
      <c r="MVB930" s="18"/>
      <c r="MVC930" s="18"/>
      <c r="MVD930" s="18"/>
      <c r="MVE930" s="18"/>
      <c r="MVF930" s="18"/>
      <c r="MVG930" s="18"/>
      <c r="MVH930" s="18"/>
      <c r="MVI930" s="18"/>
      <c r="MVJ930" s="18"/>
      <c r="MVK930" s="18"/>
      <c r="MVL930" s="18"/>
      <c r="MVM930" s="18"/>
      <c r="MVN930" s="18"/>
      <c r="MVO930" s="18"/>
      <c r="MVP930" s="18"/>
      <c r="MVQ930" s="18"/>
      <c r="MVR930" s="18"/>
      <c r="MVS930" s="18"/>
      <c r="MVT930" s="18"/>
      <c r="MVU930" s="18"/>
      <c r="MVV930" s="18"/>
      <c r="MVW930" s="18"/>
      <c r="MVX930" s="18"/>
      <c r="MVY930" s="18"/>
      <c r="MVZ930" s="18"/>
      <c r="MWA930" s="18"/>
      <c r="MWB930" s="18"/>
      <c r="MWC930" s="18"/>
      <c r="MWD930" s="18"/>
      <c r="MWE930" s="18"/>
      <c r="MWF930" s="18"/>
      <c r="MWG930" s="18"/>
      <c r="MWH930" s="18"/>
      <c r="MWI930" s="18"/>
      <c r="MWJ930" s="18"/>
      <c r="MWK930" s="18"/>
      <c r="MWL930" s="18"/>
      <c r="MWM930" s="18"/>
      <c r="MWN930" s="18"/>
      <c r="MWO930" s="18"/>
      <c r="MWP930" s="18"/>
      <c r="MWQ930" s="18"/>
      <c r="MWR930" s="18"/>
      <c r="MWS930" s="18"/>
      <c r="MWT930" s="18"/>
      <c r="MWU930" s="18"/>
      <c r="MWV930" s="18"/>
      <c r="MWW930" s="18"/>
      <c r="MWX930" s="18"/>
      <c r="MWY930" s="18"/>
      <c r="MWZ930" s="18"/>
      <c r="MXA930" s="18"/>
      <c r="MXB930" s="18"/>
      <c r="MXC930" s="18"/>
      <c r="MXD930" s="18"/>
      <c r="MXE930" s="18"/>
      <c r="MXF930" s="18"/>
      <c r="MXG930" s="18"/>
      <c r="MXH930" s="18"/>
      <c r="MXI930" s="18"/>
      <c r="MXJ930" s="18"/>
      <c r="MXK930" s="18"/>
      <c r="MXL930" s="18"/>
      <c r="MXM930" s="18"/>
      <c r="MXN930" s="18"/>
      <c r="MXO930" s="18"/>
      <c r="MXP930" s="18"/>
      <c r="MXQ930" s="18"/>
      <c r="MXR930" s="18"/>
      <c r="MXS930" s="18"/>
      <c r="MXT930" s="18"/>
      <c r="MXU930" s="18"/>
      <c r="MXV930" s="18"/>
      <c r="MXW930" s="18"/>
      <c r="MXX930" s="18"/>
      <c r="MXY930" s="18"/>
      <c r="MXZ930" s="18"/>
      <c r="MYA930" s="18"/>
      <c r="MYB930" s="18"/>
      <c r="MYC930" s="18"/>
      <c r="MYD930" s="18"/>
      <c r="MYE930" s="18"/>
      <c r="MYF930" s="18"/>
      <c r="MYG930" s="18"/>
      <c r="MYH930" s="18"/>
      <c r="MYI930" s="18"/>
      <c r="MYJ930" s="18"/>
      <c r="MYK930" s="18"/>
      <c r="MYL930" s="18"/>
      <c r="MYM930" s="18"/>
      <c r="MYN930" s="18"/>
      <c r="MYO930" s="18"/>
      <c r="MYP930" s="18"/>
      <c r="MYQ930" s="18"/>
      <c r="MYR930" s="18"/>
      <c r="MYS930" s="18"/>
      <c r="MYT930" s="18"/>
      <c r="MYU930" s="18"/>
      <c r="MYV930" s="18"/>
      <c r="MYW930" s="18"/>
      <c r="MYX930" s="18"/>
      <c r="MYY930" s="18"/>
      <c r="MYZ930" s="18"/>
      <c r="MZA930" s="18"/>
      <c r="MZB930" s="18"/>
      <c r="MZC930" s="18"/>
      <c r="MZD930" s="18"/>
      <c r="MZE930" s="18"/>
      <c r="MZF930" s="18"/>
      <c r="MZG930" s="18"/>
      <c r="MZH930" s="18"/>
      <c r="MZI930" s="18"/>
      <c r="MZJ930" s="18"/>
      <c r="MZK930" s="18"/>
      <c r="MZL930" s="18"/>
      <c r="MZM930" s="18"/>
      <c r="MZN930" s="18"/>
      <c r="MZO930" s="18"/>
      <c r="MZP930" s="18"/>
      <c r="MZQ930" s="18"/>
      <c r="MZR930" s="18"/>
      <c r="MZS930" s="18"/>
      <c r="MZT930" s="18"/>
      <c r="MZU930" s="18"/>
      <c r="MZV930" s="18"/>
      <c r="MZW930" s="18"/>
      <c r="MZX930" s="18"/>
      <c r="MZY930" s="18"/>
      <c r="MZZ930" s="18"/>
      <c r="NAA930" s="18"/>
      <c r="NAB930" s="18"/>
      <c r="NAC930" s="18"/>
      <c r="NAD930" s="18"/>
      <c r="NAE930" s="18"/>
      <c r="NAF930" s="18"/>
      <c r="NAG930" s="18"/>
      <c r="NAH930" s="18"/>
      <c r="NAI930" s="18"/>
      <c r="NAJ930" s="18"/>
      <c r="NAK930" s="18"/>
      <c r="NAL930" s="18"/>
      <c r="NAM930" s="18"/>
      <c r="NAN930" s="18"/>
      <c r="NAO930" s="18"/>
      <c r="NAP930" s="18"/>
      <c r="NAQ930" s="18"/>
      <c r="NAR930" s="18"/>
      <c r="NAS930" s="18"/>
      <c r="NAT930" s="18"/>
      <c r="NAU930" s="18"/>
      <c r="NAV930" s="18"/>
      <c r="NAW930" s="18"/>
      <c r="NAX930" s="18"/>
      <c r="NAY930" s="18"/>
      <c r="NAZ930" s="18"/>
      <c r="NBA930" s="18"/>
      <c r="NBB930" s="18"/>
      <c r="NBC930" s="18"/>
      <c r="NBD930" s="18"/>
      <c r="NBE930" s="18"/>
      <c r="NBF930" s="18"/>
      <c r="NBG930" s="18"/>
      <c r="NBH930" s="18"/>
      <c r="NBI930" s="18"/>
      <c r="NBJ930" s="18"/>
      <c r="NBK930" s="18"/>
      <c r="NBL930" s="18"/>
      <c r="NBM930" s="18"/>
      <c r="NBN930" s="18"/>
      <c r="NBO930" s="18"/>
      <c r="NBP930" s="18"/>
      <c r="NBQ930" s="18"/>
      <c r="NBR930" s="18"/>
      <c r="NBS930" s="18"/>
      <c r="NBT930" s="18"/>
      <c r="NBU930" s="18"/>
      <c r="NBV930" s="18"/>
      <c r="NBW930" s="18"/>
      <c r="NBX930" s="18"/>
      <c r="NBY930" s="18"/>
      <c r="NBZ930" s="18"/>
      <c r="NCA930" s="18"/>
      <c r="NCB930" s="18"/>
      <c r="NCC930" s="18"/>
      <c r="NCD930" s="18"/>
      <c r="NCE930" s="18"/>
      <c r="NCF930" s="18"/>
      <c r="NCG930" s="18"/>
      <c r="NCH930" s="18"/>
      <c r="NCI930" s="18"/>
      <c r="NCJ930" s="18"/>
      <c r="NCK930" s="18"/>
      <c r="NCL930" s="18"/>
      <c r="NCM930" s="18"/>
      <c r="NCN930" s="18"/>
      <c r="NCO930" s="18"/>
      <c r="NCP930" s="18"/>
      <c r="NCQ930" s="18"/>
      <c r="NCR930" s="18"/>
      <c r="NCS930" s="18"/>
      <c r="NCT930" s="18"/>
      <c r="NCU930" s="18"/>
      <c r="NCV930" s="18"/>
      <c r="NCW930" s="18"/>
      <c r="NCX930" s="18"/>
      <c r="NCY930" s="18"/>
      <c r="NCZ930" s="18"/>
      <c r="NDA930" s="18"/>
      <c r="NDB930" s="18"/>
      <c r="NDC930" s="18"/>
      <c r="NDD930" s="18"/>
      <c r="NDE930" s="18"/>
      <c r="NDF930" s="18"/>
      <c r="NDG930" s="18"/>
      <c r="NDH930" s="18"/>
      <c r="NDI930" s="18"/>
      <c r="NDJ930" s="18"/>
      <c r="NDK930" s="18"/>
      <c r="NDL930" s="18"/>
      <c r="NDM930" s="18"/>
      <c r="NDN930" s="18"/>
      <c r="NDO930" s="18"/>
      <c r="NDP930" s="18"/>
      <c r="NDQ930" s="18"/>
      <c r="NDR930" s="18"/>
      <c r="NDS930" s="18"/>
      <c r="NDT930" s="18"/>
      <c r="NDU930" s="18"/>
      <c r="NDV930" s="18"/>
      <c r="NDW930" s="18"/>
      <c r="NDX930" s="18"/>
      <c r="NDY930" s="18"/>
      <c r="NDZ930" s="18"/>
      <c r="NEA930" s="18"/>
      <c r="NEB930" s="18"/>
      <c r="NEC930" s="18"/>
      <c r="NED930" s="18"/>
      <c r="NEE930" s="18"/>
      <c r="NEF930" s="18"/>
      <c r="NEG930" s="18"/>
      <c r="NEH930" s="18"/>
      <c r="NEI930" s="18"/>
      <c r="NEJ930" s="18"/>
      <c r="NEK930" s="18"/>
      <c r="NEL930" s="18"/>
      <c r="NEM930" s="18"/>
      <c r="NEN930" s="18"/>
      <c r="NEO930" s="18"/>
      <c r="NEP930" s="18"/>
      <c r="NEQ930" s="18"/>
      <c r="NER930" s="18"/>
      <c r="NES930" s="18"/>
      <c r="NET930" s="18"/>
      <c r="NEU930" s="18"/>
      <c r="NEV930" s="18"/>
      <c r="NEW930" s="18"/>
      <c r="NEX930" s="18"/>
      <c r="NEY930" s="18"/>
      <c r="NEZ930" s="18"/>
      <c r="NFA930" s="18"/>
      <c r="NFB930" s="18"/>
      <c r="NFC930" s="18"/>
      <c r="NFD930" s="18"/>
      <c r="NFE930" s="18"/>
      <c r="NFF930" s="18"/>
      <c r="NFG930" s="18"/>
      <c r="NFH930" s="18"/>
      <c r="NFI930" s="18"/>
      <c r="NFJ930" s="18"/>
      <c r="NFK930" s="18"/>
      <c r="NFL930" s="18"/>
      <c r="NFM930" s="18"/>
      <c r="NFN930" s="18"/>
      <c r="NFO930" s="18"/>
      <c r="NFP930" s="18"/>
      <c r="NFQ930" s="18"/>
      <c r="NFR930" s="18"/>
      <c r="NFS930" s="18"/>
      <c r="NFT930" s="18"/>
      <c r="NFU930" s="18"/>
      <c r="NFV930" s="18"/>
      <c r="NFW930" s="18"/>
      <c r="NFX930" s="18"/>
      <c r="NFY930" s="18"/>
      <c r="NFZ930" s="18"/>
      <c r="NGA930" s="18"/>
      <c r="NGB930" s="18"/>
      <c r="NGC930" s="18"/>
      <c r="NGD930" s="18"/>
      <c r="NGE930" s="18"/>
      <c r="NGF930" s="18"/>
      <c r="NGG930" s="18"/>
      <c r="NGH930" s="18"/>
      <c r="NGI930" s="18"/>
      <c r="NGJ930" s="18"/>
      <c r="NGK930" s="18"/>
      <c r="NGL930" s="18"/>
      <c r="NGM930" s="18"/>
      <c r="NGN930" s="18"/>
      <c r="NGO930" s="18"/>
      <c r="NGP930" s="18"/>
      <c r="NGQ930" s="18"/>
      <c r="NGR930" s="18"/>
      <c r="NGS930" s="18"/>
      <c r="NGT930" s="18"/>
      <c r="NGU930" s="18"/>
      <c r="NGV930" s="18"/>
      <c r="NGW930" s="18"/>
      <c r="NGX930" s="18"/>
      <c r="NGY930" s="18"/>
      <c r="NGZ930" s="18"/>
      <c r="NHA930" s="18"/>
      <c r="NHB930" s="18"/>
      <c r="NHC930" s="18"/>
      <c r="NHD930" s="18"/>
      <c r="NHE930" s="18"/>
      <c r="NHF930" s="18"/>
      <c r="NHG930" s="18"/>
      <c r="NHH930" s="18"/>
      <c r="NHI930" s="18"/>
      <c r="NHJ930" s="18"/>
      <c r="NHK930" s="18"/>
      <c r="NHL930" s="18"/>
      <c r="NHM930" s="18"/>
      <c r="NHN930" s="18"/>
      <c r="NHO930" s="18"/>
      <c r="NHP930" s="18"/>
      <c r="NHQ930" s="18"/>
      <c r="NHR930" s="18"/>
      <c r="NHS930" s="18"/>
      <c r="NHT930" s="18"/>
      <c r="NHU930" s="18"/>
      <c r="NHV930" s="18"/>
      <c r="NHW930" s="18"/>
      <c r="NHX930" s="18"/>
      <c r="NHY930" s="18"/>
      <c r="NHZ930" s="18"/>
      <c r="NIA930" s="18"/>
      <c r="NIB930" s="18"/>
      <c r="NIC930" s="18"/>
      <c r="NID930" s="18"/>
      <c r="NIE930" s="18"/>
      <c r="NIF930" s="18"/>
      <c r="NIG930" s="18"/>
      <c r="NIH930" s="18"/>
      <c r="NII930" s="18"/>
      <c r="NIJ930" s="18"/>
      <c r="NIK930" s="18"/>
      <c r="NIL930" s="18"/>
      <c r="NIM930" s="18"/>
      <c r="NIN930" s="18"/>
      <c r="NIO930" s="18"/>
      <c r="NIP930" s="18"/>
      <c r="NIQ930" s="18"/>
      <c r="NIR930" s="18"/>
      <c r="NIS930" s="18"/>
      <c r="NIT930" s="18"/>
      <c r="NIU930" s="18"/>
      <c r="NIV930" s="18"/>
      <c r="NIW930" s="18"/>
      <c r="NIX930" s="18"/>
      <c r="NIY930" s="18"/>
      <c r="NIZ930" s="18"/>
      <c r="NJA930" s="18"/>
      <c r="NJB930" s="18"/>
      <c r="NJC930" s="18"/>
      <c r="NJD930" s="18"/>
      <c r="NJE930" s="18"/>
      <c r="NJF930" s="18"/>
      <c r="NJG930" s="18"/>
      <c r="NJH930" s="18"/>
      <c r="NJI930" s="18"/>
      <c r="NJJ930" s="18"/>
      <c r="NJK930" s="18"/>
      <c r="NJL930" s="18"/>
      <c r="NJM930" s="18"/>
      <c r="NJN930" s="18"/>
      <c r="NJO930" s="18"/>
      <c r="NJP930" s="18"/>
      <c r="NJQ930" s="18"/>
      <c r="NJR930" s="18"/>
      <c r="NJS930" s="18"/>
      <c r="NJT930" s="18"/>
      <c r="NJU930" s="18"/>
      <c r="NJV930" s="18"/>
      <c r="NJW930" s="18"/>
      <c r="NJX930" s="18"/>
      <c r="NJY930" s="18"/>
      <c r="NJZ930" s="18"/>
      <c r="NKA930" s="18"/>
      <c r="NKB930" s="18"/>
      <c r="NKC930" s="18"/>
      <c r="NKD930" s="18"/>
      <c r="NKE930" s="18"/>
      <c r="NKF930" s="18"/>
      <c r="NKG930" s="18"/>
      <c r="NKH930" s="18"/>
      <c r="NKI930" s="18"/>
      <c r="NKJ930" s="18"/>
      <c r="NKK930" s="18"/>
      <c r="NKL930" s="18"/>
      <c r="NKM930" s="18"/>
      <c r="NKN930" s="18"/>
      <c r="NKO930" s="18"/>
      <c r="NKP930" s="18"/>
      <c r="NKQ930" s="18"/>
      <c r="NKR930" s="18"/>
      <c r="NKS930" s="18"/>
      <c r="NKT930" s="18"/>
      <c r="NKU930" s="18"/>
      <c r="NKV930" s="18"/>
      <c r="NKW930" s="18"/>
      <c r="NKX930" s="18"/>
      <c r="NKY930" s="18"/>
      <c r="NKZ930" s="18"/>
      <c r="NLA930" s="18"/>
      <c r="NLB930" s="18"/>
      <c r="NLC930" s="18"/>
      <c r="NLD930" s="18"/>
      <c r="NLE930" s="18"/>
      <c r="NLF930" s="18"/>
      <c r="NLG930" s="18"/>
      <c r="NLH930" s="18"/>
      <c r="NLI930" s="18"/>
      <c r="NLJ930" s="18"/>
      <c r="NLK930" s="18"/>
      <c r="NLL930" s="18"/>
      <c r="NLM930" s="18"/>
      <c r="NLN930" s="18"/>
      <c r="NLO930" s="18"/>
      <c r="NLP930" s="18"/>
      <c r="NLQ930" s="18"/>
      <c r="NLR930" s="18"/>
      <c r="NLS930" s="18"/>
      <c r="NLT930" s="18"/>
      <c r="NLU930" s="18"/>
      <c r="NLV930" s="18"/>
      <c r="NLW930" s="18"/>
      <c r="NLX930" s="18"/>
      <c r="NLY930" s="18"/>
      <c r="NLZ930" s="18"/>
      <c r="NMA930" s="18"/>
      <c r="NMB930" s="18"/>
      <c r="NMC930" s="18"/>
      <c r="NMD930" s="18"/>
      <c r="NME930" s="18"/>
      <c r="NMF930" s="18"/>
      <c r="NMG930" s="18"/>
      <c r="NMH930" s="18"/>
      <c r="NMI930" s="18"/>
      <c r="NMJ930" s="18"/>
      <c r="NMK930" s="18"/>
      <c r="NML930" s="18"/>
      <c r="NMM930" s="18"/>
      <c r="NMN930" s="18"/>
      <c r="NMO930" s="18"/>
      <c r="NMP930" s="18"/>
      <c r="NMQ930" s="18"/>
      <c r="NMR930" s="18"/>
      <c r="NMS930" s="18"/>
      <c r="NMT930" s="18"/>
      <c r="NMU930" s="18"/>
      <c r="NMV930" s="18"/>
      <c r="NMW930" s="18"/>
      <c r="NMX930" s="18"/>
      <c r="NMY930" s="18"/>
      <c r="NMZ930" s="18"/>
      <c r="NNA930" s="18"/>
      <c r="NNB930" s="18"/>
      <c r="NNC930" s="18"/>
      <c r="NND930" s="18"/>
      <c r="NNE930" s="18"/>
      <c r="NNF930" s="18"/>
      <c r="NNG930" s="18"/>
      <c r="NNH930" s="18"/>
      <c r="NNI930" s="18"/>
      <c r="NNJ930" s="18"/>
      <c r="NNK930" s="18"/>
      <c r="NNL930" s="18"/>
      <c r="NNM930" s="18"/>
      <c r="NNN930" s="18"/>
      <c r="NNO930" s="18"/>
      <c r="NNP930" s="18"/>
      <c r="NNQ930" s="18"/>
      <c r="NNR930" s="18"/>
      <c r="NNS930" s="18"/>
      <c r="NNT930" s="18"/>
      <c r="NNU930" s="18"/>
      <c r="NNV930" s="18"/>
      <c r="NNW930" s="18"/>
      <c r="NNX930" s="18"/>
      <c r="NNY930" s="18"/>
      <c r="NNZ930" s="18"/>
      <c r="NOA930" s="18"/>
      <c r="NOB930" s="18"/>
      <c r="NOC930" s="18"/>
      <c r="NOD930" s="18"/>
      <c r="NOE930" s="18"/>
      <c r="NOF930" s="18"/>
      <c r="NOG930" s="18"/>
      <c r="NOH930" s="18"/>
      <c r="NOI930" s="18"/>
      <c r="NOJ930" s="18"/>
      <c r="NOK930" s="18"/>
      <c r="NOL930" s="18"/>
      <c r="NOM930" s="18"/>
      <c r="NON930" s="18"/>
      <c r="NOO930" s="18"/>
      <c r="NOP930" s="18"/>
      <c r="NOQ930" s="18"/>
      <c r="NOR930" s="18"/>
      <c r="NOS930" s="18"/>
      <c r="NOT930" s="18"/>
      <c r="NOU930" s="18"/>
      <c r="NOV930" s="18"/>
      <c r="NOW930" s="18"/>
      <c r="NOX930" s="18"/>
      <c r="NOY930" s="18"/>
      <c r="NOZ930" s="18"/>
      <c r="NPA930" s="18"/>
      <c r="NPB930" s="18"/>
      <c r="NPC930" s="18"/>
      <c r="NPD930" s="18"/>
      <c r="NPE930" s="18"/>
      <c r="NPF930" s="18"/>
      <c r="NPG930" s="18"/>
      <c r="NPH930" s="18"/>
      <c r="NPI930" s="18"/>
      <c r="NPJ930" s="18"/>
      <c r="NPK930" s="18"/>
      <c r="NPL930" s="18"/>
      <c r="NPM930" s="18"/>
      <c r="NPN930" s="18"/>
      <c r="NPO930" s="18"/>
      <c r="NPP930" s="18"/>
      <c r="NPQ930" s="18"/>
      <c r="NPR930" s="18"/>
      <c r="NPS930" s="18"/>
      <c r="NPT930" s="18"/>
      <c r="NPU930" s="18"/>
      <c r="NPV930" s="18"/>
      <c r="NPW930" s="18"/>
      <c r="NPX930" s="18"/>
      <c r="NPY930" s="18"/>
      <c r="NPZ930" s="18"/>
      <c r="NQA930" s="18"/>
      <c r="NQB930" s="18"/>
      <c r="NQC930" s="18"/>
      <c r="NQD930" s="18"/>
      <c r="NQE930" s="18"/>
      <c r="NQF930" s="18"/>
      <c r="NQG930" s="18"/>
      <c r="NQH930" s="18"/>
      <c r="NQI930" s="18"/>
      <c r="NQJ930" s="18"/>
      <c r="NQK930" s="18"/>
      <c r="NQL930" s="18"/>
      <c r="NQM930" s="18"/>
      <c r="NQN930" s="18"/>
      <c r="NQO930" s="18"/>
      <c r="NQP930" s="18"/>
      <c r="NQQ930" s="18"/>
      <c r="NQR930" s="18"/>
      <c r="NQS930" s="18"/>
      <c r="NQT930" s="18"/>
      <c r="NQU930" s="18"/>
      <c r="NQV930" s="18"/>
      <c r="NQW930" s="18"/>
      <c r="NQX930" s="18"/>
      <c r="NQY930" s="18"/>
      <c r="NQZ930" s="18"/>
      <c r="NRA930" s="18"/>
      <c r="NRB930" s="18"/>
      <c r="NRC930" s="18"/>
      <c r="NRD930" s="18"/>
      <c r="NRE930" s="18"/>
      <c r="NRF930" s="18"/>
      <c r="NRG930" s="18"/>
      <c r="NRH930" s="18"/>
      <c r="NRI930" s="18"/>
      <c r="NRJ930" s="18"/>
      <c r="NRK930" s="18"/>
      <c r="NRL930" s="18"/>
      <c r="NRM930" s="18"/>
      <c r="NRN930" s="18"/>
      <c r="NRO930" s="18"/>
      <c r="NRP930" s="18"/>
      <c r="NRQ930" s="18"/>
      <c r="NRR930" s="18"/>
      <c r="NRS930" s="18"/>
      <c r="NRT930" s="18"/>
      <c r="NRU930" s="18"/>
      <c r="NRV930" s="18"/>
      <c r="NRW930" s="18"/>
      <c r="NRX930" s="18"/>
      <c r="NRY930" s="18"/>
      <c r="NRZ930" s="18"/>
      <c r="NSA930" s="18"/>
      <c r="NSB930" s="18"/>
      <c r="NSC930" s="18"/>
      <c r="NSD930" s="18"/>
      <c r="NSE930" s="18"/>
      <c r="NSF930" s="18"/>
      <c r="NSG930" s="18"/>
      <c r="NSH930" s="18"/>
      <c r="NSI930" s="18"/>
      <c r="NSJ930" s="18"/>
      <c r="NSK930" s="18"/>
      <c r="NSL930" s="18"/>
      <c r="NSM930" s="18"/>
      <c r="NSN930" s="18"/>
      <c r="NSO930" s="18"/>
      <c r="NSP930" s="18"/>
      <c r="NSQ930" s="18"/>
      <c r="NSR930" s="18"/>
      <c r="NSS930" s="18"/>
      <c r="NST930" s="18"/>
      <c r="NSU930" s="18"/>
      <c r="NSV930" s="18"/>
      <c r="NSW930" s="18"/>
      <c r="NSX930" s="18"/>
      <c r="NSY930" s="18"/>
      <c r="NSZ930" s="18"/>
      <c r="NTA930" s="18"/>
      <c r="NTB930" s="18"/>
      <c r="NTC930" s="18"/>
      <c r="NTD930" s="18"/>
      <c r="NTE930" s="18"/>
      <c r="NTF930" s="18"/>
      <c r="NTG930" s="18"/>
      <c r="NTH930" s="18"/>
      <c r="NTI930" s="18"/>
      <c r="NTJ930" s="18"/>
      <c r="NTK930" s="18"/>
      <c r="NTL930" s="18"/>
      <c r="NTM930" s="18"/>
      <c r="NTN930" s="18"/>
      <c r="NTO930" s="18"/>
      <c r="NTP930" s="18"/>
      <c r="NTQ930" s="18"/>
      <c r="NTR930" s="18"/>
      <c r="NTS930" s="18"/>
      <c r="NTT930" s="18"/>
      <c r="NTU930" s="18"/>
      <c r="NTV930" s="18"/>
      <c r="NTW930" s="18"/>
      <c r="NTX930" s="18"/>
      <c r="NTY930" s="18"/>
      <c r="NTZ930" s="18"/>
      <c r="NUA930" s="18"/>
      <c r="NUB930" s="18"/>
      <c r="NUC930" s="18"/>
      <c r="NUD930" s="18"/>
      <c r="NUE930" s="18"/>
      <c r="NUF930" s="18"/>
      <c r="NUG930" s="18"/>
      <c r="NUH930" s="18"/>
      <c r="NUI930" s="18"/>
      <c r="NUJ930" s="18"/>
      <c r="NUK930" s="18"/>
      <c r="NUL930" s="18"/>
      <c r="NUM930" s="18"/>
      <c r="NUN930" s="18"/>
      <c r="NUO930" s="18"/>
      <c r="NUP930" s="18"/>
      <c r="NUQ930" s="18"/>
      <c r="NUR930" s="18"/>
      <c r="NUS930" s="18"/>
      <c r="NUT930" s="18"/>
      <c r="NUU930" s="18"/>
      <c r="NUV930" s="18"/>
      <c r="NUW930" s="18"/>
      <c r="NUX930" s="18"/>
      <c r="NUY930" s="18"/>
      <c r="NUZ930" s="18"/>
      <c r="NVA930" s="18"/>
      <c r="NVB930" s="18"/>
      <c r="NVC930" s="18"/>
      <c r="NVD930" s="18"/>
      <c r="NVE930" s="18"/>
      <c r="NVF930" s="18"/>
      <c r="NVG930" s="18"/>
      <c r="NVH930" s="18"/>
      <c r="NVI930" s="18"/>
      <c r="NVJ930" s="18"/>
      <c r="NVK930" s="18"/>
      <c r="NVL930" s="18"/>
      <c r="NVM930" s="18"/>
      <c r="NVN930" s="18"/>
      <c r="NVO930" s="18"/>
      <c r="NVP930" s="18"/>
      <c r="NVQ930" s="18"/>
      <c r="NVR930" s="18"/>
      <c r="NVS930" s="18"/>
      <c r="NVT930" s="18"/>
      <c r="NVU930" s="18"/>
      <c r="NVV930" s="18"/>
      <c r="NVW930" s="18"/>
      <c r="NVX930" s="18"/>
      <c r="NVY930" s="18"/>
      <c r="NVZ930" s="18"/>
      <c r="NWA930" s="18"/>
      <c r="NWB930" s="18"/>
      <c r="NWC930" s="18"/>
      <c r="NWD930" s="18"/>
      <c r="NWE930" s="18"/>
      <c r="NWF930" s="18"/>
      <c r="NWG930" s="18"/>
      <c r="NWH930" s="18"/>
      <c r="NWI930" s="18"/>
      <c r="NWJ930" s="18"/>
      <c r="NWK930" s="18"/>
      <c r="NWL930" s="18"/>
      <c r="NWM930" s="18"/>
      <c r="NWN930" s="18"/>
      <c r="NWO930" s="18"/>
      <c r="NWP930" s="18"/>
      <c r="NWQ930" s="18"/>
      <c r="NWR930" s="18"/>
      <c r="NWS930" s="18"/>
      <c r="NWT930" s="18"/>
      <c r="NWU930" s="18"/>
      <c r="NWV930" s="18"/>
      <c r="NWW930" s="18"/>
      <c r="NWX930" s="18"/>
      <c r="NWY930" s="18"/>
      <c r="NWZ930" s="18"/>
      <c r="NXA930" s="18"/>
      <c r="NXB930" s="18"/>
      <c r="NXC930" s="18"/>
      <c r="NXD930" s="18"/>
      <c r="NXE930" s="18"/>
      <c r="NXF930" s="18"/>
      <c r="NXG930" s="18"/>
      <c r="NXH930" s="18"/>
      <c r="NXI930" s="18"/>
      <c r="NXJ930" s="18"/>
      <c r="NXK930" s="18"/>
      <c r="NXL930" s="18"/>
      <c r="NXM930" s="18"/>
      <c r="NXN930" s="18"/>
      <c r="NXO930" s="18"/>
      <c r="NXP930" s="18"/>
      <c r="NXQ930" s="18"/>
      <c r="NXR930" s="18"/>
      <c r="NXS930" s="18"/>
      <c r="NXT930" s="18"/>
      <c r="NXU930" s="18"/>
      <c r="NXV930" s="18"/>
      <c r="NXW930" s="18"/>
      <c r="NXX930" s="18"/>
      <c r="NXY930" s="18"/>
      <c r="NXZ930" s="18"/>
      <c r="NYA930" s="18"/>
      <c r="NYB930" s="18"/>
      <c r="NYC930" s="18"/>
      <c r="NYD930" s="18"/>
      <c r="NYE930" s="18"/>
      <c r="NYF930" s="18"/>
      <c r="NYG930" s="18"/>
      <c r="NYH930" s="18"/>
      <c r="NYI930" s="18"/>
      <c r="NYJ930" s="18"/>
      <c r="NYK930" s="18"/>
      <c r="NYL930" s="18"/>
      <c r="NYM930" s="18"/>
      <c r="NYN930" s="18"/>
      <c r="NYO930" s="18"/>
      <c r="NYP930" s="18"/>
      <c r="NYQ930" s="18"/>
      <c r="NYR930" s="18"/>
      <c r="NYS930" s="18"/>
      <c r="NYT930" s="18"/>
      <c r="NYU930" s="18"/>
      <c r="NYV930" s="18"/>
      <c r="NYW930" s="18"/>
      <c r="NYX930" s="18"/>
      <c r="NYY930" s="18"/>
      <c r="NYZ930" s="18"/>
      <c r="NZA930" s="18"/>
      <c r="NZB930" s="18"/>
      <c r="NZC930" s="18"/>
      <c r="NZD930" s="18"/>
      <c r="NZE930" s="18"/>
      <c r="NZF930" s="18"/>
      <c r="NZG930" s="18"/>
      <c r="NZH930" s="18"/>
      <c r="NZI930" s="18"/>
      <c r="NZJ930" s="18"/>
      <c r="NZK930" s="18"/>
      <c r="NZL930" s="18"/>
      <c r="NZM930" s="18"/>
      <c r="NZN930" s="18"/>
      <c r="NZO930" s="18"/>
      <c r="NZP930" s="18"/>
      <c r="NZQ930" s="18"/>
      <c r="NZR930" s="18"/>
      <c r="NZS930" s="18"/>
      <c r="NZT930" s="18"/>
      <c r="NZU930" s="18"/>
      <c r="NZV930" s="18"/>
      <c r="NZW930" s="18"/>
      <c r="NZX930" s="18"/>
      <c r="NZY930" s="18"/>
      <c r="NZZ930" s="18"/>
      <c r="OAA930" s="18"/>
      <c r="OAB930" s="18"/>
      <c r="OAC930" s="18"/>
      <c r="OAD930" s="18"/>
      <c r="OAE930" s="18"/>
      <c r="OAF930" s="18"/>
      <c r="OAG930" s="18"/>
      <c r="OAH930" s="18"/>
      <c r="OAI930" s="18"/>
      <c r="OAJ930" s="18"/>
      <c r="OAK930" s="18"/>
      <c r="OAL930" s="18"/>
      <c r="OAM930" s="18"/>
      <c r="OAN930" s="18"/>
      <c r="OAO930" s="18"/>
      <c r="OAP930" s="18"/>
      <c r="OAQ930" s="18"/>
      <c r="OAR930" s="18"/>
      <c r="OAS930" s="18"/>
      <c r="OAT930" s="18"/>
      <c r="OAU930" s="18"/>
      <c r="OAV930" s="18"/>
      <c r="OAW930" s="18"/>
      <c r="OAX930" s="18"/>
      <c r="OAY930" s="18"/>
      <c r="OAZ930" s="18"/>
      <c r="OBA930" s="18"/>
      <c r="OBB930" s="18"/>
      <c r="OBC930" s="18"/>
      <c r="OBD930" s="18"/>
      <c r="OBE930" s="18"/>
      <c r="OBF930" s="18"/>
      <c r="OBG930" s="18"/>
      <c r="OBH930" s="18"/>
      <c r="OBI930" s="18"/>
      <c r="OBJ930" s="18"/>
      <c r="OBK930" s="18"/>
      <c r="OBL930" s="18"/>
      <c r="OBM930" s="18"/>
      <c r="OBN930" s="18"/>
      <c r="OBO930" s="18"/>
      <c r="OBP930" s="18"/>
      <c r="OBQ930" s="18"/>
      <c r="OBR930" s="18"/>
      <c r="OBS930" s="18"/>
      <c r="OBT930" s="18"/>
      <c r="OBU930" s="18"/>
      <c r="OBV930" s="18"/>
      <c r="OBW930" s="18"/>
      <c r="OBX930" s="18"/>
      <c r="OBY930" s="18"/>
      <c r="OBZ930" s="18"/>
      <c r="OCA930" s="18"/>
      <c r="OCB930" s="18"/>
      <c r="OCC930" s="18"/>
      <c r="OCD930" s="18"/>
      <c r="OCE930" s="18"/>
      <c r="OCF930" s="18"/>
      <c r="OCG930" s="18"/>
      <c r="OCH930" s="18"/>
      <c r="OCI930" s="18"/>
      <c r="OCJ930" s="18"/>
      <c r="OCK930" s="18"/>
      <c r="OCL930" s="18"/>
      <c r="OCM930" s="18"/>
      <c r="OCN930" s="18"/>
      <c r="OCO930" s="18"/>
      <c r="OCP930" s="18"/>
      <c r="OCQ930" s="18"/>
      <c r="OCR930" s="18"/>
      <c r="OCS930" s="18"/>
      <c r="OCT930" s="18"/>
      <c r="OCU930" s="18"/>
      <c r="OCV930" s="18"/>
      <c r="OCW930" s="18"/>
      <c r="OCX930" s="18"/>
      <c r="OCY930" s="18"/>
      <c r="OCZ930" s="18"/>
      <c r="ODA930" s="18"/>
      <c r="ODB930" s="18"/>
      <c r="ODC930" s="18"/>
      <c r="ODD930" s="18"/>
      <c r="ODE930" s="18"/>
      <c r="ODF930" s="18"/>
      <c r="ODG930" s="18"/>
      <c r="ODH930" s="18"/>
      <c r="ODI930" s="18"/>
      <c r="ODJ930" s="18"/>
      <c r="ODK930" s="18"/>
      <c r="ODL930" s="18"/>
      <c r="ODM930" s="18"/>
      <c r="ODN930" s="18"/>
      <c r="ODO930" s="18"/>
      <c r="ODP930" s="18"/>
      <c r="ODQ930" s="18"/>
      <c r="ODR930" s="18"/>
      <c r="ODS930" s="18"/>
      <c r="ODT930" s="18"/>
      <c r="ODU930" s="18"/>
      <c r="ODV930" s="18"/>
      <c r="ODW930" s="18"/>
      <c r="ODX930" s="18"/>
      <c r="ODY930" s="18"/>
      <c r="ODZ930" s="18"/>
      <c r="OEA930" s="18"/>
      <c r="OEB930" s="18"/>
      <c r="OEC930" s="18"/>
      <c r="OED930" s="18"/>
      <c r="OEE930" s="18"/>
      <c r="OEF930" s="18"/>
      <c r="OEG930" s="18"/>
      <c r="OEH930" s="18"/>
      <c r="OEI930" s="18"/>
      <c r="OEJ930" s="18"/>
      <c r="OEK930" s="18"/>
      <c r="OEL930" s="18"/>
      <c r="OEM930" s="18"/>
      <c r="OEN930" s="18"/>
      <c r="OEO930" s="18"/>
      <c r="OEP930" s="18"/>
      <c r="OEQ930" s="18"/>
      <c r="OER930" s="18"/>
      <c r="OES930" s="18"/>
      <c r="OET930" s="18"/>
      <c r="OEU930" s="18"/>
      <c r="OEV930" s="18"/>
      <c r="OEW930" s="18"/>
      <c r="OEX930" s="18"/>
      <c r="OEY930" s="18"/>
      <c r="OEZ930" s="18"/>
      <c r="OFA930" s="18"/>
      <c r="OFB930" s="18"/>
      <c r="OFC930" s="18"/>
      <c r="OFD930" s="18"/>
      <c r="OFE930" s="18"/>
      <c r="OFF930" s="18"/>
      <c r="OFG930" s="18"/>
      <c r="OFH930" s="18"/>
      <c r="OFI930" s="18"/>
      <c r="OFJ930" s="18"/>
      <c r="OFK930" s="18"/>
      <c r="OFL930" s="18"/>
      <c r="OFM930" s="18"/>
      <c r="OFN930" s="18"/>
      <c r="OFO930" s="18"/>
      <c r="OFP930" s="18"/>
      <c r="OFQ930" s="18"/>
      <c r="OFR930" s="18"/>
      <c r="OFS930" s="18"/>
      <c r="OFT930" s="18"/>
      <c r="OFU930" s="18"/>
      <c r="OFV930" s="18"/>
      <c r="OFW930" s="18"/>
      <c r="OFX930" s="18"/>
      <c r="OFY930" s="18"/>
      <c r="OFZ930" s="18"/>
      <c r="OGA930" s="18"/>
      <c r="OGB930" s="18"/>
      <c r="OGC930" s="18"/>
      <c r="OGD930" s="18"/>
      <c r="OGE930" s="18"/>
      <c r="OGF930" s="18"/>
      <c r="OGG930" s="18"/>
      <c r="OGH930" s="18"/>
      <c r="OGI930" s="18"/>
      <c r="OGJ930" s="18"/>
      <c r="OGK930" s="18"/>
      <c r="OGL930" s="18"/>
      <c r="OGM930" s="18"/>
      <c r="OGN930" s="18"/>
      <c r="OGO930" s="18"/>
      <c r="OGP930" s="18"/>
      <c r="OGQ930" s="18"/>
      <c r="OGR930" s="18"/>
      <c r="OGS930" s="18"/>
      <c r="OGT930" s="18"/>
      <c r="OGU930" s="18"/>
      <c r="OGV930" s="18"/>
      <c r="OGW930" s="18"/>
      <c r="OGX930" s="18"/>
      <c r="OGY930" s="18"/>
      <c r="OGZ930" s="18"/>
      <c r="OHA930" s="18"/>
      <c r="OHB930" s="18"/>
      <c r="OHC930" s="18"/>
      <c r="OHD930" s="18"/>
      <c r="OHE930" s="18"/>
      <c r="OHF930" s="18"/>
      <c r="OHG930" s="18"/>
      <c r="OHH930" s="18"/>
      <c r="OHI930" s="18"/>
      <c r="OHJ930" s="18"/>
      <c r="OHK930" s="18"/>
      <c r="OHL930" s="18"/>
      <c r="OHM930" s="18"/>
      <c r="OHN930" s="18"/>
      <c r="OHO930" s="18"/>
      <c r="OHP930" s="18"/>
      <c r="OHQ930" s="18"/>
      <c r="OHR930" s="18"/>
      <c r="OHS930" s="18"/>
      <c r="OHT930" s="18"/>
      <c r="OHU930" s="18"/>
      <c r="OHV930" s="18"/>
      <c r="OHW930" s="18"/>
      <c r="OHX930" s="18"/>
      <c r="OHY930" s="18"/>
      <c r="OHZ930" s="18"/>
      <c r="OIA930" s="18"/>
      <c r="OIB930" s="18"/>
      <c r="OIC930" s="18"/>
      <c r="OID930" s="18"/>
      <c r="OIE930" s="18"/>
      <c r="OIF930" s="18"/>
      <c r="OIG930" s="18"/>
      <c r="OIH930" s="18"/>
      <c r="OII930" s="18"/>
      <c r="OIJ930" s="18"/>
      <c r="OIK930" s="18"/>
      <c r="OIL930" s="18"/>
      <c r="OIM930" s="18"/>
      <c r="OIN930" s="18"/>
      <c r="OIO930" s="18"/>
      <c r="OIP930" s="18"/>
      <c r="OIQ930" s="18"/>
      <c r="OIR930" s="18"/>
      <c r="OIS930" s="18"/>
      <c r="OIT930" s="18"/>
      <c r="OIU930" s="18"/>
      <c r="OIV930" s="18"/>
      <c r="OIW930" s="18"/>
      <c r="OIX930" s="18"/>
      <c r="OIY930" s="18"/>
      <c r="OIZ930" s="18"/>
      <c r="OJA930" s="18"/>
      <c r="OJB930" s="18"/>
      <c r="OJC930" s="18"/>
      <c r="OJD930" s="18"/>
      <c r="OJE930" s="18"/>
      <c r="OJF930" s="18"/>
      <c r="OJG930" s="18"/>
      <c r="OJH930" s="18"/>
      <c r="OJI930" s="18"/>
      <c r="OJJ930" s="18"/>
      <c r="OJK930" s="18"/>
      <c r="OJL930" s="18"/>
      <c r="OJM930" s="18"/>
      <c r="OJN930" s="18"/>
      <c r="OJO930" s="18"/>
      <c r="OJP930" s="18"/>
      <c r="OJQ930" s="18"/>
      <c r="OJR930" s="18"/>
      <c r="OJS930" s="18"/>
      <c r="OJT930" s="18"/>
      <c r="OJU930" s="18"/>
      <c r="OJV930" s="18"/>
      <c r="OJW930" s="18"/>
      <c r="OJX930" s="18"/>
      <c r="OJY930" s="18"/>
      <c r="OJZ930" s="18"/>
      <c r="OKA930" s="18"/>
      <c r="OKB930" s="18"/>
      <c r="OKC930" s="18"/>
      <c r="OKD930" s="18"/>
      <c r="OKE930" s="18"/>
      <c r="OKF930" s="18"/>
      <c r="OKG930" s="18"/>
      <c r="OKH930" s="18"/>
      <c r="OKI930" s="18"/>
      <c r="OKJ930" s="18"/>
      <c r="OKK930" s="18"/>
      <c r="OKL930" s="18"/>
      <c r="OKM930" s="18"/>
      <c r="OKN930" s="18"/>
      <c r="OKO930" s="18"/>
      <c r="OKP930" s="18"/>
      <c r="OKQ930" s="18"/>
      <c r="OKR930" s="18"/>
      <c r="OKS930" s="18"/>
      <c r="OKT930" s="18"/>
      <c r="OKU930" s="18"/>
      <c r="OKV930" s="18"/>
      <c r="OKW930" s="18"/>
      <c r="OKX930" s="18"/>
      <c r="OKY930" s="18"/>
      <c r="OKZ930" s="18"/>
      <c r="OLA930" s="18"/>
      <c r="OLB930" s="18"/>
      <c r="OLC930" s="18"/>
      <c r="OLD930" s="18"/>
      <c r="OLE930" s="18"/>
      <c r="OLF930" s="18"/>
      <c r="OLG930" s="18"/>
      <c r="OLH930" s="18"/>
      <c r="OLI930" s="18"/>
      <c r="OLJ930" s="18"/>
      <c r="OLK930" s="18"/>
      <c r="OLL930" s="18"/>
      <c r="OLM930" s="18"/>
      <c r="OLN930" s="18"/>
      <c r="OLO930" s="18"/>
      <c r="OLP930" s="18"/>
      <c r="OLQ930" s="18"/>
      <c r="OLR930" s="18"/>
      <c r="OLS930" s="18"/>
      <c r="OLT930" s="18"/>
      <c r="OLU930" s="18"/>
      <c r="OLV930" s="18"/>
      <c r="OLW930" s="18"/>
      <c r="OLX930" s="18"/>
      <c r="OLY930" s="18"/>
      <c r="OLZ930" s="18"/>
      <c r="OMA930" s="18"/>
      <c r="OMB930" s="18"/>
      <c r="OMC930" s="18"/>
      <c r="OMD930" s="18"/>
      <c r="OME930" s="18"/>
      <c r="OMF930" s="18"/>
      <c r="OMG930" s="18"/>
      <c r="OMH930" s="18"/>
      <c r="OMI930" s="18"/>
      <c r="OMJ930" s="18"/>
      <c r="OMK930" s="18"/>
      <c r="OML930" s="18"/>
      <c r="OMM930" s="18"/>
      <c r="OMN930" s="18"/>
      <c r="OMO930" s="18"/>
      <c r="OMP930" s="18"/>
      <c r="OMQ930" s="18"/>
      <c r="OMR930" s="18"/>
      <c r="OMS930" s="18"/>
      <c r="OMT930" s="18"/>
      <c r="OMU930" s="18"/>
      <c r="OMV930" s="18"/>
      <c r="OMW930" s="18"/>
      <c r="OMX930" s="18"/>
      <c r="OMY930" s="18"/>
      <c r="OMZ930" s="18"/>
      <c r="ONA930" s="18"/>
      <c r="ONB930" s="18"/>
      <c r="ONC930" s="18"/>
      <c r="OND930" s="18"/>
      <c r="ONE930" s="18"/>
      <c r="ONF930" s="18"/>
      <c r="ONG930" s="18"/>
      <c r="ONH930" s="18"/>
      <c r="ONI930" s="18"/>
      <c r="ONJ930" s="18"/>
      <c r="ONK930" s="18"/>
      <c r="ONL930" s="18"/>
      <c r="ONM930" s="18"/>
      <c r="ONN930" s="18"/>
      <c r="ONO930" s="18"/>
      <c r="ONP930" s="18"/>
      <c r="ONQ930" s="18"/>
      <c r="ONR930" s="18"/>
      <c r="ONS930" s="18"/>
      <c r="ONT930" s="18"/>
      <c r="ONU930" s="18"/>
      <c r="ONV930" s="18"/>
      <c r="ONW930" s="18"/>
      <c r="ONX930" s="18"/>
      <c r="ONY930" s="18"/>
      <c r="ONZ930" s="18"/>
      <c r="OOA930" s="18"/>
      <c r="OOB930" s="18"/>
      <c r="OOC930" s="18"/>
      <c r="OOD930" s="18"/>
      <c r="OOE930" s="18"/>
      <c r="OOF930" s="18"/>
      <c r="OOG930" s="18"/>
      <c r="OOH930" s="18"/>
      <c r="OOI930" s="18"/>
      <c r="OOJ930" s="18"/>
      <c r="OOK930" s="18"/>
      <c r="OOL930" s="18"/>
      <c r="OOM930" s="18"/>
      <c r="OON930" s="18"/>
      <c r="OOO930" s="18"/>
      <c r="OOP930" s="18"/>
      <c r="OOQ930" s="18"/>
      <c r="OOR930" s="18"/>
      <c r="OOS930" s="18"/>
      <c r="OOT930" s="18"/>
      <c r="OOU930" s="18"/>
      <c r="OOV930" s="18"/>
      <c r="OOW930" s="18"/>
      <c r="OOX930" s="18"/>
      <c r="OOY930" s="18"/>
      <c r="OOZ930" s="18"/>
      <c r="OPA930" s="18"/>
      <c r="OPB930" s="18"/>
      <c r="OPC930" s="18"/>
      <c r="OPD930" s="18"/>
      <c r="OPE930" s="18"/>
      <c r="OPF930" s="18"/>
      <c r="OPG930" s="18"/>
      <c r="OPH930" s="18"/>
      <c r="OPI930" s="18"/>
      <c r="OPJ930" s="18"/>
      <c r="OPK930" s="18"/>
      <c r="OPL930" s="18"/>
      <c r="OPM930" s="18"/>
      <c r="OPN930" s="18"/>
      <c r="OPO930" s="18"/>
      <c r="OPP930" s="18"/>
      <c r="OPQ930" s="18"/>
      <c r="OPR930" s="18"/>
      <c r="OPS930" s="18"/>
      <c r="OPT930" s="18"/>
      <c r="OPU930" s="18"/>
      <c r="OPV930" s="18"/>
      <c r="OPW930" s="18"/>
      <c r="OPX930" s="18"/>
      <c r="OPY930" s="18"/>
      <c r="OPZ930" s="18"/>
      <c r="OQA930" s="18"/>
      <c r="OQB930" s="18"/>
      <c r="OQC930" s="18"/>
      <c r="OQD930" s="18"/>
      <c r="OQE930" s="18"/>
      <c r="OQF930" s="18"/>
      <c r="OQG930" s="18"/>
      <c r="OQH930" s="18"/>
      <c r="OQI930" s="18"/>
      <c r="OQJ930" s="18"/>
      <c r="OQK930" s="18"/>
      <c r="OQL930" s="18"/>
      <c r="OQM930" s="18"/>
      <c r="OQN930" s="18"/>
      <c r="OQO930" s="18"/>
      <c r="OQP930" s="18"/>
      <c r="OQQ930" s="18"/>
      <c r="OQR930" s="18"/>
      <c r="OQS930" s="18"/>
      <c r="OQT930" s="18"/>
      <c r="OQU930" s="18"/>
      <c r="OQV930" s="18"/>
      <c r="OQW930" s="18"/>
      <c r="OQX930" s="18"/>
      <c r="OQY930" s="18"/>
      <c r="OQZ930" s="18"/>
      <c r="ORA930" s="18"/>
      <c r="ORB930" s="18"/>
      <c r="ORC930" s="18"/>
      <c r="ORD930" s="18"/>
      <c r="ORE930" s="18"/>
      <c r="ORF930" s="18"/>
      <c r="ORG930" s="18"/>
      <c r="ORH930" s="18"/>
      <c r="ORI930" s="18"/>
      <c r="ORJ930" s="18"/>
      <c r="ORK930" s="18"/>
      <c r="ORL930" s="18"/>
      <c r="ORM930" s="18"/>
      <c r="ORN930" s="18"/>
      <c r="ORO930" s="18"/>
      <c r="ORP930" s="18"/>
      <c r="ORQ930" s="18"/>
      <c r="ORR930" s="18"/>
      <c r="ORS930" s="18"/>
      <c r="ORT930" s="18"/>
      <c r="ORU930" s="18"/>
      <c r="ORV930" s="18"/>
      <c r="ORW930" s="18"/>
      <c r="ORX930" s="18"/>
      <c r="ORY930" s="18"/>
      <c r="ORZ930" s="18"/>
      <c r="OSA930" s="18"/>
      <c r="OSB930" s="18"/>
      <c r="OSC930" s="18"/>
      <c r="OSD930" s="18"/>
      <c r="OSE930" s="18"/>
      <c r="OSF930" s="18"/>
      <c r="OSG930" s="18"/>
      <c r="OSH930" s="18"/>
      <c r="OSI930" s="18"/>
      <c r="OSJ930" s="18"/>
      <c r="OSK930" s="18"/>
      <c r="OSL930" s="18"/>
      <c r="OSM930" s="18"/>
      <c r="OSN930" s="18"/>
      <c r="OSO930" s="18"/>
      <c r="OSP930" s="18"/>
      <c r="OSQ930" s="18"/>
      <c r="OSR930" s="18"/>
      <c r="OSS930" s="18"/>
      <c r="OST930" s="18"/>
      <c r="OSU930" s="18"/>
      <c r="OSV930" s="18"/>
      <c r="OSW930" s="18"/>
      <c r="OSX930" s="18"/>
      <c r="OSY930" s="18"/>
      <c r="OSZ930" s="18"/>
      <c r="OTA930" s="18"/>
      <c r="OTB930" s="18"/>
      <c r="OTC930" s="18"/>
      <c r="OTD930" s="18"/>
      <c r="OTE930" s="18"/>
      <c r="OTF930" s="18"/>
      <c r="OTG930" s="18"/>
      <c r="OTH930" s="18"/>
      <c r="OTI930" s="18"/>
      <c r="OTJ930" s="18"/>
      <c r="OTK930" s="18"/>
      <c r="OTL930" s="18"/>
      <c r="OTM930" s="18"/>
      <c r="OTN930" s="18"/>
      <c r="OTO930" s="18"/>
      <c r="OTP930" s="18"/>
      <c r="OTQ930" s="18"/>
      <c r="OTR930" s="18"/>
      <c r="OTS930" s="18"/>
      <c r="OTT930" s="18"/>
      <c r="OTU930" s="18"/>
      <c r="OTV930" s="18"/>
      <c r="OTW930" s="18"/>
      <c r="OTX930" s="18"/>
      <c r="OTY930" s="18"/>
      <c r="OTZ930" s="18"/>
      <c r="OUA930" s="18"/>
      <c r="OUB930" s="18"/>
      <c r="OUC930" s="18"/>
      <c r="OUD930" s="18"/>
      <c r="OUE930" s="18"/>
      <c r="OUF930" s="18"/>
      <c r="OUG930" s="18"/>
      <c r="OUH930" s="18"/>
      <c r="OUI930" s="18"/>
      <c r="OUJ930" s="18"/>
      <c r="OUK930" s="18"/>
      <c r="OUL930" s="18"/>
      <c r="OUM930" s="18"/>
      <c r="OUN930" s="18"/>
      <c r="OUO930" s="18"/>
      <c r="OUP930" s="18"/>
      <c r="OUQ930" s="18"/>
      <c r="OUR930" s="18"/>
      <c r="OUS930" s="18"/>
      <c r="OUT930" s="18"/>
      <c r="OUU930" s="18"/>
      <c r="OUV930" s="18"/>
      <c r="OUW930" s="18"/>
      <c r="OUX930" s="18"/>
      <c r="OUY930" s="18"/>
      <c r="OUZ930" s="18"/>
      <c r="OVA930" s="18"/>
      <c r="OVB930" s="18"/>
      <c r="OVC930" s="18"/>
      <c r="OVD930" s="18"/>
      <c r="OVE930" s="18"/>
      <c r="OVF930" s="18"/>
      <c r="OVG930" s="18"/>
      <c r="OVH930" s="18"/>
      <c r="OVI930" s="18"/>
      <c r="OVJ930" s="18"/>
      <c r="OVK930" s="18"/>
      <c r="OVL930" s="18"/>
      <c r="OVM930" s="18"/>
      <c r="OVN930" s="18"/>
      <c r="OVO930" s="18"/>
      <c r="OVP930" s="18"/>
      <c r="OVQ930" s="18"/>
      <c r="OVR930" s="18"/>
      <c r="OVS930" s="18"/>
      <c r="OVT930" s="18"/>
      <c r="OVU930" s="18"/>
      <c r="OVV930" s="18"/>
      <c r="OVW930" s="18"/>
      <c r="OVX930" s="18"/>
      <c r="OVY930" s="18"/>
      <c r="OVZ930" s="18"/>
      <c r="OWA930" s="18"/>
      <c r="OWB930" s="18"/>
      <c r="OWC930" s="18"/>
      <c r="OWD930" s="18"/>
      <c r="OWE930" s="18"/>
      <c r="OWF930" s="18"/>
      <c r="OWG930" s="18"/>
      <c r="OWH930" s="18"/>
      <c r="OWI930" s="18"/>
      <c r="OWJ930" s="18"/>
      <c r="OWK930" s="18"/>
      <c r="OWL930" s="18"/>
      <c r="OWM930" s="18"/>
      <c r="OWN930" s="18"/>
      <c r="OWO930" s="18"/>
      <c r="OWP930" s="18"/>
      <c r="OWQ930" s="18"/>
      <c r="OWR930" s="18"/>
      <c r="OWS930" s="18"/>
      <c r="OWT930" s="18"/>
      <c r="OWU930" s="18"/>
      <c r="OWV930" s="18"/>
      <c r="OWW930" s="18"/>
      <c r="OWX930" s="18"/>
      <c r="OWY930" s="18"/>
      <c r="OWZ930" s="18"/>
      <c r="OXA930" s="18"/>
      <c r="OXB930" s="18"/>
      <c r="OXC930" s="18"/>
      <c r="OXD930" s="18"/>
      <c r="OXE930" s="18"/>
      <c r="OXF930" s="18"/>
      <c r="OXG930" s="18"/>
      <c r="OXH930" s="18"/>
      <c r="OXI930" s="18"/>
      <c r="OXJ930" s="18"/>
      <c r="OXK930" s="18"/>
      <c r="OXL930" s="18"/>
      <c r="OXM930" s="18"/>
      <c r="OXN930" s="18"/>
      <c r="OXO930" s="18"/>
      <c r="OXP930" s="18"/>
      <c r="OXQ930" s="18"/>
      <c r="OXR930" s="18"/>
      <c r="OXS930" s="18"/>
      <c r="OXT930" s="18"/>
      <c r="OXU930" s="18"/>
      <c r="OXV930" s="18"/>
      <c r="OXW930" s="18"/>
      <c r="OXX930" s="18"/>
      <c r="OXY930" s="18"/>
      <c r="OXZ930" s="18"/>
      <c r="OYA930" s="18"/>
      <c r="OYB930" s="18"/>
      <c r="OYC930" s="18"/>
      <c r="OYD930" s="18"/>
      <c r="OYE930" s="18"/>
      <c r="OYF930" s="18"/>
      <c r="OYG930" s="18"/>
      <c r="OYH930" s="18"/>
      <c r="OYI930" s="18"/>
      <c r="OYJ930" s="18"/>
      <c r="OYK930" s="18"/>
      <c r="OYL930" s="18"/>
      <c r="OYM930" s="18"/>
      <c r="OYN930" s="18"/>
      <c r="OYO930" s="18"/>
      <c r="OYP930" s="18"/>
      <c r="OYQ930" s="18"/>
      <c r="OYR930" s="18"/>
      <c r="OYS930" s="18"/>
      <c r="OYT930" s="18"/>
      <c r="OYU930" s="18"/>
      <c r="OYV930" s="18"/>
      <c r="OYW930" s="18"/>
      <c r="OYX930" s="18"/>
      <c r="OYY930" s="18"/>
      <c r="OYZ930" s="18"/>
      <c r="OZA930" s="18"/>
      <c r="OZB930" s="18"/>
      <c r="OZC930" s="18"/>
      <c r="OZD930" s="18"/>
      <c r="OZE930" s="18"/>
      <c r="OZF930" s="18"/>
      <c r="OZG930" s="18"/>
      <c r="OZH930" s="18"/>
      <c r="OZI930" s="18"/>
      <c r="OZJ930" s="18"/>
      <c r="OZK930" s="18"/>
      <c r="OZL930" s="18"/>
      <c r="OZM930" s="18"/>
      <c r="OZN930" s="18"/>
      <c r="OZO930" s="18"/>
      <c r="OZP930" s="18"/>
      <c r="OZQ930" s="18"/>
      <c r="OZR930" s="18"/>
      <c r="OZS930" s="18"/>
      <c r="OZT930" s="18"/>
      <c r="OZU930" s="18"/>
      <c r="OZV930" s="18"/>
      <c r="OZW930" s="18"/>
      <c r="OZX930" s="18"/>
      <c r="OZY930" s="18"/>
      <c r="OZZ930" s="18"/>
      <c r="PAA930" s="18"/>
      <c r="PAB930" s="18"/>
      <c r="PAC930" s="18"/>
      <c r="PAD930" s="18"/>
      <c r="PAE930" s="18"/>
      <c r="PAF930" s="18"/>
      <c r="PAG930" s="18"/>
      <c r="PAH930" s="18"/>
      <c r="PAI930" s="18"/>
      <c r="PAJ930" s="18"/>
      <c r="PAK930" s="18"/>
      <c r="PAL930" s="18"/>
      <c r="PAM930" s="18"/>
      <c r="PAN930" s="18"/>
      <c r="PAO930" s="18"/>
      <c r="PAP930" s="18"/>
      <c r="PAQ930" s="18"/>
      <c r="PAR930" s="18"/>
      <c r="PAS930" s="18"/>
      <c r="PAT930" s="18"/>
      <c r="PAU930" s="18"/>
      <c r="PAV930" s="18"/>
      <c r="PAW930" s="18"/>
      <c r="PAX930" s="18"/>
      <c r="PAY930" s="18"/>
      <c r="PAZ930" s="18"/>
      <c r="PBA930" s="18"/>
      <c r="PBB930" s="18"/>
      <c r="PBC930" s="18"/>
      <c r="PBD930" s="18"/>
      <c r="PBE930" s="18"/>
      <c r="PBF930" s="18"/>
      <c r="PBG930" s="18"/>
      <c r="PBH930" s="18"/>
      <c r="PBI930" s="18"/>
      <c r="PBJ930" s="18"/>
      <c r="PBK930" s="18"/>
      <c r="PBL930" s="18"/>
      <c r="PBM930" s="18"/>
      <c r="PBN930" s="18"/>
      <c r="PBO930" s="18"/>
      <c r="PBP930" s="18"/>
      <c r="PBQ930" s="18"/>
      <c r="PBR930" s="18"/>
      <c r="PBS930" s="18"/>
      <c r="PBT930" s="18"/>
      <c r="PBU930" s="18"/>
      <c r="PBV930" s="18"/>
      <c r="PBW930" s="18"/>
      <c r="PBX930" s="18"/>
      <c r="PBY930" s="18"/>
      <c r="PBZ930" s="18"/>
      <c r="PCA930" s="18"/>
      <c r="PCB930" s="18"/>
      <c r="PCC930" s="18"/>
      <c r="PCD930" s="18"/>
      <c r="PCE930" s="18"/>
      <c r="PCF930" s="18"/>
      <c r="PCG930" s="18"/>
      <c r="PCH930" s="18"/>
      <c r="PCI930" s="18"/>
      <c r="PCJ930" s="18"/>
      <c r="PCK930" s="18"/>
      <c r="PCL930" s="18"/>
      <c r="PCM930" s="18"/>
      <c r="PCN930" s="18"/>
      <c r="PCO930" s="18"/>
      <c r="PCP930" s="18"/>
      <c r="PCQ930" s="18"/>
      <c r="PCR930" s="18"/>
      <c r="PCS930" s="18"/>
      <c r="PCT930" s="18"/>
      <c r="PCU930" s="18"/>
      <c r="PCV930" s="18"/>
      <c r="PCW930" s="18"/>
      <c r="PCX930" s="18"/>
      <c r="PCY930" s="18"/>
      <c r="PCZ930" s="18"/>
      <c r="PDA930" s="18"/>
      <c r="PDB930" s="18"/>
      <c r="PDC930" s="18"/>
      <c r="PDD930" s="18"/>
      <c r="PDE930" s="18"/>
      <c r="PDF930" s="18"/>
      <c r="PDG930" s="18"/>
      <c r="PDH930" s="18"/>
      <c r="PDI930" s="18"/>
      <c r="PDJ930" s="18"/>
      <c r="PDK930" s="18"/>
      <c r="PDL930" s="18"/>
      <c r="PDM930" s="18"/>
      <c r="PDN930" s="18"/>
      <c r="PDO930" s="18"/>
      <c r="PDP930" s="18"/>
      <c r="PDQ930" s="18"/>
      <c r="PDR930" s="18"/>
      <c r="PDS930" s="18"/>
      <c r="PDT930" s="18"/>
      <c r="PDU930" s="18"/>
      <c r="PDV930" s="18"/>
      <c r="PDW930" s="18"/>
      <c r="PDX930" s="18"/>
      <c r="PDY930" s="18"/>
      <c r="PDZ930" s="18"/>
      <c r="PEA930" s="18"/>
      <c r="PEB930" s="18"/>
      <c r="PEC930" s="18"/>
      <c r="PED930" s="18"/>
      <c r="PEE930" s="18"/>
      <c r="PEF930" s="18"/>
      <c r="PEG930" s="18"/>
      <c r="PEH930" s="18"/>
      <c r="PEI930" s="18"/>
      <c r="PEJ930" s="18"/>
      <c r="PEK930" s="18"/>
      <c r="PEL930" s="18"/>
      <c r="PEM930" s="18"/>
      <c r="PEN930" s="18"/>
      <c r="PEO930" s="18"/>
      <c r="PEP930" s="18"/>
      <c r="PEQ930" s="18"/>
      <c r="PER930" s="18"/>
      <c r="PES930" s="18"/>
      <c r="PET930" s="18"/>
      <c r="PEU930" s="18"/>
      <c r="PEV930" s="18"/>
      <c r="PEW930" s="18"/>
      <c r="PEX930" s="18"/>
      <c r="PEY930" s="18"/>
      <c r="PEZ930" s="18"/>
      <c r="PFA930" s="18"/>
      <c r="PFB930" s="18"/>
      <c r="PFC930" s="18"/>
      <c r="PFD930" s="18"/>
      <c r="PFE930" s="18"/>
      <c r="PFF930" s="18"/>
      <c r="PFG930" s="18"/>
      <c r="PFH930" s="18"/>
      <c r="PFI930" s="18"/>
      <c r="PFJ930" s="18"/>
      <c r="PFK930" s="18"/>
      <c r="PFL930" s="18"/>
      <c r="PFM930" s="18"/>
      <c r="PFN930" s="18"/>
      <c r="PFO930" s="18"/>
      <c r="PFP930" s="18"/>
      <c r="PFQ930" s="18"/>
      <c r="PFR930" s="18"/>
      <c r="PFS930" s="18"/>
      <c r="PFT930" s="18"/>
      <c r="PFU930" s="18"/>
      <c r="PFV930" s="18"/>
      <c r="PFW930" s="18"/>
      <c r="PFX930" s="18"/>
      <c r="PFY930" s="18"/>
      <c r="PFZ930" s="18"/>
      <c r="PGA930" s="18"/>
      <c r="PGB930" s="18"/>
      <c r="PGC930" s="18"/>
      <c r="PGD930" s="18"/>
      <c r="PGE930" s="18"/>
      <c r="PGF930" s="18"/>
      <c r="PGG930" s="18"/>
      <c r="PGH930" s="18"/>
      <c r="PGI930" s="18"/>
      <c r="PGJ930" s="18"/>
      <c r="PGK930" s="18"/>
      <c r="PGL930" s="18"/>
      <c r="PGM930" s="18"/>
      <c r="PGN930" s="18"/>
      <c r="PGO930" s="18"/>
      <c r="PGP930" s="18"/>
      <c r="PGQ930" s="18"/>
      <c r="PGR930" s="18"/>
      <c r="PGS930" s="18"/>
      <c r="PGT930" s="18"/>
      <c r="PGU930" s="18"/>
      <c r="PGV930" s="18"/>
      <c r="PGW930" s="18"/>
      <c r="PGX930" s="18"/>
      <c r="PGY930" s="18"/>
      <c r="PGZ930" s="18"/>
      <c r="PHA930" s="18"/>
      <c r="PHB930" s="18"/>
      <c r="PHC930" s="18"/>
      <c r="PHD930" s="18"/>
      <c r="PHE930" s="18"/>
      <c r="PHF930" s="18"/>
      <c r="PHG930" s="18"/>
      <c r="PHH930" s="18"/>
      <c r="PHI930" s="18"/>
      <c r="PHJ930" s="18"/>
      <c r="PHK930" s="18"/>
      <c r="PHL930" s="18"/>
      <c r="PHM930" s="18"/>
      <c r="PHN930" s="18"/>
      <c r="PHO930" s="18"/>
      <c r="PHP930" s="18"/>
      <c r="PHQ930" s="18"/>
      <c r="PHR930" s="18"/>
      <c r="PHS930" s="18"/>
      <c r="PHT930" s="18"/>
      <c r="PHU930" s="18"/>
      <c r="PHV930" s="18"/>
      <c r="PHW930" s="18"/>
      <c r="PHX930" s="18"/>
      <c r="PHY930" s="18"/>
      <c r="PHZ930" s="18"/>
      <c r="PIA930" s="18"/>
      <c r="PIB930" s="18"/>
      <c r="PIC930" s="18"/>
      <c r="PID930" s="18"/>
      <c r="PIE930" s="18"/>
      <c r="PIF930" s="18"/>
      <c r="PIG930" s="18"/>
      <c r="PIH930" s="18"/>
      <c r="PII930" s="18"/>
      <c r="PIJ930" s="18"/>
      <c r="PIK930" s="18"/>
      <c r="PIL930" s="18"/>
      <c r="PIM930" s="18"/>
      <c r="PIN930" s="18"/>
      <c r="PIO930" s="18"/>
      <c r="PIP930" s="18"/>
      <c r="PIQ930" s="18"/>
      <c r="PIR930" s="18"/>
      <c r="PIS930" s="18"/>
      <c r="PIT930" s="18"/>
      <c r="PIU930" s="18"/>
      <c r="PIV930" s="18"/>
      <c r="PIW930" s="18"/>
      <c r="PIX930" s="18"/>
      <c r="PIY930" s="18"/>
      <c r="PIZ930" s="18"/>
      <c r="PJA930" s="18"/>
      <c r="PJB930" s="18"/>
      <c r="PJC930" s="18"/>
      <c r="PJD930" s="18"/>
      <c r="PJE930" s="18"/>
      <c r="PJF930" s="18"/>
      <c r="PJG930" s="18"/>
      <c r="PJH930" s="18"/>
      <c r="PJI930" s="18"/>
      <c r="PJJ930" s="18"/>
      <c r="PJK930" s="18"/>
      <c r="PJL930" s="18"/>
      <c r="PJM930" s="18"/>
      <c r="PJN930" s="18"/>
      <c r="PJO930" s="18"/>
      <c r="PJP930" s="18"/>
      <c r="PJQ930" s="18"/>
      <c r="PJR930" s="18"/>
      <c r="PJS930" s="18"/>
      <c r="PJT930" s="18"/>
      <c r="PJU930" s="18"/>
      <c r="PJV930" s="18"/>
      <c r="PJW930" s="18"/>
      <c r="PJX930" s="18"/>
      <c r="PJY930" s="18"/>
      <c r="PJZ930" s="18"/>
      <c r="PKA930" s="18"/>
      <c r="PKB930" s="18"/>
      <c r="PKC930" s="18"/>
      <c r="PKD930" s="18"/>
      <c r="PKE930" s="18"/>
      <c r="PKF930" s="18"/>
      <c r="PKG930" s="18"/>
      <c r="PKH930" s="18"/>
      <c r="PKI930" s="18"/>
      <c r="PKJ930" s="18"/>
      <c r="PKK930" s="18"/>
      <c r="PKL930" s="18"/>
      <c r="PKM930" s="18"/>
      <c r="PKN930" s="18"/>
      <c r="PKO930" s="18"/>
      <c r="PKP930" s="18"/>
      <c r="PKQ930" s="18"/>
      <c r="PKR930" s="18"/>
      <c r="PKS930" s="18"/>
      <c r="PKT930" s="18"/>
      <c r="PKU930" s="18"/>
      <c r="PKV930" s="18"/>
      <c r="PKW930" s="18"/>
      <c r="PKX930" s="18"/>
      <c r="PKY930" s="18"/>
      <c r="PKZ930" s="18"/>
      <c r="PLA930" s="18"/>
      <c r="PLB930" s="18"/>
      <c r="PLC930" s="18"/>
      <c r="PLD930" s="18"/>
      <c r="PLE930" s="18"/>
      <c r="PLF930" s="18"/>
      <c r="PLG930" s="18"/>
      <c r="PLH930" s="18"/>
      <c r="PLI930" s="18"/>
      <c r="PLJ930" s="18"/>
      <c r="PLK930" s="18"/>
      <c r="PLL930" s="18"/>
      <c r="PLM930" s="18"/>
      <c r="PLN930" s="18"/>
      <c r="PLO930" s="18"/>
      <c r="PLP930" s="18"/>
      <c r="PLQ930" s="18"/>
      <c r="PLR930" s="18"/>
      <c r="PLS930" s="18"/>
      <c r="PLT930" s="18"/>
      <c r="PLU930" s="18"/>
      <c r="PLV930" s="18"/>
      <c r="PLW930" s="18"/>
      <c r="PLX930" s="18"/>
      <c r="PLY930" s="18"/>
      <c r="PLZ930" s="18"/>
      <c r="PMA930" s="18"/>
      <c r="PMB930" s="18"/>
      <c r="PMC930" s="18"/>
      <c r="PMD930" s="18"/>
      <c r="PME930" s="18"/>
      <c r="PMF930" s="18"/>
      <c r="PMG930" s="18"/>
      <c r="PMH930" s="18"/>
      <c r="PMI930" s="18"/>
      <c r="PMJ930" s="18"/>
      <c r="PMK930" s="18"/>
      <c r="PML930" s="18"/>
      <c r="PMM930" s="18"/>
      <c r="PMN930" s="18"/>
      <c r="PMO930" s="18"/>
      <c r="PMP930" s="18"/>
      <c r="PMQ930" s="18"/>
      <c r="PMR930" s="18"/>
      <c r="PMS930" s="18"/>
      <c r="PMT930" s="18"/>
      <c r="PMU930" s="18"/>
      <c r="PMV930" s="18"/>
      <c r="PMW930" s="18"/>
      <c r="PMX930" s="18"/>
      <c r="PMY930" s="18"/>
      <c r="PMZ930" s="18"/>
      <c r="PNA930" s="18"/>
      <c r="PNB930" s="18"/>
      <c r="PNC930" s="18"/>
      <c r="PND930" s="18"/>
      <c r="PNE930" s="18"/>
      <c r="PNF930" s="18"/>
      <c r="PNG930" s="18"/>
      <c r="PNH930" s="18"/>
      <c r="PNI930" s="18"/>
      <c r="PNJ930" s="18"/>
      <c r="PNK930" s="18"/>
      <c r="PNL930" s="18"/>
      <c r="PNM930" s="18"/>
      <c r="PNN930" s="18"/>
      <c r="PNO930" s="18"/>
      <c r="PNP930" s="18"/>
      <c r="PNQ930" s="18"/>
      <c r="PNR930" s="18"/>
      <c r="PNS930" s="18"/>
      <c r="PNT930" s="18"/>
      <c r="PNU930" s="18"/>
      <c r="PNV930" s="18"/>
      <c r="PNW930" s="18"/>
      <c r="PNX930" s="18"/>
      <c r="PNY930" s="18"/>
      <c r="PNZ930" s="18"/>
      <c r="POA930" s="18"/>
      <c r="POB930" s="18"/>
      <c r="POC930" s="18"/>
      <c r="POD930" s="18"/>
      <c r="POE930" s="18"/>
      <c r="POF930" s="18"/>
      <c r="POG930" s="18"/>
      <c r="POH930" s="18"/>
      <c r="POI930" s="18"/>
      <c r="POJ930" s="18"/>
      <c r="POK930" s="18"/>
      <c r="POL930" s="18"/>
      <c r="POM930" s="18"/>
      <c r="PON930" s="18"/>
      <c r="POO930" s="18"/>
      <c r="POP930" s="18"/>
      <c r="POQ930" s="18"/>
      <c r="POR930" s="18"/>
      <c r="POS930" s="18"/>
      <c r="POT930" s="18"/>
      <c r="POU930" s="18"/>
      <c r="POV930" s="18"/>
      <c r="POW930" s="18"/>
      <c r="POX930" s="18"/>
      <c r="POY930" s="18"/>
      <c r="POZ930" s="18"/>
      <c r="PPA930" s="18"/>
      <c r="PPB930" s="18"/>
      <c r="PPC930" s="18"/>
      <c r="PPD930" s="18"/>
      <c r="PPE930" s="18"/>
      <c r="PPF930" s="18"/>
      <c r="PPG930" s="18"/>
      <c r="PPH930" s="18"/>
      <c r="PPI930" s="18"/>
      <c r="PPJ930" s="18"/>
      <c r="PPK930" s="18"/>
      <c r="PPL930" s="18"/>
      <c r="PPM930" s="18"/>
      <c r="PPN930" s="18"/>
      <c r="PPO930" s="18"/>
      <c r="PPP930" s="18"/>
      <c r="PPQ930" s="18"/>
      <c r="PPR930" s="18"/>
      <c r="PPS930" s="18"/>
      <c r="PPT930" s="18"/>
      <c r="PPU930" s="18"/>
      <c r="PPV930" s="18"/>
      <c r="PPW930" s="18"/>
      <c r="PPX930" s="18"/>
      <c r="PPY930" s="18"/>
      <c r="PPZ930" s="18"/>
      <c r="PQA930" s="18"/>
      <c r="PQB930" s="18"/>
      <c r="PQC930" s="18"/>
      <c r="PQD930" s="18"/>
      <c r="PQE930" s="18"/>
      <c r="PQF930" s="18"/>
      <c r="PQG930" s="18"/>
      <c r="PQH930" s="18"/>
      <c r="PQI930" s="18"/>
      <c r="PQJ930" s="18"/>
      <c r="PQK930" s="18"/>
      <c r="PQL930" s="18"/>
      <c r="PQM930" s="18"/>
      <c r="PQN930" s="18"/>
      <c r="PQO930" s="18"/>
      <c r="PQP930" s="18"/>
      <c r="PQQ930" s="18"/>
      <c r="PQR930" s="18"/>
      <c r="PQS930" s="18"/>
      <c r="PQT930" s="18"/>
      <c r="PQU930" s="18"/>
      <c r="PQV930" s="18"/>
      <c r="PQW930" s="18"/>
      <c r="PQX930" s="18"/>
      <c r="PQY930" s="18"/>
      <c r="PQZ930" s="18"/>
      <c r="PRA930" s="18"/>
      <c r="PRB930" s="18"/>
      <c r="PRC930" s="18"/>
      <c r="PRD930" s="18"/>
      <c r="PRE930" s="18"/>
      <c r="PRF930" s="18"/>
      <c r="PRG930" s="18"/>
      <c r="PRH930" s="18"/>
      <c r="PRI930" s="18"/>
      <c r="PRJ930" s="18"/>
      <c r="PRK930" s="18"/>
      <c r="PRL930" s="18"/>
      <c r="PRM930" s="18"/>
      <c r="PRN930" s="18"/>
      <c r="PRO930" s="18"/>
      <c r="PRP930" s="18"/>
      <c r="PRQ930" s="18"/>
      <c r="PRR930" s="18"/>
      <c r="PRS930" s="18"/>
      <c r="PRT930" s="18"/>
      <c r="PRU930" s="18"/>
      <c r="PRV930" s="18"/>
      <c r="PRW930" s="18"/>
      <c r="PRX930" s="18"/>
      <c r="PRY930" s="18"/>
      <c r="PRZ930" s="18"/>
      <c r="PSA930" s="18"/>
      <c r="PSB930" s="18"/>
      <c r="PSC930" s="18"/>
      <c r="PSD930" s="18"/>
      <c r="PSE930" s="18"/>
      <c r="PSF930" s="18"/>
      <c r="PSG930" s="18"/>
      <c r="PSH930" s="18"/>
      <c r="PSI930" s="18"/>
      <c r="PSJ930" s="18"/>
      <c r="PSK930" s="18"/>
      <c r="PSL930" s="18"/>
      <c r="PSM930" s="18"/>
      <c r="PSN930" s="18"/>
      <c r="PSO930" s="18"/>
      <c r="PSP930" s="18"/>
      <c r="PSQ930" s="18"/>
      <c r="PSR930" s="18"/>
      <c r="PSS930" s="18"/>
      <c r="PST930" s="18"/>
      <c r="PSU930" s="18"/>
      <c r="PSV930" s="18"/>
      <c r="PSW930" s="18"/>
      <c r="PSX930" s="18"/>
      <c r="PSY930" s="18"/>
      <c r="PSZ930" s="18"/>
      <c r="PTA930" s="18"/>
      <c r="PTB930" s="18"/>
      <c r="PTC930" s="18"/>
      <c r="PTD930" s="18"/>
      <c r="PTE930" s="18"/>
      <c r="PTF930" s="18"/>
      <c r="PTG930" s="18"/>
      <c r="PTH930" s="18"/>
      <c r="PTI930" s="18"/>
      <c r="PTJ930" s="18"/>
      <c r="PTK930" s="18"/>
      <c r="PTL930" s="18"/>
      <c r="PTM930" s="18"/>
      <c r="PTN930" s="18"/>
      <c r="PTO930" s="18"/>
      <c r="PTP930" s="18"/>
      <c r="PTQ930" s="18"/>
      <c r="PTR930" s="18"/>
      <c r="PTS930" s="18"/>
      <c r="PTT930" s="18"/>
      <c r="PTU930" s="18"/>
      <c r="PTV930" s="18"/>
      <c r="PTW930" s="18"/>
      <c r="PTX930" s="18"/>
      <c r="PTY930" s="18"/>
      <c r="PTZ930" s="18"/>
      <c r="PUA930" s="18"/>
      <c r="PUB930" s="18"/>
      <c r="PUC930" s="18"/>
      <c r="PUD930" s="18"/>
      <c r="PUE930" s="18"/>
      <c r="PUF930" s="18"/>
      <c r="PUG930" s="18"/>
      <c r="PUH930" s="18"/>
      <c r="PUI930" s="18"/>
      <c r="PUJ930" s="18"/>
      <c r="PUK930" s="18"/>
      <c r="PUL930" s="18"/>
      <c r="PUM930" s="18"/>
      <c r="PUN930" s="18"/>
      <c r="PUO930" s="18"/>
      <c r="PUP930" s="18"/>
      <c r="PUQ930" s="18"/>
      <c r="PUR930" s="18"/>
      <c r="PUS930" s="18"/>
      <c r="PUT930" s="18"/>
      <c r="PUU930" s="18"/>
      <c r="PUV930" s="18"/>
      <c r="PUW930" s="18"/>
      <c r="PUX930" s="18"/>
      <c r="PUY930" s="18"/>
      <c r="PUZ930" s="18"/>
      <c r="PVA930" s="18"/>
      <c r="PVB930" s="18"/>
      <c r="PVC930" s="18"/>
      <c r="PVD930" s="18"/>
      <c r="PVE930" s="18"/>
      <c r="PVF930" s="18"/>
      <c r="PVG930" s="18"/>
      <c r="PVH930" s="18"/>
      <c r="PVI930" s="18"/>
      <c r="PVJ930" s="18"/>
      <c r="PVK930" s="18"/>
      <c r="PVL930" s="18"/>
      <c r="PVM930" s="18"/>
      <c r="PVN930" s="18"/>
      <c r="PVO930" s="18"/>
      <c r="PVP930" s="18"/>
      <c r="PVQ930" s="18"/>
      <c r="PVR930" s="18"/>
      <c r="PVS930" s="18"/>
      <c r="PVT930" s="18"/>
      <c r="PVU930" s="18"/>
      <c r="PVV930" s="18"/>
      <c r="PVW930" s="18"/>
      <c r="PVX930" s="18"/>
      <c r="PVY930" s="18"/>
      <c r="PVZ930" s="18"/>
      <c r="PWA930" s="18"/>
      <c r="PWB930" s="18"/>
      <c r="PWC930" s="18"/>
      <c r="PWD930" s="18"/>
      <c r="PWE930" s="18"/>
      <c r="PWF930" s="18"/>
      <c r="PWG930" s="18"/>
      <c r="PWH930" s="18"/>
      <c r="PWI930" s="18"/>
      <c r="PWJ930" s="18"/>
      <c r="PWK930" s="18"/>
      <c r="PWL930" s="18"/>
      <c r="PWM930" s="18"/>
      <c r="PWN930" s="18"/>
      <c r="PWO930" s="18"/>
      <c r="PWP930" s="18"/>
      <c r="PWQ930" s="18"/>
      <c r="PWR930" s="18"/>
      <c r="PWS930" s="18"/>
      <c r="PWT930" s="18"/>
      <c r="PWU930" s="18"/>
      <c r="PWV930" s="18"/>
      <c r="PWW930" s="18"/>
      <c r="PWX930" s="18"/>
      <c r="PWY930" s="18"/>
      <c r="PWZ930" s="18"/>
      <c r="PXA930" s="18"/>
      <c r="PXB930" s="18"/>
      <c r="PXC930" s="18"/>
      <c r="PXD930" s="18"/>
      <c r="PXE930" s="18"/>
      <c r="PXF930" s="18"/>
      <c r="PXG930" s="18"/>
      <c r="PXH930" s="18"/>
      <c r="PXI930" s="18"/>
      <c r="PXJ930" s="18"/>
      <c r="PXK930" s="18"/>
      <c r="PXL930" s="18"/>
      <c r="PXM930" s="18"/>
      <c r="PXN930" s="18"/>
      <c r="PXO930" s="18"/>
      <c r="PXP930" s="18"/>
      <c r="PXQ930" s="18"/>
      <c r="PXR930" s="18"/>
      <c r="PXS930" s="18"/>
      <c r="PXT930" s="18"/>
      <c r="PXU930" s="18"/>
      <c r="PXV930" s="18"/>
      <c r="PXW930" s="18"/>
      <c r="PXX930" s="18"/>
      <c r="PXY930" s="18"/>
      <c r="PXZ930" s="18"/>
      <c r="PYA930" s="18"/>
      <c r="PYB930" s="18"/>
      <c r="PYC930" s="18"/>
      <c r="PYD930" s="18"/>
      <c r="PYE930" s="18"/>
      <c r="PYF930" s="18"/>
      <c r="PYG930" s="18"/>
      <c r="PYH930" s="18"/>
      <c r="PYI930" s="18"/>
      <c r="PYJ930" s="18"/>
      <c r="PYK930" s="18"/>
      <c r="PYL930" s="18"/>
      <c r="PYM930" s="18"/>
      <c r="PYN930" s="18"/>
      <c r="PYO930" s="18"/>
      <c r="PYP930" s="18"/>
      <c r="PYQ930" s="18"/>
      <c r="PYR930" s="18"/>
      <c r="PYS930" s="18"/>
      <c r="PYT930" s="18"/>
      <c r="PYU930" s="18"/>
      <c r="PYV930" s="18"/>
      <c r="PYW930" s="18"/>
      <c r="PYX930" s="18"/>
      <c r="PYY930" s="18"/>
      <c r="PYZ930" s="18"/>
      <c r="PZA930" s="18"/>
      <c r="PZB930" s="18"/>
      <c r="PZC930" s="18"/>
      <c r="PZD930" s="18"/>
      <c r="PZE930" s="18"/>
      <c r="PZF930" s="18"/>
      <c r="PZG930" s="18"/>
      <c r="PZH930" s="18"/>
      <c r="PZI930" s="18"/>
      <c r="PZJ930" s="18"/>
      <c r="PZK930" s="18"/>
      <c r="PZL930" s="18"/>
      <c r="PZM930" s="18"/>
      <c r="PZN930" s="18"/>
      <c r="PZO930" s="18"/>
      <c r="PZP930" s="18"/>
      <c r="PZQ930" s="18"/>
      <c r="PZR930" s="18"/>
      <c r="PZS930" s="18"/>
      <c r="PZT930" s="18"/>
      <c r="PZU930" s="18"/>
      <c r="PZV930" s="18"/>
      <c r="PZW930" s="18"/>
      <c r="PZX930" s="18"/>
      <c r="PZY930" s="18"/>
      <c r="PZZ930" s="18"/>
      <c r="QAA930" s="18"/>
      <c r="QAB930" s="18"/>
      <c r="QAC930" s="18"/>
      <c r="QAD930" s="18"/>
      <c r="QAE930" s="18"/>
      <c r="QAF930" s="18"/>
      <c r="QAG930" s="18"/>
      <c r="QAH930" s="18"/>
      <c r="QAI930" s="18"/>
      <c r="QAJ930" s="18"/>
      <c r="QAK930" s="18"/>
      <c r="QAL930" s="18"/>
      <c r="QAM930" s="18"/>
      <c r="QAN930" s="18"/>
      <c r="QAO930" s="18"/>
      <c r="QAP930" s="18"/>
      <c r="QAQ930" s="18"/>
      <c r="QAR930" s="18"/>
      <c r="QAS930" s="18"/>
      <c r="QAT930" s="18"/>
      <c r="QAU930" s="18"/>
      <c r="QAV930" s="18"/>
      <c r="QAW930" s="18"/>
      <c r="QAX930" s="18"/>
      <c r="QAY930" s="18"/>
      <c r="QAZ930" s="18"/>
      <c r="QBA930" s="18"/>
      <c r="QBB930" s="18"/>
      <c r="QBC930" s="18"/>
      <c r="QBD930" s="18"/>
      <c r="QBE930" s="18"/>
      <c r="QBF930" s="18"/>
      <c r="QBG930" s="18"/>
      <c r="QBH930" s="18"/>
      <c r="QBI930" s="18"/>
      <c r="QBJ930" s="18"/>
      <c r="QBK930" s="18"/>
      <c r="QBL930" s="18"/>
      <c r="QBM930" s="18"/>
      <c r="QBN930" s="18"/>
      <c r="QBO930" s="18"/>
      <c r="QBP930" s="18"/>
      <c r="QBQ930" s="18"/>
      <c r="QBR930" s="18"/>
      <c r="QBS930" s="18"/>
      <c r="QBT930" s="18"/>
      <c r="QBU930" s="18"/>
      <c r="QBV930" s="18"/>
      <c r="QBW930" s="18"/>
      <c r="QBX930" s="18"/>
      <c r="QBY930" s="18"/>
      <c r="QBZ930" s="18"/>
      <c r="QCA930" s="18"/>
      <c r="QCB930" s="18"/>
      <c r="QCC930" s="18"/>
      <c r="QCD930" s="18"/>
      <c r="QCE930" s="18"/>
      <c r="QCF930" s="18"/>
      <c r="QCG930" s="18"/>
      <c r="QCH930" s="18"/>
      <c r="QCI930" s="18"/>
      <c r="QCJ930" s="18"/>
      <c r="QCK930" s="18"/>
      <c r="QCL930" s="18"/>
      <c r="QCM930" s="18"/>
      <c r="QCN930" s="18"/>
      <c r="QCO930" s="18"/>
      <c r="QCP930" s="18"/>
      <c r="QCQ930" s="18"/>
      <c r="QCR930" s="18"/>
      <c r="QCS930" s="18"/>
      <c r="QCT930" s="18"/>
      <c r="QCU930" s="18"/>
      <c r="QCV930" s="18"/>
      <c r="QCW930" s="18"/>
      <c r="QCX930" s="18"/>
      <c r="QCY930" s="18"/>
      <c r="QCZ930" s="18"/>
      <c r="QDA930" s="18"/>
      <c r="QDB930" s="18"/>
      <c r="QDC930" s="18"/>
      <c r="QDD930" s="18"/>
      <c r="QDE930" s="18"/>
      <c r="QDF930" s="18"/>
      <c r="QDG930" s="18"/>
      <c r="QDH930" s="18"/>
      <c r="QDI930" s="18"/>
      <c r="QDJ930" s="18"/>
      <c r="QDK930" s="18"/>
      <c r="QDL930" s="18"/>
      <c r="QDM930" s="18"/>
      <c r="QDN930" s="18"/>
      <c r="QDO930" s="18"/>
      <c r="QDP930" s="18"/>
      <c r="QDQ930" s="18"/>
      <c r="QDR930" s="18"/>
      <c r="QDS930" s="18"/>
      <c r="QDT930" s="18"/>
      <c r="QDU930" s="18"/>
      <c r="QDV930" s="18"/>
      <c r="QDW930" s="18"/>
      <c r="QDX930" s="18"/>
      <c r="QDY930" s="18"/>
      <c r="QDZ930" s="18"/>
      <c r="QEA930" s="18"/>
      <c r="QEB930" s="18"/>
      <c r="QEC930" s="18"/>
      <c r="QED930" s="18"/>
      <c r="QEE930" s="18"/>
      <c r="QEF930" s="18"/>
      <c r="QEG930" s="18"/>
      <c r="QEH930" s="18"/>
      <c r="QEI930" s="18"/>
      <c r="QEJ930" s="18"/>
      <c r="QEK930" s="18"/>
      <c r="QEL930" s="18"/>
      <c r="QEM930" s="18"/>
      <c r="QEN930" s="18"/>
      <c r="QEO930" s="18"/>
      <c r="QEP930" s="18"/>
      <c r="QEQ930" s="18"/>
      <c r="QER930" s="18"/>
      <c r="QES930" s="18"/>
      <c r="QET930" s="18"/>
      <c r="QEU930" s="18"/>
      <c r="QEV930" s="18"/>
      <c r="QEW930" s="18"/>
      <c r="QEX930" s="18"/>
      <c r="QEY930" s="18"/>
      <c r="QEZ930" s="18"/>
      <c r="QFA930" s="18"/>
      <c r="QFB930" s="18"/>
      <c r="QFC930" s="18"/>
      <c r="QFD930" s="18"/>
      <c r="QFE930" s="18"/>
      <c r="QFF930" s="18"/>
      <c r="QFG930" s="18"/>
      <c r="QFH930" s="18"/>
      <c r="QFI930" s="18"/>
      <c r="QFJ930" s="18"/>
      <c r="QFK930" s="18"/>
      <c r="QFL930" s="18"/>
      <c r="QFM930" s="18"/>
      <c r="QFN930" s="18"/>
      <c r="QFO930" s="18"/>
      <c r="QFP930" s="18"/>
      <c r="QFQ930" s="18"/>
      <c r="QFR930" s="18"/>
      <c r="QFS930" s="18"/>
      <c r="QFT930" s="18"/>
      <c r="QFU930" s="18"/>
      <c r="QFV930" s="18"/>
      <c r="QFW930" s="18"/>
      <c r="QFX930" s="18"/>
      <c r="QFY930" s="18"/>
      <c r="QFZ930" s="18"/>
      <c r="QGA930" s="18"/>
      <c r="QGB930" s="18"/>
      <c r="QGC930" s="18"/>
      <c r="QGD930" s="18"/>
      <c r="QGE930" s="18"/>
      <c r="QGF930" s="18"/>
      <c r="QGG930" s="18"/>
      <c r="QGH930" s="18"/>
      <c r="QGI930" s="18"/>
      <c r="QGJ930" s="18"/>
      <c r="QGK930" s="18"/>
      <c r="QGL930" s="18"/>
      <c r="QGM930" s="18"/>
      <c r="QGN930" s="18"/>
      <c r="QGO930" s="18"/>
      <c r="QGP930" s="18"/>
      <c r="QGQ930" s="18"/>
      <c r="QGR930" s="18"/>
      <c r="QGS930" s="18"/>
      <c r="QGT930" s="18"/>
      <c r="QGU930" s="18"/>
      <c r="QGV930" s="18"/>
      <c r="QGW930" s="18"/>
      <c r="QGX930" s="18"/>
      <c r="QGY930" s="18"/>
      <c r="QGZ930" s="18"/>
      <c r="QHA930" s="18"/>
      <c r="QHB930" s="18"/>
      <c r="QHC930" s="18"/>
      <c r="QHD930" s="18"/>
      <c r="QHE930" s="18"/>
      <c r="QHF930" s="18"/>
      <c r="QHG930" s="18"/>
      <c r="QHH930" s="18"/>
      <c r="QHI930" s="18"/>
      <c r="QHJ930" s="18"/>
      <c r="QHK930" s="18"/>
      <c r="QHL930" s="18"/>
      <c r="QHM930" s="18"/>
      <c r="QHN930" s="18"/>
      <c r="QHO930" s="18"/>
      <c r="QHP930" s="18"/>
      <c r="QHQ930" s="18"/>
      <c r="QHR930" s="18"/>
      <c r="QHS930" s="18"/>
      <c r="QHT930" s="18"/>
      <c r="QHU930" s="18"/>
      <c r="QHV930" s="18"/>
      <c r="QHW930" s="18"/>
      <c r="QHX930" s="18"/>
      <c r="QHY930" s="18"/>
      <c r="QHZ930" s="18"/>
      <c r="QIA930" s="18"/>
      <c r="QIB930" s="18"/>
      <c r="QIC930" s="18"/>
      <c r="QID930" s="18"/>
      <c r="QIE930" s="18"/>
      <c r="QIF930" s="18"/>
      <c r="QIG930" s="18"/>
      <c r="QIH930" s="18"/>
      <c r="QII930" s="18"/>
      <c r="QIJ930" s="18"/>
      <c r="QIK930" s="18"/>
      <c r="QIL930" s="18"/>
      <c r="QIM930" s="18"/>
      <c r="QIN930" s="18"/>
      <c r="QIO930" s="18"/>
      <c r="QIP930" s="18"/>
      <c r="QIQ930" s="18"/>
      <c r="QIR930" s="18"/>
      <c r="QIS930" s="18"/>
      <c r="QIT930" s="18"/>
      <c r="QIU930" s="18"/>
      <c r="QIV930" s="18"/>
      <c r="QIW930" s="18"/>
      <c r="QIX930" s="18"/>
      <c r="QIY930" s="18"/>
      <c r="QIZ930" s="18"/>
      <c r="QJA930" s="18"/>
      <c r="QJB930" s="18"/>
      <c r="QJC930" s="18"/>
      <c r="QJD930" s="18"/>
      <c r="QJE930" s="18"/>
      <c r="QJF930" s="18"/>
      <c r="QJG930" s="18"/>
      <c r="QJH930" s="18"/>
      <c r="QJI930" s="18"/>
      <c r="QJJ930" s="18"/>
      <c r="QJK930" s="18"/>
      <c r="QJL930" s="18"/>
      <c r="QJM930" s="18"/>
      <c r="QJN930" s="18"/>
      <c r="QJO930" s="18"/>
      <c r="QJP930" s="18"/>
      <c r="QJQ930" s="18"/>
      <c r="QJR930" s="18"/>
      <c r="QJS930" s="18"/>
      <c r="QJT930" s="18"/>
      <c r="QJU930" s="18"/>
      <c r="QJV930" s="18"/>
      <c r="QJW930" s="18"/>
      <c r="QJX930" s="18"/>
      <c r="QJY930" s="18"/>
      <c r="QJZ930" s="18"/>
      <c r="QKA930" s="18"/>
      <c r="QKB930" s="18"/>
      <c r="QKC930" s="18"/>
      <c r="QKD930" s="18"/>
      <c r="QKE930" s="18"/>
      <c r="QKF930" s="18"/>
      <c r="QKG930" s="18"/>
      <c r="QKH930" s="18"/>
      <c r="QKI930" s="18"/>
      <c r="QKJ930" s="18"/>
      <c r="QKK930" s="18"/>
      <c r="QKL930" s="18"/>
      <c r="QKM930" s="18"/>
      <c r="QKN930" s="18"/>
      <c r="QKO930" s="18"/>
      <c r="QKP930" s="18"/>
      <c r="QKQ930" s="18"/>
      <c r="QKR930" s="18"/>
      <c r="QKS930" s="18"/>
      <c r="QKT930" s="18"/>
      <c r="QKU930" s="18"/>
      <c r="QKV930" s="18"/>
      <c r="QKW930" s="18"/>
      <c r="QKX930" s="18"/>
      <c r="QKY930" s="18"/>
      <c r="QKZ930" s="18"/>
      <c r="QLA930" s="18"/>
      <c r="QLB930" s="18"/>
      <c r="QLC930" s="18"/>
      <c r="QLD930" s="18"/>
      <c r="QLE930" s="18"/>
      <c r="QLF930" s="18"/>
      <c r="QLG930" s="18"/>
      <c r="QLH930" s="18"/>
      <c r="QLI930" s="18"/>
      <c r="QLJ930" s="18"/>
      <c r="QLK930" s="18"/>
      <c r="QLL930" s="18"/>
      <c r="QLM930" s="18"/>
      <c r="QLN930" s="18"/>
      <c r="QLO930" s="18"/>
      <c r="QLP930" s="18"/>
      <c r="QLQ930" s="18"/>
      <c r="QLR930" s="18"/>
      <c r="QLS930" s="18"/>
      <c r="QLT930" s="18"/>
      <c r="QLU930" s="18"/>
      <c r="QLV930" s="18"/>
      <c r="QLW930" s="18"/>
      <c r="QLX930" s="18"/>
      <c r="QLY930" s="18"/>
      <c r="QLZ930" s="18"/>
      <c r="QMA930" s="18"/>
      <c r="QMB930" s="18"/>
      <c r="QMC930" s="18"/>
      <c r="QMD930" s="18"/>
      <c r="QME930" s="18"/>
      <c r="QMF930" s="18"/>
      <c r="QMG930" s="18"/>
      <c r="QMH930" s="18"/>
      <c r="QMI930" s="18"/>
      <c r="QMJ930" s="18"/>
      <c r="QMK930" s="18"/>
      <c r="QML930" s="18"/>
      <c r="QMM930" s="18"/>
      <c r="QMN930" s="18"/>
      <c r="QMO930" s="18"/>
      <c r="QMP930" s="18"/>
      <c r="QMQ930" s="18"/>
      <c r="QMR930" s="18"/>
      <c r="QMS930" s="18"/>
      <c r="QMT930" s="18"/>
      <c r="QMU930" s="18"/>
      <c r="QMV930" s="18"/>
      <c r="QMW930" s="18"/>
      <c r="QMX930" s="18"/>
      <c r="QMY930" s="18"/>
      <c r="QMZ930" s="18"/>
      <c r="QNA930" s="18"/>
      <c r="QNB930" s="18"/>
      <c r="QNC930" s="18"/>
      <c r="QND930" s="18"/>
      <c r="QNE930" s="18"/>
      <c r="QNF930" s="18"/>
      <c r="QNG930" s="18"/>
      <c r="QNH930" s="18"/>
      <c r="QNI930" s="18"/>
      <c r="QNJ930" s="18"/>
      <c r="QNK930" s="18"/>
      <c r="QNL930" s="18"/>
      <c r="QNM930" s="18"/>
      <c r="QNN930" s="18"/>
      <c r="QNO930" s="18"/>
      <c r="QNP930" s="18"/>
      <c r="QNQ930" s="18"/>
      <c r="QNR930" s="18"/>
      <c r="QNS930" s="18"/>
      <c r="QNT930" s="18"/>
      <c r="QNU930" s="18"/>
      <c r="QNV930" s="18"/>
      <c r="QNW930" s="18"/>
      <c r="QNX930" s="18"/>
      <c r="QNY930" s="18"/>
      <c r="QNZ930" s="18"/>
      <c r="QOA930" s="18"/>
      <c r="QOB930" s="18"/>
      <c r="QOC930" s="18"/>
      <c r="QOD930" s="18"/>
      <c r="QOE930" s="18"/>
      <c r="QOF930" s="18"/>
      <c r="QOG930" s="18"/>
      <c r="QOH930" s="18"/>
      <c r="QOI930" s="18"/>
      <c r="QOJ930" s="18"/>
      <c r="QOK930" s="18"/>
      <c r="QOL930" s="18"/>
      <c r="QOM930" s="18"/>
      <c r="QON930" s="18"/>
      <c r="QOO930" s="18"/>
      <c r="QOP930" s="18"/>
      <c r="QOQ930" s="18"/>
      <c r="QOR930" s="18"/>
      <c r="QOS930" s="18"/>
      <c r="QOT930" s="18"/>
      <c r="QOU930" s="18"/>
      <c r="QOV930" s="18"/>
      <c r="QOW930" s="18"/>
      <c r="QOX930" s="18"/>
      <c r="QOY930" s="18"/>
      <c r="QOZ930" s="18"/>
      <c r="QPA930" s="18"/>
      <c r="QPB930" s="18"/>
      <c r="QPC930" s="18"/>
      <c r="QPD930" s="18"/>
      <c r="QPE930" s="18"/>
      <c r="QPF930" s="18"/>
      <c r="QPG930" s="18"/>
      <c r="QPH930" s="18"/>
      <c r="QPI930" s="18"/>
      <c r="QPJ930" s="18"/>
      <c r="QPK930" s="18"/>
      <c r="QPL930" s="18"/>
      <c r="QPM930" s="18"/>
      <c r="QPN930" s="18"/>
      <c r="QPO930" s="18"/>
      <c r="QPP930" s="18"/>
      <c r="QPQ930" s="18"/>
      <c r="QPR930" s="18"/>
      <c r="QPS930" s="18"/>
      <c r="QPT930" s="18"/>
      <c r="QPU930" s="18"/>
      <c r="QPV930" s="18"/>
      <c r="QPW930" s="18"/>
      <c r="QPX930" s="18"/>
      <c r="QPY930" s="18"/>
      <c r="QPZ930" s="18"/>
      <c r="QQA930" s="18"/>
      <c r="QQB930" s="18"/>
      <c r="QQC930" s="18"/>
      <c r="QQD930" s="18"/>
      <c r="QQE930" s="18"/>
      <c r="QQF930" s="18"/>
      <c r="QQG930" s="18"/>
      <c r="QQH930" s="18"/>
      <c r="QQI930" s="18"/>
      <c r="QQJ930" s="18"/>
      <c r="QQK930" s="18"/>
      <c r="QQL930" s="18"/>
      <c r="QQM930" s="18"/>
      <c r="QQN930" s="18"/>
      <c r="QQO930" s="18"/>
      <c r="QQP930" s="18"/>
      <c r="QQQ930" s="18"/>
      <c r="QQR930" s="18"/>
      <c r="QQS930" s="18"/>
      <c r="QQT930" s="18"/>
      <c r="QQU930" s="18"/>
      <c r="QQV930" s="18"/>
      <c r="QQW930" s="18"/>
      <c r="QQX930" s="18"/>
      <c r="QQY930" s="18"/>
      <c r="QQZ930" s="18"/>
      <c r="QRA930" s="18"/>
      <c r="QRB930" s="18"/>
      <c r="QRC930" s="18"/>
      <c r="QRD930" s="18"/>
      <c r="QRE930" s="18"/>
      <c r="QRF930" s="18"/>
      <c r="QRG930" s="18"/>
      <c r="QRH930" s="18"/>
      <c r="QRI930" s="18"/>
      <c r="QRJ930" s="18"/>
      <c r="QRK930" s="18"/>
      <c r="QRL930" s="18"/>
      <c r="QRM930" s="18"/>
      <c r="QRN930" s="18"/>
      <c r="QRO930" s="18"/>
      <c r="QRP930" s="18"/>
      <c r="QRQ930" s="18"/>
      <c r="QRR930" s="18"/>
      <c r="QRS930" s="18"/>
      <c r="QRT930" s="18"/>
      <c r="QRU930" s="18"/>
      <c r="QRV930" s="18"/>
      <c r="QRW930" s="18"/>
      <c r="QRX930" s="18"/>
      <c r="QRY930" s="18"/>
      <c r="QRZ930" s="18"/>
      <c r="QSA930" s="18"/>
      <c r="QSB930" s="18"/>
      <c r="QSC930" s="18"/>
      <c r="QSD930" s="18"/>
      <c r="QSE930" s="18"/>
      <c r="QSF930" s="18"/>
      <c r="QSG930" s="18"/>
      <c r="QSH930" s="18"/>
      <c r="QSI930" s="18"/>
      <c r="QSJ930" s="18"/>
      <c r="QSK930" s="18"/>
      <c r="QSL930" s="18"/>
      <c r="QSM930" s="18"/>
      <c r="QSN930" s="18"/>
      <c r="QSO930" s="18"/>
      <c r="QSP930" s="18"/>
      <c r="QSQ930" s="18"/>
      <c r="QSR930" s="18"/>
      <c r="QSS930" s="18"/>
      <c r="QST930" s="18"/>
      <c r="QSU930" s="18"/>
      <c r="QSV930" s="18"/>
      <c r="QSW930" s="18"/>
      <c r="QSX930" s="18"/>
      <c r="QSY930" s="18"/>
      <c r="QSZ930" s="18"/>
      <c r="QTA930" s="18"/>
      <c r="QTB930" s="18"/>
      <c r="QTC930" s="18"/>
      <c r="QTD930" s="18"/>
      <c r="QTE930" s="18"/>
      <c r="QTF930" s="18"/>
      <c r="QTG930" s="18"/>
      <c r="QTH930" s="18"/>
      <c r="QTI930" s="18"/>
      <c r="QTJ930" s="18"/>
      <c r="QTK930" s="18"/>
      <c r="QTL930" s="18"/>
      <c r="QTM930" s="18"/>
      <c r="QTN930" s="18"/>
      <c r="QTO930" s="18"/>
      <c r="QTP930" s="18"/>
      <c r="QTQ930" s="18"/>
      <c r="QTR930" s="18"/>
      <c r="QTS930" s="18"/>
      <c r="QTT930" s="18"/>
      <c r="QTU930" s="18"/>
      <c r="QTV930" s="18"/>
      <c r="QTW930" s="18"/>
      <c r="QTX930" s="18"/>
      <c r="QTY930" s="18"/>
      <c r="QTZ930" s="18"/>
      <c r="QUA930" s="18"/>
      <c r="QUB930" s="18"/>
      <c r="QUC930" s="18"/>
      <c r="QUD930" s="18"/>
      <c r="QUE930" s="18"/>
      <c r="QUF930" s="18"/>
      <c r="QUG930" s="18"/>
      <c r="QUH930" s="18"/>
      <c r="QUI930" s="18"/>
      <c r="QUJ930" s="18"/>
      <c r="QUK930" s="18"/>
      <c r="QUL930" s="18"/>
      <c r="QUM930" s="18"/>
      <c r="QUN930" s="18"/>
      <c r="QUO930" s="18"/>
      <c r="QUP930" s="18"/>
      <c r="QUQ930" s="18"/>
      <c r="QUR930" s="18"/>
      <c r="QUS930" s="18"/>
      <c r="QUT930" s="18"/>
      <c r="QUU930" s="18"/>
      <c r="QUV930" s="18"/>
      <c r="QUW930" s="18"/>
      <c r="QUX930" s="18"/>
      <c r="QUY930" s="18"/>
      <c r="QUZ930" s="18"/>
      <c r="QVA930" s="18"/>
      <c r="QVB930" s="18"/>
      <c r="QVC930" s="18"/>
      <c r="QVD930" s="18"/>
      <c r="QVE930" s="18"/>
      <c r="QVF930" s="18"/>
      <c r="QVG930" s="18"/>
      <c r="QVH930" s="18"/>
      <c r="QVI930" s="18"/>
      <c r="QVJ930" s="18"/>
      <c r="QVK930" s="18"/>
      <c r="QVL930" s="18"/>
      <c r="QVM930" s="18"/>
      <c r="QVN930" s="18"/>
      <c r="QVO930" s="18"/>
      <c r="QVP930" s="18"/>
      <c r="QVQ930" s="18"/>
      <c r="QVR930" s="18"/>
      <c r="QVS930" s="18"/>
      <c r="QVT930" s="18"/>
      <c r="QVU930" s="18"/>
      <c r="QVV930" s="18"/>
      <c r="QVW930" s="18"/>
      <c r="QVX930" s="18"/>
      <c r="QVY930" s="18"/>
      <c r="QVZ930" s="18"/>
      <c r="QWA930" s="18"/>
      <c r="QWB930" s="18"/>
      <c r="QWC930" s="18"/>
      <c r="QWD930" s="18"/>
      <c r="QWE930" s="18"/>
      <c r="QWF930" s="18"/>
      <c r="QWG930" s="18"/>
      <c r="QWH930" s="18"/>
      <c r="QWI930" s="18"/>
      <c r="QWJ930" s="18"/>
      <c r="QWK930" s="18"/>
      <c r="QWL930" s="18"/>
      <c r="QWM930" s="18"/>
      <c r="QWN930" s="18"/>
      <c r="QWO930" s="18"/>
      <c r="QWP930" s="18"/>
      <c r="QWQ930" s="18"/>
      <c r="QWR930" s="18"/>
      <c r="QWS930" s="18"/>
      <c r="QWT930" s="18"/>
      <c r="QWU930" s="18"/>
      <c r="QWV930" s="18"/>
      <c r="QWW930" s="18"/>
      <c r="QWX930" s="18"/>
      <c r="QWY930" s="18"/>
      <c r="QWZ930" s="18"/>
      <c r="QXA930" s="18"/>
      <c r="QXB930" s="18"/>
      <c r="QXC930" s="18"/>
      <c r="QXD930" s="18"/>
      <c r="QXE930" s="18"/>
      <c r="QXF930" s="18"/>
      <c r="QXG930" s="18"/>
      <c r="QXH930" s="18"/>
      <c r="QXI930" s="18"/>
      <c r="QXJ930" s="18"/>
      <c r="QXK930" s="18"/>
      <c r="QXL930" s="18"/>
      <c r="QXM930" s="18"/>
      <c r="QXN930" s="18"/>
      <c r="QXO930" s="18"/>
      <c r="QXP930" s="18"/>
      <c r="QXQ930" s="18"/>
      <c r="QXR930" s="18"/>
      <c r="QXS930" s="18"/>
      <c r="QXT930" s="18"/>
      <c r="QXU930" s="18"/>
      <c r="QXV930" s="18"/>
      <c r="QXW930" s="18"/>
      <c r="QXX930" s="18"/>
      <c r="QXY930" s="18"/>
      <c r="QXZ930" s="18"/>
      <c r="QYA930" s="18"/>
      <c r="QYB930" s="18"/>
      <c r="QYC930" s="18"/>
      <c r="QYD930" s="18"/>
      <c r="QYE930" s="18"/>
      <c r="QYF930" s="18"/>
      <c r="QYG930" s="18"/>
      <c r="QYH930" s="18"/>
      <c r="QYI930" s="18"/>
      <c r="QYJ930" s="18"/>
      <c r="QYK930" s="18"/>
      <c r="QYL930" s="18"/>
      <c r="QYM930" s="18"/>
      <c r="QYN930" s="18"/>
      <c r="QYO930" s="18"/>
      <c r="QYP930" s="18"/>
      <c r="QYQ930" s="18"/>
      <c r="QYR930" s="18"/>
      <c r="QYS930" s="18"/>
      <c r="QYT930" s="18"/>
      <c r="QYU930" s="18"/>
      <c r="QYV930" s="18"/>
      <c r="QYW930" s="18"/>
      <c r="QYX930" s="18"/>
      <c r="QYY930" s="18"/>
      <c r="QYZ930" s="18"/>
      <c r="QZA930" s="18"/>
      <c r="QZB930" s="18"/>
      <c r="QZC930" s="18"/>
      <c r="QZD930" s="18"/>
      <c r="QZE930" s="18"/>
      <c r="QZF930" s="18"/>
      <c r="QZG930" s="18"/>
      <c r="QZH930" s="18"/>
      <c r="QZI930" s="18"/>
      <c r="QZJ930" s="18"/>
      <c r="QZK930" s="18"/>
      <c r="QZL930" s="18"/>
      <c r="QZM930" s="18"/>
      <c r="QZN930" s="18"/>
      <c r="QZO930" s="18"/>
      <c r="QZP930" s="18"/>
      <c r="QZQ930" s="18"/>
      <c r="QZR930" s="18"/>
      <c r="QZS930" s="18"/>
      <c r="QZT930" s="18"/>
      <c r="QZU930" s="18"/>
      <c r="QZV930" s="18"/>
      <c r="QZW930" s="18"/>
      <c r="QZX930" s="18"/>
      <c r="QZY930" s="18"/>
      <c r="QZZ930" s="18"/>
      <c r="RAA930" s="18"/>
      <c r="RAB930" s="18"/>
      <c r="RAC930" s="18"/>
      <c r="RAD930" s="18"/>
      <c r="RAE930" s="18"/>
      <c r="RAF930" s="18"/>
      <c r="RAG930" s="18"/>
      <c r="RAH930" s="18"/>
      <c r="RAI930" s="18"/>
      <c r="RAJ930" s="18"/>
      <c r="RAK930" s="18"/>
      <c r="RAL930" s="18"/>
      <c r="RAM930" s="18"/>
      <c r="RAN930" s="18"/>
      <c r="RAO930" s="18"/>
      <c r="RAP930" s="18"/>
      <c r="RAQ930" s="18"/>
      <c r="RAR930" s="18"/>
      <c r="RAS930" s="18"/>
      <c r="RAT930" s="18"/>
      <c r="RAU930" s="18"/>
      <c r="RAV930" s="18"/>
      <c r="RAW930" s="18"/>
      <c r="RAX930" s="18"/>
      <c r="RAY930" s="18"/>
      <c r="RAZ930" s="18"/>
      <c r="RBA930" s="18"/>
      <c r="RBB930" s="18"/>
      <c r="RBC930" s="18"/>
      <c r="RBD930" s="18"/>
      <c r="RBE930" s="18"/>
      <c r="RBF930" s="18"/>
      <c r="RBG930" s="18"/>
      <c r="RBH930" s="18"/>
      <c r="RBI930" s="18"/>
      <c r="RBJ930" s="18"/>
      <c r="RBK930" s="18"/>
      <c r="RBL930" s="18"/>
      <c r="RBM930" s="18"/>
      <c r="RBN930" s="18"/>
      <c r="RBO930" s="18"/>
      <c r="RBP930" s="18"/>
      <c r="RBQ930" s="18"/>
      <c r="RBR930" s="18"/>
      <c r="RBS930" s="18"/>
      <c r="RBT930" s="18"/>
      <c r="RBU930" s="18"/>
      <c r="RBV930" s="18"/>
      <c r="RBW930" s="18"/>
      <c r="RBX930" s="18"/>
      <c r="RBY930" s="18"/>
      <c r="RBZ930" s="18"/>
      <c r="RCA930" s="18"/>
      <c r="RCB930" s="18"/>
      <c r="RCC930" s="18"/>
      <c r="RCD930" s="18"/>
      <c r="RCE930" s="18"/>
      <c r="RCF930" s="18"/>
      <c r="RCG930" s="18"/>
      <c r="RCH930" s="18"/>
      <c r="RCI930" s="18"/>
      <c r="RCJ930" s="18"/>
      <c r="RCK930" s="18"/>
      <c r="RCL930" s="18"/>
      <c r="RCM930" s="18"/>
      <c r="RCN930" s="18"/>
      <c r="RCO930" s="18"/>
      <c r="RCP930" s="18"/>
      <c r="RCQ930" s="18"/>
      <c r="RCR930" s="18"/>
      <c r="RCS930" s="18"/>
      <c r="RCT930" s="18"/>
      <c r="RCU930" s="18"/>
      <c r="RCV930" s="18"/>
      <c r="RCW930" s="18"/>
      <c r="RCX930" s="18"/>
      <c r="RCY930" s="18"/>
      <c r="RCZ930" s="18"/>
      <c r="RDA930" s="18"/>
      <c r="RDB930" s="18"/>
      <c r="RDC930" s="18"/>
      <c r="RDD930" s="18"/>
      <c r="RDE930" s="18"/>
      <c r="RDF930" s="18"/>
      <c r="RDG930" s="18"/>
      <c r="RDH930" s="18"/>
      <c r="RDI930" s="18"/>
      <c r="RDJ930" s="18"/>
      <c r="RDK930" s="18"/>
      <c r="RDL930" s="18"/>
      <c r="RDM930" s="18"/>
      <c r="RDN930" s="18"/>
      <c r="RDO930" s="18"/>
      <c r="RDP930" s="18"/>
      <c r="RDQ930" s="18"/>
      <c r="RDR930" s="18"/>
      <c r="RDS930" s="18"/>
      <c r="RDT930" s="18"/>
      <c r="RDU930" s="18"/>
      <c r="RDV930" s="18"/>
      <c r="RDW930" s="18"/>
      <c r="RDX930" s="18"/>
      <c r="RDY930" s="18"/>
      <c r="RDZ930" s="18"/>
      <c r="REA930" s="18"/>
      <c r="REB930" s="18"/>
      <c r="REC930" s="18"/>
      <c r="RED930" s="18"/>
      <c r="REE930" s="18"/>
      <c r="REF930" s="18"/>
      <c r="REG930" s="18"/>
      <c r="REH930" s="18"/>
      <c r="REI930" s="18"/>
      <c r="REJ930" s="18"/>
      <c r="REK930" s="18"/>
      <c r="REL930" s="18"/>
      <c r="REM930" s="18"/>
      <c r="REN930" s="18"/>
      <c r="REO930" s="18"/>
      <c r="REP930" s="18"/>
      <c r="REQ930" s="18"/>
      <c r="RER930" s="18"/>
      <c r="RES930" s="18"/>
      <c r="RET930" s="18"/>
      <c r="REU930" s="18"/>
      <c r="REV930" s="18"/>
      <c r="REW930" s="18"/>
      <c r="REX930" s="18"/>
      <c r="REY930" s="18"/>
      <c r="REZ930" s="18"/>
      <c r="RFA930" s="18"/>
      <c r="RFB930" s="18"/>
      <c r="RFC930" s="18"/>
      <c r="RFD930" s="18"/>
      <c r="RFE930" s="18"/>
      <c r="RFF930" s="18"/>
      <c r="RFG930" s="18"/>
      <c r="RFH930" s="18"/>
      <c r="RFI930" s="18"/>
      <c r="RFJ930" s="18"/>
      <c r="RFK930" s="18"/>
      <c r="RFL930" s="18"/>
      <c r="RFM930" s="18"/>
      <c r="RFN930" s="18"/>
      <c r="RFO930" s="18"/>
      <c r="RFP930" s="18"/>
      <c r="RFQ930" s="18"/>
      <c r="RFR930" s="18"/>
      <c r="RFS930" s="18"/>
      <c r="RFT930" s="18"/>
      <c r="RFU930" s="18"/>
      <c r="RFV930" s="18"/>
      <c r="RFW930" s="18"/>
      <c r="RFX930" s="18"/>
      <c r="RFY930" s="18"/>
      <c r="RFZ930" s="18"/>
      <c r="RGA930" s="18"/>
      <c r="RGB930" s="18"/>
      <c r="RGC930" s="18"/>
      <c r="RGD930" s="18"/>
      <c r="RGE930" s="18"/>
      <c r="RGF930" s="18"/>
      <c r="RGG930" s="18"/>
      <c r="RGH930" s="18"/>
      <c r="RGI930" s="18"/>
      <c r="RGJ930" s="18"/>
      <c r="RGK930" s="18"/>
      <c r="RGL930" s="18"/>
      <c r="RGM930" s="18"/>
      <c r="RGN930" s="18"/>
      <c r="RGO930" s="18"/>
      <c r="RGP930" s="18"/>
      <c r="RGQ930" s="18"/>
      <c r="RGR930" s="18"/>
      <c r="RGS930" s="18"/>
      <c r="RGT930" s="18"/>
      <c r="RGU930" s="18"/>
      <c r="RGV930" s="18"/>
      <c r="RGW930" s="18"/>
      <c r="RGX930" s="18"/>
      <c r="RGY930" s="18"/>
      <c r="RGZ930" s="18"/>
      <c r="RHA930" s="18"/>
      <c r="RHB930" s="18"/>
      <c r="RHC930" s="18"/>
      <c r="RHD930" s="18"/>
      <c r="RHE930" s="18"/>
      <c r="RHF930" s="18"/>
      <c r="RHG930" s="18"/>
      <c r="RHH930" s="18"/>
      <c r="RHI930" s="18"/>
      <c r="RHJ930" s="18"/>
      <c r="RHK930" s="18"/>
      <c r="RHL930" s="18"/>
      <c r="RHM930" s="18"/>
      <c r="RHN930" s="18"/>
      <c r="RHO930" s="18"/>
      <c r="RHP930" s="18"/>
      <c r="RHQ930" s="18"/>
      <c r="RHR930" s="18"/>
      <c r="RHS930" s="18"/>
      <c r="RHT930" s="18"/>
      <c r="RHU930" s="18"/>
      <c r="RHV930" s="18"/>
      <c r="RHW930" s="18"/>
      <c r="RHX930" s="18"/>
      <c r="RHY930" s="18"/>
      <c r="RHZ930" s="18"/>
      <c r="RIA930" s="18"/>
      <c r="RIB930" s="18"/>
      <c r="RIC930" s="18"/>
      <c r="RID930" s="18"/>
      <c r="RIE930" s="18"/>
      <c r="RIF930" s="18"/>
      <c r="RIG930" s="18"/>
      <c r="RIH930" s="18"/>
      <c r="RII930" s="18"/>
      <c r="RIJ930" s="18"/>
      <c r="RIK930" s="18"/>
      <c r="RIL930" s="18"/>
      <c r="RIM930" s="18"/>
      <c r="RIN930" s="18"/>
      <c r="RIO930" s="18"/>
      <c r="RIP930" s="18"/>
      <c r="RIQ930" s="18"/>
      <c r="RIR930" s="18"/>
      <c r="RIS930" s="18"/>
      <c r="RIT930" s="18"/>
      <c r="RIU930" s="18"/>
      <c r="RIV930" s="18"/>
      <c r="RIW930" s="18"/>
      <c r="RIX930" s="18"/>
      <c r="RIY930" s="18"/>
      <c r="RIZ930" s="18"/>
      <c r="RJA930" s="18"/>
      <c r="RJB930" s="18"/>
      <c r="RJC930" s="18"/>
      <c r="RJD930" s="18"/>
      <c r="RJE930" s="18"/>
      <c r="RJF930" s="18"/>
      <c r="RJG930" s="18"/>
      <c r="RJH930" s="18"/>
      <c r="RJI930" s="18"/>
      <c r="RJJ930" s="18"/>
      <c r="RJK930" s="18"/>
      <c r="RJL930" s="18"/>
      <c r="RJM930" s="18"/>
      <c r="RJN930" s="18"/>
      <c r="RJO930" s="18"/>
      <c r="RJP930" s="18"/>
      <c r="RJQ930" s="18"/>
      <c r="RJR930" s="18"/>
      <c r="RJS930" s="18"/>
      <c r="RJT930" s="18"/>
      <c r="RJU930" s="18"/>
      <c r="RJV930" s="18"/>
      <c r="RJW930" s="18"/>
      <c r="RJX930" s="18"/>
      <c r="RJY930" s="18"/>
      <c r="RJZ930" s="18"/>
      <c r="RKA930" s="18"/>
      <c r="RKB930" s="18"/>
      <c r="RKC930" s="18"/>
      <c r="RKD930" s="18"/>
      <c r="RKE930" s="18"/>
      <c r="RKF930" s="18"/>
      <c r="RKG930" s="18"/>
      <c r="RKH930" s="18"/>
      <c r="RKI930" s="18"/>
      <c r="RKJ930" s="18"/>
      <c r="RKK930" s="18"/>
      <c r="RKL930" s="18"/>
      <c r="RKM930" s="18"/>
      <c r="RKN930" s="18"/>
      <c r="RKO930" s="18"/>
      <c r="RKP930" s="18"/>
      <c r="RKQ930" s="18"/>
      <c r="RKR930" s="18"/>
      <c r="RKS930" s="18"/>
      <c r="RKT930" s="18"/>
      <c r="RKU930" s="18"/>
      <c r="RKV930" s="18"/>
      <c r="RKW930" s="18"/>
      <c r="RKX930" s="18"/>
      <c r="RKY930" s="18"/>
      <c r="RKZ930" s="18"/>
      <c r="RLA930" s="18"/>
      <c r="RLB930" s="18"/>
      <c r="RLC930" s="18"/>
      <c r="RLD930" s="18"/>
      <c r="RLE930" s="18"/>
      <c r="RLF930" s="18"/>
      <c r="RLG930" s="18"/>
      <c r="RLH930" s="18"/>
      <c r="RLI930" s="18"/>
      <c r="RLJ930" s="18"/>
      <c r="RLK930" s="18"/>
      <c r="RLL930" s="18"/>
      <c r="RLM930" s="18"/>
      <c r="RLN930" s="18"/>
      <c r="RLO930" s="18"/>
      <c r="RLP930" s="18"/>
      <c r="RLQ930" s="18"/>
      <c r="RLR930" s="18"/>
      <c r="RLS930" s="18"/>
      <c r="RLT930" s="18"/>
      <c r="RLU930" s="18"/>
      <c r="RLV930" s="18"/>
      <c r="RLW930" s="18"/>
      <c r="RLX930" s="18"/>
      <c r="RLY930" s="18"/>
      <c r="RLZ930" s="18"/>
      <c r="RMA930" s="18"/>
      <c r="RMB930" s="18"/>
      <c r="RMC930" s="18"/>
      <c r="RMD930" s="18"/>
      <c r="RME930" s="18"/>
      <c r="RMF930" s="18"/>
      <c r="RMG930" s="18"/>
      <c r="RMH930" s="18"/>
      <c r="RMI930" s="18"/>
      <c r="RMJ930" s="18"/>
      <c r="RMK930" s="18"/>
      <c r="RML930" s="18"/>
      <c r="RMM930" s="18"/>
      <c r="RMN930" s="18"/>
      <c r="RMO930" s="18"/>
      <c r="RMP930" s="18"/>
      <c r="RMQ930" s="18"/>
      <c r="RMR930" s="18"/>
      <c r="RMS930" s="18"/>
      <c r="RMT930" s="18"/>
      <c r="RMU930" s="18"/>
      <c r="RMV930" s="18"/>
      <c r="RMW930" s="18"/>
      <c r="RMX930" s="18"/>
      <c r="RMY930" s="18"/>
      <c r="RMZ930" s="18"/>
      <c r="RNA930" s="18"/>
      <c r="RNB930" s="18"/>
      <c r="RNC930" s="18"/>
      <c r="RND930" s="18"/>
      <c r="RNE930" s="18"/>
      <c r="RNF930" s="18"/>
      <c r="RNG930" s="18"/>
      <c r="RNH930" s="18"/>
      <c r="RNI930" s="18"/>
      <c r="RNJ930" s="18"/>
      <c r="RNK930" s="18"/>
      <c r="RNL930" s="18"/>
      <c r="RNM930" s="18"/>
      <c r="RNN930" s="18"/>
      <c r="RNO930" s="18"/>
      <c r="RNP930" s="18"/>
      <c r="RNQ930" s="18"/>
      <c r="RNR930" s="18"/>
      <c r="RNS930" s="18"/>
      <c r="RNT930" s="18"/>
      <c r="RNU930" s="18"/>
      <c r="RNV930" s="18"/>
      <c r="RNW930" s="18"/>
      <c r="RNX930" s="18"/>
      <c r="RNY930" s="18"/>
      <c r="RNZ930" s="18"/>
      <c r="ROA930" s="18"/>
      <c r="ROB930" s="18"/>
      <c r="ROC930" s="18"/>
      <c r="ROD930" s="18"/>
      <c r="ROE930" s="18"/>
      <c r="ROF930" s="18"/>
      <c r="ROG930" s="18"/>
      <c r="ROH930" s="18"/>
      <c r="ROI930" s="18"/>
      <c r="ROJ930" s="18"/>
      <c r="ROK930" s="18"/>
      <c r="ROL930" s="18"/>
      <c r="ROM930" s="18"/>
      <c r="RON930" s="18"/>
      <c r="ROO930" s="18"/>
      <c r="ROP930" s="18"/>
      <c r="ROQ930" s="18"/>
      <c r="ROR930" s="18"/>
      <c r="ROS930" s="18"/>
      <c r="ROT930" s="18"/>
      <c r="ROU930" s="18"/>
      <c r="ROV930" s="18"/>
      <c r="ROW930" s="18"/>
      <c r="ROX930" s="18"/>
      <c r="ROY930" s="18"/>
      <c r="ROZ930" s="18"/>
      <c r="RPA930" s="18"/>
      <c r="RPB930" s="18"/>
      <c r="RPC930" s="18"/>
      <c r="RPD930" s="18"/>
      <c r="RPE930" s="18"/>
      <c r="RPF930" s="18"/>
      <c r="RPG930" s="18"/>
      <c r="RPH930" s="18"/>
      <c r="RPI930" s="18"/>
      <c r="RPJ930" s="18"/>
      <c r="RPK930" s="18"/>
      <c r="RPL930" s="18"/>
      <c r="RPM930" s="18"/>
      <c r="RPN930" s="18"/>
      <c r="RPO930" s="18"/>
      <c r="RPP930" s="18"/>
      <c r="RPQ930" s="18"/>
      <c r="RPR930" s="18"/>
      <c r="RPS930" s="18"/>
      <c r="RPT930" s="18"/>
      <c r="RPU930" s="18"/>
      <c r="RPV930" s="18"/>
      <c r="RPW930" s="18"/>
      <c r="RPX930" s="18"/>
      <c r="RPY930" s="18"/>
      <c r="RPZ930" s="18"/>
      <c r="RQA930" s="18"/>
      <c r="RQB930" s="18"/>
      <c r="RQC930" s="18"/>
      <c r="RQD930" s="18"/>
      <c r="RQE930" s="18"/>
      <c r="RQF930" s="18"/>
      <c r="RQG930" s="18"/>
      <c r="RQH930" s="18"/>
      <c r="RQI930" s="18"/>
      <c r="RQJ930" s="18"/>
      <c r="RQK930" s="18"/>
      <c r="RQL930" s="18"/>
      <c r="RQM930" s="18"/>
      <c r="RQN930" s="18"/>
      <c r="RQO930" s="18"/>
      <c r="RQP930" s="18"/>
      <c r="RQQ930" s="18"/>
      <c r="RQR930" s="18"/>
      <c r="RQS930" s="18"/>
      <c r="RQT930" s="18"/>
      <c r="RQU930" s="18"/>
      <c r="RQV930" s="18"/>
      <c r="RQW930" s="18"/>
      <c r="RQX930" s="18"/>
      <c r="RQY930" s="18"/>
      <c r="RQZ930" s="18"/>
      <c r="RRA930" s="18"/>
      <c r="RRB930" s="18"/>
      <c r="RRC930" s="18"/>
      <c r="RRD930" s="18"/>
      <c r="RRE930" s="18"/>
      <c r="RRF930" s="18"/>
      <c r="RRG930" s="18"/>
      <c r="RRH930" s="18"/>
      <c r="RRI930" s="18"/>
      <c r="RRJ930" s="18"/>
      <c r="RRK930" s="18"/>
      <c r="RRL930" s="18"/>
      <c r="RRM930" s="18"/>
      <c r="RRN930" s="18"/>
      <c r="RRO930" s="18"/>
      <c r="RRP930" s="18"/>
      <c r="RRQ930" s="18"/>
      <c r="RRR930" s="18"/>
      <c r="RRS930" s="18"/>
      <c r="RRT930" s="18"/>
      <c r="RRU930" s="18"/>
      <c r="RRV930" s="18"/>
      <c r="RRW930" s="18"/>
      <c r="RRX930" s="18"/>
      <c r="RRY930" s="18"/>
      <c r="RRZ930" s="18"/>
      <c r="RSA930" s="18"/>
      <c r="RSB930" s="18"/>
      <c r="RSC930" s="18"/>
      <c r="RSD930" s="18"/>
      <c r="RSE930" s="18"/>
      <c r="RSF930" s="18"/>
      <c r="RSG930" s="18"/>
      <c r="RSH930" s="18"/>
      <c r="RSI930" s="18"/>
      <c r="RSJ930" s="18"/>
      <c r="RSK930" s="18"/>
      <c r="RSL930" s="18"/>
      <c r="RSM930" s="18"/>
      <c r="RSN930" s="18"/>
      <c r="RSO930" s="18"/>
      <c r="RSP930" s="18"/>
      <c r="RSQ930" s="18"/>
      <c r="RSR930" s="18"/>
      <c r="RSS930" s="18"/>
      <c r="RST930" s="18"/>
      <c r="RSU930" s="18"/>
      <c r="RSV930" s="18"/>
      <c r="RSW930" s="18"/>
      <c r="RSX930" s="18"/>
      <c r="RSY930" s="18"/>
      <c r="RSZ930" s="18"/>
      <c r="RTA930" s="18"/>
      <c r="RTB930" s="18"/>
      <c r="RTC930" s="18"/>
      <c r="RTD930" s="18"/>
      <c r="RTE930" s="18"/>
      <c r="RTF930" s="18"/>
      <c r="RTG930" s="18"/>
      <c r="RTH930" s="18"/>
      <c r="RTI930" s="18"/>
      <c r="RTJ930" s="18"/>
      <c r="RTK930" s="18"/>
      <c r="RTL930" s="18"/>
      <c r="RTM930" s="18"/>
      <c r="RTN930" s="18"/>
      <c r="RTO930" s="18"/>
      <c r="RTP930" s="18"/>
      <c r="RTQ930" s="18"/>
      <c r="RTR930" s="18"/>
      <c r="RTS930" s="18"/>
      <c r="RTT930" s="18"/>
      <c r="RTU930" s="18"/>
      <c r="RTV930" s="18"/>
      <c r="RTW930" s="18"/>
      <c r="RTX930" s="18"/>
      <c r="RTY930" s="18"/>
      <c r="RTZ930" s="18"/>
      <c r="RUA930" s="18"/>
      <c r="RUB930" s="18"/>
      <c r="RUC930" s="18"/>
      <c r="RUD930" s="18"/>
      <c r="RUE930" s="18"/>
      <c r="RUF930" s="18"/>
      <c r="RUG930" s="18"/>
      <c r="RUH930" s="18"/>
      <c r="RUI930" s="18"/>
      <c r="RUJ930" s="18"/>
      <c r="RUK930" s="18"/>
      <c r="RUL930" s="18"/>
      <c r="RUM930" s="18"/>
      <c r="RUN930" s="18"/>
      <c r="RUO930" s="18"/>
      <c r="RUP930" s="18"/>
      <c r="RUQ930" s="18"/>
      <c r="RUR930" s="18"/>
      <c r="RUS930" s="18"/>
      <c r="RUT930" s="18"/>
      <c r="RUU930" s="18"/>
      <c r="RUV930" s="18"/>
      <c r="RUW930" s="18"/>
      <c r="RUX930" s="18"/>
      <c r="RUY930" s="18"/>
      <c r="RUZ930" s="18"/>
      <c r="RVA930" s="18"/>
      <c r="RVB930" s="18"/>
      <c r="RVC930" s="18"/>
      <c r="RVD930" s="18"/>
      <c r="RVE930" s="18"/>
      <c r="RVF930" s="18"/>
      <c r="RVG930" s="18"/>
      <c r="RVH930" s="18"/>
      <c r="RVI930" s="18"/>
      <c r="RVJ930" s="18"/>
      <c r="RVK930" s="18"/>
      <c r="RVL930" s="18"/>
      <c r="RVM930" s="18"/>
      <c r="RVN930" s="18"/>
      <c r="RVO930" s="18"/>
      <c r="RVP930" s="18"/>
      <c r="RVQ930" s="18"/>
      <c r="RVR930" s="18"/>
      <c r="RVS930" s="18"/>
      <c r="RVT930" s="18"/>
      <c r="RVU930" s="18"/>
      <c r="RVV930" s="18"/>
      <c r="RVW930" s="18"/>
      <c r="RVX930" s="18"/>
      <c r="RVY930" s="18"/>
      <c r="RVZ930" s="18"/>
      <c r="RWA930" s="18"/>
      <c r="RWB930" s="18"/>
      <c r="RWC930" s="18"/>
      <c r="RWD930" s="18"/>
      <c r="RWE930" s="18"/>
      <c r="RWF930" s="18"/>
      <c r="RWG930" s="18"/>
      <c r="RWH930" s="18"/>
      <c r="RWI930" s="18"/>
      <c r="RWJ930" s="18"/>
      <c r="RWK930" s="18"/>
      <c r="RWL930" s="18"/>
      <c r="RWM930" s="18"/>
      <c r="RWN930" s="18"/>
      <c r="RWO930" s="18"/>
      <c r="RWP930" s="18"/>
      <c r="RWQ930" s="18"/>
      <c r="RWR930" s="18"/>
      <c r="RWS930" s="18"/>
      <c r="RWT930" s="18"/>
      <c r="RWU930" s="18"/>
      <c r="RWV930" s="18"/>
      <c r="RWW930" s="18"/>
      <c r="RWX930" s="18"/>
      <c r="RWY930" s="18"/>
      <c r="RWZ930" s="18"/>
      <c r="RXA930" s="18"/>
      <c r="RXB930" s="18"/>
      <c r="RXC930" s="18"/>
      <c r="RXD930" s="18"/>
      <c r="RXE930" s="18"/>
      <c r="RXF930" s="18"/>
      <c r="RXG930" s="18"/>
      <c r="RXH930" s="18"/>
      <c r="RXI930" s="18"/>
      <c r="RXJ930" s="18"/>
      <c r="RXK930" s="18"/>
      <c r="RXL930" s="18"/>
      <c r="RXM930" s="18"/>
      <c r="RXN930" s="18"/>
      <c r="RXO930" s="18"/>
      <c r="RXP930" s="18"/>
      <c r="RXQ930" s="18"/>
      <c r="RXR930" s="18"/>
      <c r="RXS930" s="18"/>
      <c r="RXT930" s="18"/>
      <c r="RXU930" s="18"/>
      <c r="RXV930" s="18"/>
      <c r="RXW930" s="18"/>
      <c r="RXX930" s="18"/>
      <c r="RXY930" s="18"/>
      <c r="RXZ930" s="18"/>
      <c r="RYA930" s="18"/>
      <c r="RYB930" s="18"/>
      <c r="RYC930" s="18"/>
      <c r="RYD930" s="18"/>
      <c r="RYE930" s="18"/>
      <c r="RYF930" s="18"/>
      <c r="RYG930" s="18"/>
      <c r="RYH930" s="18"/>
      <c r="RYI930" s="18"/>
      <c r="RYJ930" s="18"/>
      <c r="RYK930" s="18"/>
      <c r="RYL930" s="18"/>
      <c r="RYM930" s="18"/>
      <c r="RYN930" s="18"/>
      <c r="RYO930" s="18"/>
      <c r="RYP930" s="18"/>
      <c r="RYQ930" s="18"/>
      <c r="RYR930" s="18"/>
      <c r="RYS930" s="18"/>
      <c r="RYT930" s="18"/>
      <c r="RYU930" s="18"/>
      <c r="RYV930" s="18"/>
      <c r="RYW930" s="18"/>
      <c r="RYX930" s="18"/>
      <c r="RYY930" s="18"/>
      <c r="RYZ930" s="18"/>
      <c r="RZA930" s="18"/>
      <c r="RZB930" s="18"/>
      <c r="RZC930" s="18"/>
      <c r="RZD930" s="18"/>
      <c r="RZE930" s="18"/>
      <c r="RZF930" s="18"/>
      <c r="RZG930" s="18"/>
      <c r="RZH930" s="18"/>
      <c r="RZI930" s="18"/>
      <c r="RZJ930" s="18"/>
      <c r="RZK930" s="18"/>
      <c r="RZL930" s="18"/>
      <c r="RZM930" s="18"/>
      <c r="RZN930" s="18"/>
      <c r="RZO930" s="18"/>
      <c r="RZP930" s="18"/>
      <c r="RZQ930" s="18"/>
      <c r="RZR930" s="18"/>
      <c r="RZS930" s="18"/>
      <c r="RZT930" s="18"/>
      <c r="RZU930" s="18"/>
      <c r="RZV930" s="18"/>
      <c r="RZW930" s="18"/>
      <c r="RZX930" s="18"/>
      <c r="RZY930" s="18"/>
      <c r="RZZ930" s="18"/>
      <c r="SAA930" s="18"/>
      <c r="SAB930" s="18"/>
      <c r="SAC930" s="18"/>
      <c r="SAD930" s="18"/>
      <c r="SAE930" s="18"/>
      <c r="SAF930" s="18"/>
      <c r="SAG930" s="18"/>
      <c r="SAH930" s="18"/>
      <c r="SAI930" s="18"/>
      <c r="SAJ930" s="18"/>
      <c r="SAK930" s="18"/>
      <c r="SAL930" s="18"/>
      <c r="SAM930" s="18"/>
      <c r="SAN930" s="18"/>
      <c r="SAO930" s="18"/>
      <c r="SAP930" s="18"/>
      <c r="SAQ930" s="18"/>
      <c r="SAR930" s="18"/>
      <c r="SAS930" s="18"/>
      <c r="SAT930" s="18"/>
      <c r="SAU930" s="18"/>
      <c r="SAV930" s="18"/>
      <c r="SAW930" s="18"/>
      <c r="SAX930" s="18"/>
      <c r="SAY930" s="18"/>
      <c r="SAZ930" s="18"/>
      <c r="SBA930" s="18"/>
      <c r="SBB930" s="18"/>
      <c r="SBC930" s="18"/>
      <c r="SBD930" s="18"/>
      <c r="SBE930" s="18"/>
      <c r="SBF930" s="18"/>
      <c r="SBG930" s="18"/>
      <c r="SBH930" s="18"/>
      <c r="SBI930" s="18"/>
      <c r="SBJ930" s="18"/>
      <c r="SBK930" s="18"/>
      <c r="SBL930" s="18"/>
      <c r="SBM930" s="18"/>
      <c r="SBN930" s="18"/>
      <c r="SBO930" s="18"/>
      <c r="SBP930" s="18"/>
      <c r="SBQ930" s="18"/>
      <c r="SBR930" s="18"/>
      <c r="SBS930" s="18"/>
      <c r="SBT930" s="18"/>
      <c r="SBU930" s="18"/>
      <c r="SBV930" s="18"/>
      <c r="SBW930" s="18"/>
      <c r="SBX930" s="18"/>
      <c r="SBY930" s="18"/>
      <c r="SBZ930" s="18"/>
      <c r="SCA930" s="18"/>
      <c r="SCB930" s="18"/>
      <c r="SCC930" s="18"/>
      <c r="SCD930" s="18"/>
      <c r="SCE930" s="18"/>
      <c r="SCF930" s="18"/>
      <c r="SCG930" s="18"/>
      <c r="SCH930" s="18"/>
      <c r="SCI930" s="18"/>
      <c r="SCJ930" s="18"/>
      <c r="SCK930" s="18"/>
      <c r="SCL930" s="18"/>
      <c r="SCM930" s="18"/>
      <c r="SCN930" s="18"/>
      <c r="SCO930" s="18"/>
      <c r="SCP930" s="18"/>
      <c r="SCQ930" s="18"/>
      <c r="SCR930" s="18"/>
      <c r="SCS930" s="18"/>
      <c r="SCT930" s="18"/>
      <c r="SCU930" s="18"/>
      <c r="SCV930" s="18"/>
      <c r="SCW930" s="18"/>
      <c r="SCX930" s="18"/>
      <c r="SCY930" s="18"/>
      <c r="SCZ930" s="18"/>
      <c r="SDA930" s="18"/>
      <c r="SDB930" s="18"/>
      <c r="SDC930" s="18"/>
      <c r="SDD930" s="18"/>
      <c r="SDE930" s="18"/>
      <c r="SDF930" s="18"/>
      <c r="SDG930" s="18"/>
      <c r="SDH930" s="18"/>
      <c r="SDI930" s="18"/>
      <c r="SDJ930" s="18"/>
      <c r="SDK930" s="18"/>
      <c r="SDL930" s="18"/>
      <c r="SDM930" s="18"/>
      <c r="SDN930" s="18"/>
      <c r="SDO930" s="18"/>
      <c r="SDP930" s="18"/>
      <c r="SDQ930" s="18"/>
      <c r="SDR930" s="18"/>
      <c r="SDS930" s="18"/>
      <c r="SDT930" s="18"/>
      <c r="SDU930" s="18"/>
      <c r="SDV930" s="18"/>
      <c r="SDW930" s="18"/>
      <c r="SDX930" s="18"/>
      <c r="SDY930" s="18"/>
      <c r="SDZ930" s="18"/>
      <c r="SEA930" s="18"/>
      <c r="SEB930" s="18"/>
      <c r="SEC930" s="18"/>
      <c r="SED930" s="18"/>
      <c r="SEE930" s="18"/>
      <c r="SEF930" s="18"/>
      <c r="SEG930" s="18"/>
      <c r="SEH930" s="18"/>
      <c r="SEI930" s="18"/>
      <c r="SEJ930" s="18"/>
      <c r="SEK930" s="18"/>
      <c r="SEL930" s="18"/>
      <c r="SEM930" s="18"/>
      <c r="SEN930" s="18"/>
      <c r="SEO930" s="18"/>
      <c r="SEP930" s="18"/>
      <c r="SEQ930" s="18"/>
      <c r="SER930" s="18"/>
      <c r="SES930" s="18"/>
      <c r="SET930" s="18"/>
      <c r="SEU930" s="18"/>
      <c r="SEV930" s="18"/>
      <c r="SEW930" s="18"/>
      <c r="SEX930" s="18"/>
      <c r="SEY930" s="18"/>
      <c r="SEZ930" s="18"/>
      <c r="SFA930" s="18"/>
      <c r="SFB930" s="18"/>
      <c r="SFC930" s="18"/>
      <c r="SFD930" s="18"/>
      <c r="SFE930" s="18"/>
      <c r="SFF930" s="18"/>
      <c r="SFG930" s="18"/>
      <c r="SFH930" s="18"/>
      <c r="SFI930" s="18"/>
      <c r="SFJ930" s="18"/>
      <c r="SFK930" s="18"/>
      <c r="SFL930" s="18"/>
      <c r="SFM930" s="18"/>
      <c r="SFN930" s="18"/>
      <c r="SFO930" s="18"/>
      <c r="SFP930" s="18"/>
      <c r="SFQ930" s="18"/>
      <c r="SFR930" s="18"/>
      <c r="SFS930" s="18"/>
      <c r="SFT930" s="18"/>
      <c r="SFU930" s="18"/>
      <c r="SFV930" s="18"/>
      <c r="SFW930" s="18"/>
      <c r="SFX930" s="18"/>
      <c r="SFY930" s="18"/>
      <c r="SFZ930" s="18"/>
      <c r="SGA930" s="18"/>
      <c r="SGB930" s="18"/>
      <c r="SGC930" s="18"/>
      <c r="SGD930" s="18"/>
      <c r="SGE930" s="18"/>
      <c r="SGF930" s="18"/>
      <c r="SGG930" s="18"/>
      <c r="SGH930" s="18"/>
      <c r="SGI930" s="18"/>
      <c r="SGJ930" s="18"/>
      <c r="SGK930" s="18"/>
      <c r="SGL930" s="18"/>
      <c r="SGM930" s="18"/>
      <c r="SGN930" s="18"/>
      <c r="SGO930" s="18"/>
      <c r="SGP930" s="18"/>
      <c r="SGQ930" s="18"/>
      <c r="SGR930" s="18"/>
      <c r="SGS930" s="18"/>
      <c r="SGT930" s="18"/>
      <c r="SGU930" s="18"/>
      <c r="SGV930" s="18"/>
      <c r="SGW930" s="18"/>
      <c r="SGX930" s="18"/>
      <c r="SGY930" s="18"/>
      <c r="SGZ930" s="18"/>
      <c r="SHA930" s="18"/>
      <c r="SHB930" s="18"/>
      <c r="SHC930" s="18"/>
      <c r="SHD930" s="18"/>
      <c r="SHE930" s="18"/>
      <c r="SHF930" s="18"/>
      <c r="SHG930" s="18"/>
      <c r="SHH930" s="18"/>
      <c r="SHI930" s="18"/>
      <c r="SHJ930" s="18"/>
      <c r="SHK930" s="18"/>
      <c r="SHL930" s="18"/>
      <c r="SHM930" s="18"/>
      <c r="SHN930" s="18"/>
      <c r="SHO930" s="18"/>
      <c r="SHP930" s="18"/>
      <c r="SHQ930" s="18"/>
      <c r="SHR930" s="18"/>
      <c r="SHS930" s="18"/>
      <c r="SHT930" s="18"/>
      <c r="SHU930" s="18"/>
      <c r="SHV930" s="18"/>
      <c r="SHW930" s="18"/>
      <c r="SHX930" s="18"/>
      <c r="SHY930" s="18"/>
      <c r="SHZ930" s="18"/>
      <c r="SIA930" s="18"/>
      <c r="SIB930" s="18"/>
      <c r="SIC930" s="18"/>
      <c r="SID930" s="18"/>
      <c r="SIE930" s="18"/>
      <c r="SIF930" s="18"/>
      <c r="SIG930" s="18"/>
      <c r="SIH930" s="18"/>
      <c r="SII930" s="18"/>
      <c r="SIJ930" s="18"/>
      <c r="SIK930" s="18"/>
      <c r="SIL930" s="18"/>
      <c r="SIM930" s="18"/>
      <c r="SIN930" s="18"/>
      <c r="SIO930" s="18"/>
      <c r="SIP930" s="18"/>
      <c r="SIQ930" s="18"/>
      <c r="SIR930" s="18"/>
      <c r="SIS930" s="18"/>
      <c r="SIT930" s="18"/>
      <c r="SIU930" s="18"/>
      <c r="SIV930" s="18"/>
      <c r="SIW930" s="18"/>
      <c r="SIX930" s="18"/>
      <c r="SIY930" s="18"/>
      <c r="SIZ930" s="18"/>
      <c r="SJA930" s="18"/>
      <c r="SJB930" s="18"/>
      <c r="SJC930" s="18"/>
      <c r="SJD930" s="18"/>
      <c r="SJE930" s="18"/>
      <c r="SJF930" s="18"/>
      <c r="SJG930" s="18"/>
      <c r="SJH930" s="18"/>
      <c r="SJI930" s="18"/>
      <c r="SJJ930" s="18"/>
      <c r="SJK930" s="18"/>
      <c r="SJL930" s="18"/>
      <c r="SJM930" s="18"/>
      <c r="SJN930" s="18"/>
      <c r="SJO930" s="18"/>
      <c r="SJP930" s="18"/>
      <c r="SJQ930" s="18"/>
      <c r="SJR930" s="18"/>
      <c r="SJS930" s="18"/>
      <c r="SJT930" s="18"/>
      <c r="SJU930" s="18"/>
      <c r="SJV930" s="18"/>
      <c r="SJW930" s="18"/>
      <c r="SJX930" s="18"/>
      <c r="SJY930" s="18"/>
      <c r="SJZ930" s="18"/>
      <c r="SKA930" s="18"/>
      <c r="SKB930" s="18"/>
      <c r="SKC930" s="18"/>
      <c r="SKD930" s="18"/>
      <c r="SKE930" s="18"/>
      <c r="SKF930" s="18"/>
      <c r="SKG930" s="18"/>
      <c r="SKH930" s="18"/>
      <c r="SKI930" s="18"/>
      <c r="SKJ930" s="18"/>
      <c r="SKK930" s="18"/>
      <c r="SKL930" s="18"/>
      <c r="SKM930" s="18"/>
      <c r="SKN930" s="18"/>
      <c r="SKO930" s="18"/>
      <c r="SKP930" s="18"/>
      <c r="SKQ930" s="18"/>
      <c r="SKR930" s="18"/>
      <c r="SKS930" s="18"/>
      <c r="SKT930" s="18"/>
      <c r="SKU930" s="18"/>
      <c r="SKV930" s="18"/>
      <c r="SKW930" s="18"/>
      <c r="SKX930" s="18"/>
      <c r="SKY930" s="18"/>
      <c r="SKZ930" s="18"/>
      <c r="SLA930" s="18"/>
      <c r="SLB930" s="18"/>
      <c r="SLC930" s="18"/>
      <c r="SLD930" s="18"/>
      <c r="SLE930" s="18"/>
      <c r="SLF930" s="18"/>
      <c r="SLG930" s="18"/>
      <c r="SLH930" s="18"/>
      <c r="SLI930" s="18"/>
      <c r="SLJ930" s="18"/>
      <c r="SLK930" s="18"/>
      <c r="SLL930" s="18"/>
      <c r="SLM930" s="18"/>
      <c r="SLN930" s="18"/>
      <c r="SLO930" s="18"/>
      <c r="SLP930" s="18"/>
      <c r="SLQ930" s="18"/>
      <c r="SLR930" s="18"/>
      <c r="SLS930" s="18"/>
      <c r="SLT930" s="18"/>
      <c r="SLU930" s="18"/>
      <c r="SLV930" s="18"/>
      <c r="SLW930" s="18"/>
      <c r="SLX930" s="18"/>
      <c r="SLY930" s="18"/>
      <c r="SLZ930" s="18"/>
      <c r="SMA930" s="18"/>
      <c r="SMB930" s="18"/>
      <c r="SMC930" s="18"/>
      <c r="SMD930" s="18"/>
      <c r="SME930" s="18"/>
      <c r="SMF930" s="18"/>
      <c r="SMG930" s="18"/>
      <c r="SMH930" s="18"/>
      <c r="SMI930" s="18"/>
      <c r="SMJ930" s="18"/>
      <c r="SMK930" s="18"/>
      <c r="SML930" s="18"/>
      <c r="SMM930" s="18"/>
      <c r="SMN930" s="18"/>
      <c r="SMO930" s="18"/>
      <c r="SMP930" s="18"/>
      <c r="SMQ930" s="18"/>
      <c r="SMR930" s="18"/>
      <c r="SMS930" s="18"/>
      <c r="SMT930" s="18"/>
      <c r="SMU930" s="18"/>
      <c r="SMV930" s="18"/>
      <c r="SMW930" s="18"/>
      <c r="SMX930" s="18"/>
      <c r="SMY930" s="18"/>
      <c r="SMZ930" s="18"/>
      <c r="SNA930" s="18"/>
      <c r="SNB930" s="18"/>
      <c r="SNC930" s="18"/>
      <c r="SND930" s="18"/>
      <c r="SNE930" s="18"/>
      <c r="SNF930" s="18"/>
      <c r="SNG930" s="18"/>
      <c r="SNH930" s="18"/>
      <c r="SNI930" s="18"/>
      <c r="SNJ930" s="18"/>
      <c r="SNK930" s="18"/>
      <c r="SNL930" s="18"/>
      <c r="SNM930" s="18"/>
      <c r="SNN930" s="18"/>
      <c r="SNO930" s="18"/>
      <c r="SNP930" s="18"/>
      <c r="SNQ930" s="18"/>
      <c r="SNR930" s="18"/>
      <c r="SNS930" s="18"/>
      <c r="SNT930" s="18"/>
      <c r="SNU930" s="18"/>
      <c r="SNV930" s="18"/>
      <c r="SNW930" s="18"/>
      <c r="SNX930" s="18"/>
      <c r="SNY930" s="18"/>
      <c r="SNZ930" s="18"/>
      <c r="SOA930" s="18"/>
      <c r="SOB930" s="18"/>
      <c r="SOC930" s="18"/>
      <c r="SOD930" s="18"/>
      <c r="SOE930" s="18"/>
      <c r="SOF930" s="18"/>
      <c r="SOG930" s="18"/>
      <c r="SOH930" s="18"/>
      <c r="SOI930" s="18"/>
      <c r="SOJ930" s="18"/>
      <c r="SOK930" s="18"/>
      <c r="SOL930" s="18"/>
      <c r="SOM930" s="18"/>
      <c r="SON930" s="18"/>
      <c r="SOO930" s="18"/>
      <c r="SOP930" s="18"/>
      <c r="SOQ930" s="18"/>
      <c r="SOR930" s="18"/>
      <c r="SOS930" s="18"/>
      <c r="SOT930" s="18"/>
      <c r="SOU930" s="18"/>
      <c r="SOV930" s="18"/>
      <c r="SOW930" s="18"/>
      <c r="SOX930" s="18"/>
      <c r="SOY930" s="18"/>
      <c r="SOZ930" s="18"/>
      <c r="SPA930" s="18"/>
      <c r="SPB930" s="18"/>
      <c r="SPC930" s="18"/>
      <c r="SPD930" s="18"/>
      <c r="SPE930" s="18"/>
      <c r="SPF930" s="18"/>
      <c r="SPG930" s="18"/>
      <c r="SPH930" s="18"/>
      <c r="SPI930" s="18"/>
      <c r="SPJ930" s="18"/>
      <c r="SPK930" s="18"/>
      <c r="SPL930" s="18"/>
      <c r="SPM930" s="18"/>
      <c r="SPN930" s="18"/>
      <c r="SPO930" s="18"/>
      <c r="SPP930" s="18"/>
      <c r="SPQ930" s="18"/>
      <c r="SPR930" s="18"/>
      <c r="SPS930" s="18"/>
      <c r="SPT930" s="18"/>
      <c r="SPU930" s="18"/>
      <c r="SPV930" s="18"/>
      <c r="SPW930" s="18"/>
      <c r="SPX930" s="18"/>
      <c r="SPY930" s="18"/>
      <c r="SPZ930" s="18"/>
      <c r="SQA930" s="18"/>
      <c r="SQB930" s="18"/>
      <c r="SQC930" s="18"/>
      <c r="SQD930" s="18"/>
      <c r="SQE930" s="18"/>
      <c r="SQF930" s="18"/>
      <c r="SQG930" s="18"/>
      <c r="SQH930" s="18"/>
      <c r="SQI930" s="18"/>
      <c r="SQJ930" s="18"/>
      <c r="SQK930" s="18"/>
      <c r="SQL930" s="18"/>
      <c r="SQM930" s="18"/>
      <c r="SQN930" s="18"/>
      <c r="SQO930" s="18"/>
      <c r="SQP930" s="18"/>
      <c r="SQQ930" s="18"/>
      <c r="SQR930" s="18"/>
      <c r="SQS930" s="18"/>
      <c r="SQT930" s="18"/>
      <c r="SQU930" s="18"/>
      <c r="SQV930" s="18"/>
      <c r="SQW930" s="18"/>
      <c r="SQX930" s="18"/>
      <c r="SQY930" s="18"/>
      <c r="SQZ930" s="18"/>
      <c r="SRA930" s="18"/>
      <c r="SRB930" s="18"/>
      <c r="SRC930" s="18"/>
      <c r="SRD930" s="18"/>
      <c r="SRE930" s="18"/>
      <c r="SRF930" s="18"/>
      <c r="SRG930" s="18"/>
      <c r="SRH930" s="18"/>
      <c r="SRI930" s="18"/>
      <c r="SRJ930" s="18"/>
      <c r="SRK930" s="18"/>
      <c r="SRL930" s="18"/>
      <c r="SRM930" s="18"/>
      <c r="SRN930" s="18"/>
      <c r="SRO930" s="18"/>
      <c r="SRP930" s="18"/>
      <c r="SRQ930" s="18"/>
      <c r="SRR930" s="18"/>
      <c r="SRS930" s="18"/>
      <c r="SRT930" s="18"/>
      <c r="SRU930" s="18"/>
      <c r="SRV930" s="18"/>
      <c r="SRW930" s="18"/>
      <c r="SRX930" s="18"/>
      <c r="SRY930" s="18"/>
      <c r="SRZ930" s="18"/>
      <c r="SSA930" s="18"/>
      <c r="SSB930" s="18"/>
      <c r="SSC930" s="18"/>
      <c r="SSD930" s="18"/>
      <c r="SSE930" s="18"/>
      <c r="SSF930" s="18"/>
      <c r="SSG930" s="18"/>
      <c r="SSH930" s="18"/>
      <c r="SSI930" s="18"/>
      <c r="SSJ930" s="18"/>
      <c r="SSK930" s="18"/>
      <c r="SSL930" s="18"/>
      <c r="SSM930" s="18"/>
      <c r="SSN930" s="18"/>
      <c r="SSO930" s="18"/>
      <c r="SSP930" s="18"/>
      <c r="SSQ930" s="18"/>
      <c r="SSR930" s="18"/>
      <c r="SSS930" s="18"/>
      <c r="SST930" s="18"/>
      <c r="SSU930" s="18"/>
      <c r="SSV930" s="18"/>
      <c r="SSW930" s="18"/>
      <c r="SSX930" s="18"/>
      <c r="SSY930" s="18"/>
      <c r="SSZ930" s="18"/>
      <c r="STA930" s="18"/>
      <c r="STB930" s="18"/>
      <c r="STC930" s="18"/>
      <c r="STD930" s="18"/>
      <c r="STE930" s="18"/>
      <c r="STF930" s="18"/>
      <c r="STG930" s="18"/>
      <c r="STH930" s="18"/>
      <c r="STI930" s="18"/>
      <c r="STJ930" s="18"/>
      <c r="STK930" s="18"/>
      <c r="STL930" s="18"/>
      <c r="STM930" s="18"/>
      <c r="STN930" s="18"/>
      <c r="STO930" s="18"/>
      <c r="STP930" s="18"/>
      <c r="STQ930" s="18"/>
      <c r="STR930" s="18"/>
      <c r="STS930" s="18"/>
      <c r="STT930" s="18"/>
      <c r="STU930" s="18"/>
      <c r="STV930" s="18"/>
      <c r="STW930" s="18"/>
      <c r="STX930" s="18"/>
      <c r="STY930" s="18"/>
      <c r="STZ930" s="18"/>
      <c r="SUA930" s="18"/>
      <c r="SUB930" s="18"/>
      <c r="SUC930" s="18"/>
      <c r="SUD930" s="18"/>
      <c r="SUE930" s="18"/>
      <c r="SUF930" s="18"/>
      <c r="SUG930" s="18"/>
      <c r="SUH930" s="18"/>
      <c r="SUI930" s="18"/>
      <c r="SUJ930" s="18"/>
      <c r="SUK930" s="18"/>
      <c r="SUL930" s="18"/>
      <c r="SUM930" s="18"/>
      <c r="SUN930" s="18"/>
      <c r="SUO930" s="18"/>
      <c r="SUP930" s="18"/>
      <c r="SUQ930" s="18"/>
      <c r="SUR930" s="18"/>
      <c r="SUS930" s="18"/>
      <c r="SUT930" s="18"/>
      <c r="SUU930" s="18"/>
      <c r="SUV930" s="18"/>
      <c r="SUW930" s="18"/>
      <c r="SUX930" s="18"/>
      <c r="SUY930" s="18"/>
      <c r="SUZ930" s="18"/>
      <c r="SVA930" s="18"/>
      <c r="SVB930" s="18"/>
      <c r="SVC930" s="18"/>
      <c r="SVD930" s="18"/>
      <c r="SVE930" s="18"/>
      <c r="SVF930" s="18"/>
      <c r="SVG930" s="18"/>
      <c r="SVH930" s="18"/>
      <c r="SVI930" s="18"/>
      <c r="SVJ930" s="18"/>
      <c r="SVK930" s="18"/>
      <c r="SVL930" s="18"/>
      <c r="SVM930" s="18"/>
      <c r="SVN930" s="18"/>
      <c r="SVO930" s="18"/>
      <c r="SVP930" s="18"/>
      <c r="SVQ930" s="18"/>
      <c r="SVR930" s="18"/>
      <c r="SVS930" s="18"/>
      <c r="SVT930" s="18"/>
      <c r="SVU930" s="18"/>
      <c r="SVV930" s="18"/>
      <c r="SVW930" s="18"/>
      <c r="SVX930" s="18"/>
      <c r="SVY930" s="18"/>
      <c r="SVZ930" s="18"/>
      <c r="SWA930" s="18"/>
      <c r="SWB930" s="18"/>
      <c r="SWC930" s="18"/>
      <c r="SWD930" s="18"/>
      <c r="SWE930" s="18"/>
      <c r="SWF930" s="18"/>
      <c r="SWG930" s="18"/>
      <c r="SWH930" s="18"/>
      <c r="SWI930" s="18"/>
      <c r="SWJ930" s="18"/>
      <c r="SWK930" s="18"/>
      <c r="SWL930" s="18"/>
      <c r="SWM930" s="18"/>
      <c r="SWN930" s="18"/>
      <c r="SWO930" s="18"/>
      <c r="SWP930" s="18"/>
      <c r="SWQ930" s="18"/>
      <c r="SWR930" s="18"/>
      <c r="SWS930" s="18"/>
      <c r="SWT930" s="18"/>
      <c r="SWU930" s="18"/>
      <c r="SWV930" s="18"/>
      <c r="SWW930" s="18"/>
      <c r="SWX930" s="18"/>
      <c r="SWY930" s="18"/>
      <c r="SWZ930" s="18"/>
      <c r="SXA930" s="18"/>
      <c r="SXB930" s="18"/>
      <c r="SXC930" s="18"/>
      <c r="SXD930" s="18"/>
      <c r="SXE930" s="18"/>
      <c r="SXF930" s="18"/>
      <c r="SXG930" s="18"/>
      <c r="SXH930" s="18"/>
      <c r="SXI930" s="18"/>
      <c r="SXJ930" s="18"/>
      <c r="SXK930" s="18"/>
      <c r="SXL930" s="18"/>
      <c r="SXM930" s="18"/>
      <c r="SXN930" s="18"/>
      <c r="SXO930" s="18"/>
      <c r="SXP930" s="18"/>
      <c r="SXQ930" s="18"/>
      <c r="SXR930" s="18"/>
      <c r="SXS930" s="18"/>
      <c r="SXT930" s="18"/>
      <c r="SXU930" s="18"/>
      <c r="SXV930" s="18"/>
      <c r="SXW930" s="18"/>
      <c r="SXX930" s="18"/>
      <c r="SXY930" s="18"/>
      <c r="SXZ930" s="18"/>
      <c r="SYA930" s="18"/>
      <c r="SYB930" s="18"/>
      <c r="SYC930" s="18"/>
      <c r="SYD930" s="18"/>
      <c r="SYE930" s="18"/>
      <c r="SYF930" s="18"/>
      <c r="SYG930" s="18"/>
      <c r="SYH930" s="18"/>
      <c r="SYI930" s="18"/>
      <c r="SYJ930" s="18"/>
      <c r="SYK930" s="18"/>
      <c r="SYL930" s="18"/>
      <c r="SYM930" s="18"/>
      <c r="SYN930" s="18"/>
      <c r="SYO930" s="18"/>
      <c r="SYP930" s="18"/>
      <c r="SYQ930" s="18"/>
      <c r="SYR930" s="18"/>
      <c r="SYS930" s="18"/>
      <c r="SYT930" s="18"/>
      <c r="SYU930" s="18"/>
      <c r="SYV930" s="18"/>
      <c r="SYW930" s="18"/>
      <c r="SYX930" s="18"/>
      <c r="SYY930" s="18"/>
      <c r="SYZ930" s="18"/>
      <c r="SZA930" s="18"/>
      <c r="SZB930" s="18"/>
      <c r="SZC930" s="18"/>
      <c r="SZD930" s="18"/>
      <c r="SZE930" s="18"/>
      <c r="SZF930" s="18"/>
      <c r="SZG930" s="18"/>
      <c r="SZH930" s="18"/>
      <c r="SZI930" s="18"/>
      <c r="SZJ930" s="18"/>
      <c r="SZK930" s="18"/>
      <c r="SZL930" s="18"/>
      <c r="SZM930" s="18"/>
      <c r="SZN930" s="18"/>
      <c r="SZO930" s="18"/>
      <c r="SZP930" s="18"/>
      <c r="SZQ930" s="18"/>
      <c r="SZR930" s="18"/>
      <c r="SZS930" s="18"/>
      <c r="SZT930" s="18"/>
      <c r="SZU930" s="18"/>
      <c r="SZV930" s="18"/>
      <c r="SZW930" s="18"/>
      <c r="SZX930" s="18"/>
      <c r="SZY930" s="18"/>
      <c r="SZZ930" s="18"/>
      <c r="TAA930" s="18"/>
      <c r="TAB930" s="18"/>
      <c r="TAC930" s="18"/>
      <c r="TAD930" s="18"/>
      <c r="TAE930" s="18"/>
      <c r="TAF930" s="18"/>
      <c r="TAG930" s="18"/>
      <c r="TAH930" s="18"/>
      <c r="TAI930" s="18"/>
      <c r="TAJ930" s="18"/>
      <c r="TAK930" s="18"/>
      <c r="TAL930" s="18"/>
      <c r="TAM930" s="18"/>
      <c r="TAN930" s="18"/>
      <c r="TAO930" s="18"/>
      <c r="TAP930" s="18"/>
      <c r="TAQ930" s="18"/>
      <c r="TAR930" s="18"/>
      <c r="TAS930" s="18"/>
      <c r="TAT930" s="18"/>
      <c r="TAU930" s="18"/>
      <c r="TAV930" s="18"/>
      <c r="TAW930" s="18"/>
      <c r="TAX930" s="18"/>
      <c r="TAY930" s="18"/>
      <c r="TAZ930" s="18"/>
      <c r="TBA930" s="18"/>
      <c r="TBB930" s="18"/>
      <c r="TBC930" s="18"/>
      <c r="TBD930" s="18"/>
      <c r="TBE930" s="18"/>
      <c r="TBF930" s="18"/>
      <c r="TBG930" s="18"/>
      <c r="TBH930" s="18"/>
      <c r="TBI930" s="18"/>
      <c r="TBJ930" s="18"/>
      <c r="TBK930" s="18"/>
      <c r="TBL930" s="18"/>
      <c r="TBM930" s="18"/>
      <c r="TBN930" s="18"/>
      <c r="TBO930" s="18"/>
      <c r="TBP930" s="18"/>
      <c r="TBQ930" s="18"/>
      <c r="TBR930" s="18"/>
      <c r="TBS930" s="18"/>
      <c r="TBT930" s="18"/>
      <c r="TBU930" s="18"/>
      <c r="TBV930" s="18"/>
      <c r="TBW930" s="18"/>
      <c r="TBX930" s="18"/>
      <c r="TBY930" s="18"/>
      <c r="TBZ930" s="18"/>
      <c r="TCA930" s="18"/>
      <c r="TCB930" s="18"/>
      <c r="TCC930" s="18"/>
      <c r="TCD930" s="18"/>
      <c r="TCE930" s="18"/>
      <c r="TCF930" s="18"/>
      <c r="TCG930" s="18"/>
      <c r="TCH930" s="18"/>
      <c r="TCI930" s="18"/>
      <c r="TCJ930" s="18"/>
      <c r="TCK930" s="18"/>
      <c r="TCL930" s="18"/>
      <c r="TCM930" s="18"/>
      <c r="TCN930" s="18"/>
      <c r="TCO930" s="18"/>
      <c r="TCP930" s="18"/>
      <c r="TCQ930" s="18"/>
      <c r="TCR930" s="18"/>
      <c r="TCS930" s="18"/>
      <c r="TCT930" s="18"/>
      <c r="TCU930" s="18"/>
      <c r="TCV930" s="18"/>
      <c r="TCW930" s="18"/>
      <c r="TCX930" s="18"/>
      <c r="TCY930" s="18"/>
      <c r="TCZ930" s="18"/>
      <c r="TDA930" s="18"/>
      <c r="TDB930" s="18"/>
      <c r="TDC930" s="18"/>
      <c r="TDD930" s="18"/>
      <c r="TDE930" s="18"/>
      <c r="TDF930" s="18"/>
      <c r="TDG930" s="18"/>
      <c r="TDH930" s="18"/>
      <c r="TDI930" s="18"/>
      <c r="TDJ930" s="18"/>
      <c r="TDK930" s="18"/>
      <c r="TDL930" s="18"/>
      <c r="TDM930" s="18"/>
      <c r="TDN930" s="18"/>
      <c r="TDO930" s="18"/>
      <c r="TDP930" s="18"/>
      <c r="TDQ930" s="18"/>
      <c r="TDR930" s="18"/>
      <c r="TDS930" s="18"/>
      <c r="TDT930" s="18"/>
      <c r="TDU930" s="18"/>
      <c r="TDV930" s="18"/>
      <c r="TDW930" s="18"/>
      <c r="TDX930" s="18"/>
      <c r="TDY930" s="18"/>
      <c r="TDZ930" s="18"/>
      <c r="TEA930" s="18"/>
      <c r="TEB930" s="18"/>
      <c r="TEC930" s="18"/>
      <c r="TED930" s="18"/>
      <c r="TEE930" s="18"/>
      <c r="TEF930" s="18"/>
      <c r="TEG930" s="18"/>
      <c r="TEH930" s="18"/>
      <c r="TEI930" s="18"/>
      <c r="TEJ930" s="18"/>
      <c r="TEK930" s="18"/>
      <c r="TEL930" s="18"/>
      <c r="TEM930" s="18"/>
      <c r="TEN930" s="18"/>
      <c r="TEO930" s="18"/>
      <c r="TEP930" s="18"/>
      <c r="TEQ930" s="18"/>
      <c r="TER930" s="18"/>
      <c r="TES930" s="18"/>
      <c r="TET930" s="18"/>
      <c r="TEU930" s="18"/>
      <c r="TEV930" s="18"/>
      <c r="TEW930" s="18"/>
      <c r="TEX930" s="18"/>
      <c r="TEY930" s="18"/>
      <c r="TEZ930" s="18"/>
      <c r="TFA930" s="18"/>
      <c r="TFB930" s="18"/>
      <c r="TFC930" s="18"/>
      <c r="TFD930" s="18"/>
      <c r="TFE930" s="18"/>
      <c r="TFF930" s="18"/>
      <c r="TFG930" s="18"/>
      <c r="TFH930" s="18"/>
      <c r="TFI930" s="18"/>
      <c r="TFJ930" s="18"/>
      <c r="TFK930" s="18"/>
      <c r="TFL930" s="18"/>
      <c r="TFM930" s="18"/>
      <c r="TFN930" s="18"/>
      <c r="TFO930" s="18"/>
      <c r="TFP930" s="18"/>
      <c r="TFQ930" s="18"/>
      <c r="TFR930" s="18"/>
      <c r="TFS930" s="18"/>
      <c r="TFT930" s="18"/>
      <c r="TFU930" s="18"/>
      <c r="TFV930" s="18"/>
      <c r="TFW930" s="18"/>
      <c r="TFX930" s="18"/>
      <c r="TFY930" s="18"/>
      <c r="TFZ930" s="18"/>
      <c r="TGA930" s="18"/>
      <c r="TGB930" s="18"/>
      <c r="TGC930" s="18"/>
      <c r="TGD930" s="18"/>
      <c r="TGE930" s="18"/>
      <c r="TGF930" s="18"/>
      <c r="TGG930" s="18"/>
      <c r="TGH930" s="18"/>
      <c r="TGI930" s="18"/>
      <c r="TGJ930" s="18"/>
      <c r="TGK930" s="18"/>
      <c r="TGL930" s="18"/>
      <c r="TGM930" s="18"/>
      <c r="TGN930" s="18"/>
      <c r="TGO930" s="18"/>
      <c r="TGP930" s="18"/>
      <c r="TGQ930" s="18"/>
      <c r="TGR930" s="18"/>
      <c r="TGS930" s="18"/>
      <c r="TGT930" s="18"/>
      <c r="TGU930" s="18"/>
      <c r="TGV930" s="18"/>
      <c r="TGW930" s="18"/>
      <c r="TGX930" s="18"/>
      <c r="TGY930" s="18"/>
      <c r="TGZ930" s="18"/>
      <c r="THA930" s="18"/>
      <c r="THB930" s="18"/>
      <c r="THC930" s="18"/>
      <c r="THD930" s="18"/>
      <c r="THE930" s="18"/>
      <c r="THF930" s="18"/>
      <c r="THG930" s="18"/>
      <c r="THH930" s="18"/>
      <c r="THI930" s="18"/>
      <c r="THJ930" s="18"/>
      <c r="THK930" s="18"/>
      <c r="THL930" s="18"/>
      <c r="THM930" s="18"/>
      <c r="THN930" s="18"/>
      <c r="THO930" s="18"/>
      <c r="THP930" s="18"/>
      <c r="THQ930" s="18"/>
      <c r="THR930" s="18"/>
      <c r="THS930" s="18"/>
      <c r="THT930" s="18"/>
      <c r="THU930" s="18"/>
      <c r="THV930" s="18"/>
      <c r="THW930" s="18"/>
      <c r="THX930" s="18"/>
      <c r="THY930" s="18"/>
      <c r="THZ930" s="18"/>
      <c r="TIA930" s="18"/>
      <c r="TIB930" s="18"/>
      <c r="TIC930" s="18"/>
      <c r="TID930" s="18"/>
      <c r="TIE930" s="18"/>
      <c r="TIF930" s="18"/>
      <c r="TIG930" s="18"/>
      <c r="TIH930" s="18"/>
      <c r="TII930" s="18"/>
      <c r="TIJ930" s="18"/>
      <c r="TIK930" s="18"/>
      <c r="TIL930" s="18"/>
      <c r="TIM930" s="18"/>
      <c r="TIN930" s="18"/>
      <c r="TIO930" s="18"/>
      <c r="TIP930" s="18"/>
      <c r="TIQ930" s="18"/>
      <c r="TIR930" s="18"/>
      <c r="TIS930" s="18"/>
      <c r="TIT930" s="18"/>
      <c r="TIU930" s="18"/>
      <c r="TIV930" s="18"/>
      <c r="TIW930" s="18"/>
      <c r="TIX930" s="18"/>
      <c r="TIY930" s="18"/>
      <c r="TIZ930" s="18"/>
      <c r="TJA930" s="18"/>
      <c r="TJB930" s="18"/>
      <c r="TJC930" s="18"/>
      <c r="TJD930" s="18"/>
      <c r="TJE930" s="18"/>
      <c r="TJF930" s="18"/>
      <c r="TJG930" s="18"/>
      <c r="TJH930" s="18"/>
      <c r="TJI930" s="18"/>
      <c r="TJJ930" s="18"/>
      <c r="TJK930" s="18"/>
      <c r="TJL930" s="18"/>
      <c r="TJM930" s="18"/>
      <c r="TJN930" s="18"/>
      <c r="TJO930" s="18"/>
      <c r="TJP930" s="18"/>
      <c r="TJQ930" s="18"/>
      <c r="TJR930" s="18"/>
      <c r="TJS930" s="18"/>
      <c r="TJT930" s="18"/>
      <c r="TJU930" s="18"/>
      <c r="TJV930" s="18"/>
      <c r="TJW930" s="18"/>
      <c r="TJX930" s="18"/>
      <c r="TJY930" s="18"/>
      <c r="TJZ930" s="18"/>
      <c r="TKA930" s="18"/>
      <c r="TKB930" s="18"/>
      <c r="TKC930" s="18"/>
      <c r="TKD930" s="18"/>
      <c r="TKE930" s="18"/>
      <c r="TKF930" s="18"/>
      <c r="TKG930" s="18"/>
      <c r="TKH930" s="18"/>
      <c r="TKI930" s="18"/>
      <c r="TKJ930" s="18"/>
      <c r="TKK930" s="18"/>
      <c r="TKL930" s="18"/>
      <c r="TKM930" s="18"/>
      <c r="TKN930" s="18"/>
      <c r="TKO930" s="18"/>
      <c r="TKP930" s="18"/>
      <c r="TKQ930" s="18"/>
      <c r="TKR930" s="18"/>
      <c r="TKS930" s="18"/>
      <c r="TKT930" s="18"/>
      <c r="TKU930" s="18"/>
      <c r="TKV930" s="18"/>
      <c r="TKW930" s="18"/>
      <c r="TKX930" s="18"/>
      <c r="TKY930" s="18"/>
      <c r="TKZ930" s="18"/>
      <c r="TLA930" s="18"/>
      <c r="TLB930" s="18"/>
      <c r="TLC930" s="18"/>
      <c r="TLD930" s="18"/>
      <c r="TLE930" s="18"/>
      <c r="TLF930" s="18"/>
      <c r="TLG930" s="18"/>
      <c r="TLH930" s="18"/>
      <c r="TLI930" s="18"/>
      <c r="TLJ930" s="18"/>
      <c r="TLK930" s="18"/>
      <c r="TLL930" s="18"/>
      <c r="TLM930" s="18"/>
      <c r="TLN930" s="18"/>
      <c r="TLO930" s="18"/>
      <c r="TLP930" s="18"/>
      <c r="TLQ930" s="18"/>
      <c r="TLR930" s="18"/>
      <c r="TLS930" s="18"/>
      <c r="TLT930" s="18"/>
      <c r="TLU930" s="18"/>
      <c r="TLV930" s="18"/>
      <c r="TLW930" s="18"/>
      <c r="TLX930" s="18"/>
      <c r="TLY930" s="18"/>
      <c r="TLZ930" s="18"/>
      <c r="TMA930" s="18"/>
      <c r="TMB930" s="18"/>
      <c r="TMC930" s="18"/>
      <c r="TMD930" s="18"/>
      <c r="TME930" s="18"/>
      <c r="TMF930" s="18"/>
      <c r="TMG930" s="18"/>
      <c r="TMH930" s="18"/>
      <c r="TMI930" s="18"/>
      <c r="TMJ930" s="18"/>
      <c r="TMK930" s="18"/>
      <c r="TML930" s="18"/>
      <c r="TMM930" s="18"/>
      <c r="TMN930" s="18"/>
      <c r="TMO930" s="18"/>
      <c r="TMP930" s="18"/>
      <c r="TMQ930" s="18"/>
      <c r="TMR930" s="18"/>
      <c r="TMS930" s="18"/>
      <c r="TMT930" s="18"/>
      <c r="TMU930" s="18"/>
      <c r="TMV930" s="18"/>
      <c r="TMW930" s="18"/>
      <c r="TMX930" s="18"/>
      <c r="TMY930" s="18"/>
      <c r="TMZ930" s="18"/>
      <c r="TNA930" s="18"/>
      <c r="TNB930" s="18"/>
      <c r="TNC930" s="18"/>
      <c r="TND930" s="18"/>
      <c r="TNE930" s="18"/>
      <c r="TNF930" s="18"/>
      <c r="TNG930" s="18"/>
      <c r="TNH930" s="18"/>
      <c r="TNI930" s="18"/>
      <c r="TNJ930" s="18"/>
      <c r="TNK930" s="18"/>
      <c r="TNL930" s="18"/>
      <c r="TNM930" s="18"/>
      <c r="TNN930" s="18"/>
      <c r="TNO930" s="18"/>
      <c r="TNP930" s="18"/>
      <c r="TNQ930" s="18"/>
      <c r="TNR930" s="18"/>
      <c r="TNS930" s="18"/>
      <c r="TNT930" s="18"/>
      <c r="TNU930" s="18"/>
      <c r="TNV930" s="18"/>
      <c r="TNW930" s="18"/>
      <c r="TNX930" s="18"/>
      <c r="TNY930" s="18"/>
      <c r="TNZ930" s="18"/>
      <c r="TOA930" s="18"/>
      <c r="TOB930" s="18"/>
      <c r="TOC930" s="18"/>
      <c r="TOD930" s="18"/>
      <c r="TOE930" s="18"/>
      <c r="TOF930" s="18"/>
      <c r="TOG930" s="18"/>
      <c r="TOH930" s="18"/>
      <c r="TOI930" s="18"/>
      <c r="TOJ930" s="18"/>
      <c r="TOK930" s="18"/>
      <c r="TOL930" s="18"/>
      <c r="TOM930" s="18"/>
      <c r="TON930" s="18"/>
      <c r="TOO930" s="18"/>
      <c r="TOP930" s="18"/>
      <c r="TOQ930" s="18"/>
      <c r="TOR930" s="18"/>
      <c r="TOS930" s="18"/>
      <c r="TOT930" s="18"/>
      <c r="TOU930" s="18"/>
      <c r="TOV930" s="18"/>
      <c r="TOW930" s="18"/>
      <c r="TOX930" s="18"/>
      <c r="TOY930" s="18"/>
      <c r="TOZ930" s="18"/>
      <c r="TPA930" s="18"/>
      <c r="TPB930" s="18"/>
      <c r="TPC930" s="18"/>
      <c r="TPD930" s="18"/>
      <c r="TPE930" s="18"/>
      <c r="TPF930" s="18"/>
      <c r="TPG930" s="18"/>
      <c r="TPH930" s="18"/>
      <c r="TPI930" s="18"/>
      <c r="TPJ930" s="18"/>
      <c r="TPK930" s="18"/>
      <c r="TPL930" s="18"/>
      <c r="TPM930" s="18"/>
      <c r="TPN930" s="18"/>
      <c r="TPO930" s="18"/>
      <c r="TPP930" s="18"/>
      <c r="TPQ930" s="18"/>
      <c r="TPR930" s="18"/>
      <c r="TPS930" s="18"/>
      <c r="TPT930" s="18"/>
      <c r="TPU930" s="18"/>
      <c r="TPV930" s="18"/>
      <c r="TPW930" s="18"/>
      <c r="TPX930" s="18"/>
      <c r="TPY930" s="18"/>
      <c r="TPZ930" s="18"/>
      <c r="TQA930" s="18"/>
      <c r="TQB930" s="18"/>
      <c r="TQC930" s="18"/>
      <c r="TQD930" s="18"/>
      <c r="TQE930" s="18"/>
      <c r="TQF930" s="18"/>
      <c r="TQG930" s="18"/>
      <c r="TQH930" s="18"/>
      <c r="TQI930" s="18"/>
      <c r="TQJ930" s="18"/>
      <c r="TQK930" s="18"/>
      <c r="TQL930" s="18"/>
      <c r="TQM930" s="18"/>
      <c r="TQN930" s="18"/>
      <c r="TQO930" s="18"/>
      <c r="TQP930" s="18"/>
      <c r="TQQ930" s="18"/>
      <c r="TQR930" s="18"/>
      <c r="TQS930" s="18"/>
      <c r="TQT930" s="18"/>
      <c r="TQU930" s="18"/>
      <c r="TQV930" s="18"/>
      <c r="TQW930" s="18"/>
      <c r="TQX930" s="18"/>
      <c r="TQY930" s="18"/>
      <c r="TQZ930" s="18"/>
      <c r="TRA930" s="18"/>
      <c r="TRB930" s="18"/>
      <c r="TRC930" s="18"/>
      <c r="TRD930" s="18"/>
      <c r="TRE930" s="18"/>
      <c r="TRF930" s="18"/>
      <c r="TRG930" s="18"/>
      <c r="TRH930" s="18"/>
      <c r="TRI930" s="18"/>
      <c r="TRJ930" s="18"/>
      <c r="TRK930" s="18"/>
      <c r="TRL930" s="18"/>
      <c r="TRM930" s="18"/>
      <c r="TRN930" s="18"/>
      <c r="TRO930" s="18"/>
      <c r="TRP930" s="18"/>
      <c r="TRQ930" s="18"/>
      <c r="TRR930" s="18"/>
      <c r="TRS930" s="18"/>
      <c r="TRT930" s="18"/>
      <c r="TRU930" s="18"/>
      <c r="TRV930" s="18"/>
      <c r="TRW930" s="18"/>
      <c r="TRX930" s="18"/>
      <c r="TRY930" s="18"/>
      <c r="TRZ930" s="18"/>
      <c r="TSA930" s="18"/>
      <c r="TSB930" s="18"/>
      <c r="TSC930" s="18"/>
      <c r="TSD930" s="18"/>
      <c r="TSE930" s="18"/>
      <c r="TSF930" s="18"/>
      <c r="TSG930" s="18"/>
      <c r="TSH930" s="18"/>
      <c r="TSI930" s="18"/>
      <c r="TSJ930" s="18"/>
      <c r="TSK930" s="18"/>
      <c r="TSL930" s="18"/>
      <c r="TSM930" s="18"/>
      <c r="TSN930" s="18"/>
      <c r="TSO930" s="18"/>
      <c r="TSP930" s="18"/>
      <c r="TSQ930" s="18"/>
      <c r="TSR930" s="18"/>
      <c r="TSS930" s="18"/>
      <c r="TST930" s="18"/>
      <c r="TSU930" s="18"/>
      <c r="TSV930" s="18"/>
      <c r="TSW930" s="18"/>
      <c r="TSX930" s="18"/>
      <c r="TSY930" s="18"/>
      <c r="TSZ930" s="18"/>
      <c r="TTA930" s="18"/>
      <c r="TTB930" s="18"/>
      <c r="TTC930" s="18"/>
      <c r="TTD930" s="18"/>
      <c r="TTE930" s="18"/>
      <c r="TTF930" s="18"/>
      <c r="TTG930" s="18"/>
      <c r="TTH930" s="18"/>
      <c r="TTI930" s="18"/>
      <c r="TTJ930" s="18"/>
      <c r="TTK930" s="18"/>
      <c r="TTL930" s="18"/>
      <c r="TTM930" s="18"/>
      <c r="TTN930" s="18"/>
      <c r="TTO930" s="18"/>
      <c r="TTP930" s="18"/>
      <c r="TTQ930" s="18"/>
      <c r="TTR930" s="18"/>
      <c r="TTS930" s="18"/>
      <c r="TTT930" s="18"/>
      <c r="TTU930" s="18"/>
      <c r="TTV930" s="18"/>
      <c r="TTW930" s="18"/>
      <c r="TTX930" s="18"/>
      <c r="TTY930" s="18"/>
      <c r="TTZ930" s="18"/>
      <c r="TUA930" s="18"/>
      <c r="TUB930" s="18"/>
      <c r="TUC930" s="18"/>
      <c r="TUD930" s="18"/>
      <c r="TUE930" s="18"/>
      <c r="TUF930" s="18"/>
      <c r="TUG930" s="18"/>
      <c r="TUH930" s="18"/>
      <c r="TUI930" s="18"/>
      <c r="TUJ930" s="18"/>
      <c r="TUK930" s="18"/>
      <c r="TUL930" s="18"/>
      <c r="TUM930" s="18"/>
      <c r="TUN930" s="18"/>
      <c r="TUO930" s="18"/>
      <c r="TUP930" s="18"/>
      <c r="TUQ930" s="18"/>
      <c r="TUR930" s="18"/>
      <c r="TUS930" s="18"/>
      <c r="TUT930" s="18"/>
      <c r="TUU930" s="18"/>
      <c r="TUV930" s="18"/>
      <c r="TUW930" s="18"/>
      <c r="TUX930" s="18"/>
      <c r="TUY930" s="18"/>
      <c r="TUZ930" s="18"/>
      <c r="TVA930" s="18"/>
      <c r="TVB930" s="18"/>
      <c r="TVC930" s="18"/>
      <c r="TVD930" s="18"/>
      <c r="TVE930" s="18"/>
      <c r="TVF930" s="18"/>
      <c r="TVG930" s="18"/>
      <c r="TVH930" s="18"/>
      <c r="TVI930" s="18"/>
      <c r="TVJ930" s="18"/>
      <c r="TVK930" s="18"/>
      <c r="TVL930" s="18"/>
      <c r="TVM930" s="18"/>
      <c r="TVN930" s="18"/>
      <c r="TVO930" s="18"/>
      <c r="TVP930" s="18"/>
      <c r="TVQ930" s="18"/>
      <c r="TVR930" s="18"/>
      <c r="TVS930" s="18"/>
      <c r="TVT930" s="18"/>
      <c r="TVU930" s="18"/>
      <c r="TVV930" s="18"/>
      <c r="TVW930" s="18"/>
      <c r="TVX930" s="18"/>
      <c r="TVY930" s="18"/>
      <c r="TVZ930" s="18"/>
      <c r="TWA930" s="18"/>
      <c r="TWB930" s="18"/>
      <c r="TWC930" s="18"/>
      <c r="TWD930" s="18"/>
      <c r="TWE930" s="18"/>
      <c r="TWF930" s="18"/>
      <c r="TWG930" s="18"/>
      <c r="TWH930" s="18"/>
      <c r="TWI930" s="18"/>
      <c r="TWJ930" s="18"/>
      <c r="TWK930" s="18"/>
      <c r="TWL930" s="18"/>
      <c r="TWM930" s="18"/>
      <c r="TWN930" s="18"/>
      <c r="TWO930" s="18"/>
      <c r="TWP930" s="18"/>
      <c r="TWQ930" s="18"/>
      <c r="TWR930" s="18"/>
      <c r="TWS930" s="18"/>
      <c r="TWT930" s="18"/>
      <c r="TWU930" s="18"/>
      <c r="TWV930" s="18"/>
      <c r="TWW930" s="18"/>
      <c r="TWX930" s="18"/>
      <c r="TWY930" s="18"/>
      <c r="TWZ930" s="18"/>
      <c r="TXA930" s="18"/>
      <c r="TXB930" s="18"/>
      <c r="TXC930" s="18"/>
      <c r="TXD930" s="18"/>
      <c r="TXE930" s="18"/>
      <c r="TXF930" s="18"/>
      <c r="TXG930" s="18"/>
      <c r="TXH930" s="18"/>
      <c r="TXI930" s="18"/>
      <c r="TXJ930" s="18"/>
      <c r="TXK930" s="18"/>
      <c r="TXL930" s="18"/>
      <c r="TXM930" s="18"/>
      <c r="TXN930" s="18"/>
      <c r="TXO930" s="18"/>
      <c r="TXP930" s="18"/>
      <c r="TXQ930" s="18"/>
      <c r="TXR930" s="18"/>
      <c r="TXS930" s="18"/>
      <c r="TXT930" s="18"/>
      <c r="TXU930" s="18"/>
      <c r="TXV930" s="18"/>
      <c r="TXW930" s="18"/>
      <c r="TXX930" s="18"/>
      <c r="TXY930" s="18"/>
      <c r="TXZ930" s="18"/>
      <c r="TYA930" s="18"/>
      <c r="TYB930" s="18"/>
      <c r="TYC930" s="18"/>
      <c r="TYD930" s="18"/>
      <c r="TYE930" s="18"/>
      <c r="TYF930" s="18"/>
      <c r="TYG930" s="18"/>
      <c r="TYH930" s="18"/>
      <c r="TYI930" s="18"/>
      <c r="TYJ930" s="18"/>
      <c r="TYK930" s="18"/>
      <c r="TYL930" s="18"/>
      <c r="TYM930" s="18"/>
      <c r="TYN930" s="18"/>
      <c r="TYO930" s="18"/>
      <c r="TYP930" s="18"/>
      <c r="TYQ930" s="18"/>
      <c r="TYR930" s="18"/>
      <c r="TYS930" s="18"/>
      <c r="TYT930" s="18"/>
      <c r="TYU930" s="18"/>
      <c r="TYV930" s="18"/>
      <c r="TYW930" s="18"/>
      <c r="TYX930" s="18"/>
      <c r="TYY930" s="18"/>
      <c r="TYZ930" s="18"/>
      <c r="TZA930" s="18"/>
      <c r="TZB930" s="18"/>
      <c r="TZC930" s="18"/>
      <c r="TZD930" s="18"/>
      <c r="TZE930" s="18"/>
      <c r="TZF930" s="18"/>
      <c r="TZG930" s="18"/>
      <c r="TZH930" s="18"/>
      <c r="TZI930" s="18"/>
      <c r="TZJ930" s="18"/>
      <c r="TZK930" s="18"/>
      <c r="TZL930" s="18"/>
      <c r="TZM930" s="18"/>
      <c r="TZN930" s="18"/>
      <c r="TZO930" s="18"/>
      <c r="TZP930" s="18"/>
      <c r="TZQ930" s="18"/>
      <c r="TZR930" s="18"/>
      <c r="TZS930" s="18"/>
      <c r="TZT930" s="18"/>
      <c r="TZU930" s="18"/>
      <c r="TZV930" s="18"/>
      <c r="TZW930" s="18"/>
      <c r="TZX930" s="18"/>
      <c r="TZY930" s="18"/>
      <c r="TZZ930" s="18"/>
      <c r="UAA930" s="18"/>
      <c r="UAB930" s="18"/>
      <c r="UAC930" s="18"/>
      <c r="UAD930" s="18"/>
      <c r="UAE930" s="18"/>
      <c r="UAF930" s="18"/>
      <c r="UAG930" s="18"/>
      <c r="UAH930" s="18"/>
      <c r="UAI930" s="18"/>
      <c r="UAJ930" s="18"/>
      <c r="UAK930" s="18"/>
      <c r="UAL930" s="18"/>
      <c r="UAM930" s="18"/>
      <c r="UAN930" s="18"/>
      <c r="UAO930" s="18"/>
      <c r="UAP930" s="18"/>
      <c r="UAQ930" s="18"/>
      <c r="UAR930" s="18"/>
      <c r="UAS930" s="18"/>
      <c r="UAT930" s="18"/>
      <c r="UAU930" s="18"/>
      <c r="UAV930" s="18"/>
      <c r="UAW930" s="18"/>
      <c r="UAX930" s="18"/>
      <c r="UAY930" s="18"/>
      <c r="UAZ930" s="18"/>
      <c r="UBA930" s="18"/>
      <c r="UBB930" s="18"/>
      <c r="UBC930" s="18"/>
      <c r="UBD930" s="18"/>
      <c r="UBE930" s="18"/>
      <c r="UBF930" s="18"/>
      <c r="UBG930" s="18"/>
      <c r="UBH930" s="18"/>
      <c r="UBI930" s="18"/>
      <c r="UBJ930" s="18"/>
      <c r="UBK930" s="18"/>
      <c r="UBL930" s="18"/>
      <c r="UBM930" s="18"/>
      <c r="UBN930" s="18"/>
      <c r="UBO930" s="18"/>
      <c r="UBP930" s="18"/>
      <c r="UBQ930" s="18"/>
      <c r="UBR930" s="18"/>
      <c r="UBS930" s="18"/>
      <c r="UBT930" s="18"/>
      <c r="UBU930" s="18"/>
      <c r="UBV930" s="18"/>
      <c r="UBW930" s="18"/>
      <c r="UBX930" s="18"/>
      <c r="UBY930" s="18"/>
      <c r="UBZ930" s="18"/>
      <c r="UCA930" s="18"/>
      <c r="UCB930" s="18"/>
      <c r="UCC930" s="18"/>
      <c r="UCD930" s="18"/>
      <c r="UCE930" s="18"/>
      <c r="UCF930" s="18"/>
      <c r="UCG930" s="18"/>
      <c r="UCH930" s="18"/>
      <c r="UCI930" s="18"/>
      <c r="UCJ930" s="18"/>
      <c r="UCK930" s="18"/>
      <c r="UCL930" s="18"/>
      <c r="UCM930" s="18"/>
      <c r="UCN930" s="18"/>
      <c r="UCO930" s="18"/>
      <c r="UCP930" s="18"/>
      <c r="UCQ930" s="18"/>
      <c r="UCR930" s="18"/>
      <c r="UCS930" s="18"/>
      <c r="UCT930" s="18"/>
      <c r="UCU930" s="18"/>
      <c r="UCV930" s="18"/>
      <c r="UCW930" s="18"/>
      <c r="UCX930" s="18"/>
      <c r="UCY930" s="18"/>
      <c r="UCZ930" s="18"/>
      <c r="UDA930" s="18"/>
      <c r="UDB930" s="18"/>
      <c r="UDC930" s="18"/>
      <c r="UDD930" s="18"/>
      <c r="UDE930" s="18"/>
      <c r="UDF930" s="18"/>
      <c r="UDG930" s="18"/>
      <c r="UDH930" s="18"/>
      <c r="UDI930" s="18"/>
      <c r="UDJ930" s="18"/>
      <c r="UDK930" s="18"/>
      <c r="UDL930" s="18"/>
      <c r="UDM930" s="18"/>
      <c r="UDN930" s="18"/>
      <c r="UDO930" s="18"/>
      <c r="UDP930" s="18"/>
      <c r="UDQ930" s="18"/>
      <c r="UDR930" s="18"/>
      <c r="UDS930" s="18"/>
      <c r="UDT930" s="18"/>
      <c r="UDU930" s="18"/>
      <c r="UDV930" s="18"/>
      <c r="UDW930" s="18"/>
      <c r="UDX930" s="18"/>
      <c r="UDY930" s="18"/>
      <c r="UDZ930" s="18"/>
      <c r="UEA930" s="18"/>
      <c r="UEB930" s="18"/>
      <c r="UEC930" s="18"/>
      <c r="UED930" s="18"/>
      <c r="UEE930" s="18"/>
      <c r="UEF930" s="18"/>
      <c r="UEG930" s="18"/>
      <c r="UEH930" s="18"/>
      <c r="UEI930" s="18"/>
      <c r="UEJ930" s="18"/>
      <c r="UEK930" s="18"/>
      <c r="UEL930" s="18"/>
      <c r="UEM930" s="18"/>
      <c r="UEN930" s="18"/>
      <c r="UEO930" s="18"/>
      <c r="UEP930" s="18"/>
      <c r="UEQ930" s="18"/>
      <c r="UER930" s="18"/>
      <c r="UES930" s="18"/>
      <c r="UET930" s="18"/>
      <c r="UEU930" s="18"/>
      <c r="UEV930" s="18"/>
      <c r="UEW930" s="18"/>
      <c r="UEX930" s="18"/>
      <c r="UEY930" s="18"/>
      <c r="UEZ930" s="18"/>
      <c r="UFA930" s="18"/>
      <c r="UFB930" s="18"/>
      <c r="UFC930" s="18"/>
      <c r="UFD930" s="18"/>
      <c r="UFE930" s="18"/>
      <c r="UFF930" s="18"/>
      <c r="UFG930" s="18"/>
      <c r="UFH930" s="18"/>
      <c r="UFI930" s="18"/>
      <c r="UFJ930" s="18"/>
      <c r="UFK930" s="18"/>
      <c r="UFL930" s="18"/>
      <c r="UFM930" s="18"/>
      <c r="UFN930" s="18"/>
      <c r="UFO930" s="18"/>
      <c r="UFP930" s="18"/>
      <c r="UFQ930" s="18"/>
      <c r="UFR930" s="18"/>
      <c r="UFS930" s="18"/>
      <c r="UFT930" s="18"/>
      <c r="UFU930" s="18"/>
      <c r="UFV930" s="18"/>
      <c r="UFW930" s="18"/>
      <c r="UFX930" s="18"/>
      <c r="UFY930" s="18"/>
      <c r="UFZ930" s="18"/>
      <c r="UGA930" s="18"/>
      <c r="UGB930" s="18"/>
      <c r="UGC930" s="18"/>
      <c r="UGD930" s="18"/>
      <c r="UGE930" s="18"/>
      <c r="UGF930" s="18"/>
      <c r="UGG930" s="18"/>
      <c r="UGH930" s="18"/>
      <c r="UGI930" s="18"/>
      <c r="UGJ930" s="18"/>
      <c r="UGK930" s="18"/>
      <c r="UGL930" s="18"/>
      <c r="UGM930" s="18"/>
      <c r="UGN930" s="18"/>
      <c r="UGO930" s="18"/>
      <c r="UGP930" s="18"/>
      <c r="UGQ930" s="18"/>
      <c r="UGR930" s="18"/>
      <c r="UGS930" s="18"/>
      <c r="UGT930" s="18"/>
      <c r="UGU930" s="18"/>
      <c r="UGV930" s="18"/>
      <c r="UGW930" s="18"/>
      <c r="UGX930" s="18"/>
      <c r="UGY930" s="18"/>
      <c r="UGZ930" s="18"/>
      <c r="UHA930" s="18"/>
      <c r="UHB930" s="18"/>
      <c r="UHC930" s="18"/>
      <c r="UHD930" s="18"/>
      <c r="UHE930" s="18"/>
      <c r="UHF930" s="18"/>
      <c r="UHG930" s="18"/>
      <c r="UHH930" s="18"/>
      <c r="UHI930" s="18"/>
      <c r="UHJ930" s="18"/>
      <c r="UHK930" s="18"/>
      <c r="UHL930" s="18"/>
      <c r="UHM930" s="18"/>
      <c r="UHN930" s="18"/>
      <c r="UHO930" s="18"/>
      <c r="UHP930" s="18"/>
      <c r="UHQ930" s="18"/>
      <c r="UHR930" s="18"/>
      <c r="UHS930" s="18"/>
      <c r="UHT930" s="18"/>
      <c r="UHU930" s="18"/>
      <c r="UHV930" s="18"/>
      <c r="UHW930" s="18"/>
      <c r="UHX930" s="18"/>
      <c r="UHY930" s="18"/>
      <c r="UHZ930" s="18"/>
      <c r="UIA930" s="18"/>
      <c r="UIB930" s="18"/>
      <c r="UIC930" s="18"/>
      <c r="UID930" s="18"/>
      <c r="UIE930" s="18"/>
      <c r="UIF930" s="18"/>
      <c r="UIG930" s="18"/>
      <c r="UIH930" s="18"/>
      <c r="UII930" s="18"/>
      <c r="UIJ930" s="18"/>
      <c r="UIK930" s="18"/>
      <c r="UIL930" s="18"/>
      <c r="UIM930" s="18"/>
      <c r="UIN930" s="18"/>
      <c r="UIO930" s="18"/>
      <c r="UIP930" s="18"/>
      <c r="UIQ930" s="18"/>
      <c r="UIR930" s="18"/>
      <c r="UIS930" s="18"/>
      <c r="UIT930" s="18"/>
      <c r="UIU930" s="18"/>
      <c r="UIV930" s="18"/>
      <c r="UIW930" s="18"/>
      <c r="UIX930" s="18"/>
      <c r="UIY930" s="18"/>
      <c r="UIZ930" s="18"/>
      <c r="UJA930" s="18"/>
      <c r="UJB930" s="18"/>
      <c r="UJC930" s="18"/>
      <c r="UJD930" s="18"/>
      <c r="UJE930" s="18"/>
      <c r="UJF930" s="18"/>
      <c r="UJG930" s="18"/>
      <c r="UJH930" s="18"/>
      <c r="UJI930" s="18"/>
      <c r="UJJ930" s="18"/>
      <c r="UJK930" s="18"/>
      <c r="UJL930" s="18"/>
      <c r="UJM930" s="18"/>
      <c r="UJN930" s="18"/>
      <c r="UJO930" s="18"/>
      <c r="UJP930" s="18"/>
      <c r="UJQ930" s="18"/>
      <c r="UJR930" s="18"/>
      <c r="UJS930" s="18"/>
      <c r="UJT930" s="18"/>
      <c r="UJU930" s="18"/>
      <c r="UJV930" s="18"/>
      <c r="UJW930" s="18"/>
      <c r="UJX930" s="18"/>
      <c r="UJY930" s="18"/>
      <c r="UJZ930" s="18"/>
      <c r="UKA930" s="18"/>
      <c r="UKB930" s="18"/>
      <c r="UKC930" s="18"/>
      <c r="UKD930" s="18"/>
      <c r="UKE930" s="18"/>
      <c r="UKF930" s="18"/>
      <c r="UKG930" s="18"/>
      <c r="UKH930" s="18"/>
      <c r="UKI930" s="18"/>
      <c r="UKJ930" s="18"/>
      <c r="UKK930" s="18"/>
      <c r="UKL930" s="18"/>
      <c r="UKM930" s="18"/>
      <c r="UKN930" s="18"/>
      <c r="UKO930" s="18"/>
      <c r="UKP930" s="18"/>
      <c r="UKQ930" s="18"/>
      <c r="UKR930" s="18"/>
      <c r="UKS930" s="18"/>
      <c r="UKT930" s="18"/>
      <c r="UKU930" s="18"/>
      <c r="UKV930" s="18"/>
      <c r="UKW930" s="18"/>
      <c r="UKX930" s="18"/>
      <c r="UKY930" s="18"/>
      <c r="UKZ930" s="18"/>
      <c r="ULA930" s="18"/>
      <c r="ULB930" s="18"/>
      <c r="ULC930" s="18"/>
      <c r="ULD930" s="18"/>
      <c r="ULE930" s="18"/>
      <c r="ULF930" s="18"/>
      <c r="ULG930" s="18"/>
      <c r="ULH930" s="18"/>
      <c r="ULI930" s="18"/>
      <c r="ULJ930" s="18"/>
      <c r="ULK930" s="18"/>
      <c r="ULL930" s="18"/>
      <c r="ULM930" s="18"/>
      <c r="ULN930" s="18"/>
      <c r="ULO930" s="18"/>
      <c r="ULP930" s="18"/>
      <c r="ULQ930" s="18"/>
      <c r="ULR930" s="18"/>
      <c r="ULS930" s="18"/>
      <c r="ULT930" s="18"/>
      <c r="ULU930" s="18"/>
      <c r="ULV930" s="18"/>
      <c r="ULW930" s="18"/>
      <c r="ULX930" s="18"/>
      <c r="ULY930" s="18"/>
      <c r="ULZ930" s="18"/>
      <c r="UMA930" s="18"/>
      <c r="UMB930" s="18"/>
      <c r="UMC930" s="18"/>
      <c r="UMD930" s="18"/>
      <c r="UME930" s="18"/>
      <c r="UMF930" s="18"/>
      <c r="UMG930" s="18"/>
      <c r="UMH930" s="18"/>
      <c r="UMI930" s="18"/>
      <c r="UMJ930" s="18"/>
      <c r="UMK930" s="18"/>
      <c r="UML930" s="18"/>
      <c r="UMM930" s="18"/>
      <c r="UMN930" s="18"/>
      <c r="UMO930" s="18"/>
      <c r="UMP930" s="18"/>
      <c r="UMQ930" s="18"/>
      <c r="UMR930" s="18"/>
      <c r="UMS930" s="18"/>
      <c r="UMT930" s="18"/>
      <c r="UMU930" s="18"/>
      <c r="UMV930" s="18"/>
      <c r="UMW930" s="18"/>
      <c r="UMX930" s="18"/>
      <c r="UMY930" s="18"/>
      <c r="UMZ930" s="18"/>
      <c r="UNA930" s="18"/>
      <c r="UNB930" s="18"/>
      <c r="UNC930" s="18"/>
      <c r="UND930" s="18"/>
      <c r="UNE930" s="18"/>
      <c r="UNF930" s="18"/>
      <c r="UNG930" s="18"/>
      <c r="UNH930" s="18"/>
      <c r="UNI930" s="18"/>
      <c r="UNJ930" s="18"/>
      <c r="UNK930" s="18"/>
      <c r="UNL930" s="18"/>
      <c r="UNM930" s="18"/>
      <c r="UNN930" s="18"/>
      <c r="UNO930" s="18"/>
      <c r="UNP930" s="18"/>
      <c r="UNQ930" s="18"/>
      <c r="UNR930" s="18"/>
      <c r="UNS930" s="18"/>
      <c r="UNT930" s="18"/>
      <c r="UNU930" s="18"/>
      <c r="UNV930" s="18"/>
      <c r="UNW930" s="18"/>
      <c r="UNX930" s="18"/>
      <c r="UNY930" s="18"/>
      <c r="UNZ930" s="18"/>
      <c r="UOA930" s="18"/>
      <c r="UOB930" s="18"/>
      <c r="UOC930" s="18"/>
      <c r="UOD930" s="18"/>
      <c r="UOE930" s="18"/>
      <c r="UOF930" s="18"/>
      <c r="UOG930" s="18"/>
      <c r="UOH930" s="18"/>
      <c r="UOI930" s="18"/>
      <c r="UOJ930" s="18"/>
      <c r="UOK930" s="18"/>
      <c r="UOL930" s="18"/>
      <c r="UOM930" s="18"/>
      <c r="UON930" s="18"/>
      <c r="UOO930" s="18"/>
      <c r="UOP930" s="18"/>
      <c r="UOQ930" s="18"/>
      <c r="UOR930" s="18"/>
      <c r="UOS930" s="18"/>
      <c r="UOT930" s="18"/>
      <c r="UOU930" s="18"/>
      <c r="UOV930" s="18"/>
      <c r="UOW930" s="18"/>
      <c r="UOX930" s="18"/>
      <c r="UOY930" s="18"/>
      <c r="UOZ930" s="18"/>
      <c r="UPA930" s="18"/>
      <c r="UPB930" s="18"/>
      <c r="UPC930" s="18"/>
      <c r="UPD930" s="18"/>
      <c r="UPE930" s="18"/>
      <c r="UPF930" s="18"/>
      <c r="UPG930" s="18"/>
      <c r="UPH930" s="18"/>
      <c r="UPI930" s="18"/>
      <c r="UPJ930" s="18"/>
      <c r="UPK930" s="18"/>
      <c r="UPL930" s="18"/>
      <c r="UPM930" s="18"/>
      <c r="UPN930" s="18"/>
      <c r="UPO930" s="18"/>
      <c r="UPP930" s="18"/>
      <c r="UPQ930" s="18"/>
      <c r="UPR930" s="18"/>
      <c r="UPS930" s="18"/>
      <c r="UPT930" s="18"/>
      <c r="UPU930" s="18"/>
      <c r="UPV930" s="18"/>
      <c r="UPW930" s="18"/>
      <c r="UPX930" s="18"/>
      <c r="UPY930" s="18"/>
      <c r="UPZ930" s="18"/>
      <c r="UQA930" s="18"/>
      <c r="UQB930" s="18"/>
      <c r="UQC930" s="18"/>
      <c r="UQD930" s="18"/>
      <c r="UQE930" s="18"/>
      <c r="UQF930" s="18"/>
      <c r="UQG930" s="18"/>
      <c r="UQH930" s="18"/>
      <c r="UQI930" s="18"/>
      <c r="UQJ930" s="18"/>
      <c r="UQK930" s="18"/>
      <c r="UQL930" s="18"/>
      <c r="UQM930" s="18"/>
      <c r="UQN930" s="18"/>
      <c r="UQO930" s="18"/>
      <c r="UQP930" s="18"/>
      <c r="UQQ930" s="18"/>
      <c r="UQR930" s="18"/>
      <c r="UQS930" s="18"/>
      <c r="UQT930" s="18"/>
      <c r="UQU930" s="18"/>
      <c r="UQV930" s="18"/>
      <c r="UQW930" s="18"/>
      <c r="UQX930" s="18"/>
      <c r="UQY930" s="18"/>
      <c r="UQZ930" s="18"/>
      <c r="URA930" s="18"/>
      <c r="URB930" s="18"/>
      <c r="URC930" s="18"/>
      <c r="URD930" s="18"/>
      <c r="URE930" s="18"/>
      <c r="URF930" s="18"/>
      <c r="URG930" s="18"/>
      <c r="URH930" s="18"/>
      <c r="URI930" s="18"/>
      <c r="URJ930" s="18"/>
      <c r="URK930" s="18"/>
      <c r="URL930" s="18"/>
      <c r="URM930" s="18"/>
      <c r="URN930" s="18"/>
      <c r="URO930" s="18"/>
      <c r="URP930" s="18"/>
      <c r="URQ930" s="18"/>
      <c r="URR930" s="18"/>
      <c r="URS930" s="18"/>
      <c r="URT930" s="18"/>
      <c r="URU930" s="18"/>
      <c r="URV930" s="18"/>
      <c r="URW930" s="18"/>
      <c r="URX930" s="18"/>
      <c r="URY930" s="18"/>
      <c r="URZ930" s="18"/>
      <c r="USA930" s="18"/>
      <c r="USB930" s="18"/>
      <c r="USC930" s="18"/>
      <c r="USD930" s="18"/>
      <c r="USE930" s="18"/>
      <c r="USF930" s="18"/>
      <c r="USG930" s="18"/>
      <c r="USH930" s="18"/>
      <c r="USI930" s="18"/>
      <c r="USJ930" s="18"/>
      <c r="USK930" s="18"/>
      <c r="USL930" s="18"/>
      <c r="USM930" s="18"/>
      <c r="USN930" s="18"/>
      <c r="USO930" s="18"/>
      <c r="USP930" s="18"/>
      <c r="USQ930" s="18"/>
      <c r="USR930" s="18"/>
      <c r="USS930" s="18"/>
      <c r="UST930" s="18"/>
      <c r="USU930" s="18"/>
      <c r="USV930" s="18"/>
      <c r="USW930" s="18"/>
      <c r="USX930" s="18"/>
      <c r="USY930" s="18"/>
      <c r="USZ930" s="18"/>
      <c r="UTA930" s="18"/>
      <c r="UTB930" s="18"/>
      <c r="UTC930" s="18"/>
      <c r="UTD930" s="18"/>
      <c r="UTE930" s="18"/>
      <c r="UTF930" s="18"/>
      <c r="UTG930" s="18"/>
      <c r="UTH930" s="18"/>
      <c r="UTI930" s="18"/>
      <c r="UTJ930" s="18"/>
      <c r="UTK930" s="18"/>
      <c r="UTL930" s="18"/>
      <c r="UTM930" s="18"/>
      <c r="UTN930" s="18"/>
      <c r="UTO930" s="18"/>
      <c r="UTP930" s="18"/>
      <c r="UTQ930" s="18"/>
      <c r="UTR930" s="18"/>
      <c r="UTS930" s="18"/>
      <c r="UTT930" s="18"/>
      <c r="UTU930" s="18"/>
      <c r="UTV930" s="18"/>
      <c r="UTW930" s="18"/>
      <c r="UTX930" s="18"/>
      <c r="UTY930" s="18"/>
      <c r="UTZ930" s="18"/>
      <c r="UUA930" s="18"/>
      <c r="UUB930" s="18"/>
      <c r="UUC930" s="18"/>
      <c r="UUD930" s="18"/>
      <c r="UUE930" s="18"/>
      <c r="UUF930" s="18"/>
      <c r="UUG930" s="18"/>
      <c r="UUH930" s="18"/>
      <c r="UUI930" s="18"/>
      <c r="UUJ930" s="18"/>
      <c r="UUK930" s="18"/>
      <c r="UUL930" s="18"/>
      <c r="UUM930" s="18"/>
      <c r="UUN930" s="18"/>
      <c r="UUO930" s="18"/>
      <c r="UUP930" s="18"/>
      <c r="UUQ930" s="18"/>
      <c r="UUR930" s="18"/>
      <c r="UUS930" s="18"/>
      <c r="UUT930" s="18"/>
      <c r="UUU930" s="18"/>
      <c r="UUV930" s="18"/>
      <c r="UUW930" s="18"/>
      <c r="UUX930" s="18"/>
      <c r="UUY930" s="18"/>
      <c r="UUZ930" s="18"/>
      <c r="UVA930" s="18"/>
      <c r="UVB930" s="18"/>
      <c r="UVC930" s="18"/>
      <c r="UVD930" s="18"/>
      <c r="UVE930" s="18"/>
      <c r="UVF930" s="18"/>
      <c r="UVG930" s="18"/>
      <c r="UVH930" s="18"/>
      <c r="UVI930" s="18"/>
      <c r="UVJ930" s="18"/>
      <c r="UVK930" s="18"/>
      <c r="UVL930" s="18"/>
      <c r="UVM930" s="18"/>
      <c r="UVN930" s="18"/>
      <c r="UVO930" s="18"/>
      <c r="UVP930" s="18"/>
      <c r="UVQ930" s="18"/>
      <c r="UVR930" s="18"/>
      <c r="UVS930" s="18"/>
      <c r="UVT930" s="18"/>
      <c r="UVU930" s="18"/>
      <c r="UVV930" s="18"/>
      <c r="UVW930" s="18"/>
      <c r="UVX930" s="18"/>
      <c r="UVY930" s="18"/>
      <c r="UVZ930" s="18"/>
      <c r="UWA930" s="18"/>
      <c r="UWB930" s="18"/>
      <c r="UWC930" s="18"/>
      <c r="UWD930" s="18"/>
      <c r="UWE930" s="18"/>
      <c r="UWF930" s="18"/>
      <c r="UWG930" s="18"/>
      <c r="UWH930" s="18"/>
      <c r="UWI930" s="18"/>
      <c r="UWJ930" s="18"/>
      <c r="UWK930" s="18"/>
      <c r="UWL930" s="18"/>
      <c r="UWM930" s="18"/>
      <c r="UWN930" s="18"/>
      <c r="UWO930" s="18"/>
      <c r="UWP930" s="18"/>
      <c r="UWQ930" s="18"/>
      <c r="UWR930" s="18"/>
      <c r="UWS930" s="18"/>
      <c r="UWT930" s="18"/>
      <c r="UWU930" s="18"/>
      <c r="UWV930" s="18"/>
      <c r="UWW930" s="18"/>
      <c r="UWX930" s="18"/>
      <c r="UWY930" s="18"/>
      <c r="UWZ930" s="18"/>
      <c r="UXA930" s="18"/>
      <c r="UXB930" s="18"/>
      <c r="UXC930" s="18"/>
      <c r="UXD930" s="18"/>
      <c r="UXE930" s="18"/>
      <c r="UXF930" s="18"/>
      <c r="UXG930" s="18"/>
      <c r="UXH930" s="18"/>
      <c r="UXI930" s="18"/>
      <c r="UXJ930" s="18"/>
      <c r="UXK930" s="18"/>
      <c r="UXL930" s="18"/>
      <c r="UXM930" s="18"/>
      <c r="UXN930" s="18"/>
      <c r="UXO930" s="18"/>
      <c r="UXP930" s="18"/>
      <c r="UXQ930" s="18"/>
      <c r="UXR930" s="18"/>
      <c r="UXS930" s="18"/>
      <c r="UXT930" s="18"/>
      <c r="UXU930" s="18"/>
      <c r="UXV930" s="18"/>
      <c r="UXW930" s="18"/>
      <c r="UXX930" s="18"/>
      <c r="UXY930" s="18"/>
      <c r="UXZ930" s="18"/>
      <c r="UYA930" s="18"/>
      <c r="UYB930" s="18"/>
      <c r="UYC930" s="18"/>
      <c r="UYD930" s="18"/>
      <c r="UYE930" s="18"/>
      <c r="UYF930" s="18"/>
      <c r="UYG930" s="18"/>
      <c r="UYH930" s="18"/>
      <c r="UYI930" s="18"/>
      <c r="UYJ930" s="18"/>
      <c r="UYK930" s="18"/>
      <c r="UYL930" s="18"/>
      <c r="UYM930" s="18"/>
      <c r="UYN930" s="18"/>
      <c r="UYO930" s="18"/>
      <c r="UYP930" s="18"/>
      <c r="UYQ930" s="18"/>
      <c r="UYR930" s="18"/>
      <c r="UYS930" s="18"/>
      <c r="UYT930" s="18"/>
      <c r="UYU930" s="18"/>
      <c r="UYV930" s="18"/>
      <c r="UYW930" s="18"/>
      <c r="UYX930" s="18"/>
      <c r="UYY930" s="18"/>
      <c r="UYZ930" s="18"/>
      <c r="UZA930" s="18"/>
      <c r="UZB930" s="18"/>
      <c r="UZC930" s="18"/>
      <c r="UZD930" s="18"/>
      <c r="UZE930" s="18"/>
      <c r="UZF930" s="18"/>
      <c r="UZG930" s="18"/>
      <c r="UZH930" s="18"/>
      <c r="UZI930" s="18"/>
      <c r="UZJ930" s="18"/>
      <c r="UZK930" s="18"/>
      <c r="UZL930" s="18"/>
      <c r="UZM930" s="18"/>
      <c r="UZN930" s="18"/>
      <c r="UZO930" s="18"/>
      <c r="UZP930" s="18"/>
      <c r="UZQ930" s="18"/>
      <c r="UZR930" s="18"/>
      <c r="UZS930" s="18"/>
      <c r="UZT930" s="18"/>
      <c r="UZU930" s="18"/>
      <c r="UZV930" s="18"/>
      <c r="UZW930" s="18"/>
      <c r="UZX930" s="18"/>
      <c r="UZY930" s="18"/>
      <c r="UZZ930" s="18"/>
      <c r="VAA930" s="18"/>
      <c r="VAB930" s="18"/>
      <c r="VAC930" s="18"/>
      <c r="VAD930" s="18"/>
      <c r="VAE930" s="18"/>
      <c r="VAF930" s="18"/>
      <c r="VAG930" s="18"/>
      <c r="VAH930" s="18"/>
      <c r="VAI930" s="18"/>
      <c r="VAJ930" s="18"/>
      <c r="VAK930" s="18"/>
      <c r="VAL930" s="18"/>
      <c r="VAM930" s="18"/>
      <c r="VAN930" s="18"/>
      <c r="VAO930" s="18"/>
      <c r="VAP930" s="18"/>
      <c r="VAQ930" s="18"/>
      <c r="VAR930" s="18"/>
      <c r="VAS930" s="18"/>
      <c r="VAT930" s="18"/>
      <c r="VAU930" s="18"/>
      <c r="VAV930" s="18"/>
      <c r="VAW930" s="18"/>
      <c r="VAX930" s="18"/>
      <c r="VAY930" s="18"/>
      <c r="VAZ930" s="18"/>
      <c r="VBA930" s="18"/>
      <c r="VBB930" s="18"/>
      <c r="VBC930" s="18"/>
      <c r="VBD930" s="18"/>
      <c r="VBE930" s="18"/>
      <c r="VBF930" s="18"/>
      <c r="VBG930" s="18"/>
      <c r="VBH930" s="18"/>
      <c r="VBI930" s="18"/>
      <c r="VBJ930" s="18"/>
      <c r="VBK930" s="18"/>
      <c r="VBL930" s="18"/>
      <c r="VBM930" s="18"/>
      <c r="VBN930" s="18"/>
      <c r="VBO930" s="18"/>
      <c r="VBP930" s="18"/>
      <c r="VBQ930" s="18"/>
      <c r="VBR930" s="18"/>
      <c r="VBS930" s="18"/>
      <c r="VBT930" s="18"/>
      <c r="VBU930" s="18"/>
      <c r="VBV930" s="18"/>
      <c r="VBW930" s="18"/>
      <c r="VBX930" s="18"/>
      <c r="VBY930" s="18"/>
      <c r="VBZ930" s="18"/>
      <c r="VCA930" s="18"/>
      <c r="VCB930" s="18"/>
      <c r="VCC930" s="18"/>
      <c r="VCD930" s="18"/>
      <c r="VCE930" s="18"/>
      <c r="VCF930" s="18"/>
      <c r="VCG930" s="18"/>
      <c r="VCH930" s="18"/>
      <c r="VCI930" s="18"/>
      <c r="VCJ930" s="18"/>
      <c r="VCK930" s="18"/>
      <c r="VCL930" s="18"/>
      <c r="VCM930" s="18"/>
      <c r="VCN930" s="18"/>
      <c r="VCO930" s="18"/>
      <c r="VCP930" s="18"/>
      <c r="VCQ930" s="18"/>
      <c r="VCR930" s="18"/>
      <c r="VCS930" s="18"/>
      <c r="VCT930" s="18"/>
      <c r="VCU930" s="18"/>
      <c r="VCV930" s="18"/>
      <c r="VCW930" s="18"/>
      <c r="VCX930" s="18"/>
      <c r="VCY930" s="18"/>
      <c r="VCZ930" s="18"/>
      <c r="VDA930" s="18"/>
      <c r="VDB930" s="18"/>
      <c r="VDC930" s="18"/>
      <c r="VDD930" s="18"/>
      <c r="VDE930" s="18"/>
      <c r="VDF930" s="18"/>
      <c r="VDG930" s="18"/>
      <c r="VDH930" s="18"/>
      <c r="VDI930" s="18"/>
      <c r="VDJ930" s="18"/>
      <c r="VDK930" s="18"/>
      <c r="VDL930" s="18"/>
      <c r="VDM930" s="18"/>
      <c r="VDN930" s="18"/>
      <c r="VDO930" s="18"/>
      <c r="VDP930" s="18"/>
      <c r="VDQ930" s="18"/>
      <c r="VDR930" s="18"/>
      <c r="VDS930" s="18"/>
      <c r="VDT930" s="18"/>
      <c r="VDU930" s="18"/>
      <c r="VDV930" s="18"/>
      <c r="VDW930" s="18"/>
      <c r="VDX930" s="18"/>
      <c r="VDY930" s="18"/>
      <c r="VDZ930" s="18"/>
      <c r="VEA930" s="18"/>
      <c r="VEB930" s="18"/>
      <c r="VEC930" s="18"/>
      <c r="VED930" s="18"/>
      <c r="VEE930" s="18"/>
      <c r="VEF930" s="18"/>
      <c r="VEG930" s="18"/>
      <c r="VEH930" s="18"/>
      <c r="VEI930" s="18"/>
      <c r="VEJ930" s="18"/>
      <c r="VEK930" s="18"/>
      <c r="VEL930" s="18"/>
      <c r="VEM930" s="18"/>
      <c r="VEN930" s="18"/>
      <c r="VEO930" s="18"/>
      <c r="VEP930" s="18"/>
      <c r="VEQ930" s="18"/>
      <c r="VER930" s="18"/>
      <c r="VES930" s="18"/>
      <c r="VET930" s="18"/>
      <c r="VEU930" s="18"/>
      <c r="VEV930" s="18"/>
      <c r="VEW930" s="18"/>
      <c r="VEX930" s="18"/>
      <c r="VEY930" s="18"/>
      <c r="VEZ930" s="18"/>
      <c r="VFA930" s="18"/>
      <c r="VFB930" s="18"/>
      <c r="VFC930" s="18"/>
      <c r="VFD930" s="18"/>
      <c r="VFE930" s="18"/>
      <c r="VFF930" s="18"/>
      <c r="VFG930" s="18"/>
      <c r="VFH930" s="18"/>
      <c r="VFI930" s="18"/>
      <c r="VFJ930" s="18"/>
      <c r="VFK930" s="18"/>
      <c r="VFL930" s="18"/>
      <c r="VFM930" s="18"/>
      <c r="VFN930" s="18"/>
      <c r="VFO930" s="18"/>
      <c r="VFP930" s="18"/>
      <c r="VFQ930" s="18"/>
      <c r="VFR930" s="18"/>
      <c r="VFS930" s="18"/>
      <c r="VFT930" s="18"/>
      <c r="VFU930" s="18"/>
      <c r="VFV930" s="18"/>
      <c r="VFW930" s="18"/>
      <c r="VFX930" s="18"/>
      <c r="VFY930" s="18"/>
      <c r="VFZ930" s="18"/>
      <c r="VGA930" s="18"/>
      <c r="VGB930" s="18"/>
      <c r="VGC930" s="18"/>
      <c r="VGD930" s="18"/>
      <c r="VGE930" s="18"/>
      <c r="VGF930" s="18"/>
      <c r="VGG930" s="18"/>
      <c r="VGH930" s="18"/>
      <c r="VGI930" s="18"/>
      <c r="VGJ930" s="18"/>
      <c r="VGK930" s="18"/>
      <c r="VGL930" s="18"/>
      <c r="VGM930" s="18"/>
      <c r="VGN930" s="18"/>
      <c r="VGO930" s="18"/>
      <c r="VGP930" s="18"/>
      <c r="VGQ930" s="18"/>
      <c r="VGR930" s="18"/>
      <c r="VGS930" s="18"/>
      <c r="VGT930" s="18"/>
      <c r="VGU930" s="18"/>
      <c r="VGV930" s="18"/>
      <c r="VGW930" s="18"/>
      <c r="VGX930" s="18"/>
      <c r="VGY930" s="18"/>
      <c r="VGZ930" s="18"/>
      <c r="VHA930" s="18"/>
      <c r="VHB930" s="18"/>
      <c r="VHC930" s="18"/>
      <c r="VHD930" s="18"/>
      <c r="VHE930" s="18"/>
      <c r="VHF930" s="18"/>
      <c r="VHG930" s="18"/>
      <c r="VHH930" s="18"/>
      <c r="VHI930" s="18"/>
      <c r="VHJ930" s="18"/>
      <c r="VHK930" s="18"/>
      <c r="VHL930" s="18"/>
      <c r="VHM930" s="18"/>
      <c r="VHN930" s="18"/>
      <c r="VHO930" s="18"/>
      <c r="VHP930" s="18"/>
      <c r="VHQ930" s="18"/>
      <c r="VHR930" s="18"/>
      <c r="VHS930" s="18"/>
      <c r="VHT930" s="18"/>
      <c r="VHU930" s="18"/>
      <c r="VHV930" s="18"/>
      <c r="VHW930" s="18"/>
      <c r="VHX930" s="18"/>
      <c r="VHY930" s="18"/>
      <c r="VHZ930" s="18"/>
      <c r="VIA930" s="18"/>
      <c r="VIB930" s="18"/>
      <c r="VIC930" s="18"/>
      <c r="VID930" s="18"/>
      <c r="VIE930" s="18"/>
      <c r="VIF930" s="18"/>
      <c r="VIG930" s="18"/>
      <c r="VIH930" s="18"/>
      <c r="VII930" s="18"/>
      <c r="VIJ930" s="18"/>
      <c r="VIK930" s="18"/>
      <c r="VIL930" s="18"/>
      <c r="VIM930" s="18"/>
      <c r="VIN930" s="18"/>
      <c r="VIO930" s="18"/>
      <c r="VIP930" s="18"/>
      <c r="VIQ930" s="18"/>
      <c r="VIR930" s="18"/>
      <c r="VIS930" s="18"/>
      <c r="VIT930" s="18"/>
      <c r="VIU930" s="18"/>
      <c r="VIV930" s="18"/>
      <c r="VIW930" s="18"/>
      <c r="VIX930" s="18"/>
      <c r="VIY930" s="18"/>
      <c r="VIZ930" s="18"/>
      <c r="VJA930" s="18"/>
      <c r="VJB930" s="18"/>
      <c r="VJC930" s="18"/>
      <c r="VJD930" s="18"/>
      <c r="VJE930" s="18"/>
      <c r="VJF930" s="18"/>
      <c r="VJG930" s="18"/>
      <c r="VJH930" s="18"/>
      <c r="VJI930" s="18"/>
      <c r="VJJ930" s="18"/>
      <c r="VJK930" s="18"/>
      <c r="VJL930" s="18"/>
      <c r="VJM930" s="18"/>
      <c r="VJN930" s="18"/>
      <c r="VJO930" s="18"/>
      <c r="VJP930" s="18"/>
      <c r="VJQ930" s="18"/>
      <c r="VJR930" s="18"/>
      <c r="VJS930" s="18"/>
      <c r="VJT930" s="18"/>
      <c r="VJU930" s="18"/>
      <c r="VJV930" s="18"/>
      <c r="VJW930" s="18"/>
      <c r="VJX930" s="18"/>
      <c r="VJY930" s="18"/>
      <c r="VJZ930" s="18"/>
      <c r="VKA930" s="18"/>
      <c r="VKB930" s="18"/>
      <c r="VKC930" s="18"/>
      <c r="VKD930" s="18"/>
      <c r="VKE930" s="18"/>
      <c r="VKF930" s="18"/>
      <c r="VKG930" s="18"/>
      <c r="VKH930" s="18"/>
      <c r="VKI930" s="18"/>
      <c r="VKJ930" s="18"/>
      <c r="VKK930" s="18"/>
      <c r="VKL930" s="18"/>
      <c r="VKM930" s="18"/>
      <c r="VKN930" s="18"/>
      <c r="VKO930" s="18"/>
      <c r="VKP930" s="18"/>
      <c r="VKQ930" s="18"/>
      <c r="VKR930" s="18"/>
      <c r="VKS930" s="18"/>
      <c r="VKT930" s="18"/>
      <c r="VKU930" s="18"/>
      <c r="VKV930" s="18"/>
      <c r="VKW930" s="18"/>
      <c r="VKX930" s="18"/>
      <c r="VKY930" s="18"/>
      <c r="VKZ930" s="18"/>
      <c r="VLA930" s="18"/>
      <c r="VLB930" s="18"/>
      <c r="VLC930" s="18"/>
      <c r="VLD930" s="18"/>
      <c r="VLE930" s="18"/>
      <c r="VLF930" s="18"/>
      <c r="VLG930" s="18"/>
      <c r="VLH930" s="18"/>
      <c r="VLI930" s="18"/>
      <c r="VLJ930" s="18"/>
      <c r="VLK930" s="18"/>
      <c r="VLL930" s="18"/>
      <c r="VLM930" s="18"/>
      <c r="VLN930" s="18"/>
      <c r="VLO930" s="18"/>
      <c r="VLP930" s="18"/>
      <c r="VLQ930" s="18"/>
      <c r="VLR930" s="18"/>
      <c r="VLS930" s="18"/>
      <c r="VLT930" s="18"/>
      <c r="VLU930" s="18"/>
      <c r="VLV930" s="18"/>
      <c r="VLW930" s="18"/>
      <c r="VLX930" s="18"/>
      <c r="VLY930" s="18"/>
      <c r="VLZ930" s="18"/>
      <c r="VMA930" s="18"/>
      <c r="VMB930" s="18"/>
      <c r="VMC930" s="18"/>
      <c r="VMD930" s="18"/>
      <c r="VME930" s="18"/>
      <c r="VMF930" s="18"/>
      <c r="VMG930" s="18"/>
      <c r="VMH930" s="18"/>
      <c r="VMI930" s="18"/>
      <c r="VMJ930" s="18"/>
      <c r="VMK930" s="18"/>
      <c r="VML930" s="18"/>
      <c r="VMM930" s="18"/>
      <c r="VMN930" s="18"/>
      <c r="VMO930" s="18"/>
      <c r="VMP930" s="18"/>
      <c r="VMQ930" s="18"/>
      <c r="VMR930" s="18"/>
      <c r="VMS930" s="18"/>
      <c r="VMT930" s="18"/>
      <c r="VMU930" s="18"/>
      <c r="VMV930" s="18"/>
      <c r="VMW930" s="18"/>
      <c r="VMX930" s="18"/>
      <c r="VMY930" s="18"/>
      <c r="VMZ930" s="18"/>
      <c r="VNA930" s="18"/>
      <c r="VNB930" s="18"/>
      <c r="VNC930" s="18"/>
      <c r="VND930" s="18"/>
      <c r="VNE930" s="18"/>
      <c r="VNF930" s="18"/>
      <c r="VNG930" s="18"/>
      <c r="VNH930" s="18"/>
      <c r="VNI930" s="18"/>
      <c r="VNJ930" s="18"/>
      <c r="VNK930" s="18"/>
      <c r="VNL930" s="18"/>
      <c r="VNM930" s="18"/>
      <c r="VNN930" s="18"/>
      <c r="VNO930" s="18"/>
      <c r="VNP930" s="18"/>
      <c r="VNQ930" s="18"/>
      <c r="VNR930" s="18"/>
      <c r="VNS930" s="18"/>
      <c r="VNT930" s="18"/>
      <c r="VNU930" s="18"/>
      <c r="VNV930" s="18"/>
      <c r="VNW930" s="18"/>
      <c r="VNX930" s="18"/>
      <c r="VNY930" s="18"/>
      <c r="VNZ930" s="18"/>
      <c r="VOA930" s="18"/>
      <c r="VOB930" s="18"/>
      <c r="VOC930" s="18"/>
      <c r="VOD930" s="18"/>
      <c r="VOE930" s="18"/>
      <c r="VOF930" s="18"/>
      <c r="VOG930" s="18"/>
      <c r="VOH930" s="18"/>
      <c r="VOI930" s="18"/>
      <c r="VOJ930" s="18"/>
      <c r="VOK930" s="18"/>
      <c r="VOL930" s="18"/>
      <c r="VOM930" s="18"/>
      <c r="VON930" s="18"/>
      <c r="VOO930" s="18"/>
      <c r="VOP930" s="18"/>
      <c r="VOQ930" s="18"/>
      <c r="VOR930" s="18"/>
      <c r="VOS930" s="18"/>
      <c r="VOT930" s="18"/>
      <c r="VOU930" s="18"/>
      <c r="VOV930" s="18"/>
      <c r="VOW930" s="18"/>
      <c r="VOX930" s="18"/>
      <c r="VOY930" s="18"/>
      <c r="VOZ930" s="18"/>
      <c r="VPA930" s="18"/>
      <c r="VPB930" s="18"/>
      <c r="VPC930" s="18"/>
      <c r="VPD930" s="18"/>
      <c r="VPE930" s="18"/>
      <c r="VPF930" s="18"/>
      <c r="VPG930" s="18"/>
      <c r="VPH930" s="18"/>
      <c r="VPI930" s="18"/>
      <c r="VPJ930" s="18"/>
      <c r="VPK930" s="18"/>
      <c r="VPL930" s="18"/>
      <c r="VPM930" s="18"/>
      <c r="VPN930" s="18"/>
      <c r="VPO930" s="18"/>
      <c r="VPP930" s="18"/>
      <c r="VPQ930" s="18"/>
      <c r="VPR930" s="18"/>
      <c r="VPS930" s="18"/>
      <c r="VPT930" s="18"/>
      <c r="VPU930" s="18"/>
      <c r="VPV930" s="18"/>
      <c r="VPW930" s="18"/>
      <c r="VPX930" s="18"/>
      <c r="VPY930" s="18"/>
      <c r="VPZ930" s="18"/>
      <c r="VQA930" s="18"/>
      <c r="VQB930" s="18"/>
      <c r="VQC930" s="18"/>
      <c r="VQD930" s="18"/>
      <c r="VQE930" s="18"/>
      <c r="VQF930" s="18"/>
      <c r="VQG930" s="18"/>
      <c r="VQH930" s="18"/>
      <c r="VQI930" s="18"/>
      <c r="VQJ930" s="18"/>
      <c r="VQK930" s="18"/>
      <c r="VQL930" s="18"/>
      <c r="VQM930" s="18"/>
      <c r="VQN930" s="18"/>
      <c r="VQO930" s="18"/>
      <c r="VQP930" s="18"/>
      <c r="VQQ930" s="18"/>
      <c r="VQR930" s="18"/>
      <c r="VQS930" s="18"/>
      <c r="VQT930" s="18"/>
      <c r="VQU930" s="18"/>
      <c r="VQV930" s="18"/>
      <c r="VQW930" s="18"/>
      <c r="VQX930" s="18"/>
      <c r="VQY930" s="18"/>
      <c r="VQZ930" s="18"/>
      <c r="VRA930" s="18"/>
      <c r="VRB930" s="18"/>
      <c r="VRC930" s="18"/>
      <c r="VRD930" s="18"/>
      <c r="VRE930" s="18"/>
      <c r="VRF930" s="18"/>
      <c r="VRG930" s="18"/>
      <c r="VRH930" s="18"/>
      <c r="VRI930" s="18"/>
      <c r="VRJ930" s="18"/>
      <c r="VRK930" s="18"/>
      <c r="VRL930" s="18"/>
      <c r="VRM930" s="18"/>
      <c r="VRN930" s="18"/>
      <c r="VRO930" s="18"/>
      <c r="VRP930" s="18"/>
      <c r="VRQ930" s="18"/>
      <c r="VRR930" s="18"/>
      <c r="VRS930" s="18"/>
      <c r="VRT930" s="18"/>
      <c r="VRU930" s="18"/>
      <c r="VRV930" s="18"/>
      <c r="VRW930" s="18"/>
      <c r="VRX930" s="18"/>
      <c r="VRY930" s="18"/>
      <c r="VRZ930" s="18"/>
      <c r="VSA930" s="18"/>
      <c r="VSB930" s="18"/>
      <c r="VSC930" s="18"/>
      <c r="VSD930" s="18"/>
      <c r="VSE930" s="18"/>
      <c r="VSF930" s="18"/>
      <c r="VSG930" s="18"/>
      <c r="VSH930" s="18"/>
      <c r="VSI930" s="18"/>
      <c r="VSJ930" s="18"/>
      <c r="VSK930" s="18"/>
      <c r="VSL930" s="18"/>
      <c r="VSM930" s="18"/>
      <c r="VSN930" s="18"/>
      <c r="VSO930" s="18"/>
      <c r="VSP930" s="18"/>
      <c r="VSQ930" s="18"/>
      <c r="VSR930" s="18"/>
      <c r="VSS930" s="18"/>
      <c r="VST930" s="18"/>
      <c r="VSU930" s="18"/>
      <c r="VSV930" s="18"/>
      <c r="VSW930" s="18"/>
      <c r="VSX930" s="18"/>
      <c r="VSY930" s="18"/>
      <c r="VSZ930" s="18"/>
      <c r="VTA930" s="18"/>
      <c r="VTB930" s="18"/>
      <c r="VTC930" s="18"/>
      <c r="VTD930" s="18"/>
      <c r="VTE930" s="18"/>
      <c r="VTF930" s="18"/>
      <c r="VTG930" s="18"/>
      <c r="VTH930" s="18"/>
      <c r="VTI930" s="18"/>
      <c r="VTJ930" s="18"/>
      <c r="VTK930" s="18"/>
      <c r="VTL930" s="18"/>
      <c r="VTM930" s="18"/>
      <c r="VTN930" s="18"/>
      <c r="VTO930" s="18"/>
      <c r="VTP930" s="18"/>
      <c r="VTQ930" s="18"/>
      <c r="VTR930" s="18"/>
      <c r="VTS930" s="18"/>
      <c r="VTT930" s="18"/>
      <c r="VTU930" s="18"/>
      <c r="VTV930" s="18"/>
      <c r="VTW930" s="18"/>
      <c r="VTX930" s="18"/>
      <c r="VTY930" s="18"/>
      <c r="VTZ930" s="18"/>
      <c r="VUA930" s="18"/>
      <c r="VUB930" s="18"/>
      <c r="VUC930" s="18"/>
      <c r="VUD930" s="18"/>
      <c r="VUE930" s="18"/>
      <c r="VUF930" s="18"/>
      <c r="VUG930" s="18"/>
      <c r="VUH930" s="18"/>
      <c r="VUI930" s="18"/>
      <c r="VUJ930" s="18"/>
      <c r="VUK930" s="18"/>
      <c r="VUL930" s="18"/>
      <c r="VUM930" s="18"/>
      <c r="VUN930" s="18"/>
      <c r="VUO930" s="18"/>
      <c r="VUP930" s="18"/>
      <c r="VUQ930" s="18"/>
      <c r="VUR930" s="18"/>
      <c r="VUS930" s="18"/>
      <c r="VUT930" s="18"/>
      <c r="VUU930" s="18"/>
      <c r="VUV930" s="18"/>
      <c r="VUW930" s="18"/>
      <c r="VUX930" s="18"/>
      <c r="VUY930" s="18"/>
      <c r="VUZ930" s="18"/>
      <c r="VVA930" s="18"/>
      <c r="VVB930" s="18"/>
      <c r="VVC930" s="18"/>
      <c r="VVD930" s="18"/>
      <c r="VVE930" s="18"/>
      <c r="VVF930" s="18"/>
      <c r="VVG930" s="18"/>
      <c r="VVH930" s="18"/>
      <c r="VVI930" s="18"/>
      <c r="VVJ930" s="18"/>
      <c r="VVK930" s="18"/>
      <c r="VVL930" s="18"/>
      <c r="VVM930" s="18"/>
      <c r="VVN930" s="18"/>
      <c r="VVO930" s="18"/>
      <c r="VVP930" s="18"/>
      <c r="VVQ930" s="18"/>
      <c r="VVR930" s="18"/>
      <c r="VVS930" s="18"/>
      <c r="VVT930" s="18"/>
      <c r="VVU930" s="18"/>
      <c r="VVV930" s="18"/>
      <c r="VVW930" s="18"/>
      <c r="VVX930" s="18"/>
      <c r="VVY930" s="18"/>
      <c r="VVZ930" s="18"/>
      <c r="VWA930" s="18"/>
      <c r="VWB930" s="18"/>
      <c r="VWC930" s="18"/>
      <c r="VWD930" s="18"/>
      <c r="VWE930" s="18"/>
      <c r="VWF930" s="18"/>
      <c r="VWG930" s="18"/>
      <c r="VWH930" s="18"/>
      <c r="VWI930" s="18"/>
      <c r="VWJ930" s="18"/>
      <c r="VWK930" s="18"/>
      <c r="VWL930" s="18"/>
      <c r="VWM930" s="18"/>
      <c r="VWN930" s="18"/>
      <c r="VWO930" s="18"/>
      <c r="VWP930" s="18"/>
      <c r="VWQ930" s="18"/>
      <c r="VWR930" s="18"/>
      <c r="VWS930" s="18"/>
      <c r="VWT930" s="18"/>
      <c r="VWU930" s="18"/>
      <c r="VWV930" s="18"/>
      <c r="VWW930" s="18"/>
      <c r="VWX930" s="18"/>
      <c r="VWY930" s="18"/>
      <c r="VWZ930" s="18"/>
      <c r="VXA930" s="18"/>
      <c r="VXB930" s="18"/>
      <c r="VXC930" s="18"/>
      <c r="VXD930" s="18"/>
      <c r="VXE930" s="18"/>
      <c r="VXF930" s="18"/>
      <c r="VXG930" s="18"/>
      <c r="VXH930" s="18"/>
      <c r="VXI930" s="18"/>
      <c r="VXJ930" s="18"/>
      <c r="VXK930" s="18"/>
      <c r="VXL930" s="18"/>
      <c r="VXM930" s="18"/>
      <c r="VXN930" s="18"/>
      <c r="VXO930" s="18"/>
      <c r="VXP930" s="18"/>
      <c r="VXQ930" s="18"/>
      <c r="VXR930" s="18"/>
      <c r="VXS930" s="18"/>
      <c r="VXT930" s="18"/>
      <c r="VXU930" s="18"/>
      <c r="VXV930" s="18"/>
      <c r="VXW930" s="18"/>
      <c r="VXX930" s="18"/>
      <c r="VXY930" s="18"/>
      <c r="VXZ930" s="18"/>
      <c r="VYA930" s="18"/>
      <c r="VYB930" s="18"/>
      <c r="VYC930" s="18"/>
      <c r="VYD930" s="18"/>
      <c r="VYE930" s="18"/>
      <c r="VYF930" s="18"/>
      <c r="VYG930" s="18"/>
      <c r="VYH930" s="18"/>
      <c r="VYI930" s="18"/>
      <c r="VYJ930" s="18"/>
      <c r="VYK930" s="18"/>
      <c r="VYL930" s="18"/>
      <c r="VYM930" s="18"/>
      <c r="VYN930" s="18"/>
      <c r="VYO930" s="18"/>
      <c r="VYP930" s="18"/>
      <c r="VYQ930" s="18"/>
      <c r="VYR930" s="18"/>
      <c r="VYS930" s="18"/>
      <c r="VYT930" s="18"/>
      <c r="VYU930" s="18"/>
      <c r="VYV930" s="18"/>
      <c r="VYW930" s="18"/>
      <c r="VYX930" s="18"/>
      <c r="VYY930" s="18"/>
      <c r="VYZ930" s="18"/>
      <c r="VZA930" s="18"/>
      <c r="VZB930" s="18"/>
      <c r="VZC930" s="18"/>
      <c r="VZD930" s="18"/>
      <c r="VZE930" s="18"/>
      <c r="VZF930" s="18"/>
      <c r="VZG930" s="18"/>
      <c r="VZH930" s="18"/>
      <c r="VZI930" s="18"/>
      <c r="VZJ930" s="18"/>
      <c r="VZK930" s="18"/>
      <c r="VZL930" s="18"/>
      <c r="VZM930" s="18"/>
      <c r="VZN930" s="18"/>
      <c r="VZO930" s="18"/>
      <c r="VZP930" s="18"/>
      <c r="VZQ930" s="18"/>
      <c r="VZR930" s="18"/>
      <c r="VZS930" s="18"/>
      <c r="VZT930" s="18"/>
      <c r="VZU930" s="18"/>
      <c r="VZV930" s="18"/>
      <c r="VZW930" s="18"/>
      <c r="VZX930" s="18"/>
      <c r="VZY930" s="18"/>
      <c r="VZZ930" s="18"/>
      <c r="WAA930" s="18"/>
      <c r="WAB930" s="18"/>
      <c r="WAC930" s="18"/>
      <c r="WAD930" s="18"/>
      <c r="WAE930" s="18"/>
      <c r="WAF930" s="18"/>
      <c r="WAG930" s="18"/>
      <c r="WAH930" s="18"/>
      <c r="WAI930" s="18"/>
      <c r="WAJ930" s="18"/>
      <c r="WAK930" s="18"/>
      <c r="WAL930" s="18"/>
      <c r="WAM930" s="18"/>
      <c r="WAN930" s="18"/>
      <c r="WAO930" s="18"/>
      <c r="WAP930" s="18"/>
      <c r="WAQ930" s="18"/>
      <c r="WAR930" s="18"/>
      <c r="WAS930" s="18"/>
      <c r="WAT930" s="18"/>
      <c r="WAU930" s="18"/>
      <c r="WAV930" s="18"/>
      <c r="WAW930" s="18"/>
      <c r="WAX930" s="18"/>
      <c r="WAY930" s="18"/>
      <c r="WAZ930" s="18"/>
      <c r="WBA930" s="18"/>
      <c r="WBB930" s="18"/>
      <c r="WBC930" s="18"/>
      <c r="WBD930" s="18"/>
      <c r="WBE930" s="18"/>
      <c r="WBF930" s="18"/>
      <c r="WBG930" s="18"/>
      <c r="WBH930" s="18"/>
      <c r="WBI930" s="18"/>
      <c r="WBJ930" s="18"/>
      <c r="WBK930" s="18"/>
      <c r="WBL930" s="18"/>
      <c r="WBM930" s="18"/>
      <c r="WBN930" s="18"/>
      <c r="WBO930" s="18"/>
      <c r="WBP930" s="18"/>
      <c r="WBQ930" s="18"/>
      <c r="WBR930" s="18"/>
      <c r="WBS930" s="18"/>
      <c r="WBT930" s="18"/>
      <c r="WBU930" s="18"/>
      <c r="WBV930" s="18"/>
      <c r="WBW930" s="18"/>
      <c r="WBX930" s="18"/>
      <c r="WBY930" s="18"/>
      <c r="WBZ930" s="18"/>
      <c r="WCA930" s="18"/>
      <c r="WCB930" s="18"/>
      <c r="WCC930" s="18"/>
      <c r="WCD930" s="18"/>
      <c r="WCE930" s="18"/>
      <c r="WCF930" s="18"/>
      <c r="WCG930" s="18"/>
      <c r="WCH930" s="18"/>
      <c r="WCI930" s="18"/>
      <c r="WCJ930" s="18"/>
      <c r="WCK930" s="18"/>
      <c r="WCL930" s="18"/>
      <c r="WCM930" s="18"/>
      <c r="WCN930" s="18"/>
      <c r="WCO930" s="18"/>
      <c r="WCP930" s="18"/>
      <c r="WCQ930" s="18"/>
      <c r="WCR930" s="18"/>
      <c r="WCS930" s="18"/>
      <c r="WCT930" s="18"/>
      <c r="WCU930" s="18"/>
      <c r="WCV930" s="18"/>
      <c r="WCW930" s="18"/>
      <c r="WCX930" s="18"/>
      <c r="WCY930" s="18"/>
      <c r="WCZ930" s="18"/>
      <c r="WDA930" s="18"/>
      <c r="WDB930" s="18"/>
      <c r="WDC930" s="18"/>
      <c r="WDD930" s="18"/>
      <c r="WDE930" s="18"/>
      <c r="WDF930" s="18"/>
      <c r="WDG930" s="18"/>
      <c r="WDH930" s="18"/>
      <c r="WDI930" s="18"/>
      <c r="WDJ930" s="18"/>
      <c r="WDK930" s="18"/>
      <c r="WDL930" s="18"/>
      <c r="WDM930" s="18"/>
      <c r="WDN930" s="18"/>
      <c r="WDO930" s="18"/>
      <c r="WDP930" s="18"/>
      <c r="WDQ930" s="18"/>
      <c r="WDR930" s="18"/>
      <c r="WDS930" s="18"/>
      <c r="WDT930" s="18"/>
      <c r="WDU930" s="18"/>
      <c r="WDV930" s="18"/>
      <c r="WDW930" s="18"/>
      <c r="WDX930" s="18"/>
      <c r="WDY930" s="18"/>
      <c r="WDZ930" s="18"/>
      <c r="WEA930" s="18"/>
      <c r="WEB930" s="18"/>
      <c r="WEC930" s="18"/>
      <c r="WED930" s="18"/>
      <c r="WEE930" s="18"/>
      <c r="WEF930" s="18"/>
      <c r="WEG930" s="18"/>
      <c r="WEH930" s="18"/>
      <c r="WEI930" s="18"/>
      <c r="WEJ930" s="18"/>
      <c r="WEK930" s="18"/>
      <c r="WEL930" s="18"/>
      <c r="WEM930" s="18"/>
      <c r="WEN930" s="18"/>
      <c r="WEO930" s="18"/>
      <c r="WEP930" s="18"/>
      <c r="WEQ930" s="18"/>
      <c r="WER930" s="18"/>
      <c r="WES930" s="18"/>
      <c r="WET930" s="18"/>
      <c r="WEU930" s="18"/>
      <c r="WEV930" s="18"/>
      <c r="WEW930" s="18"/>
      <c r="WEX930" s="18"/>
      <c r="WEY930" s="18"/>
      <c r="WEZ930" s="18"/>
      <c r="WFA930" s="18"/>
      <c r="WFB930" s="18"/>
      <c r="WFC930" s="18"/>
      <c r="WFD930" s="18"/>
      <c r="WFE930" s="18"/>
      <c r="WFF930" s="18"/>
      <c r="WFG930" s="18"/>
      <c r="WFH930" s="18"/>
      <c r="WFI930" s="18"/>
      <c r="WFJ930" s="18"/>
      <c r="WFK930" s="18"/>
      <c r="WFL930" s="18"/>
      <c r="WFM930" s="18"/>
      <c r="WFN930" s="18"/>
      <c r="WFO930" s="18"/>
      <c r="WFP930" s="18"/>
      <c r="WFQ930" s="18"/>
      <c r="WFR930" s="18"/>
      <c r="WFS930" s="18"/>
      <c r="WFT930" s="18"/>
      <c r="WFU930" s="18"/>
      <c r="WFV930" s="18"/>
      <c r="WFW930" s="18"/>
      <c r="WFX930" s="18"/>
      <c r="WFY930" s="18"/>
      <c r="WFZ930" s="18"/>
      <c r="WGA930" s="18"/>
      <c r="WGB930" s="18"/>
      <c r="WGC930" s="18"/>
      <c r="WGD930" s="18"/>
      <c r="WGE930" s="18"/>
      <c r="WGF930" s="18"/>
      <c r="WGG930" s="18"/>
      <c r="WGH930" s="18"/>
      <c r="WGI930" s="18"/>
      <c r="WGJ930" s="18"/>
      <c r="WGK930" s="18"/>
      <c r="WGL930" s="18"/>
      <c r="WGM930" s="18"/>
      <c r="WGN930" s="18"/>
      <c r="WGO930" s="18"/>
      <c r="WGP930" s="18"/>
      <c r="WGQ930" s="18"/>
      <c r="WGR930" s="18"/>
      <c r="WGS930" s="18"/>
      <c r="WGT930" s="18"/>
      <c r="WGU930" s="18"/>
      <c r="WGV930" s="18"/>
      <c r="WGW930" s="18"/>
      <c r="WGX930" s="18"/>
      <c r="WGY930" s="18"/>
      <c r="WGZ930" s="18"/>
      <c r="WHA930" s="18"/>
      <c r="WHB930" s="18"/>
      <c r="WHC930" s="18"/>
      <c r="WHD930" s="18"/>
      <c r="WHE930" s="18"/>
      <c r="WHF930" s="18"/>
      <c r="WHG930" s="18"/>
      <c r="WHH930" s="18"/>
      <c r="WHI930" s="18"/>
      <c r="WHJ930" s="18"/>
      <c r="WHK930" s="18"/>
      <c r="WHL930" s="18"/>
      <c r="WHM930" s="18"/>
      <c r="WHN930" s="18"/>
      <c r="WHO930" s="18"/>
      <c r="WHP930" s="18"/>
      <c r="WHQ930" s="18"/>
      <c r="WHR930" s="18"/>
      <c r="WHS930" s="18"/>
      <c r="WHT930" s="18"/>
      <c r="WHU930" s="18"/>
      <c r="WHV930" s="18"/>
      <c r="WHW930" s="18"/>
      <c r="WHX930" s="18"/>
      <c r="WHY930" s="18"/>
      <c r="WHZ930" s="18"/>
      <c r="WIA930" s="18"/>
      <c r="WIB930" s="18"/>
      <c r="WIC930" s="18"/>
      <c r="WID930" s="18"/>
      <c r="WIE930" s="18"/>
      <c r="WIF930" s="18"/>
      <c r="WIG930" s="18"/>
      <c r="WIH930" s="18"/>
      <c r="WII930" s="18"/>
      <c r="WIJ930" s="18"/>
      <c r="WIK930" s="18"/>
      <c r="WIL930" s="18"/>
      <c r="WIM930" s="18"/>
      <c r="WIN930" s="18"/>
      <c r="WIO930" s="18"/>
      <c r="WIP930" s="18"/>
      <c r="WIQ930" s="18"/>
      <c r="WIR930" s="18"/>
      <c r="WIS930" s="18"/>
      <c r="WIT930" s="18"/>
      <c r="WIU930" s="18"/>
      <c r="WIV930" s="18"/>
      <c r="WIW930" s="18"/>
      <c r="WIX930" s="18"/>
      <c r="WIY930" s="18"/>
      <c r="WIZ930" s="18"/>
      <c r="WJA930" s="18"/>
      <c r="WJB930" s="18"/>
      <c r="WJC930" s="18"/>
      <c r="WJD930" s="18"/>
      <c r="WJE930" s="18"/>
      <c r="WJF930" s="18"/>
      <c r="WJG930" s="18"/>
      <c r="WJH930" s="18"/>
      <c r="WJI930" s="18"/>
      <c r="WJJ930" s="18"/>
      <c r="WJK930" s="18"/>
      <c r="WJL930" s="18"/>
      <c r="WJM930" s="18"/>
      <c r="WJN930" s="18"/>
      <c r="WJO930" s="18"/>
      <c r="WJP930" s="18"/>
      <c r="WJQ930" s="18"/>
      <c r="WJR930" s="18"/>
      <c r="WJS930" s="18"/>
      <c r="WJT930" s="18"/>
      <c r="WJU930" s="18"/>
      <c r="WJV930" s="18"/>
      <c r="WJW930" s="18"/>
      <c r="WJX930" s="18"/>
      <c r="WJY930" s="18"/>
      <c r="WJZ930" s="18"/>
      <c r="WKA930" s="18"/>
      <c r="WKB930" s="18"/>
      <c r="WKC930" s="18"/>
      <c r="WKD930" s="18"/>
      <c r="WKE930" s="18"/>
      <c r="WKF930" s="18"/>
      <c r="WKG930" s="18"/>
      <c r="WKH930" s="18"/>
      <c r="WKI930" s="18"/>
      <c r="WKJ930" s="18"/>
      <c r="WKK930" s="18"/>
      <c r="WKL930" s="18"/>
      <c r="WKM930" s="18"/>
      <c r="WKN930" s="18"/>
      <c r="WKO930" s="18"/>
      <c r="WKP930" s="18"/>
      <c r="WKQ930" s="18"/>
      <c r="WKR930" s="18"/>
      <c r="WKS930" s="18"/>
      <c r="WKT930" s="18"/>
      <c r="WKU930" s="18"/>
      <c r="WKV930" s="18"/>
      <c r="WKW930" s="18"/>
      <c r="WKX930" s="18"/>
      <c r="WKY930" s="18"/>
      <c r="WKZ930" s="18"/>
      <c r="WLA930" s="18"/>
      <c r="WLB930" s="18"/>
      <c r="WLC930" s="18"/>
      <c r="WLD930" s="18"/>
      <c r="WLE930" s="18"/>
      <c r="WLF930" s="18"/>
      <c r="WLG930" s="18"/>
      <c r="WLH930" s="18"/>
      <c r="WLI930" s="18"/>
      <c r="WLJ930" s="18"/>
      <c r="WLK930" s="18"/>
      <c r="WLL930" s="18"/>
      <c r="WLM930" s="18"/>
      <c r="WLN930" s="18"/>
      <c r="WLO930" s="18"/>
      <c r="WLP930" s="18"/>
      <c r="WLQ930" s="18"/>
      <c r="WLR930" s="18"/>
      <c r="WLS930" s="18"/>
      <c r="WLT930" s="18"/>
      <c r="WLU930" s="18"/>
      <c r="WLV930" s="18"/>
      <c r="WLW930" s="18"/>
      <c r="WLX930" s="18"/>
      <c r="WLY930" s="18"/>
      <c r="WLZ930" s="18"/>
      <c r="WMA930" s="18"/>
      <c r="WMB930" s="18"/>
      <c r="WMC930" s="18"/>
      <c r="WMD930" s="18"/>
      <c r="WME930" s="18"/>
      <c r="WMF930" s="18"/>
      <c r="WMG930" s="18"/>
      <c r="WMH930" s="18"/>
      <c r="WMI930" s="18"/>
      <c r="WMJ930" s="18"/>
      <c r="WMK930" s="18"/>
      <c r="WML930" s="18"/>
      <c r="WMM930" s="18"/>
      <c r="WMN930" s="18"/>
      <c r="WMO930" s="18"/>
      <c r="WMP930" s="18"/>
      <c r="WMQ930" s="18"/>
      <c r="WMR930" s="18"/>
      <c r="WMS930" s="18"/>
      <c r="WMT930" s="18"/>
      <c r="WMU930" s="18"/>
      <c r="WMV930" s="18"/>
      <c r="WMW930" s="18"/>
      <c r="WMX930" s="18"/>
      <c r="WMY930" s="18"/>
      <c r="WMZ930" s="18"/>
      <c r="WNA930" s="18"/>
      <c r="WNB930" s="18"/>
      <c r="WNC930" s="18"/>
      <c r="WND930" s="18"/>
      <c r="WNE930" s="18"/>
      <c r="WNF930" s="18"/>
      <c r="WNG930" s="18"/>
      <c r="WNH930" s="18"/>
      <c r="WNI930" s="18"/>
      <c r="WNJ930" s="18"/>
      <c r="WNK930" s="18"/>
      <c r="WNL930" s="18"/>
      <c r="WNM930" s="18"/>
      <c r="WNN930" s="18"/>
      <c r="WNO930" s="18"/>
      <c r="WNP930" s="18"/>
      <c r="WNQ930" s="18"/>
      <c r="WNR930" s="18"/>
      <c r="WNS930" s="18"/>
      <c r="WNT930" s="18"/>
      <c r="WNU930" s="18"/>
      <c r="WNV930" s="18"/>
      <c r="WNW930" s="18"/>
      <c r="WNX930" s="18"/>
      <c r="WNY930" s="18"/>
      <c r="WNZ930" s="18"/>
      <c r="WOA930" s="18"/>
      <c r="WOB930" s="18"/>
      <c r="WOC930" s="18"/>
      <c r="WOD930" s="18"/>
      <c r="WOE930" s="18"/>
      <c r="WOF930" s="18"/>
      <c r="WOG930" s="18"/>
      <c r="WOH930" s="18"/>
      <c r="WOI930" s="18"/>
      <c r="WOJ930" s="18"/>
      <c r="WOK930" s="18"/>
      <c r="WOL930" s="18"/>
      <c r="WOM930" s="18"/>
      <c r="WON930" s="18"/>
      <c r="WOO930" s="18"/>
      <c r="WOP930" s="18"/>
      <c r="WOQ930" s="18"/>
      <c r="WOR930" s="18"/>
      <c r="WOS930" s="18"/>
      <c r="WOT930" s="18"/>
      <c r="WOU930" s="18"/>
      <c r="WOV930" s="18"/>
      <c r="WOW930" s="18"/>
      <c r="WOX930" s="18"/>
      <c r="WOY930" s="18"/>
      <c r="WOZ930" s="18"/>
      <c r="WPA930" s="18"/>
      <c r="WPB930" s="18"/>
      <c r="WPC930" s="18"/>
      <c r="WPD930" s="18"/>
      <c r="WPE930" s="18"/>
      <c r="WPF930" s="18"/>
      <c r="WPG930" s="18"/>
      <c r="WPH930" s="18"/>
      <c r="WPI930" s="18"/>
      <c r="WPJ930" s="18"/>
      <c r="WPK930" s="18"/>
      <c r="WPL930" s="18"/>
      <c r="WPM930" s="18"/>
      <c r="WPN930" s="18"/>
      <c r="WPO930" s="18"/>
      <c r="WPP930" s="18"/>
      <c r="WPQ930" s="18"/>
      <c r="WPR930" s="18"/>
      <c r="WPS930" s="18"/>
      <c r="WPT930" s="18"/>
      <c r="WPU930" s="18"/>
      <c r="WPV930" s="18"/>
      <c r="WPW930" s="18"/>
      <c r="WPX930" s="18"/>
      <c r="WPY930" s="18"/>
      <c r="WPZ930" s="18"/>
      <c r="WQA930" s="18"/>
      <c r="WQB930" s="18"/>
      <c r="WQC930" s="18"/>
      <c r="WQD930" s="18"/>
      <c r="WQE930" s="18"/>
      <c r="WQF930" s="18"/>
      <c r="WQG930" s="18"/>
      <c r="WQH930" s="18"/>
      <c r="WQI930" s="18"/>
      <c r="WQJ930" s="18"/>
      <c r="WQK930" s="18"/>
      <c r="WQL930" s="18"/>
      <c r="WQM930" s="18"/>
      <c r="WQN930" s="18"/>
      <c r="WQO930" s="18"/>
      <c r="WQP930" s="18"/>
      <c r="WQQ930" s="18"/>
      <c r="WQR930" s="18"/>
      <c r="WQS930" s="18"/>
      <c r="WQT930" s="18"/>
      <c r="WQU930" s="18"/>
      <c r="WQV930" s="18"/>
      <c r="WQW930" s="18"/>
      <c r="WQX930" s="18"/>
      <c r="WQY930" s="18"/>
      <c r="WQZ930" s="18"/>
      <c r="WRA930" s="18"/>
      <c r="WRB930" s="18"/>
      <c r="WRC930" s="18"/>
      <c r="WRD930" s="18"/>
      <c r="WRE930" s="18"/>
      <c r="WRF930" s="18"/>
      <c r="WRG930" s="18"/>
      <c r="WRH930" s="18"/>
      <c r="WRI930" s="18"/>
      <c r="WRJ930" s="18"/>
      <c r="WRK930" s="18"/>
      <c r="WRL930" s="18"/>
      <c r="WRM930" s="18"/>
      <c r="WRN930" s="18"/>
      <c r="WRO930" s="18"/>
      <c r="WRP930" s="18"/>
      <c r="WRQ930" s="18"/>
      <c r="WRR930" s="18"/>
      <c r="WRS930" s="18"/>
      <c r="WRT930" s="18"/>
      <c r="WRU930" s="18"/>
      <c r="WRV930" s="18"/>
      <c r="WRW930" s="18"/>
      <c r="WRX930" s="18"/>
      <c r="WRY930" s="18"/>
      <c r="WRZ930" s="18"/>
      <c r="WSA930" s="18"/>
      <c r="WSB930" s="18"/>
      <c r="WSC930" s="18"/>
      <c r="WSD930" s="18"/>
      <c r="WSE930" s="18"/>
      <c r="WSF930" s="18"/>
      <c r="WSG930" s="18"/>
      <c r="WSH930" s="18"/>
      <c r="WSI930" s="18"/>
      <c r="WSJ930" s="18"/>
      <c r="WSK930" s="18"/>
      <c r="WSL930" s="18"/>
      <c r="WSM930" s="18"/>
      <c r="WSN930" s="18"/>
      <c r="WSO930" s="18"/>
      <c r="WSP930" s="18"/>
      <c r="WSQ930" s="18"/>
      <c r="WSR930" s="18"/>
      <c r="WSS930" s="18"/>
      <c r="WST930" s="18"/>
      <c r="WSU930" s="18"/>
      <c r="WSV930" s="18"/>
      <c r="WSW930" s="18"/>
      <c r="WSX930" s="18"/>
      <c r="WSY930" s="18"/>
      <c r="WSZ930" s="18"/>
      <c r="WTA930" s="18"/>
      <c r="WTB930" s="18"/>
      <c r="WTC930" s="18"/>
      <c r="WTD930" s="18"/>
      <c r="WTE930" s="18"/>
      <c r="WTF930" s="18"/>
      <c r="WTG930" s="18"/>
      <c r="WTH930" s="18"/>
      <c r="WTI930" s="18"/>
      <c r="WTJ930" s="18"/>
      <c r="WTK930" s="18"/>
      <c r="WTL930" s="18"/>
      <c r="WTM930" s="18"/>
      <c r="WTN930" s="18"/>
      <c r="WTO930" s="18"/>
      <c r="WTP930" s="18"/>
      <c r="WTQ930" s="18"/>
      <c r="WTR930" s="18"/>
      <c r="WTS930" s="18"/>
      <c r="WTT930" s="18"/>
      <c r="WTU930" s="18"/>
      <c r="WTV930" s="18"/>
      <c r="WTW930" s="18"/>
      <c r="WTX930" s="18"/>
      <c r="WTY930" s="18"/>
      <c r="WTZ930" s="18"/>
      <c r="WUA930" s="18"/>
      <c r="WUB930" s="18"/>
      <c r="WUC930" s="18"/>
      <c r="WUD930" s="18"/>
      <c r="WUE930" s="18"/>
      <c r="WUF930" s="18"/>
      <c r="WUG930" s="18"/>
      <c r="WUH930" s="18"/>
      <c r="WUI930" s="18"/>
      <c r="WUJ930" s="18"/>
      <c r="WUK930" s="18"/>
      <c r="WUL930" s="18"/>
      <c r="WUM930" s="18"/>
      <c r="WUN930" s="18"/>
      <c r="WUO930" s="18"/>
      <c r="WUP930" s="18"/>
      <c r="WUQ930" s="18"/>
      <c r="WUR930" s="18"/>
      <c r="WUS930" s="18"/>
      <c r="WUT930" s="18"/>
      <c r="WUU930" s="18"/>
      <c r="WUV930" s="18"/>
      <c r="WUW930" s="18"/>
      <c r="WUX930" s="18"/>
      <c r="WUY930" s="18"/>
      <c r="WUZ930" s="18"/>
      <c r="WVA930" s="18"/>
      <c r="WVB930" s="18"/>
      <c r="WVC930" s="18"/>
      <c r="WVD930" s="18"/>
      <c r="WVE930" s="18"/>
      <c r="WVF930" s="18"/>
      <c r="WVG930" s="18"/>
      <c r="WVH930" s="18"/>
      <c r="WVI930" s="18"/>
      <c r="WVJ930" s="18"/>
      <c r="WVK930" s="18"/>
      <c r="WVL930" s="18"/>
      <c r="WVM930" s="18"/>
      <c r="WVN930" s="18"/>
      <c r="WVO930" s="18"/>
      <c r="WVP930" s="18"/>
      <c r="WVQ930" s="18"/>
      <c r="WVR930" s="18"/>
    </row>
    <row r="931" spans="1:16138" s="619" customFormat="1">
      <c r="A931" s="18"/>
      <c r="B931" s="18"/>
      <c r="C931" s="832"/>
      <c r="D931" s="835"/>
      <c r="F931" s="466"/>
      <c r="G931" s="1185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  <c r="AV931" s="18"/>
      <c r="AW931" s="18"/>
      <c r="AX931" s="18"/>
      <c r="AY931" s="18"/>
      <c r="AZ931" s="18"/>
      <c r="BA931" s="18"/>
      <c r="BB931" s="18"/>
      <c r="BC931" s="18"/>
      <c r="BD931" s="18"/>
      <c r="BE931" s="18"/>
      <c r="BF931" s="18"/>
      <c r="BG931" s="18"/>
      <c r="BH931" s="18"/>
      <c r="BI931" s="18"/>
      <c r="BJ931" s="18"/>
      <c r="BK931" s="18"/>
      <c r="BL931" s="18"/>
      <c r="BM931" s="18"/>
      <c r="BN931" s="18"/>
      <c r="BO931" s="18"/>
      <c r="BP931" s="18"/>
      <c r="BQ931" s="18"/>
      <c r="BR931" s="18"/>
      <c r="BS931" s="18"/>
      <c r="BT931" s="18"/>
      <c r="BU931" s="18"/>
      <c r="BV931" s="18"/>
      <c r="BW931" s="18"/>
      <c r="BX931" s="18"/>
      <c r="BY931" s="18"/>
      <c r="BZ931" s="18"/>
      <c r="CA931" s="18"/>
      <c r="CB931" s="18"/>
      <c r="CC931" s="18"/>
      <c r="CD931" s="18"/>
      <c r="CE931" s="18"/>
      <c r="CF931" s="18"/>
      <c r="CG931" s="18"/>
      <c r="CH931" s="18"/>
      <c r="CI931" s="18"/>
      <c r="CJ931" s="18"/>
      <c r="CK931" s="18"/>
      <c r="CL931" s="18"/>
      <c r="CM931" s="18"/>
      <c r="CN931" s="18"/>
      <c r="CO931" s="18"/>
      <c r="CP931" s="18"/>
      <c r="CQ931" s="18"/>
      <c r="CR931" s="18"/>
      <c r="CS931" s="18"/>
      <c r="CT931" s="18"/>
      <c r="CU931" s="18"/>
      <c r="CV931" s="18"/>
      <c r="CW931" s="18"/>
      <c r="CX931" s="18"/>
      <c r="CY931" s="18"/>
      <c r="CZ931" s="18"/>
      <c r="DA931" s="18"/>
      <c r="DB931" s="18"/>
      <c r="DC931" s="18"/>
      <c r="DD931" s="18"/>
      <c r="DE931" s="18"/>
      <c r="DF931" s="18"/>
      <c r="DG931" s="18"/>
      <c r="DH931" s="18"/>
      <c r="DI931" s="18"/>
      <c r="DJ931" s="18"/>
      <c r="DK931" s="18"/>
      <c r="DL931" s="18"/>
      <c r="DM931" s="18"/>
      <c r="DN931" s="18"/>
      <c r="DO931" s="18"/>
      <c r="DP931" s="18"/>
      <c r="DQ931" s="18"/>
      <c r="DR931" s="18"/>
      <c r="DS931" s="18"/>
      <c r="DT931" s="18"/>
      <c r="DU931" s="18"/>
      <c r="DV931" s="18"/>
      <c r="DW931" s="18"/>
      <c r="DX931" s="18"/>
      <c r="DY931" s="18"/>
      <c r="DZ931" s="18"/>
      <c r="EA931" s="18"/>
      <c r="EB931" s="18"/>
      <c r="EC931" s="18"/>
      <c r="ED931" s="18"/>
      <c r="EE931" s="18"/>
      <c r="EF931" s="18"/>
      <c r="EG931" s="18"/>
      <c r="EH931" s="18"/>
      <c r="EI931" s="18"/>
      <c r="EJ931" s="18"/>
      <c r="EK931" s="18"/>
      <c r="EL931" s="18"/>
      <c r="EM931" s="18"/>
      <c r="EN931" s="18"/>
      <c r="EO931" s="18"/>
      <c r="EP931" s="18"/>
      <c r="EQ931" s="18"/>
      <c r="ER931" s="18"/>
      <c r="ES931" s="18"/>
      <c r="ET931" s="18"/>
      <c r="EU931" s="18"/>
      <c r="EV931" s="18"/>
      <c r="EW931" s="18"/>
      <c r="EX931" s="18"/>
      <c r="EY931" s="18"/>
      <c r="EZ931" s="18"/>
      <c r="FA931" s="18"/>
      <c r="FB931" s="18"/>
      <c r="FC931" s="18"/>
      <c r="FD931" s="18"/>
      <c r="FE931" s="18"/>
      <c r="FF931" s="18"/>
      <c r="FG931" s="18"/>
      <c r="FH931" s="18"/>
      <c r="FI931" s="18"/>
      <c r="FJ931" s="18"/>
      <c r="FK931" s="18"/>
      <c r="FL931" s="18"/>
      <c r="FM931" s="18"/>
      <c r="FN931" s="18"/>
      <c r="FO931" s="18"/>
      <c r="FP931" s="18"/>
      <c r="FQ931" s="18"/>
      <c r="FR931" s="18"/>
      <c r="FS931" s="18"/>
      <c r="FT931" s="18"/>
      <c r="FU931" s="18"/>
      <c r="FV931" s="18"/>
      <c r="FW931" s="18"/>
      <c r="FX931" s="18"/>
      <c r="FY931" s="18"/>
      <c r="FZ931" s="18"/>
      <c r="GA931" s="18"/>
      <c r="GB931" s="18"/>
      <c r="GC931" s="18"/>
      <c r="GD931" s="18"/>
      <c r="GE931" s="18"/>
      <c r="GF931" s="18"/>
      <c r="GG931" s="18"/>
      <c r="GH931" s="18"/>
      <c r="GI931" s="18"/>
      <c r="GJ931" s="18"/>
      <c r="GK931" s="18"/>
      <c r="GL931" s="18"/>
      <c r="GM931" s="18"/>
      <c r="GN931" s="18"/>
      <c r="GO931" s="18"/>
      <c r="GP931" s="18"/>
      <c r="GQ931" s="18"/>
      <c r="GR931" s="18"/>
      <c r="GS931" s="18"/>
      <c r="GT931" s="18"/>
      <c r="GU931" s="18"/>
      <c r="GV931" s="18"/>
      <c r="GW931" s="18"/>
      <c r="GX931" s="18"/>
      <c r="GY931" s="18"/>
      <c r="GZ931" s="18"/>
      <c r="HA931" s="18"/>
      <c r="HB931" s="18"/>
      <c r="HC931" s="18"/>
      <c r="HD931" s="18"/>
      <c r="HE931" s="18"/>
      <c r="HF931" s="18"/>
      <c r="HG931" s="18"/>
      <c r="HH931" s="18"/>
      <c r="HI931" s="18"/>
      <c r="HJ931" s="18"/>
      <c r="HK931" s="18"/>
      <c r="HL931" s="18"/>
      <c r="HM931" s="18"/>
      <c r="HN931" s="18"/>
      <c r="HO931" s="18"/>
      <c r="HP931" s="18"/>
      <c r="HQ931" s="18"/>
      <c r="HR931" s="18"/>
      <c r="HS931" s="18"/>
      <c r="HT931" s="18"/>
      <c r="HU931" s="18"/>
      <c r="HV931" s="18"/>
      <c r="HW931" s="18"/>
      <c r="HX931" s="18"/>
      <c r="HY931" s="18"/>
      <c r="HZ931" s="18"/>
      <c r="IA931" s="18"/>
      <c r="IB931" s="18"/>
      <c r="IC931" s="18"/>
      <c r="ID931" s="18"/>
      <c r="IE931" s="18"/>
      <c r="IF931" s="18"/>
      <c r="IG931" s="18"/>
      <c r="IH931" s="18"/>
      <c r="II931" s="18"/>
      <c r="IJ931" s="18"/>
      <c r="IK931" s="18"/>
      <c r="IL931" s="18"/>
      <c r="IM931" s="18"/>
      <c r="IN931" s="18"/>
      <c r="IO931" s="18"/>
      <c r="IP931" s="18"/>
      <c r="IQ931" s="18"/>
      <c r="IR931" s="18"/>
      <c r="IS931" s="18"/>
      <c r="IT931" s="18"/>
      <c r="IU931" s="18"/>
      <c r="IV931" s="18"/>
      <c r="IW931" s="18"/>
      <c r="IX931" s="18"/>
      <c r="IY931" s="18"/>
      <c r="IZ931" s="18"/>
      <c r="JA931" s="18"/>
      <c r="JB931" s="18"/>
      <c r="JC931" s="18"/>
      <c r="JD931" s="18"/>
      <c r="JE931" s="18"/>
      <c r="JF931" s="18"/>
      <c r="JG931" s="18"/>
      <c r="JH931" s="18"/>
      <c r="JI931" s="18"/>
      <c r="JJ931" s="18"/>
      <c r="JK931" s="18"/>
      <c r="JL931" s="18"/>
      <c r="JM931" s="18"/>
      <c r="JN931" s="18"/>
      <c r="JO931" s="18"/>
      <c r="JP931" s="18"/>
      <c r="JQ931" s="18"/>
      <c r="JR931" s="18"/>
      <c r="JS931" s="18"/>
      <c r="JT931" s="18"/>
      <c r="JU931" s="18"/>
      <c r="JV931" s="18"/>
      <c r="JW931" s="18"/>
      <c r="JX931" s="18"/>
      <c r="JY931" s="18"/>
      <c r="JZ931" s="18"/>
      <c r="KA931" s="18"/>
      <c r="KB931" s="18"/>
      <c r="KC931" s="18"/>
      <c r="KD931" s="18"/>
      <c r="KE931" s="18"/>
      <c r="KF931" s="18"/>
      <c r="KG931" s="18"/>
      <c r="KH931" s="18"/>
      <c r="KI931" s="18"/>
      <c r="KJ931" s="18"/>
      <c r="KK931" s="18"/>
      <c r="KL931" s="18"/>
      <c r="KM931" s="18"/>
      <c r="KN931" s="18"/>
      <c r="KO931" s="18"/>
      <c r="KP931" s="18"/>
      <c r="KQ931" s="18"/>
      <c r="KR931" s="18"/>
      <c r="KS931" s="18"/>
      <c r="KT931" s="18"/>
      <c r="KU931" s="18"/>
      <c r="KV931" s="18"/>
      <c r="KW931" s="18"/>
      <c r="KX931" s="18"/>
      <c r="KY931" s="18"/>
      <c r="KZ931" s="18"/>
      <c r="LA931" s="18"/>
      <c r="LB931" s="18"/>
      <c r="LC931" s="18"/>
      <c r="LD931" s="18"/>
      <c r="LE931" s="18"/>
      <c r="LF931" s="18"/>
      <c r="LG931" s="18"/>
      <c r="LH931" s="18"/>
      <c r="LI931" s="18"/>
      <c r="LJ931" s="18"/>
      <c r="LK931" s="18"/>
      <c r="LL931" s="18"/>
      <c r="LM931" s="18"/>
      <c r="LN931" s="18"/>
      <c r="LO931" s="18"/>
      <c r="LP931" s="18"/>
      <c r="LQ931" s="18"/>
      <c r="LR931" s="18"/>
      <c r="LS931" s="18"/>
      <c r="LT931" s="18"/>
      <c r="LU931" s="18"/>
      <c r="LV931" s="18"/>
      <c r="LW931" s="18"/>
      <c r="LX931" s="18"/>
      <c r="LY931" s="18"/>
      <c r="LZ931" s="18"/>
      <c r="MA931" s="18"/>
      <c r="MB931" s="18"/>
      <c r="MC931" s="18"/>
      <c r="MD931" s="18"/>
      <c r="ME931" s="18"/>
      <c r="MF931" s="18"/>
      <c r="MG931" s="18"/>
      <c r="MH931" s="18"/>
      <c r="MI931" s="18"/>
      <c r="MJ931" s="18"/>
      <c r="MK931" s="18"/>
      <c r="ML931" s="18"/>
      <c r="MM931" s="18"/>
      <c r="MN931" s="18"/>
      <c r="MO931" s="18"/>
      <c r="MP931" s="18"/>
      <c r="MQ931" s="18"/>
      <c r="MR931" s="18"/>
      <c r="MS931" s="18"/>
      <c r="MT931" s="18"/>
      <c r="MU931" s="18"/>
      <c r="MV931" s="18"/>
      <c r="MW931" s="18"/>
      <c r="MX931" s="18"/>
      <c r="MY931" s="18"/>
      <c r="MZ931" s="18"/>
      <c r="NA931" s="18"/>
      <c r="NB931" s="18"/>
      <c r="NC931" s="18"/>
      <c r="ND931" s="18"/>
      <c r="NE931" s="18"/>
      <c r="NF931" s="18"/>
      <c r="NG931" s="18"/>
      <c r="NH931" s="18"/>
      <c r="NI931" s="18"/>
      <c r="NJ931" s="18"/>
      <c r="NK931" s="18"/>
      <c r="NL931" s="18"/>
      <c r="NM931" s="18"/>
      <c r="NN931" s="18"/>
      <c r="NO931" s="18"/>
      <c r="NP931" s="18"/>
      <c r="NQ931" s="18"/>
      <c r="NR931" s="18"/>
      <c r="NS931" s="18"/>
      <c r="NT931" s="18"/>
      <c r="NU931" s="18"/>
      <c r="NV931" s="18"/>
      <c r="NW931" s="18"/>
      <c r="NX931" s="18"/>
      <c r="NY931" s="18"/>
      <c r="NZ931" s="18"/>
      <c r="OA931" s="18"/>
      <c r="OB931" s="18"/>
      <c r="OC931" s="18"/>
      <c r="OD931" s="18"/>
      <c r="OE931" s="18"/>
      <c r="OF931" s="18"/>
      <c r="OG931" s="18"/>
      <c r="OH931" s="18"/>
      <c r="OI931" s="18"/>
      <c r="OJ931" s="18"/>
      <c r="OK931" s="18"/>
      <c r="OL931" s="18"/>
      <c r="OM931" s="18"/>
      <c r="ON931" s="18"/>
      <c r="OO931" s="18"/>
      <c r="OP931" s="18"/>
      <c r="OQ931" s="18"/>
      <c r="OR931" s="18"/>
      <c r="OS931" s="18"/>
      <c r="OT931" s="18"/>
      <c r="OU931" s="18"/>
      <c r="OV931" s="18"/>
      <c r="OW931" s="18"/>
      <c r="OX931" s="18"/>
      <c r="OY931" s="18"/>
      <c r="OZ931" s="18"/>
      <c r="PA931" s="18"/>
      <c r="PB931" s="18"/>
      <c r="PC931" s="18"/>
      <c r="PD931" s="18"/>
      <c r="PE931" s="18"/>
      <c r="PF931" s="18"/>
      <c r="PG931" s="18"/>
      <c r="PH931" s="18"/>
      <c r="PI931" s="18"/>
      <c r="PJ931" s="18"/>
      <c r="PK931" s="18"/>
      <c r="PL931" s="18"/>
      <c r="PM931" s="18"/>
      <c r="PN931" s="18"/>
      <c r="PO931" s="18"/>
      <c r="PP931" s="18"/>
      <c r="PQ931" s="18"/>
      <c r="PR931" s="18"/>
      <c r="PS931" s="18"/>
      <c r="PT931" s="18"/>
      <c r="PU931" s="18"/>
      <c r="PV931" s="18"/>
      <c r="PW931" s="18"/>
      <c r="PX931" s="18"/>
      <c r="PY931" s="18"/>
      <c r="PZ931" s="18"/>
      <c r="QA931" s="18"/>
      <c r="QB931" s="18"/>
      <c r="QC931" s="18"/>
      <c r="QD931" s="18"/>
      <c r="QE931" s="18"/>
      <c r="QF931" s="18"/>
      <c r="QG931" s="18"/>
      <c r="QH931" s="18"/>
      <c r="QI931" s="18"/>
      <c r="QJ931" s="18"/>
      <c r="QK931" s="18"/>
      <c r="QL931" s="18"/>
      <c r="QM931" s="18"/>
      <c r="QN931" s="18"/>
      <c r="QO931" s="18"/>
      <c r="QP931" s="18"/>
      <c r="QQ931" s="18"/>
      <c r="QR931" s="18"/>
      <c r="QS931" s="18"/>
      <c r="QT931" s="18"/>
      <c r="QU931" s="18"/>
      <c r="QV931" s="18"/>
      <c r="QW931" s="18"/>
      <c r="QX931" s="18"/>
      <c r="QY931" s="18"/>
      <c r="QZ931" s="18"/>
      <c r="RA931" s="18"/>
      <c r="RB931" s="18"/>
      <c r="RC931" s="18"/>
      <c r="RD931" s="18"/>
      <c r="RE931" s="18"/>
      <c r="RF931" s="18"/>
      <c r="RG931" s="18"/>
      <c r="RH931" s="18"/>
      <c r="RI931" s="18"/>
      <c r="RJ931" s="18"/>
      <c r="RK931" s="18"/>
      <c r="RL931" s="18"/>
      <c r="RM931" s="18"/>
      <c r="RN931" s="18"/>
      <c r="RO931" s="18"/>
      <c r="RP931" s="18"/>
      <c r="RQ931" s="18"/>
      <c r="RR931" s="18"/>
      <c r="RS931" s="18"/>
      <c r="RT931" s="18"/>
      <c r="RU931" s="18"/>
      <c r="RV931" s="18"/>
      <c r="RW931" s="18"/>
      <c r="RX931" s="18"/>
      <c r="RY931" s="18"/>
      <c r="RZ931" s="18"/>
      <c r="SA931" s="18"/>
      <c r="SB931" s="18"/>
      <c r="SC931" s="18"/>
      <c r="SD931" s="18"/>
      <c r="SE931" s="18"/>
      <c r="SF931" s="18"/>
      <c r="SG931" s="18"/>
      <c r="SH931" s="18"/>
      <c r="SI931" s="18"/>
      <c r="SJ931" s="18"/>
      <c r="SK931" s="18"/>
      <c r="SL931" s="18"/>
      <c r="SM931" s="18"/>
      <c r="SN931" s="18"/>
      <c r="SO931" s="18"/>
      <c r="SP931" s="18"/>
      <c r="SQ931" s="18"/>
      <c r="SR931" s="18"/>
      <c r="SS931" s="18"/>
      <c r="ST931" s="18"/>
      <c r="SU931" s="18"/>
      <c r="SV931" s="18"/>
      <c r="SW931" s="18"/>
      <c r="SX931" s="18"/>
      <c r="SY931" s="18"/>
      <c r="SZ931" s="18"/>
      <c r="TA931" s="18"/>
      <c r="TB931" s="18"/>
      <c r="TC931" s="18"/>
      <c r="TD931" s="18"/>
      <c r="TE931" s="18"/>
      <c r="TF931" s="18"/>
      <c r="TG931" s="18"/>
      <c r="TH931" s="18"/>
      <c r="TI931" s="18"/>
      <c r="TJ931" s="18"/>
      <c r="TK931" s="18"/>
      <c r="TL931" s="18"/>
      <c r="TM931" s="18"/>
      <c r="TN931" s="18"/>
      <c r="TO931" s="18"/>
      <c r="TP931" s="18"/>
      <c r="TQ931" s="18"/>
      <c r="TR931" s="18"/>
      <c r="TS931" s="18"/>
      <c r="TT931" s="18"/>
      <c r="TU931" s="18"/>
      <c r="TV931" s="18"/>
      <c r="TW931" s="18"/>
      <c r="TX931" s="18"/>
      <c r="TY931" s="18"/>
      <c r="TZ931" s="18"/>
      <c r="UA931" s="18"/>
      <c r="UB931" s="18"/>
      <c r="UC931" s="18"/>
      <c r="UD931" s="18"/>
      <c r="UE931" s="18"/>
      <c r="UF931" s="18"/>
      <c r="UG931" s="18"/>
      <c r="UH931" s="18"/>
      <c r="UI931" s="18"/>
      <c r="UJ931" s="18"/>
      <c r="UK931" s="18"/>
      <c r="UL931" s="18"/>
      <c r="UM931" s="18"/>
      <c r="UN931" s="18"/>
      <c r="UO931" s="18"/>
      <c r="UP931" s="18"/>
      <c r="UQ931" s="18"/>
      <c r="UR931" s="18"/>
      <c r="US931" s="18"/>
      <c r="UT931" s="18"/>
      <c r="UU931" s="18"/>
      <c r="UV931" s="18"/>
      <c r="UW931" s="18"/>
      <c r="UX931" s="18"/>
      <c r="UY931" s="18"/>
      <c r="UZ931" s="18"/>
      <c r="VA931" s="18"/>
      <c r="VB931" s="18"/>
      <c r="VC931" s="18"/>
      <c r="VD931" s="18"/>
      <c r="VE931" s="18"/>
      <c r="VF931" s="18"/>
      <c r="VG931" s="18"/>
      <c r="VH931" s="18"/>
      <c r="VI931" s="18"/>
      <c r="VJ931" s="18"/>
      <c r="VK931" s="18"/>
      <c r="VL931" s="18"/>
      <c r="VM931" s="18"/>
      <c r="VN931" s="18"/>
      <c r="VO931" s="18"/>
      <c r="VP931" s="18"/>
      <c r="VQ931" s="18"/>
      <c r="VR931" s="18"/>
      <c r="VS931" s="18"/>
      <c r="VT931" s="18"/>
      <c r="VU931" s="18"/>
      <c r="VV931" s="18"/>
      <c r="VW931" s="18"/>
      <c r="VX931" s="18"/>
      <c r="VY931" s="18"/>
      <c r="VZ931" s="18"/>
      <c r="WA931" s="18"/>
      <c r="WB931" s="18"/>
      <c r="WC931" s="18"/>
      <c r="WD931" s="18"/>
      <c r="WE931" s="18"/>
      <c r="WF931" s="18"/>
      <c r="WG931" s="18"/>
      <c r="WH931" s="18"/>
      <c r="WI931" s="18"/>
      <c r="WJ931" s="18"/>
      <c r="WK931" s="18"/>
      <c r="WL931" s="18"/>
      <c r="WM931" s="18"/>
      <c r="WN931" s="18"/>
      <c r="WO931" s="18"/>
      <c r="WP931" s="18"/>
      <c r="WQ931" s="18"/>
      <c r="WR931" s="18"/>
      <c r="WS931" s="18"/>
      <c r="WT931" s="18"/>
      <c r="WU931" s="18"/>
      <c r="WV931" s="18"/>
      <c r="WW931" s="18"/>
      <c r="WX931" s="18"/>
      <c r="WY931" s="18"/>
      <c r="WZ931" s="18"/>
      <c r="XA931" s="18"/>
      <c r="XB931" s="18"/>
      <c r="XC931" s="18"/>
      <c r="XD931" s="18"/>
      <c r="XE931" s="18"/>
      <c r="XF931" s="18"/>
      <c r="XG931" s="18"/>
      <c r="XH931" s="18"/>
      <c r="XI931" s="18"/>
      <c r="XJ931" s="18"/>
      <c r="XK931" s="18"/>
      <c r="XL931" s="18"/>
      <c r="XM931" s="18"/>
      <c r="XN931" s="18"/>
      <c r="XO931" s="18"/>
      <c r="XP931" s="18"/>
      <c r="XQ931" s="18"/>
      <c r="XR931" s="18"/>
      <c r="XS931" s="18"/>
      <c r="XT931" s="18"/>
      <c r="XU931" s="18"/>
      <c r="XV931" s="18"/>
      <c r="XW931" s="18"/>
      <c r="XX931" s="18"/>
      <c r="XY931" s="18"/>
      <c r="XZ931" s="18"/>
      <c r="YA931" s="18"/>
      <c r="YB931" s="18"/>
      <c r="YC931" s="18"/>
      <c r="YD931" s="18"/>
      <c r="YE931" s="18"/>
      <c r="YF931" s="18"/>
      <c r="YG931" s="18"/>
      <c r="YH931" s="18"/>
      <c r="YI931" s="18"/>
      <c r="YJ931" s="18"/>
      <c r="YK931" s="18"/>
      <c r="YL931" s="18"/>
      <c r="YM931" s="18"/>
      <c r="YN931" s="18"/>
      <c r="YO931" s="18"/>
      <c r="YP931" s="18"/>
      <c r="YQ931" s="18"/>
      <c r="YR931" s="18"/>
      <c r="YS931" s="18"/>
      <c r="YT931" s="18"/>
      <c r="YU931" s="18"/>
      <c r="YV931" s="18"/>
      <c r="YW931" s="18"/>
      <c r="YX931" s="18"/>
      <c r="YY931" s="18"/>
      <c r="YZ931" s="18"/>
      <c r="ZA931" s="18"/>
      <c r="ZB931" s="18"/>
      <c r="ZC931" s="18"/>
      <c r="ZD931" s="18"/>
      <c r="ZE931" s="18"/>
      <c r="ZF931" s="18"/>
      <c r="ZG931" s="18"/>
      <c r="ZH931" s="18"/>
      <c r="ZI931" s="18"/>
      <c r="ZJ931" s="18"/>
      <c r="ZK931" s="18"/>
      <c r="ZL931" s="18"/>
      <c r="ZM931" s="18"/>
      <c r="ZN931" s="18"/>
      <c r="ZO931" s="18"/>
      <c r="ZP931" s="18"/>
      <c r="ZQ931" s="18"/>
      <c r="ZR931" s="18"/>
      <c r="ZS931" s="18"/>
      <c r="ZT931" s="18"/>
      <c r="ZU931" s="18"/>
      <c r="ZV931" s="18"/>
      <c r="ZW931" s="18"/>
      <c r="ZX931" s="18"/>
      <c r="ZY931" s="18"/>
      <c r="ZZ931" s="18"/>
      <c r="AAA931" s="18"/>
      <c r="AAB931" s="18"/>
      <c r="AAC931" s="18"/>
      <c r="AAD931" s="18"/>
      <c r="AAE931" s="18"/>
      <c r="AAF931" s="18"/>
      <c r="AAG931" s="18"/>
      <c r="AAH931" s="18"/>
      <c r="AAI931" s="18"/>
      <c r="AAJ931" s="18"/>
      <c r="AAK931" s="18"/>
      <c r="AAL931" s="18"/>
      <c r="AAM931" s="18"/>
      <c r="AAN931" s="18"/>
      <c r="AAO931" s="18"/>
      <c r="AAP931" s="18"/>
      <c r="AAQ931" s="18"/>
      <c r="AAR931" s="18"/>
      <c r="AAS931" s="18"/>
      <c r="AAT931" s="18"/>
      <c r="AAU931" s="18"/>
      <c r="AAV931" s="18"/>
      <c r="AAW931" s="18"/>
      <c r="AAX931" s="18"/>
      <c r="AAY931" s="18"/>
      <c r="AAZ931" s="18"/>
      <c r="ABA931" s="18"/>
      <c r="ABB931" s="18"/>
      <c r="ABC931" s="18"/>
      <c r="ABD931" s="18"/>
      <c r="ABE931" s="18"/>
      <c r="ABF931" s="18"/>
      <c r="ABG931" s="18"/>
      <c r="ABH931" s="18"/>
      <c r="ABI931" s="18"/>
      <c r="ABJ931" s="18"/>
      <c r="ABK931" s="18"/>
      <c r="ABL931" s="18"/>
      <c r="ABM931" s="18"/>
      <c r="ABN931" s="18"/>
      <c r="ABO931" s="18"/>
      <c r="ABP931" s="18"/>
      <c r="ABQ931" s="18"/>
      <c r="ABR931" s="18"/>
      <c r="ABS931" s="18"/>
      <c r="ABT931" s="18"/>
      <c r="ABU931" s="18"/>
      <c r="ABV931" s="18"/>
      <c r="ABW931" s="18"/>
      <c r="ABX931" s="18"/>
      <c r="ABY931" s="18"/>
      <c r="ABZ931" s="18"/>
      <c r="ACA931" s="18"/>
      <c r="ACB931" s="18"/>
      <c r="ACC931" s="18"/>
      <c r="ACD931" s="18"/>
      <c r="ACE931" s="18"/>
      <c r="ACF931" s="18"/>
      <c r="ACG931" s="18"/>
      <c r="ACH931" s="18"/>
      <c r="ACI931" s="18"/>
      <c r="ACJ931" s="18"/>
      <c r="ACK931" s="18"/>
      <c r="ACL931" s="18"/>
      <c r="ACM931" s="18"/>
      <c r="ACN931" s="18"/>
      <c r="ACO931" s="18"/>
      <c r="ACP931" s="18"/>
      <c r="ACQ931" s="18"/>
      <c r="ACR931" s="18"/>
      <c r="ACS931" s="18"/>
      <c r="ACT931" s="18"/>
      <c r="ACU931" s="18"/>
      <c r="ACV931" s="18"/>
      <c r="ACW931" s="18"/>
      <c r="ACX931" s="18"/>
      <c r="ACY931" s="18"/>
      <c r="ACZ931" s="18"/>
      <c r="ADA931" s="18"/>
      <c r="ADB931" s="18"/>
      <c r="ADC931" s="18"/>
      <c r="ADD931" s="18"/>
      <c r="ADE931" s="18"/>
      <c r="ADF931" s="18"/>
      <c r="ADG931" s="18"/>
      <c r="ADH931" s="18"/>
      <c r="ADI931" s="18"/>
      <c r="ADJ931" s="18"/>
      <c r="ADK931" s="18"/>
      <c r="ADL931" s="18"/>
      <c r="ADM931" s="18"/>
      <c r="ADN931" s="18"/>
      <c r="ADO931" s="18"/>
      <c r="ADP931" s="18"/>
      <c r="ADQ931" s="18"/>
      <c r="ADR931" s="18"/>
      <c r="ADS931" s="18"/>
      <c r="ADT931" s="18"/>
      <c r="ADU931" s="18"/>
      <c r="ADV931" s="18"/>
      <c r="ADW931" s="18"/>
      <c r="ADX931" s="18"/>
      <c r="ADY931" s="18"/>
      <c r="ADZ931" s="18"/>
      <c r="AEA931" s="18"/>
      <c r="AEB931" s="18"/>
      <c r="AEC931" s="18"/>
      <c r="AED931" s="18"/>
      <c r="AEE931" s="18"/>
      <c r="AEF931" s="18"/>
      <c r="AEG931" s="18"/>
      <c r="AEH931" s="18"/>
      <c r="AEI931" s="18"/>
      <c r="AEJ931" s="18"/>
      <c r="AEK931" s="18"/>
      <c r="AEL931" s="18"/>
      <c r="AEM931" s="18"/>
      <c r="AEN931" s="18"/>
      <c r="AEO931" s="18"/>
      <c r="AEP931" s="18"/>
      <c r="AEQ931" s="18"/>
      <c r="AER931" s="18"/>
      <c r="AES931" s="18"/>
      <c r="AET931" s="18"/>
      <c r="AEU931" s="18"/>
      <c r="AEV931" s="18"/>
      <c r="AEW931" s="18"/>
      <c r="AEX931" s="18"/>
      <c r="AEY931" s="18"/>
      <c r="AEZ931" s="18"/>
      <c r="AFA931" s="18"/>
      <c r="AFB931" s="18"/>
      <c r="AFC931" s="18"/>
      <c r="AFD931" s="18"/>
      <c r="AFE931" s="18"/>
      <c r="AFF931" s="18"/>
      <c r="AFG931" s="18"/>
      <c r="AFH931" s="18"/>
      <c r="AFI931" s="18"/>
      <c r="AFJ931" s="18"/>
      <c r="AFK931" s="18"/>
      <c r="AFL931" s="18"/>
      <c r="AFM931" s="18"/>
      <c r="AFN931" s="18"/>
      <c r="AFO931" s="18"/>
      <c r="AFP931" s="18"/>
      <c r="AFQ931" s="18"/>
      <c r="AFR931" s="18"/>
      <c r="AFS931" s="18"/>
      <c r="AFT931" s="18"/>
      <c r="AFU931" s="18"/>
      <c r="AFV931" s="18"/>
      <c r="AFW931" s="18"/>
      <c r="AFX931" s="18"/>
      <c r="AFY931" s="18"/>
      <c r="AFZ931" s="18"/>
      <c r="AGA931" s="18"/>
      <c r="AGB931" s="18"/>
      <c r="AGC931" s="18"/>
      <c r="AGD931" s="18"/>
      <c r="AGE931" s="18"/>
      <c r="AGF931" s="18"/>
      <c r="AGG931" s="18"/>
      <c r="AGH931" s="18"/>
      <c r="AGI931" s="18"/>
      <c r="AGJ931" s="18"/>
      <c r="AGK931" s="18"/>
      <c r="AGL931" s="18"/>
      <c r="AGM931" s="18"/>
      <c r="AGN931" s="18"/>
      <c r="AGO931" s="18"/>
      <c r="AGP931" s="18"/>
      <c r="AGQ931" s="18"/>
      <c r="AGR931" s="18"/>
      <c r="AGS931" s="18"/>
      <c r="AGT931" s="18"/>
      <c r="AGU931" s="18"/>
      <c r="AGV931" s="18"/>
      <c r="AGW931" s="18"/>
      <c r="AGX931" s="18"/>
      <c r="AGY931" s="18"/>
      <c r="AGZ931" s="18"/>
      <c r="AHA931" s="18"/>
      <c r="AHB931" s="18"/>
      <c r="AHC931" s="18"/>
      <c r="AHD931" s="18"/>
      <c r="AHE931" s="18"/>
      <c r="AHF931" s="18"/>
      <c r="AHG931" s="18"/>
      <c r="AHH931" s="18"/>
      <c r="AHI931" s="18"/>
      <c r="AHJ931" s="18"/>
      <c r="AHK931" s="18"/>
      <c r="AHL931" s="18"/>
      <c r="AHM931" s="18"/>
      <c r="AHN931" s="18"/>
      <c r="AHO931" s="18"/>
      <c r="AHP931" s="18"/>
      <c r="AHQ931" s="18"/>
      <c r="AHR931" s="18"/>
      <c r="AHS931" s="18"/>
      <c r="AHT931" s="18"/>
      <c r="AHU931" s="18"/>
      <c r="AHV931" s="18"/>
      <c r="AHW931" s="18"/>
      <c r="AHX931" s="18"/>
      <c r="AHY931" s="18"/>
      <c r="AHZ931" s="18"/>
      <c r="AIA931" s="18"/>
      <c r="AIB931" s="18"/>
      <c r="AIC931" s="18"/>
      <c r="AID931" s="18"/>
      <c r="AIE931" s="18"/>
      <c r="AIF931" s="18"/>
      <c r="AIG931" s="18"/>
      <c r="AIH931" s="18"/>
      <c r="AII931" s="18"/>
      <c r="AIJ931" s="18"/>
      <c r="AIK931" s="18"/>
      <c r="AIL931" s="18"/>
      <c r="AIM931" s="18"/>
      <c r="AIN931" s="18"/>
      <c r="AIO931" s="18"/>
      <c r="AIP931" s="18"/>
      <c r="AIQ931" s="18"/>
      <c r="AIR931" s="18"/>
      <c r="AIS931" s="18"/>
      <c r="AIT931" s="18"/>
      <c r="AIU931" s="18"/>
      <c r="AIV931" s="18"/>
      <c r="AIW931" s="18"/>
      <c r="AIX931" s="18"/>
      <c r="AIY931" s="18"/>
      <c r="AIZ931" s="18"/>
      <c r="AJA931" s="18"/>
      <c r="AJB931" s="18"/>
      <c r="AJC931" s="18"/>
      <c r="AJD931" s="18"/>
      <c r="AJE931" s="18"/>
      <c r="AJF931" s="18"/>
      <c r="AJG931" s="18"/>
      <c r="AJH931" s="18"/>
      <c r="AJI931" s="18"/>
      <c r="AJJ931" s="18"/>
      <c r="AJK931" s="18"/>
      <c r="AJL931" s="18"/>
      <c r="AJM931" s="18"/>
      <c r="AJN931" s="18"/>
      <c r="AJO931" s="18"/>
      <c r="AJP931" s="18"/>
      <c r="AJQ931" s="18"/>
      <c r="AJR931" s="18"/>
      <c r="AJS931" s="18"/>
      <c r="AJT931" s="18"/>
      <c r="AJU931" s="18"/>
      <c r="AJV931" s="18"/>
      <c r="AJW931" s="18"/>
      <c r="AJX931" s="18"/>
      <c r="AJY931" s="18"/>
      <c r="AJZ931" s="18"/>
      <c r="AKA931" s="18"/>
      <c r="AKB931" s="18"/>
      <c r="AKC931" s="18"/>
      <c r="AKD931" s="18"/>
      <c r="AKE931" s="18"/>
      <c r="AKF931" s="18"/>
      <c r="AKG931" s="18"/>
      <c r="AKH931" s="18"/>
      <c r="AKI931" s="18"/>
      <c r="AKJ931" s="18"/>
      <c r="AKK931" s="18"/>
      <c r="AKL931" s="18"/>
      <c r="AKM931" s="18"/>
      <c r="AKN931" s="18"/>
      <c r="AKO931" s="18"/>
      <c r="AKP931" s="18"/>
      <c r="AKQ931" s="18"/>
      <c r="AKR931" s="18"/>
      <c r="AKS931" s="18"/>
      <c r="AKT931" s="18"/>
      <c r="AKU931" s="18"/>
      <c r="AKV931" s="18"/>
      <c r="AKW931" s="18"/>
      <c r="AKX931" s="18"/>
      <c r="AKY931" s="18"/>
      <c r="AKZ931" s="18"/>
      <c r="ALA931" s="18"/>
      <c r="ALB931" s="18"/>
      <c r="ALC931" s="18"/>
      <c r="ALD931" s="18"/>
      <c r="ALE931" s="18"/>
      <c r="ALF931" s="18"/>
      <c r="ALG931" s="18"/>
      <c r="ALH931" s="18"/>
      <c r="ALI931" s="18"/>
      <c r="ALJ931" s="18"/>
      <c r="ALK931" s="18"/>
      <c r="ALL931" s="18"/>
      <c r="ALM931" s="18"/>
      <c r="ALN931" s="18"/>
      <c r="ALO931" s="18"/>
      <c r="ALP931" s="18"/>
      <c r="ALQ931" s="18"/>
      <c r="ALR931" s="18"/>
      <c r="ALS931" s="18"/>
      <c r="ALT931" s="18"/>
      <c r="ALU931" s="18"/>
      <c r="ALV931" s="18"/>
      <c r="ALW931" s="18"/>
      <c r="ALX931" s="18"/>
      <c r="ALY931" s="18"/>
      <c r="ALZ931" s="18"/>
      <c r="AMA931" s="18"/>
      <c r="AMB931" s="18"/>
      <c r="AMC931" s="18"/>
      <c r="AMD931" s="18"/>
      <c r="AME931" s="18"/>
      <c r="AMF931" s="18"/>
      <c r="AMG931" s="18"/>
      <c r="AMH931" s="18"/>
      <c r="AMI931" s="18"/>
      <c r="AMJ931" s="18"/>
      <c r="AMK931" s="18"/>
      <c r="AML931" s="18"/>
      <c r="AMM931" s="18"/>
      <c r="AMN931" s="18"/>
      <c r="AMO931" s="18"/>
      <c r="AMP931" s="18"/>
      <c r="AMQ931" s="18"/>
      <c r="AMR931" s="18"/>
      <c r="AMS931" s="18"/>
      <c r="AMT931" s="18"/>
      <c r="AMU931" s="18"/>
      <c r="AMV931" s="18"/>
      <c r="AMW931" s="18"/>
      <c r="AMX931" s="18"/>
      <c r="AMY931" s="18"/>
      <c r="AMZ931" s="18"/>
      <c r="ANA931" s="18"/>
      <c r="ANB931" s="18"/>
      <c r="ANC931" s="18"/>
      <c r="AND931" s="18"/>
      <c r="ANE931" s="18"/>
      <c r="ANF931" s="18"/>
      <c r="ANG931" s="18"/>
      <c r="ANH931" s="18"/>
      <c r="ANI931" s="18"/>
      <c r="ANJ931" s="18"/>
      <c r="ANK931" s="18"/>
      <c r="ANL931" s="18"/>
      <c r="ANM931" s="18"/>
      <c r="ANN931" s="18"/>
      <c r="ANO931" s="18"/>
      <c r="ANP931" s="18"/>
      <c r="ANQ931" s="18"/>
      <c r="ANR931" s="18"/>
      <c r="ANS931" s="18"/>
      <c r="ANT931" s="18"/>
      <c r="ANU931" s="18"/>
      <c r="ANV931" s="18"/>
      <c r="ANW931" s="18"/>
      <c r="ANX931" s="18"/>
      <c r="ANY931" s="18"/>
      <c r="ANZ931" s="18"/>
      <c r="AOA931" s="18"/>
      <c r="AOB931" s="18"/>
      <c r="AOC931" s="18"/>
      <c r="AOD931" s="18"/>
      <c r="AOE931" s="18"/>
      <c r="AOF931" s="18"/>
      <c r="AOG931" s="18"/>
      <c r="AOH931" s="18"/>
      <c r="AOI931" s="18"/>
      <c r="AOJ931" s="18"/>
      <c r="AOK931" s="18"/>
      <c r="AOL931" s="18"/>
      <c r="AOM931" s="18"/>
      <c r="AON931" s="18"/>
      <c r="AOO931" s="18"/>
      <c r="AOP931" s="18"/>
      <c r="AOQ931" s="18"/>
      <c r="AOR931" s="18"/>
      <c r="AOS931" s="18"/>
      <c r="AOT931" s="18"/>
      <c r="AOU931" s="18"/>
      <c r="AOV931" s="18"/>
      <c r="AOW931" s="18"/>
      <c r="AOX931" s="18"/>
      <c r="AOY931" s="18"/>
      <c r="AOZ931" s="18"/>
      <c r="APA931" s="18"/>
      <c r="APB931" s="18"/>
      <c r="APC931" s="18"/>
      <c r="APD931" s="18"/>
      <c r="APE931" s="18"/>
      <c r="APF931" s="18"/>
      <c r="APG931" s="18"/>
      <c r="APH931" s="18"/>
      <c r="API931" s="18"/>
      <c r="APJ931" s="18"/>
      <c r="APK931" s="18"/>
      <c r="APL931" s="18"/>
      <c r="APM931" s="18"/>
      <c r="APN931" s="18"/>
      <c r="APO931" s="18"/>
      <c r="APP931" s="18"/>
      <c r="APQ931" s="18"/>
      <c r="APR931" s="18"/>
      <c r="APS931" s="18"/>
      <c r="APT931" s="18"/>
      <c r="APU931" s="18"/>
      <c r="APV931" s="18"/>
      <c r="APW931" s="18"/>
      <c r="APX931" s="18"/>
      <c r="APY931" s="18"/>
      <c r="APZ931" s="18"/>
      <c r="AQA931" s="18"/>
      <c r="AQB931" s="18"/>
      <c r="AQC931" s="18"/>
      <c r="AQD931" s="18"/>
      <c r="AQE931" s="18"/>
      <c r="AQF931" s="18"/>
      <c r="AQG931" s="18"/>
      <c r="AQH931" s="18"/>
      <c r="AQI931" s="18"/>
      <c r="AQJ931" s="18"/>
      <c r="AQK931" s="18"/>
      <c r="AQL931" s="18"/>
      <c r="AQM931" s="18"/>
      <c r="AQN931" s="18"/>
      <c r="AQO931" s="18"/>
      <c r="AQP931" s="18"/>
      <c r="AQQ931" s="18"/>
      <c r="AQR931" s="18"/>
      <c r="AQS931" s="18"/>
      <c r="AQT931" s="18"/>
      <c r="AQU931" s="18"/>
      <c r="AQV931" s="18"/>
      <c r="AQW931" s="18"/>
      <c r="AQX931" s="18"/>
      <c r="AQY931" s="18"/>
      <c r="AQZ931" s="18"/>
      <c r="ARA931" s="18"/>
      <c r="ARB931" s="18"/>
      <c r="ARC931" s="18"/>
      <c r="ARD931" s="18"/>
      <c r="ARE931" s="18"/>
      <c r="ARF931" s="18"/>
      <c r="ARG931" s="18"/>
      <c r="ARH931" s="18"/>
      <c r="ARI931" s="18"/>
      <c r="ARJ931" s="18"/>
      <c r="ARK931" s="18"/>
      <c r="ARL931" s="18"/>
      <c r="ARM931" s="18"/>
      <c r="ARN931" s="18"/>
      <c r="ARO931" s="18"/>
      <c r="ARP931" s="18"/>
      <c r="ARQ931" s="18"/>
      <c r="ARR931" s="18"/>
      <c r="ARS931" s="18"/>
      <c r="ART931" s="18"/>
      <c r="ARU931" s="18"/>
      <c r="ARV931" s="18"/>
      <c r="ARW931" s="18"/>
      <c r="ARX931" s="18"/>
      <c r="ARY931" s="18"/>
      <c r="ARZ931" s="18"/>
      <c r="ASA931" s="18"/>
      <c r="ASB931" s="18"/>
      <c r="ASC931" s="18"/>
      <c r="ASD931" s="18"/>
      <c r="ASE931" s="18"/>
      <c r="ASF931" s="18"/>
      <c r="ASG931" s="18"/>
      <c r="ASH931" s="18"/>
      <c r="ASI931" s="18"/>
      <c r="ASJ931" s="18"/>
      <c r="ASK931" s="18"/>
      <c r="ASL931" s="18"/>
      <c r="ASM931" s="18"/>
      <c r="ASN931" s="18"/>
      <c r="ASO931" s="18"/>
      <c r="ASP931" s="18"/>
      <c r="ASQ931" s="18"/>
      <c r="ASR931" s="18"/>
      <c r="ASS931" s="18"/>
      <c r="AST931" s="18"/>
      <c r="ASU931" s="18"/>
      <c r="ASV931" s="18"/>
      <c r="ASW931" s="18"/>
      <c r="ASX931" s="18"/>
      <c r="ASY931" s="18"/>
      <c r="ASZ931" s="18"/>
      <c r="ATA931" s="18"/>
      <c r="ATB931" s="18"/>
      <c r="ATC931" s="18"/>
      <c r="ATD931" s="18"/>
      <c r="ATE931" s="18"/>
      <c r="ATF931" s="18"/>
      <c r="ATG931" s="18"/>
      <c r="ATH931" s="18"/>
      <c r="ATI931" s="18"/>
      <c r="ATJ931" s="18"/>
      <c r="ATK931" s="18"/>
      <c r="ATL931" s="18"/>
      <c r="ATM931" s="18"/>
      <c r="ATN931" s="18"/>
      <c r="ATO931" s="18"/>
      <c r="ATP931" s="18"/>
      <c r="ATQ931" s="18"/>
      <c r="ATR931" s="18"/>
      <c r="ATS931" s="18"/>
      <c r="ATT931" s="18"/>
      <c r="ATU931" s="18"/>
      <c r="ATV931" s="18"/>
      <c r="ATW931" s="18"/>
      <c r="ATX931" s="18"/>
      <c r="ATY931" s="18"/>
      <c r="ATZ931" s="18"/>
      <c r="AUA931" s="18"/>
      <c r="AUB931" s="18"/>
      <c r="AUC931" s="18"/>
      <c r="AUD931" s="18"/>
      <c r="AUE931" s="18"/>
      <c r="AUF931" s="18"/>
      <c r="AUG931" s="18"/>
      <c r="AUH931" s="18"/>
      <c r="AUI931" s="18"/>
      <c r="AUJ931" s="18"/>
      <c r="AUK931" s="18"/>
      <c r="AUL931" s="18"/>
      <c r="AUM931" s="18"/>
      <c r="AUN931" s="18"/>
      <c r="AUO931" s="18"/>
      <c r="AUP931" s="18"/>
      <c r="AUQ931" s="18"/>
      <c r="AUR931" s="18"/>
      <c r="AUS931" s="18"/>
      <c r="AUT931" s="18"/>
      <c r="AUU931" s="18"/>
      <c r="AUV931" s="18"/>
      <c r="AUW931" s="18"/>
      <c r="AUX931" s="18"/>
      <c r="AUY931" s="18"/>
      <c r="AUZ931" s="18"/>
      <c r="AVA931" s="18"/>
      <c r="AVB931" s="18"/>
      <c r="AVC931" s="18"/>
      <c r="AVD931" s="18"/>
      <c r="AVE931" s="18"/>
      <c r="AVF931" s="18"/>
      <c r="AVG931" s="18"/>
      <c r="AVH931" s="18"/>
      <c r="AVI931" s="18"/>
      <c r="AVJ931" s="18"/>
      <c r="AVK931" s="18"/>
      <c r="AVL931" s="18"/>
      <c r="AVM931" s="18"/>
      <c r="AVN931" s="18"/>
      <c r="AVO931" s="18"/>
      <c r="AVP931" s="18"/>
      <c r="AVQ931" s="18"/>
      <c r="AVR931" s="18"/>
      <c r="AVS931" s="18"/>
      <c r="AVT931" s="18"/>
      <c r="AVU931" s="18"/>
      <c r="AVV931" s="18"/>
      <c r="AVW931" s="18"/>
      <c r="AVX931" s="18"/>
      <c r="AVY931" s="18"/>
      <c r="AVZ931" s="18"/>
      <c r="AWA931" s="18"/>
      <c r="AWB931" s="18"/>
      <c r="AWC931" s="18"/>
      <c r="AWD931" s="18"/>
      <c r="AWE931" s="18"/>
      <c r="AWF931" s="18"/>
      <c r="AWG931" s="18"/>
      <c r="AWH931" s="18"/>
      <c r="AWI931" s="18"/>
      <c r="AWJ931" s="18"/>
      <c r="AWK931" s="18"/>
      <c r="AWL931" s="18"/>
      <c r="AWM931" s="18"/>
      <c r="AWN931" s="18"/>
      <c r="AWO931" s="18"/>
      <c r="AWP931" s="18"/>
      <c r="AWQ931" s="18"/>
      <c r="AWR931" s="18"/>
      <c r="AWS931" s="18"/>
      <c r="AWT931" s="18"/>
      <c r="AWU931" s="18"/>
      <c r="AWV931" s="18"/>
      <c r="AWW931" s="18"/>
      <c r="AWX931" s="18"/>
      <c r="AWY931" s="18"/>
      <c r="AWZ931" s="18"/>
      <c r="AXA931" s="18"/>
      <c r="AXB931" s="18"/>
      <c r="AXC931" s="18"/>
      <c r="AXD931" s="18"/>
      <c r="AXE931" s="18"/>
      <c r="AXF931" s="18"/>
      <c r="AXG931" s="18"/>
      <c r="AXH931" s="18"/>
      <c r="AXI931" s="18"/>
      <c r="AXJ931" s="18"/>
      <c r="AXK931" s="18"/>
      <c r="AXL931" s="18"/>
      <c r="AXM931" s="18"/>
      <c r="AXN931" s="18"/>
      <c r="AXO931" s="18"/>
      <c r="AXP931" s="18"/>
      <c r="AXQ931" s="18"/>
      <c r="AXR931" s="18"/>
      <c r="AXS931" s="18"/>
      <c r="AXT931" s="18"/>
      <c r="AXU931" s="18"/>
      <c r="AXV931" s="18"/>
      <c r="AXW931" s="18"/>
      <c r="AXX931" s="18"/>
      <c r="AXY931" s="18"/>
      <c r="AXZ931" s="18"/>
      <c r="AYA931" s="18"/>
      <c r="AYB931" s="18"/>
      <c r="AYC931" s="18"/>
      <c r="AYD931" s="18"/>
      <c r="AYE931" s="18"/>
      <c r="AYF931" s="18"/>
      <c r="AYG931" s="18"/>
      <c r="AYH931" s="18"/>
      <c r="AYI931" s="18"/>
      <c r="AYJ931" s="18"/>
      <c r="AYK931" s="18"/>
      <c r="AYL931" s="18"/>
      <c r="AYM931" s="18"/>
      <c r="AYN931" s="18"/>
      <c r="AYO931" s="18"/>
      <c r="AYP931" s="18"/>
      <c r="AYQ931" s="18"/>
      <c r="AYR931" s="18"/>
      <c r="AYS931" s="18"/>
      <c r="AYT931" s="18"/>
      <c r="AYU931" s="18"/>
      <c r="AYV931" s="18"/>
      <c r="AYW931" s="18"/>
      <c r="AYX931" s="18"/>
      <c r="AYY931" s="18"/>
      <c r="AYZ931" s="18"/>
      <c r="AZA931" s="18"/>
      <c r="AZB931" s="18"/>
      <c r="AZC931" s="18"/>
      <c r="AZD931" s="18"/>
      <c r="AZE931" s="18"/>
      <c r="AZF931" s="18"/>
      <c r="AZG931" s="18"/>
      <c r="AZH931" s="18"/>
      <c r="AZI931" s="18"/>
      <c r="AZJ931" s="18"/>
      <c r="AZK931" s="18"/>
      <c r="AZL931" s="18"/>
      <c r="AZM931" s="18"/>
      <c r="AZN931" s="18"/>
      <c r="AZO931" s="18"/>
      <c r="AZP931" s="18"/>
      <c r="AZQ931" s="18"/>
      <c r="AZR931" s="18"/>
      <c r="AZS931" s="18"/>
      <c r="AZT931" s="18"/>
      <c r="AZU931" s="18"/>
      <c r="AZV931" s="18"/>
      <c r="AZW931" s="18"/>
      <c r="AZX931" s="18"/>
      <c r="AZY931" s="18"/>
      <c r="AZZ931" s="18"/>
      <c r="BAA931" s="18"/>
      <c r="BAB931" s="18"/>
      <c r="BAC931" s="18"/>
      <c r="BAD931" s="18"/>
      <c r="BAE931" s="18"/>
      <c r="BAF931" s="18"/>
      <c r="BAG931" s="18"/>
      <c r="BAH931" s="18"/>
      <c r="BAI931" s="18"/>
      <c r="BAJ931" s="18"/>
      <c r="BAK931" s="18"/>
      <c r="BAL931" s="18"/>
      <c r="BAM931" s="18"/>
      <c r="BAN931" s="18"/>
      <c r="BAO931" s="18"/>
      <c r="BAP931" s="18"/>
      <c r="BAQ931" s="18"/>
      <c r="BAR931" s="18"/>
      <c r="BAS931" s="18"/>
      <c r="BAT931" s="18"/>
      <c r="BAU931" s="18"/>
      <c r="BAV931" s="18"/>
      <c r="BAW931" s="18"/>
      <c r="BAX931" s="18"/>
      <c r="BAY931" s="18"/>
      <c r="BAZ931" s="18"/>
      <c r="BBA931" s="18"/>
      <c r="BBB931" s="18"/>
      <c r="BBC931" s="18"/>
      <c r="BBD931" s="18"/>
      <c r="BBE931" s="18"/>
      <c r="BBF931" s="18"/>
      <c r="BBG931" s="18"/>
      <c r="BBH931" s="18"/>
      <c r="BBI931" s="18"/>
      <c r="BBJ931" s="18"/>
      <c r="BBK931" s="18"/>
      <c r="BBL931" s="18"/>
      <c r="BBM931" s="18"/>
      <c r="BBN931" s="18"/>
      <c r="BBO931" s="18"/>
      <c r="BBP931" s="18"/>
      <c r="BBQ931" s="18"/>
      <c r="BBR931" s="18"/>
      <c r="BBS931" s="18"/>
      <c r="BBT931" s="18"/>
      <c r="BBU931" s="18"/>
      <c r="BBV931" s="18"/>
      <c r="BBW931" s="18"/>
      <c r="BBX931" s="18"/>
      <c r="BBY931" s="18"/>
      <c r="BBZ931" s="18"/>
      <c r="BCA931" s="18"/>
      <c r="BCB931" s="18"/>
      <c r="BCC931" s="18"/>
      <c r="BCD931" s="18"/>
      <c r="BCE931" s="18"/>
      <c r="BCF931" s="18"/>
      <c r="BCG931" s="18"/>
      <c r="BCH931" s="18"/>
      <c r="BCI931" s="18"/>
      <c r="BCJ931" s="18"/>
      <c r="BCK931" s="18"/>
      <c r="BCL931" s="18"/>
      <c r="BCM931" s="18"/>
      <c r="BCN931" s="18"/>
      <c r="BCO931" s="18"/>
      <c r="BCP931" s="18"/>
      <c r="BCQ931" s="18"/>
      <c r="BCR931" s="18"/>
      <c r="BCS931" s="18"/>
      <c r="BCT931" s="18"/>
      <c r="BCU931" s="18"/>
      <c r="BCV931" s="18"/>
      <c r="BCW931" s="18"/>
      <c r="BCX931" s="18"/>
      <c r="BCY931" s="18"/>
      <c r="BCZ931" s="18"/>
      <c r="BDA931" s="18"/>
      <c r="BDB931" s="18"/>
      <c r="BDC931" s="18"/>
      <c r="BDD931" s="18"/>
      <c r="BDE931" s="18"/>
      <c r="BDF931" s="18"/>
      <c r="BDG931" s="18"/>
      <c r="BDH931" s="18"/>
      <c r="BDI931" s="18"/>
      <c r="BDJ931" s="18"/>
      <c r="BDK931" s="18"/>
      <c r="BDL931" s="18"/>
      <c r="BDM931" s="18"/>
      <c r="BDN931" s="18"/>
      <c r="BDO931" s="18"/>
      <c r="BDP931" s="18"/>
      <c r="BDQ931" s="18"/>
      <c r="BDR931" s="18"/>
      <c r="BDS931" s="18"/>
      <c r="BDT931" s="18"/>
      <c r="BDU931" s="18"/>
      <c r="BDV931" s="18"/>
      <c r="BDW931" s="18"/>
      <c r="BDX931" s="18"/>
      <c r="BDY931" s="18"/>
      <c r="BDZ931" s="18"/>
      <c r="BEA931" s="18"/>
      <c r="BEB931" s="18"/>
      <c r="BEC931" s="18"/>
      <c r="BED931" s="18"/>
      <c r="BEE931" s="18"/>
      <c r="BEF931" s="18"/>
      <c r="BEG931" s="18"/>
      <c r="BEH931" s="18"/>
      <c r="BEI931" s="18"/>
      <c r="BEJ931" s="18"/>
      <c r="BEK931" s="18"/>
      <c r="BEL931" s="18"/>
      <c r="BEM931" s="18"/>
      <c r="BEN931" s="18"/>
      <c r="BEO931" s="18"/>
      <c r="BEP931" s="18"/>
      <c r="BEQ931" s="18"/>
      <c r="BER931" s="18"/>
      <c r="BES931" s="18"/>
      <c r="BET931" s="18"/>
      <c r="BEU931" s="18"/>
      <c r="BEV931" s="18"/>
      <c r="BEW931" s="18"/>
      <c r="BEX931" s="18"/>
      <c r="BEY931" s="18"/>
      <c r="BEZ931" s="18"/>
      <c r="BFA931" s="18"/>
      <c r="BFB931" s="18"/>
      <c r="BFC931" s="18"/>
      <c r="BFD931" s="18"/>
      <c r="BFE931" s="18"/>
      <c r="BFF931" s="18"/>
      <c r="BFG931" s="18"/>
      <c r="BFH931" s="18"/>
      <c r="BFI931" s="18"/>
      <c r="BFJ931" s="18"/>
      <c r="BFK931" s="18"/>
      <c r="BFL931" s="18"/>
      <c r="BFM931" s="18"/>
      <c r="BFN931" s="18"/>
      <c r="BFO931" s="18"/>
      <c r="BFP931" s="18"/>
      <c r="BFQ931" s="18"/>
      <c r="BFR931" s="18"/>
      <c r="BFS931" s="18"/>
      <c r="BFT931" s="18"/>
      <c r="BFU931" s="18"/>
      <c r="BFV931" s="18"/>
      <c r="BFW931" s="18"/>
      <c r="BFX931" s="18"/>
      <c r="BFY931" s="18"/>
      <c r="BFZ931" s="18"/>
      <c r="BGA931" s="18"/>
      <c r="BGB931" s="18"/>
      <c r="BGC931" s="18"/>
      <c r="BGD931" s="18"/>
      <c r="BGE931" s="18"/>
      <c r="BGF931" s="18"/>
      <c r="BGG931" s="18"/>
      <c r="BGH931" s="18"/>
      <c r="BGI931" s="18"/>
      <c r="BGJ931" s="18"/>
      <c r="BGK931" s="18"/>
      <c r="BGL931" s="18"/>
      <c r="BGM931" s="18"/>
      <c r="BGN931" s="18"/>
      <c r="BGO931" s="18"/>
      <c r="BGP931" s="18"/>
      <c r="BGQ931" s="18"/>
      <c r="BGR931" s="18"/>
      <c r="BGS931" s="18"/>
      <c r="BGT931" s="18"/>
      <c r="BGU931" s="18"/>
      <c r="BGV931" s="18"/>
      <c r="BGW931" s="18"/>
      <c r="BGX931" s="18"/>
      <c r="BGY931" s="18"/>
      <c r="BGZ931" s="18"/>
      <c r="BHA931" s="18"/>
      <c r="BHB931" s="18"/>
      <c r="BHC931" s="18"/>
      <c r="BHD931" s="18"/>
      <c r="BHE931" s="18"/>
      <c r="BHF931" s="18"/>
      <c r="BHG931" s="18"/>
      <c r="BHH931" s="18"/>
      <c r="BHI931" s="18"/>
      <c r="BHJ931" s="18"/>
      <c r="BHK931" s="18"/>
      <c r="BHL931" s="18"/>
      <c r="BHM931" s="18"/>
      <c r="BHN931" s="18"/>
      <c r="BHO931" s="18"/>
      <c r="BHP931" s="18"/>
      <c r="BHQ931" s="18"/>
      <c r="BHR931" s="18"/>
      <c r="BHS931" s="18"/>
      <c r="BHT931" s="18"/>
      <c r="BHU931" s="18"/>
      <c r="BHV931" s="18"/>
      <c r="BHW931" s="18"/>
      <c r="BHX931" s="18"/>
      <c r="BHY931" s="18"/>
      <c r="BHZ931" s="18"/>
      <c r="BIA931" s="18"/>
      <c r="BIB931" s="18"/>
      <c r="BIC931" s="18"/>
      <c r="BID931" s="18"/>
      <c r="BIE931" s="18"/>
      <c r="BIF931" s="18"/>
      <c r="BIG931" s="18"/>
      <c r="BIH931" s="18"/>
      <c r="BII931" s="18"/>
      <c r="BIJ931" s="18"/>
      <c r="BIK931" s="18"/>
      <c r="BIL931" s="18"/>
      <c r="BIM931" s="18"/>
      <c r="BIN931" s="18"/>
      <c r="BIO931" s="18"/>
      <c r="BIP931" s="18"/>
      <c r="BIQ931" s="18"/>
      <c r="BIR931" s="18"/>
      <c r="BIS931" s="18"/>
      <c r="BIT931" s="18"/>
      <c r="BIU931" s="18"/>
      <c r="BIV931" s="18"/>
      <c r="BIW931" s="18"/>
      <c r="BIX931" s="18"/>
      <c r="BIY931" s="18"/>
      <c r="BIZ931" s="18"/>
      <c r="BJA931" s="18"/>
      <c r="BJB931" s="18"/>
      <c r="BJC931" s="18"/>
      <c r="BJD931" s="18"/>
      <c r="BJE931" s="18"/>
      <c r="BJF931" s="18"/>
      <c r="BJG931" s="18"/>
      <c r="BJH931" s="18"/>
      <c r="BJI931" s="18"/>
      <c r="BJJ931" s="18"/>
      <c r="BJK931" s="18"/>
      <c r="BJL931" s="18"/>
      <c r="BJM931" s="18"/>
      <c r="BJN931" s="18"/>
      <c r="BJO931" s="18"/>
      <c r="BJP931" s="18"/>
      <c r="BJQ931" s="18"/>
      <c r="BJR931" s="18"/>
      <c r="BJS931" s="18"/>
      <c r="BJT931" s="18"/>
      <c r="BJU931" s="18"/>
      <c r="BJV931" s="18"/>
      <c r="BJW931" s="18"/>
      <c r="BJX931" s="18"/>
      <c r="BJY931" s="18"/>
      <c r="BJZ931" s="18"/>
      <c r="BKA931" s="18"/>
      <c r="BKB931" s="18"/>
      <c r="BKC931" s="18"/>
      <c r="BKD931" s="18"/>
      <c r="BKE931" s="18"/>
      <c r="BKF931" s="18"/>
      <c r="BKG931" s="18"/>
      <c r="BKH931" s="18"/>
      <c r="BKI931" s="18"/>
      <c r="BKJ931" s="18"/>
      <c r="BKK931" s="18"/>
      <c r="BKL931" s="18"/>
      <c r="BKM931" s="18"/>
      <c r="BKN931" s="18"/>
      <c r="BKO931" s="18"/>
      <c r="BKP931" s="18"/>
      <c r="BKQ931" s="18"/>
      <c r="BKR931" s="18"/>
      <c r="BKS931" s="18"/>
      <c r="BKT931" s="18"/>
      <c r="BKU931" s="18"/>
      <c r="BKV931" s="18"/>
      <c r="BKW931" s="18"/>
      <c r="BKX931" s="18"/>
      <c r="BKY931" s="18"/>
      <c r="BKZ931" s="18"/>
      <c r="BLA931" s="18"/>
      <c r="BLB931" s="18"/>
      <c r="BLC931" s="18"/>
      <c r="BLD931" s="18"/>
      <c r="BLE931" s="18"/>
      <c r="BLF931" s="18"/>
      <c r="BLG931" s="18"/>
      <c r="BLH931" s="18"/>
      <c r="BLI931" s="18"/>
      <c r="BLJ931" s="18"/>
      <c r="BLK931" s="18"/>
      <c r="BLL931" s="18"/>
      <c r="BLM931" s="18"/>
      <c r="BLN931" s="18"/>
      <c r="BLO931" s="18"/>
      <c r="BLP931" s="18"/>
      <c r="BLQ931" s="18"/>
      <c r="BLR931" s="18"/>
      <c r="BLS931" s="18"/>
      <c r="BLT931" s="18"/>
      <c r="BLU931" s="18"/>
      <c r="BLV931" s="18"/>
      <c r="BLW931" s="18"/>
      <c r="BLX931" s="18"/>
      <c r="BLY931" s="18"/>
      <c r="BLZ931" s="18"/>
      <c r="BMA931" s="18"/>
      <c r="BMB931" s="18"/>
      <c r="BMC931" s="18"/>
      <c r="BMD931" s="18"/>
      <c r="BME931" s="18"/>
      <c r="BMF931" s="18"/>
      <c r="BMG931" s="18"/>
      <c r="BMH931" s="18"/>
      <c r="BMI931" s="18"/>
      <c r="BMJ931" s="18"/>
      <c r="BMK931" s="18"/>
      <c r="BML931" s="18"/>
      <c r="BMM931" s="18"/>
      <c r="BMN931" s="18"/>
      <c r="BMO931" s="18"/>
      <c r="BMP931" s="18"/>
      <c r="BMQ931" s="18"/>
      <c r="BMR931" s="18"/>
      <c r="BMS931" s="18"/>
      <c r="BMT931" s="18"/>
      <c r="BMU931" s="18"/>
      <c r="BMV931" s="18"/>
      <c r="BMW931" s="18"/>
      <c r="BMX931" s="18"/>
      <c r="BMY931" s="18"/>
      <c r="BMZ931" s="18"/>
      <c r="BNA931" s="18"/>
      <c r="BNB931" s="18"/>
      <c r="BNC931" s="18"/>
      <c r="BND931" s="18"/>
      <c r="BNE931" s="18"/>
      <c r="BNF931" s="18"/>
      <c r="BNG931" s="18"/>
      <c r="BNH931" s="18"/>
      <c r="BNI931" s="18"/>
      <c r="BNJ931" s="18"/>
      <c r="BNK931" s="18"/>
      <c r="BNL931" s="18"/>
      <c r="BNM931" s="18"/>
      <c r="BNN931" s="18"/>
      <c r="BNO931" s="18"/>
      <c r="BNP931" s="18"/>
      <c r="BNQ931" s="18"/>
      <c r="BNR931" s="18"/>
      <c r="BNS931" s="18"/>
      <c r="BNT931" s="18"/>
      <c r="BNU931" s="18"/>
      <c r="BNV931" s="18"/>
      <c r="BNW931" s="18"/>
      <c r="BNX931" s="18"/>
      <c r="BNY931" s="18"/>
      <c r="BNZ931" s="18"/>
      <c r="BOA931" s="18"/>
      <c r="BOB931" s="18"/>
      <c r="BOC931" s="18"/>
      <c r="BOD931" s="18"/>
      <c r="BOE931" s="18"/>
      <c r="BOF931" s="18"/>
      <c r="BOG931" s="18"/>
      <c r="BOH931" s="18"/>
      <c r="BOI931" s="18"/>
      <c r="BOJ931" s="18"/>
      <c r="BOK931" s="18"/>
      <c r="BOL931" s="18"/>
      <c r="BOM931" s="18"/>
      <c r="BON931" s="18"/>
      <c r="BOO931" s="18"/>
      <c r="BOP931" s="18"/>
      <c r="BOQ931" s="18"/>
      <c r="BOR931" s="18"/>
      <c r="BOS931" s="18"/>
      <c r="BOT931" s="18"/>
      <c r="BOU931" s="18"/>
      <c r="BOV931" s="18"/>
      <c r="BOW931" s="18"/>
      <c r="BOX931" s="18"/>
      <c r="BOY931" s="18"/>
      <c r="BOZ931" s="18"/>
      <c r="BPA931" s="18"/>
      <c r="BPB931" s="18"/>
      <c r="BPC931" s="18"/>
      <c r="BPD931" s="18"/>
      <c r="BPE931" s="18"/>
      <c r="BPF931" s="18"/>
      <c r="BPG931" s="18"/>
      <c r="BPH931" s="18"/>
      <c r="BPI931" s="18"/>
      <c r="BPJ931" s="18"/>
      <c r="BPK931" s="18"/>
      <c r="BPL931" s="18"/>
      <c r="BPM931" s="18"/>
      <c r="BPN931" s="18"/>
      <c r="BPO931" s="18"/>
      <c r="BPP931" s="18"/>
      <c r="BPQ931" s="18"/>
      <c r="BPR931" s="18"/>
      <c r="BPS931" s="18"/>
      <c r="BPT931" s="18"/>
      <c r="BPU931" s="18"/>
      <c r="BPV931" s="18"/>
      <c r="BPW931" s="18"/>
      <c r="BPX931" s="18"/>
      <c r="BPY931" s="18"/>
      <c r="BPZ931" s="18"/>
      <c r="BQA931" s="18"/>
      <c r="BQB931" s="18"/>
      <c r="BQC931" s="18"/>
      <c r="BQD931" s="18"/>
      <c r="BQE931" s="18"/>
      <c r="BQF931" s="18"/>
      <c r="BQG931" s="18"/>
      <c r="BQH931" s="18"/>
      <c r="BQI931" s="18"/>
      <c r="BQJ931" s="18"/>
      <c r="BQK931" s="18"/>
      <c r="BQL931" s="18"/>
      <c r="BQM931" s="18"/>
      <c r="BQN931" s="18"/>
      <c r="BQO931" s="18"/>
      <c r="BQP931" s="18"/>
      <c r="BQQ931" s="18"/>
      <c r="BQR931" s="18"/>
      <c r="BQS931" s="18"/>
      <c r="BQT931" s="18"/>
      <c r="BQU931" s="18"/>
      <c r="BQV931" s="18"/>
      <c r="BQW931" s="18"/>
      <c r="BQX931" s="18"/>
      <c r="BQY931" s="18"/>
      <c r="BQZ931" s="18"/>
      <c r="BRA931" s="18"/>
      <c r="BRB931" s="18"/>
      <c r="BRC931" s="18"/>
      <c r="BRD931" s="18"/>
      <c r="BRE931" s="18"/>
      <c r="BRF931" s="18"/>
      <c r="BRG931" s="18"/>
      <c r="BRH931" s="18"/>
      <c r="BRI931" s="18"/>
      <c r="BRJ931" s="18"/>
      <c r="BRK931" s="18"/>
      <c r="BRL931" s="18"/>
      <c r="BRM931" s="18"/>
      <c r="BRN931" s="18"/>
      <c r="BRO931" s="18"/>
      <c r="BRP931" s="18"/>
      <c r="BRQ931" s="18"/>
      <c r="BRR931" s="18"/>
      <c r="BRS931" s="18"/>
      <c r="BRT931" s="18"/>
      <c r="BRU931" s="18"/>
      <c r="BRV931" s="18"/>
      <c r="BRW931" s="18"/>
      <c r="BRX931" s="18"/>
      <c r="BRY931" s="18"/>
      <c r="BRZ931" s="18"/>
      <c r="BSA931" s="18"/>
      <c r="BSB931" s="18"/>
      <c r="BSC931" s="18"/>
      <c r="BSD931" s="18"/>
      <c r="BSE931" s="18"/>
      <c r="BSF931" s="18"/>
      <c r="BSG931" s="18"/>
      <c r="BSH931" s="18"/>
      <c r="BSI931" s="18"/>
      <c r="BSJ931" s="18"/>
      <c r="BSK931" s="18"/>
      <c r="BSL931" s="18"/>
      <c r="BSM931" s="18"/>
      <c r="BSN931" s="18"/>
      <c r="BSO931" s="18"/>
      <c r="BSP931" s="18"/>
      <c r="BSQ931" s="18"/>
      <c r="BSR931" s="18"/>
      <c r="BSS931" s="18"/>
      <c r="BST931" s="18"/>
      <c r="BSU931" s="18"/>
      <c r="BSV931" s="18"/>
      <c r="BSW931" s="18"/>
      <c r="BSX931" s="18"/>
      <c r="BSY931" s="18"/>
      <c r="BSZ931" s="18"/>
      <c r="BTA931" s="18"/>
      <c r="BTB931" s="18"/>
      <c r="BTC931" s="18"/>
      <c r="BTD931" s="18"/>
      <c r="BTE931" s="18"/>
      <c r="BTF931" s="18"/>
      <c r="BTG931" s="18"/>
      <c r="BTH931" s="18"/>
      <c r="BTI931" s="18"/>
      <c r="BTJ931" s="18"/>
      <c r="BTK931" s="18"/>
      <c r="BTL931" s="18"/>
      <c r="BTM931" s="18"/>
      <c r="BTN931" s="18"/>
      <c r="BTO931" s="18"/>
      <c r="BTP931" s="18"/>
      <c r="BTQ931" s="18"/>
      <c r="BTR931" s="18"/>
      <c r="BTS931" s="18"/>
      <c r="BTT931" s="18"/>
      <c r="BTU931" s="18"/>
      <c r="BTV931" s="18"/>
      <c r="BTW931" s="18"/>
      <c r="BTX931" s="18"/>
      <c r="BTY931" s="18"/>
      <c r="BTZ931" s="18"/>
      <c r="BUA931" s="18"/>
      <c r="BUB931" s="18"/>
      <c r="BUC931" s="18"/>
      <c r="BUD931" s="18"/>
      <c r="BUE931" s="18"/>
      <c r="BUF931" s="18"/>
      <c r="BUG931" s="18"/>
      <c r="BUH931" s="18"/>
      <c r="BUI931" s="18"/>
      <c r="BUJ931" s="18"/>
      <c r="BUK931" s="18"/>
      <c r="BUL931" s="18"/>
      <c r="BUM931" s="18"/>
      <c r="BUN931" s="18"/>
      <c r="BUO931" s="18"/>
      <c r="BUP931" s="18"/>
      <c r="BUQ931" s="18"/>
      <c r="BUR931" s="18"/>
      <c r="BUS931" s="18"/>
      <c r="BUT931" s="18"/>
      <c r="BUU931" s="18"/>
      <c r="BUV931" s="18"/>
      <c r="BUW931" s="18"/>
      <c r="BUX931" s="18"/>
      <c r="BUY931" s="18"/>
      <c r="BUZ931" s="18"/>
      <c r="BVA931" s="18"/>
      <c r="BVB931" s="18"/>
      <c r="BVC931" s="18"/>
      <c r="BVD931" s="18"/>
      <c r="BVE931" s="18"/>
      <c r="BVF931" s="18"/>
      <c r="BVG931" s="18"/>
      <c r="BVH931" s="18"/>
      <c r="BVI931" s="18"/>
      <c r="BVJ931" s="18"/>
      <c r="BVK931" s="18"/>
      <c r="BVL931" s="18"/>
      <c r="BVM931" s="18"/>
      <c r="BVN931" s="18"/>
      <c r="BVO931" s="18"/>
      <c r="BVP931" s="18"/>
      <c r="BVQ931" s="18"/>
      <c r="BVR931" s="18"/>
      <c r="BVS931" s="18"/>
      <c r="BVT931" s="18"/>
      <c r="BVU931" s="18"/>
      <c r="BVV931" s="18"/>
      <c r="BVW931" s="18"/>
      <c r="BVX931" s="18"/>
      <c r="BVY931" s="18"/>
      <c r="BVZ931" s="18"/>
      <c r="BWA931" s="18"/>
      <c r="BWB931" s="18"/>
      <c r="BWC931" s="18"/>
      <c r="BWD931" s="18"/>
      <c r="BWE931" s="18"/>
      <c r="BWF931" s="18"/>
      <c r="BWG931" s="18"/>
      <c r="BWH931" s="18"/>
      <c r="BWI931" s="18"/>
      <c r="BWJ931" s="18"/>
      <c r="BWK931" s="18"/>
      <c r="BWL931" s="18"/>
      <c r="BWM931" s="18"/>
      <c r="BWN931" s="18"/>
      <c r="BWO931" s="18"/>
      <c r="BWP931" s="18"/>
      <c r="BWQ931" s="18"/>
      <c r="BWR931" s="18"/>
      <c r="BWS931" s="18"/>
      <c r="BWT931" s="18"/>
      <c r="BWU931" s="18"/>
      <c r="BWV931" s="18"/>
      <c r="BWW931" s="18"/>
      <c r="BWX931" s="18"/>
      <c r="BWY931" s="18"/>
      <c r="BWZ931" s="18"/>
      <c r="BXA931" s="18"/>
      <c r="BXB931" s="18"/>
      <c r="BXC931" s="18"/>
      <c r="BXD931" s="18"/>
      <c r="BXE931" s="18"/>
      <c r="BXF931" s="18"/>
      <c r="BXG931" s="18"/>
      <c r="BXH931" s="18"/>
      <c r="BXI931" s="18"/>
      <c r="BXJ931" s="18"/>
      <c r="BXK931" s="18"/>
      <c r="BXL931" s="18"/>
      <c r="BXM931" s="18"/>
      <c r="BXN931" s="18"/>
      <c r="BXO931" s="18"/>
      <c r="BXP931" s="18"/>
      <c r="BXQ931" s="18"/>
      <c r="BXR931" s="18"/>
      <c r="BXS931" s="18"/>
      <c r="BXT931" s="18"/>
      <c r="BXU931" s="18"/>
      <c r="BXV931" s="18"/>
      <c r="BXW931" s="18"/>
      <c r="BXX931" s="18"/>
      <c r="BXY931" s="18"/>
      <c r="BXZ931" s="18"/>
      <c r="BYA931" s="18"/>
      <c r="BYB931" s="18"/>
      <c r="BYC931" s="18"/>
      <c r="BYD931" s="18"/>
      <c r="BYE931" s="18"/>
      <c r="BYF931" s="18"/>
      <c r="BYG931" s="18"/>
      <c r="BYH931" s="18"/>
      <c r="BYI931" s="18"/>
      <c r="BYJ931" s="18"/>
      <c r="BYK931" s="18"/>
      <c r="BYL931" s="18"/>
      <c r="BYM931" s="18"/>
      <c r="BYN931" s="18"/>
      <c r="BYO931" s="18"/>
      <c r="BYP931" s="18"/>
      <c r="BYQ931" s="18"/>
      <c r="BYR931" s="18"/>
      <c r="BYS931" s="18"/>
      <c r="BYT931" s="18"/>
      <c r="BYU931" s="18"/>
      <c r="BYV931" s="18"/>
      <c r="BYW931" s="18"/>
      <c r="BYX931" s="18"/>
      <c r="BYY931" s="18"/>
      <c r="BYZ931" s="18"/>
      <c r="BZA931" s="18"/>
      <c r="BZB931" s="18"/>
      <c r="BZC931" s="18"/>
      <c r="BZD931" s="18"/>
      <c r="BZE931" s="18"/>
      <c r="BZF931" s="18"/>
      <c r="BZG931" s="18"/>
      <c r="BZH931" s="18"/>
      <c r="BZI931" s="18"/>
      <c r="BZJ931" s="18"/>
      <c r="BZK931" s="18"/>
      <c r="BZL931" s="18"/>
      <c r="BZM931" s="18"/>
      <c r="BZN931" s="18"/>
      <c r="BZO931" s="18"/>
      <c r="BZP931" s="18"/>
      <c r="BZQ931" s="18"/>
      <c r="BZR931" s="18"/>
      <c r="BZS931" s="18"/>
      <c r="BZT931" s="18"/>
      <c r="BZU931" s="18"/>
      <c r="BZV931" s="18"/>
      <c r="BZW931" s="18"/>
      <c r="BZX931" s="18"/>
      <c r="BZY931" s="18"/>
      <c r="BZZ931" s="18"/>
      <c r="CAA931" s="18"/>
      <c r="CAB931" s="18"/>
      <c r="CAC931" s="18"/>
      <c r="CAD931" s="18"/>
      <c r="CAE931" s="18"/>
      <c r="CAF931" s="18"/>
      <c r="CAG931" s="18"/>
      <c r="CAH931" s="18"/>
      <c r="CAI931" s="18"/>
      <c r="CAJ931" s="18"/>
      <c r="CAK931" s="18"/>
      <c r="CAL931" s="18"/>
      <c r="CAM931" s="18"/>
      <c r="CAN931" s="18"/>
      <c r="CAO931" s="18"/>
      <c r="CAP931" s="18"/>
      <c r="CAQ931" s="18"/>
      <c r="CAR931" s="18"/>
      <c r="CAS931" s="18"/>
      <c r="CAT931" s="18"/>
      <c r="CAU931" s="18"/>
      <c r="CAV931" s="18"/>
      <c r="CAW931" s="18"/>
      <c r="CAX931" s="18"/>
      <c r="CAY931" s="18"/>
      <c r="CAZ931" s="18"/>
      <c r="CBA931" s="18"/>
      <c r="CBB931" s="18"/>
      <c r="CBC931" s="18"/>
      <c r="CBD931" s="18"/>
      <c r="CBE931" s="18"/>
      <c r="CBF931" s="18"/>
      <c r="CBG931" s="18"/>
      <c r="CBH931" s="18"/>
      <c r="CBI931" s="18"/>
      <c r="CBJ931" s="18"/>
      <c r="CBK931" s="18"/>
      <c r="CBL931" s="18"/>
      <c r="CBM931" s="18"/>
      <c r="CBN931" s="18"/>
      <c r="CBO931" s="18"/>
      <c r="CBP931" s="18"/>
      <c r="CBQ931" s="18"/>
      <c r="CBR931" s="18"/>
      <c r="CBS931" s="18"/>
      <c r="CBT931" s="18"/>
      <c r="CBU931" s="18"/>
      <c r="CBV931" s="18"/>
      <c r="CBW931" s="18"/>
      <c r="CBX931" s="18"/>
      <c r="CBY931" s="18"/>
      <c r="CBZ931" s="18"/>
      <c r="CCA931" s="18"/>
      <c r="CCB931" s="18"/>
      <c r="CCC931" s="18"/>
      <c r="CCD931" s="18"/>
      <c r="CCE931" s="18"/>
      <c r="CCF931" s="18"/>
      <c r="CCG931" s="18"/>
      <c r="CCH931" s="18"/>
      <c r="CCI931" s="18"/>
      <c r="CCJ931" s="18"/>
      <c r="CCK931" s="18"/>
      <c r="CCL931" s="18"/>
      <c r="CCM931" s="18"/>
      <c r="CCN931" s="18"/>
      <c r="CCO931" s="18"/>
      <c r="CCP931" s="18"/>
      <c r="CCQ931" s="18"/>
      <c r="CCR931" s="18"/>
      <c r="CCS931" s="18"/>
      <c r="CCT931" s="18"/>
      <c r="CCU931" s="18"/>
      <c r="CCV931" s="18"/>
      <c r="CCW931" s="18"/>
      <c r="CCX931" s="18"/>
      <c r="CCY931" s="18"/>
      <c r="CCZ931" s="18"/>
      <c r="CDA931" s="18"/>
      <c r="CDB931" s="18"/>
      <c r="CDC931" s="18"/>
      <c r="CDD931" s="18"/>
      <c r="CDE931" s="18"/>
      <c r="CDF931" s="18"/>
      <c r="CDG931" s="18"/>
      <c r="CDH931" s="18"/>
      <c r="CDI931" s="18"/>
      <c r="CDJ931" s="18"/>
      <c r="CDK931" s="18"/>
      <c r="CDL931" s="18"/>
      <c r="CDM931" s="18"/>
      <c r="CDN931" s="18"/>
      <c r="CDO931" s="18"/>
      <c r="CDP931" s="18"/>
      <c r="CDQ931" s="18"/>
      <c r="CDR931" s="18"/>
      <c r="CDS931" s="18"/>
      <c r="CDT931" s="18"/>
      <c r="CDU931" s="18"/>
      <c r="CDV931" s="18"/>
      <c r="CDW931" s="18"/>
      <c r="CDX931" s="18"/>
      <c r="CDY931" s="18"/>
      <c r="CDZ931" s="18"/>
      <c r="CEA931" s="18"/>
      <c r="CEB931" s="18"/>
      <c r="CEC931" s="18"/>
      <c r="CED931" s="18"/>
      <c r="CEE931" s="18"/>
      <c r="CEF931" s="18"/>
      <c r="CEG931" s="18"/>
      <c r="CEH931" s="18"/>
      <c r="CEI931" s="18"/>
      <c r="CEJ931" s="18"/>
      <c r="CEK931" s="18"/>
      <c r="CEL931" s="18"/>
      <c r="CEM931" s="18"/>
      <c r="CEN931" s="18"/>
      <c r="CEO931" s="18"/>
      <c r="CEP931" s="18"/>
      <c r="CEQ931" s="18"/>
      <c r="CER931" s="18"/>
      <c r="CES931" s="18"/>
      <c r="CET931" s="18"/>
      <c r="CEU931" s="18"/>
      <c r="CEV931" s="18"/>
      <c r="CEW931" s="18"/>
      <c r="CEX931" s="18"/>
      <c r="CEY931" s="18"/>
      <c r="CEZ931" s="18"/>
      <c r="CFA931" s="18"/>
      <c r="CFB931" s="18"/>
      <c r="CFC931" s="18"/>
      <c r="CFD931" s="18"/>
      <c r="CFE931" s="18"/>
      <c r="CFF931" s="18"/>
      <c r="CFG931" s="18"/>
      <c r="CFH931" s="18"/>
      <c r="CFI931" s="18"/>
      <c r="CFJ931" s="18"/>
      <c r="CFK931" s="18"/>
      <c r="CFL931" s="18"/>
      <c r="CFM931" s="18"/>
      <c r="CFN931" s="18"/>
      <c r="CFO931" s="18"/>
      <c r="CFP931" s="18"/>
      <c r="CFQ931" s="18"/>
      <c r="CFR931" s="18"/>
      <c r="CFS931" s="18"/>
      <c r="CFT931" s="18"/>
      <c r="CFU931" s="18"/>
      <c r="CFV931" s="18"/>
      <c r="CFW931" s="18"/>
      <c r="CFX931" s="18"/>
      <c r="CFY931" s="18"/>
      <c r="CFZ931" s="18"/>
      <c r="CGA931" s="18"/>
      <c r="CGB931" s="18"/>
      <c r="CGC931" s="18"/>
      <c r="CGD931" s="18"/>
      <c r="CGE931" s="18"/>
      <c r="CGF931" s="18"/>
      <c r="CGG931" s="18"/>
      <c r="CGH931" s="18"/>
      <c r="CGI931" s="18"/>
      <c r="CGJ931" s="18"/>
      <c r="CGK931" s="18"/>
      <c r="CGL931" s="18"/>
      <c r="CGM931" s="18"/>
      <c r="CGN931" s="18"/>
      <c r="CGO931" s="18"/>
      <c r="CGP931" s="18"/>
      <c r="CGQ931" s="18"/>
      <c r="CGR931" s="18"/>
      <c r="CGS931" s="18"/>
      <c r="CGT931" s="18"/>
      <c r="CGU931" s="18"/>
      <c r="CGV931" s="18"/>
      <c r="CGW931" s="18"/>
      <c r="CGX931" s="18"/>
      <c r="CGY931" s="18"/>
      <c r="CGZ931" s="18"/>
      <c r="CHA931" s="18"/>
      <c r="CHB931" s="18"/>
      <c r="CHC931" s="18"/>
      <c r="CHD931" s="18"/>
      <c r="CHE931" s="18"/>
      <c r="CHF931" s="18"/>
      <c r="CHG931" s="18"/>
      <c r="CHH931" s="18"/>
      <c r="CHI931" s="18"/>
      <c r="CHJ931" s="18"/>
      <c r="CHK931" s="18"/>
      <c r="CHL931" s="18"/>
      <c r="CHM931" s="18"/>
      <c r="CHN931" s="18"/>
      <c r="CHO931" s="18"/>
      <c r="CHP931" s="18"/>
      <c r="CHQ931" s="18"/>
      <c r="CHR931" s="18"/>
      <c r="CHS931" s="18"/>
      <c r="CHT931" s="18"/>
      <c r="CHU931" s="18"/>
      <c r="CHV931" s="18"/>
      <c r="CHW931" s="18"/>
      <c r="CHX931" s="18"/>
      <c r="CHY931" s="18"/>
      <c r="CHZ931" s="18"/>
      <c r="CIA931" s="18"/>
      <c r="CIB931" s="18"/>
      <c r="CIC931" s="18"/>
      <c r="CID931" s="18"/>
      <c r="CIE931" s="18"/>
      <c r="CIF931" s="18"/>
      <c r="CIG931" s="18"/>
      <c r="CIH931" s="18"/>
      <c r="CII931" s="18"/>
      <c r="CIJ931" s="18"/>
      <c r="CIK931" s="18"/>
      <c r="CIL931" s="18"/>
      <c r="CIM931" s="18"/>
      <c r="CIN931" s="18"/>
      <c r="CIO931" s="18"/>
      <c r="CIP931" s="18"/>
      <c r="CIQ931" s="18"/>
      <c r="CIR931" s="18"/>
      <c r="CIS931" s="18"/>
      <c r="CIT931" s="18"/>
      <c r="CIU931" s="18"/>
      <c r="CIV931" s="18"/>
      <c r="CIW931" s="18"/>
      <c r="CIX931" s="18"/>
      <c r="CIY931" s="18"/>
      <c r="CIZ931" s="18"/>
      <c r="CJA931" s="18"/>
      <c r="CJB931" s="18"/>
      <c r="CJC931" s="18"/>
      <c r="CJD931" s="18"/>
      <c r="CJE931" s="18"/>
      <c r="CJF931" s="18"/>
      <c r="CJG931" s="18"/>
      <c r="CJH931" s="18"/>
      <c r="CJI931" s="18"/>
      <c r="CJJ931" s="18"/>
      <c r="CJK931" s="18"/>
      <c r="CJL931" s="18"/>
      <c r="CJM931" s="18"/>
      <c r="CJN931" s="18"/>
      <c r="CJO931" s="18"/>
      <c r="CJP931" s="18"/>
      <c r="CJQ931" s="18"/>
      <c r="CJR931" s="18"/>
      <c r="CJS931" s="18"/>
      <c r="CJT931" s="18"/>
      <c r="CJU931" s="18"/>
      <c r="CJV931" s="18"/>
      <c r="CJW931" s="18"/>
      <c r="CJX931" s="18"/>
      <c r="CJY931" s="18"/>
      <c r="CJZ931" s="18"/>
      <c r="CKA931" s="18"/>
      <c r="CKB931" s="18"/>
      <c r="CKC931" s="18"/>
      <c r="CKD931" s="18"/>
      <c r="CKE931" s="18"/>
      <c r="CKF931" s="18"/>
      <c r="CKG931" s="18"/>
      <c r="CKH931" s="18"/>
      <c r="CKI931" s="18"/>
      <c r="CKJ931" s="18"/>
      <c r="CKK931" s="18"/>
      <c r="CKL931" s="18"/>
      <c r="CKM931" s="18"/>
      <c r="CKN931" s="18"/>
      <c r="CKO931" s="18"/>
      <c r="CKP931" s="18"/>
      <c r="CKQ931" s="18"/>
      <c r="CKR931" s="18"/>
      <c r="CKS931" s="18"/>
      <c r="CKT931" s="18"/>
      <c r="CKU931" s="18"/>
      <c r="CKV931" s="18"/>
      <c r="CKW931" s="18"/>
      <c r="CKX931" s="18"/>
      <c r="CKY931" s="18"/>
      <c r="CKZ931" s="18"/>
      <c r="CLA931" s="18"/>
      <c r="CLB931" s="18"/>
      <c r="CLC931" s="18"/>
      <c r="CLD931" s="18"/>
      <c r="CLE931" s="18"/>
      <c r="CLF931" s="18"/>
      <c r="CLG931" s="18"/>
      <c r="CLH931" s="18"/>
      <c r="CLI931" s="18"/>
      <c r="CLJ931" s="18"/>
      <c r="CLK931" s="18"/>
      <c r="CLL931" s="18"/>
      <c r="CLM931" s="18"/>
      <c r="CLN931" s="18"/>
      <c r="CLO931" s="18"/>
      <c r="CLP931" s="18"/>
      <c r="CLQ931" s="18"/>
      <c r="CLR931" s="18"/>
      <c r="CLS931" s="18"/>
      <c r="CLT931" s="18"/>
      <c r="CLU931" s="18"/>
      <c r="CLV931" s="18"/>
      <c r="CLW931" s="18"/>
      <c r="CLX931" s="18"/>
      <c r="CLY931" s="18"/>
      <c r="CLZ931" s="18"/>
      <c r="CMA931" s="18"/>
      <c r="CMB931" s="18"/>
      <c r="CMC931" s="18"/>
      <c r="CMD931" s="18"/>
      <c r="CME931" s="18"/>
      <c r="CMF931" s="18"/>
      <c r="CMG931" s="18"/>
      <c r="CMH931" s="18"/>
      <c r="CMI931" s="18"/>
      <c r="CMJ931" s="18"/>
      <c r="CMK931" s="18"/>
      <c r="CML931" s="18"/>
      <c r="CMM931" s="18"/>
      <c r="CMN931" s="18"/>
      <c r="CMO931" s="18"/>
      <c r="CMP931" s="18"/>
      <c r="CMQ931" s="18"/>
      <c r="CMR931" s="18"/>
      <c r="CMS931" s="18"/>
      <c r="CMT931" s="18"/>
      <c r="CMU931" s="18"/>
      <c r="CMV931" s="18"/>
      <c r="CMW931" s="18"/>
      <c r="CMX931" s="18"/>
      <c r="CMY931" s="18"/>
      <c r="CMZ931" s="18"/>
      <c r="CNA931" s="18"/>
      <c r="CNB931" s="18"/>
      <c r="CNC931" s="18"/>
      <c r="CND931" s="18"/>
      <c r="CNE931" s="18"/>
      <c r="CNF931" s="18"/>
      <c r="CNG931" s="18"/>
      <c r="CNH931" s="18"/>
      <c r="CNI931" s="18"/>
      <c r="CNJ931" s="18"/>
      <c r="CNK931" s="18"/>
      <c r="CNL931" s="18"/>
      <c r="CNM931" s="18"/>
      <c r="CNN931" s="18"/>
      <c r="CNO931" s="18"/>
      <c r="CNP931" s="18"/>
      <c r="CNQ931" s="18"/>
      <c r="CNR931" s="18"/>
      <c r="CNS931" s="18"/>
      <c r="CNT931" s="18"/>
      <c r="CNU931" s="18"/>
      <c r="CNV931" s="18"/>
      <c r="CNW931" s="18"/>
      <c r="CNX931" s="18"/>
      <c r="CNY931" s="18"/>
      <c r="CNZ931" s="18"/>
      <c r="COA931" s="18"/>
      <c r="COB931" s="18"/>
      <c r="COC931" s="18"/>
      <c r="COD931" s="18"/>
      <c r="COE931" s="18"/>
      <c r="COF931" s="18"/>
      <c r="COG931" s="18"/>
      <c r="COH931" s="18"/>
      <c r="COI931" s="18"/>
      <c r="COJ931" s="18"/>
      <c r="COK931" s="18"/>
      <c r="COL931" s="18"/>
      <c r="COM931" s="18"/>
      <c r="CON931" s="18"/>
      <c r="COO931" s="18"/>
      <c r="COP931" s="18"/>
      <c r="COQ931" s="18"/>
      <c r="COR931" s="18"/>
      <c r="COS931" s="18"/>
      <c r="COT931" s="18"/>
      <c r="COU931" s="18"/>
      <c r="COV931" s="18"/>
      <c r="COW931" s="18"/>
      <c r="COX931" s="18"/>
      <c r="COY931" s="18"/>
      <c r="COZ931" s="18"/>
      <c r="CPA931" s="18"/>
      <c r="CPB931" s="18"/>
      <c r="CPC931" s="18"/>
      <c r="CPD931" s="18"/>
      <c r="CPE931" s="18"/>
      <c r="CPF931" s="18"/>
      <c r="CPG931" s="18"/>
      <c r="CPH931" s="18"/>
      <c r="CPI931" s="18"/>
      <c r="CPJ931" s="18"/>
      <c r="CPK931" s="18"/>
      <c r="CPL931" s="18"/>
      <c r="CPM931" s="18"/>
      <c r="CPN931" s="18"/>
      <c r="CPO931" s="18"/>
      <c r="CPP931" s="18"/>
      <c r="CPQ931" s="18"/>
      <c r="CPR931" s="18"/>
      <c r="CPS931" s="18"/>
      <c r="CPT931" s="18"/>
      <c r="CPU931" s="18"/>
      <c r="CPV931" s="18"/>
      <c r="CPW931" s="18"/>
      <c r="CPX931" s="18"/>
      <c r="CPY931" s="18"/>
      <c r="CPZ931" s="18"/>
      <c r="CQA931" s="18"/>
      <c r="CQB931" s="18"/>
      <c r="CQC931" s="18"/>
      <c r="CQD931" s="18"/>
      <c r="CQE931" s="18"/>
      <c r="CQF931" s="18"/>
      <c r="CQG931" s="18"/>
      <c r="CQH931" s="18"/>
      <c r="CQI931" s="18"/>
      <c r="CQJ931" s="18"/>
      <c r="CQK931" s="18"/>
      <c r="CQL931" s="18"/>
      <c r="CQM931" s="18"/>
      <c r="CQN931" s="18"/>
      <c r="CQO931" s="18"/>
      <c r="CQP931" s="18"/>
      <c r="CQQ931" s="18"/>
      <c r="CQR931" s="18"/>
      <c r="CQS931" s="18"/>
      <c r="CQT931" s="18"/>
      <c r="CQU931" s="18"/>
      <c r="CQV931" s="18"/>
      <c r="CQW931" s="18"/>
      <c r="CQX931" s="18"/>
      <c r="CQY931" s="18"/>
      <c r="CQZ931" s="18"/>
      <c r="CRA931" s="18"/>
      <c r="CRB931" s="18"/>
      <c r="CRC931" s="18"/>
      <c r="CRD931" s="18"/>
      <c r="CRE931" s="18"/>
      <c r="CRF931" s="18"/>
      <c r="CRG931" s="18"/>
      <c r="CRH931" s="18"/>
      <c r="CRI931" s="18"/>
      <c r="CRJ931" s="18"/>
      <c r="CRK931" s="18"/>
      <c r="CRL931" s="18"/>
      <c r="CRM931" s="18"/>
      <c r="CRN931" s="18"/>
      <c r="CRO931" s="18"/>
      <c r="CRP931" s="18"/>
      <c r="CRQ931" s="18"/>
      <c r="CRR931" s="18"/>
      <c r="CRS931" s="18"/>
      <c r="CRT931" s="18"/>
      <c r="CRU931" s="18"/>
      <c r="CRV931" s="18"/>
      <c r="CRW931" s="18"/>
      <c r="CRX931" s="18"/>
      <c r="CRY931" s="18"/>
      <c r="CRZ931" s="18"/>
      <c r="CSA931" s="18"/>
      <c r="CSB931" s="18"/>
      <c r="CSC931" s="18"/>
      <c r="CSD931" s="18"/>
      <c r="CSE931" s="18"/>
      <c r="CSF931" s="18"/>
      <c r="CSG931" s="18"/>
      <c r="CSH931" s="18"/>
      <c r="CSI931" s="18"/>
      <c r="CSJ931" s="18"/>
      <c r="CSK931" s="18"/>
      <c r="CSL931" s="18"/>
      <c r="CSM931" s="18"/>
      <c r="CSN931" s="18"/>
      <c r="CSO931" s="18"/>
      <c r="CSP931" s="18"/>
      <c r="CSQ931" s="18"/>
      <c r="CSR931" s="18"/>
      <c r="CSS931" s="18"/>
      <c r="CST931" s="18"/>
      <c r="CSU931" s="18"/>
      <c r="CSV931" s="18"/>
      <c r="CSW931" s="18"/>
      <c r="CSX931" s="18"/>
      <c r="CSY931" s="18"/>
      <c r="CSZ931" s="18"/>
      <c r="CTA931" s="18"/>
      <c r="CTB931" s="18"/>
      <c r="CTC931" s="18"/>
      <c r="CTD931" s="18"/>
      <c r="CTE931" s="18"/>
      <c r="CTF931" s="18"/>
      <c r="CTG931" s="18"/>
      <c r="CTH931" s="18"/>
      <c r="CTI931" s="18"/>
      <c r="CTJ931" s="18"/>
      <c r="CTK931" s="18"/>
      <c r="CTL931" s="18"/>
      <c r="CTM931" s="18"/>
      <c r="CTN931" s="18"/>
      <c r="CTO931" s="18"/>
      <c r="CTP931" s="18"/>
      <c r="CTQ931" s="18"/>
      <c r="CTR931" s="18"/>
      <c r="CTS931" s="18"/>
      <c r="CTT931" s="18"/>
      <c r="CTU931" s="18"/>
      <c r="CTV931" s="18"/>
      <c r="CTW931" s="18"/>
      <c r="CTX931" s="18"/>
      <c r="CTY931" s="18"/>
      <c r="CTZ931" s="18"/>
      <c r="CUA931" s="18"/>
      <c r="CUB931" s="18"/>
      <c r="CUC931" s="18"/>
      <c r="CUD931" s="18"/>
      <c r="CUE931" s="18"/>
      <c r="CUF931" s="18"/>
      <c r="CUG931" s="18"/>
      <c r="CUH931" s="18"/>
      <c r="CUI931" s="18"/>
      <c r="CUJ931" s="18"/>
      <c r="CUK931" s="18"/>
      <c r="CUL931" s="18"/>
      <c r="CUM931" s="18"/>
      <c r="CUN931" s="18"/>
      <c r="CUO931" s="18"/>
      <c r="CUP931" s="18"/>
      <c r="CUQ931" s="18"/>
      <c r="CUR931" s="18"/>
      <c r="CUS931" s="18"/>
      <c r="CUT931" s="18"/>
      <c r="CUU931" s="18"/>
      <c r="CUV931" s="18"/>
      <c r="CUW931" s="18"/>
      <c r="CUX931" s="18"/>
      <c r="CUY931" s="18"/>
      <c r="CUZ931" s="18"/>
      <c r="CVA931" s="18"/>
      <c r="CVB931" s="18"/>
      <c r="CVC931" s="18"/>
      <c r="CVD931" s="18"/>
      <c r="CVE931" s="18"/>
      <c r="CVF931" s="18"/>
      <c r="CVG931" s="18"/>
      <c r="CVH931" s="18"/>
      <c r="CVI931" s="18"/>
      <c r="CVJ931" s="18"/>
      <c r="CVK931" s="18"/>
      <c r="CVL931" s="18"/>
      <c r="CVM931" s="18"/>
      <c r="CVN931" s="18"/>
      <c r="CVO931" s="18"/>
      <c r="CVP931" s="18"/>
      <c r="CVQ931" s="18"/>
      <c r="CVR931" s="18"/>
      <c r="CVS931" s="18"/>
      <c r="CVT931" s="18"/>
      <c r="CVU931" s="18"/>
      <c r="CVV931" s="18"/>
      <c r="CVW931" s="18"/>
      <c r="CVX931" s="18"/>
      <c r="CVY931" s="18"/>
      <c r="CVZ931" s="18"/>
      <c r="CWA931" s="18"/>
      <c r="CWB931" s="18"/>
      <c r="CWC931" s="18"/>
      <c r="CWD931" s="18"/>
      <c r="CWE931" s="18"/>
      <c r="CWF931" s="18"/>
      <c r="CWG931" s="18"/>
      <c r="CWH931" s="18"/>
      <c r="CWI931" s="18"/>
      <c r="CWJ931" s="18"/>
      <c r="CWK931" s="18"/>
      <c r="CWL931" s="18"/>
      <c r="CWM931" s="18"/>
      <c r="CWN931" s="18"/>
      <c r="CWO931" s="18"/>
      <c r="CWP931" s="18"/>
      <c r="CWQ931" s="18"/>
      <c r="CWR931" s="18"/>
      <c r="CWS931" s="18"/>
      <c r="CWT931" s="18"/>
      <c r="CWU931" s="18"/>
      <c r="CWV931" s="18"/>
      <c r="CWW931" s="18"/>
      <c r="CWX931" s="18"/>
      <c r="CWY931" s="18"/>
      <c r="CWZ931" s="18"/>
      <c r="CXA931" s="18"/>
      <c r="CXB931" s="18"/>
      <c r="CXC931" s="18"/>
      <c r="CXD931" s="18"/>
      <c r="CXE931" s="18"/>
      <c r="CXF931" s="18"/>
      <c r="CXG931" s="18"/>
      <c r="CXH931" s="18"/>
      <c r="CXI931" s="18"/>
      <c r="CXJ931" s="18"/>
      <c r="CXK931" s="18"/>
      <c r="CXL931" s="18"/>
      <c r="CXM931" s="18"/>
      <c r="CXN931" s="18"/>
      <c r="CXO931" s="18"/>
      <c r="CXP931" s="18"/>
      <c r="CXQ931" s="18"/>
      <c r="CXR931" s="18"/>
      <c r="CXS931" s="18"/>
      <c r="CXT931" s="18"/>
      <c r="CXU931" s="18"/>
      <c r="CXV931" s="18"/>
      <c r="CXW931" s="18"/>
      <c r="CXX931" s="18"/>
      <c r="CXY931" s="18"/>
      <c r="CXZ931" s="18"/>
      <c r="CYA931" s="18"/>
      <c r="CYB931" s="18"/>
      <c r="CYC931" s="18"/>
      <c r="CYD931" s="18"/>
      <c r="CYE931" s="18"/>
      <c r="CYF931" s="18"/>
      <c r="CYG931" s="18"/>
      <c r="CYH931" s="18"/>
      <c r="CYI931" s="18"/>
      <c r="CYJ931" s="18"/>
      <c r="CYK931" s="18"/>
      <c r="CYL931" s="18"/>
      <c r="CYM931" s="18"/>
      <c r="CYN931" s="18"/>
      <c r="CYO931" s="18"/>
      <c r="CYP931" s="18"/>
      <c r="CYQ931" s="18"/>
      <c r="CYR931" s="18"/>
      <c r="CYS931" s="18"/>
      <c r="CYT931" s="18"/>
      <c r="CYU931" s="18"/>
      <c r="CYV931" s="18"/>
      <c r="CYW931" s="18"/>
      <c r="CYX931" s="18"/>
      <c r="CYY931" s="18"/>
      <c r="CYZ931" s="18"/>
      <c r="CZA931" s="18"/>
      <c r="CZB931" s="18"/>
      <c r="CZC931" s="18"/>
      <c r="CZD931" s="18"/>
      <c r="CZE931" s="18"/>
      <c r="CZF931" s="18"/>
      <c r="CZG931" s="18"/>
      <c r="CZH931" s="18"/>
      <c r="CZI931" s="18"/>
      <c r="CZJ931" s="18"/>
      <c r="CZK931" s="18"/>
      <c r="CZL931" s="18"/>
      <c r="CZM931" s="18"/>
      <c r="CZN931" s="18"/>
      <c r="CZO931" s="18"/>
      <c r="CZP931" s="18"/>
      <c r="CZQ931" s="18"/>
      <c r="CZR931" s="18"/>
      <c r="CZS931" s="18"/>
      <c r="CZT931" s="18"/>
      <c r="CZU931" s="18"/>
      <c r="CZV931" s="18"/>
      <c r="CZW931" s="18"/>
      <c r="CZX931" s="18"/>
      <c r="CZY931" s="18"/>
      <c r="CZZ931" s="18"/>
      <c r="DAA931" s="18"/>
      <c r="DAB931" s="18"/>
      <c r="DAC931" s="18"/>
      <c r="DAD931" s="18"/>
      <c r="DAE931" s="18"/>
      <c r="DAF931" s="18"/>
      <c r="DAG931" s="18"/>
      <c r="DAH931" s="18"/>
      <c r="DAI931" s="18"/>
      <c r="DAJ931" s="18"/>
      <c r="DAK931" s="18"/>
      <c r="DAL931" s="18"/>
      <c r="DAM931" s="18"/>
      <c r="DAN931" s="18"/>
      <c r="DAO931" s="18"/>
      <c r="DAP931" s="18"/>
      <c r="DAQ931" s="18"/>
      <c r="DAR931" s="18"/>
      <c r="DAS931" s="18"/>
      <c r="DAT931" s="18"/>
      <c r="DAU931" s="18"/>
      <c r="DAV931" s="18"/>
      <c r="DAW931" s="18"/>
      <c r="DAX931" s="18"/>
      <c r="DAY931" s="18"/>
      <c r="DAZ931" s="18"/>
      <c r="DBA931" s="18"/>
      <c r="DBB931" s="18"/>
      <c r="DBC931" s="18"/>
      <c r="DBD931" s="18"/>
      <c r="DBE931" s="18"/>
      <c r="DBF931" s="18"/>
      <c r="DBG931" s="18"/>
      <c r="DBH931" s="18"/>
      <c r="DBI931" s="18"/>
      <c r="DBJ931" s="18"/>
      <c r="DBK931" s="18"/>
      <c r="DBL931" s="18"/>
      <c r="DBM931" s="18"/>
      <c r="DBN931" s="18"/>
      <c r="DBO931" s="18"/>
      <c r="DBP931" s="18"/>
      <c r="DBQ931" s="18"/>
      <c r="DBR931" s="18"/>
      <c r="DBS931" s="18"/>
      <c r="DBT931" s="18"/>
      <c r="DBU931" s="18"/>
      <c r="DBV931" s="18"/>
      <c r="DBW931" s="18"/>
      <c r="DBX931" s="18"/>
      <c r="DBY931" s="18"/>
      <c r="DBZ931" s="18"/>
      <c r="DCA931" s="18"/>
      <c r="DCB931" s="18"/>
      <c r="DCC931" s="18"/>
      <c r="DCD931" s="18"/>
      <c r="DCE931" s="18"/>
      <c r="DCF931" s="18"/>
      <c r="DCG931" s="18"/>
      <c r="DCH931" s="18"/>
      <c r="DCI931" s="18"/>
      <c r="DCJ931" s="18"/>
      <c r="DCK931" s="18"/>
      <c r="DCL931" s="18"/>
      <c r="DCM931" s="18"/>
      <c r="DCN931" s="18"/>
      <c r="DCO931" s="18"/>
      <c r="DCP931" s="18"/>
      <c r="DCQ931" s="18"/>
      <c r="DCR931" s="18"/>
      <c r="DCS931" s="18"/>
      <c r="DCT931" s="18"/>
      <c r="DCU931" s="18"/>
      <c r="DCV931" s="18"/>
      <c r="DCW931" s="18"/>
      <c r="DCX931" s="18"/>
      <c r="DCY931" s="18"/>
      <c r="DCZ931" s="18"/>
      <c r="DDA931" s="18"/>
      <c r="DDB931" s="18"/>
      <c r="DDC931" s="18"/>
      <c r="DDD931" s="18"/>
      <c r="DDE931" s="18"/>
      <c r="DDF931" s="18"/>
      <c r="DDG931" s="18"/>
      <c r="DDH931" s="18"/>
      <c r="DDI931" s="18"/>
      <c r="DDJ931" s="18"/>
      <c r="DDK931" s="18"/>
      <c r="DDL931" s="18"/>
      <c r="DDM931" s="18"/>
      <c r="DDN931" s="18"/>
      <c r="DDO931" s="18"/>
      <c r="DDP931" s="18"/>
      <c r="DDQ931" s="18"/>
      <c r="DDR931" s="18"/>
      <c r="DDS931" s="18"/>
      <c r="DDT931" s="18"/>
      <c r="DDU931" s="18"/>
      <c r="DDV931" s="18"/>
      <c r="DDW931" s="18"/>
      <c r="DDX931" s="18"/>
      <c r="DDY931" s="18"/>
      <c r="DDZ931" s="18"/>
      <c r="DEA931" s="18"/>
      <c r="DEB931" s="18"/>
      <c r="DEC931" s="18"/>
      <c r="DED931" s="18"/>
      <c r="DEE931" s="18"/>
      <c r="DEF931" s="18"/>
      <c r="DEG931" s="18"/>
      <c r="DEH931" s="18"/>
      <c r="DEI931" s="18"/>
      <c r="DEJ931" s="18"/>
      <c r="DEK931" s="18"/>
      <c r="DEL931" s="18"/>
      <c r="DEM931" s="18"/>
      <c r="DEN931" s="18"/>
      <c r="DEO931" s="18"/>
      <c r="DEP931" s="18"/>
      <c r="DEQ931" s="18"/>
      <c r="DER931" s="18"/>
      <c r="DES931" s="18"/>
      <c r="DET931" s="18"/>
      <c r="DEU931" s="18"/>
      <c r="DEV931" s="18"/>
      <c r="DEW931" s="18"/>
      <c r="DEX931" s="18"/>
      <c r="DEY931" s="18"/>
      <c r="DEZ931" s="18"/>
      <c r="DFA931" s="18"/>
      <c r="DFB931" s="18"/>
      <c r="DFC931" s="18"/>
      <c r="DFD931" s="18"/>
      <c r="DFE931" s="18"/>
      <c r="DFF931" s="18"/>
      <c r="DFG931" s="18"/>
      <c r="DFH931" s="18"/>
      <c r="DFI931" s="18"/>
      <c r="DFJ931" s="18"/>
      <c r="DFK931" s="18"/>
      <c r="DFL931" s="18"/>
      <c r="DFM931" s="18"/>
      <c r="DFN931" s="18"/>
      <c r="DFO931" s="18"/>
      <c r="DFP931" s="18"/>
      <c r="DFQ931" s="18"/>
      <c r="DFR931" s="18"/>
      <c r="DFS931" s="18"/>
      <c r="DFT931" s="18"/>
      <c r="DFU931" s="18"/>
      <c r="DFV931" s="18"/>
      <c r="DFW931" s="18"/>
      <c r="DFX931" s="18"/>
      <c r="DFY931" s="18"/>
      <c r="DFZ931" s="18"/>
      <c r="DGA931" s="18"/>
      <c r="DGB931" s="18"/>
      <c r="DGC931" s="18"/>
      <c r="DGD931" s="18"/>
      <c r="DGE931" s="18"/>
      <c r="DGF931" s="18"/>
      <c r="DGG931" s="18"/>
      <c r="DGH931" s="18"/>
      <c r="DGI931" s="18"/>
      <c r="DGJ931" s="18"/>
      <c r="DGK931" s="18"/>
      <c r="DGL931" s="18"/>
      <c r="DGM931" s="18"/>
      <c r="DGN931" s="18"/>
      <c r="DGO931" s="18"/>
      <c r="DGP931" s="18"/>
      <c r="DGQ931" s="18"/>
      <c r="DGR931" s="18"/>
      <c r="DGS931" s="18"/>
      <c r="DGT931" s="18"/>
      <c r="DGU931" s="18"/>
      <c r="DGV931" s="18"/>
      <c r="DGW931" s="18"/>
      <c r="DGX931" s="18"/>
      <c r="DGY931" s="18"/>
      <c r="DGZ931" s="18"/>
      <c r="DHA931" s="18"/>
      <c r="DHB931" s="18"/>
      <c r="DHC931" s="18"/>
      <c r="DHD931" s="18"/>
      <c r="DHE931" s="18"/>
      <c r="DHF931" s="18"/>
      <c r="DHG931" s="18"/>
      <c r="DHH931" s="18"/>
      <c r="DHI931" s="18"/>
      <c r="DHJ931" s="18"/>
      <c r="DHK931" s="18"/>
      <c r="DHL931" s="18"/>
      <c r="DHM931" s="18"/>
      <c r="DHN931" s="18"/>
      <c r="DHO931" s="18"/>
      <c r="DHP931" s="18"/>
      <c r="DHQ931" s="18"/>
      <c r="DHR931" s="18"/>
      <c r="DHS931" s="18"/>
      <c r="DHT931" s="18"/>
      <c r="DHU931" s="18"/>
      <c r="DHV931" s="18"/>
      <c r="DHW931" s="18"/>
      <c r="DHX931" s="18"/>
      <c r="DHY931" s="18"/>
      <c r="DHZ931" s="18"/>
      <c r="DIA931" s="18"/>
      <c r="DIB931" s="18"/>
      <c r="DIC931" s="18"/>
      <c r="DID931" s="18"/>
      <c r="DIE931" s="18"/>
      <c r="DIF931" s="18"/>
      <c r="DIG931" s="18"/>
      <c r="DIH931" s="18"/>
      <c r="DII931" s="18"/>
      <c r="DIJ931" s="18"/>
      <c r="DIK931" s="18"/>
      <c r="DIL931" s="18"/>
      <c r="DIM931" s="18"/>
      <c r="DIN931" s="18"/>
      <c r="DIO931" s="18"/>
      <c r="DIP931" s="18"/>
      <c r="DIQ931" s="18"/>
      <c r="DIR931" s="18"/>
      <c r="DIS931" s="18"/>
      <c r="DIT931" s="18"/>
      <c r="DIU931" s="18"/>
      <c r="DIV931" s="18"/>
      <c r="DIW931" s="18"/>
      <c r="DIX931" s="18"/>
      <c r="DIY931" s="18"/>
      <c r="DIZ931" s="18"/>
      <c r="DJA931" s="18"/>
      <c r="DJB931" s="18"/>
      <c r="DJC931" s="18"/>
      <c r="DJD931" s="18"/>
      <c r="DJE931" s="18"/>
      <c r="DJF931" s="18"/>
      <c r="DJG931" s="18"/>
      <c r="DJH931" s="18"/>
      <c r="DJI931" s="18"/>
      <c r="DJJ931" s="18"/>
      <c r="DJK931" s="18"/>
      <c r="DJL931" s="18"/>
      <c r="DJM931" s="18"/>
      <c r="DJN931" s="18"/>
      <c r="DJO931" s="18"/>
      <c r="DJP931" s="18"/>
      <c r="DJQ931" s="18"/>
      <c r="DJR931" s="18"/>
      <c r="DJS931" s="18"/>
      <c r="DJT931" s="18"/>
      <c r="DJU931" s="18"/>
      <c r="DJV931" s="18"/>
      <c r="DJW931" s="18"/>
      <c r="DJX931" s="18"/>
      <c r="DJY931" s="18"/>
      <c r="DJZ931" s="18"/>
      <c r="DKA931" s="18"/>
      <c r="DKB931" s="18"/>
      <c r="DKC931" s="18"/>
      <c r="DKD931" s="18"/>
      <c r="DKE931" s="18"/>
      <c r="DKF931" s="18"/>
      <c r="DKG931" s="18"/>
      <c r="DKH931" s="18"/>
      <c r="DKI931" s="18"/>
      <c r="DKJ931" s="18"/>
      <c r="DKK931" s="18"/>
      <c r="DKL931" s="18"/>
      <c r="DKM931" s="18"/>
      <c r="DKN931" s="18"/>
      <c r="DKO931" s="18"/>
      <c r="DKP931" s="18"/>
      <c r="DKQ931" s="18"/>
      <c r="DKR931" s="18"/>
      <c r="DKS931" s="18"/>
      <c r="DKT931" s="18"/>
      <c r="DKU931" s="18"/>
      <c r="DKV931" s="18"/>
      <c r="DKW931" s="18"/>
      <c r="DKX931" s="18"/>
      <c r="DKY931" s="18"/>
      <c r="DKZ931" s="18"/>
      <c r="DLA931" s="18"/>
      <c r="DLB931" s="18"/>
      <c r="DLC931" s="18"/>
      <c r="DLD931" s="18"/>
      <c r="DLE931" s="18"/>
      <c r="DLF931" s="18"/>
      <c r="DLG931" s="18"/>
      <c r="DLH931" s="18"/>
      <c r="DLI931" s="18"/>
      <c r="DLJ931" s="18"/>
      <c r="DLK931" s="18"/>
      <c r="DLL931" s="18"/>
      <c r="DLM931" s="18"/>
      <c r="DLN931" s="18"/>
      <c r="DLO931" s="18"/>
      <c r="DLP931" s="18"/>
      <c r="DLQ931" s="18"/>
      <c r="DLR931" s="18"/>
      <c r="DLS931" s="18"/>
      <c r="DLT931" s="18"/>
      <c r="DLU931" s="18"/>
      <c r="DLV931" s="18"/>
      <c r="DLW931" s="18"/>
      <c r="DLX931" s="18"/>
      <c r="DLY931" s="18"/>
      <c r="DLZ931" s="18"/>
      <c r="DMA931" s="18"/>
      <c r="DMB931" s="18"/>
      <c r="DMC931" s="18"/>
      <c r="DMD931" s="18"/>
      <c r="DME931" s="18"/>
      <c r="DMF931" s="18"/>
      <c r="DMG931" s="18"/>
      <c r="DMH931" s="18"/>
      <c r="DMI931" s="18"/>
      <c r="DMJ931" s="18"/>
      <c r="DMK931" s="18"/>
      <c r="DML931" s="18"/>
      <c r="DMM931" s="18"/>
      <c r="DMN931" s="18"/>
      <c r="DMO931" s="18"/>
      <c r="DMP931" s="18"/>
      <c r="DMQ931" s="18"/>
      <c r="DMR931" s="18"/>
      <c r="DMS931" s="18"/>
      <c r="DMT931" s="18"/>
      <c r="DMU931" s="18"/>
      <c r="DMV931" s="18"/>
      <c r="DMW931" s="18"/>
      <c r="DMX931" s="18"/>
      <c r="DMY931" s="18"/>
      <c r="DMZ931" s="18"/>
      <c r="DNA931" s="18"/>
      <c r="DNB931" s="18"/>
      <c r="DNC931" s="18"/>
      <c r="DND931" s="18"/>
      <c r="DNE931" s="18"/>
      <c r="DNF931" s="18"/>
      <c r="DNG931" s="18"/>
      <c r="DNH931" s="18"/>
      <c r="DNI931" s="18"/>
      <c r="DNJ931" s="18"/>
      <c r="DNK931" s="18"/>
      <c r="DNL931" s="18"/>
      <c r="DNM931" s="18"/>
      <c r="DNN931" s="18"/>
      <c r="DNO931" s="18"/>
      <c r="DNP931" s="18"/>
      <c r="DNQ931" s="18"/>
      <c r="DNR931" s="18"/>
      <c r="DNS931" s="18"/>
      <c r="DNT931" s="18"/>
      <c r="DNU931" s="18"/>
      <c r="DNV931" s="18"/>
      <c r="DNW931" s="18"/>
      <c r="DNX931" s="18"/>
      <c r="DNY931" s="18"/>
      <c r="DNZ931" s="18"/>
      <c r="DOA931" s="18"/>
      <c r="DOB931" s="18"/>
      <c r="DOC931" s="18"/>
      <c r="DOD931" s="18"/>
      <c r="DOE931" s="18"/>
      <c r="DOF931" s="18"/>
      <c r="DOG931" s="18"/>
      <c r="DOH931" s="18"/>
      <c r="DOI931" s="18"/>
      <c r="DOJ931" s="18"/>
      <c r="DOK931" s="18"/>
      <c r="DOL931" s="18"/>
      <c r="DOM931" s="18"/>
      <c r="DON931" s="18"/>
      <c r="DOO931" s="18"/>
      <c r="DOP931" s="18"/>
      <c r="DOQ931" s="18"/>
      <c r="DOR931" s="18"/>
      <c r="DOS931" s="18"/>
      <c r="DOT931" s="18"/>
      <c r="DOU931" s="18"/>
      <c r="DOV931" s="18"/>
      <c r="DOW931" s="18"/>
      <c r="DOX931" s="18"/>
      <c r="DOY931" s="18"/>
      <c r="DOZ931" s="18"/>
      <c r="DPA931" s="18"/>
      <c r="DPB931" s="18"/>
      <c r="DPC931" s="18"/>
      <c r="DPD931" s="18"/>
      <c r="DPE931" s="18"/>
      <c r="DPF931" s="18"/>
      <c r="DPG931" s="18"/>
      <c r="DPH931" s="18"/>
      <c r="DPI931" s="18"/>
      <c r="DPJ931" s="18"/>
      <c r="DPK931" s="18"/>
      <c r="DPL931" s="18"/>
      <c r="DPM931" s="18"/>
      <c r="DPN931" s="18"/>
      <c r="DPO931" s="18"/>
      <c r="DPP931" s="18"/>
      <c r="DPQ931" s="18"/>
      <c r="DPR931" s="18"/>
      <c r="DPS931" s="18"/>
      <c r="DPT931" s="18"/>
      <c r="DPU931" s="18"/>
      <c r="DPV931" s="18"/>
      <c r="DPW931" s="18"/>
      <c r="DPX931" s="18"/>
      <c r="DPY931" s="18"/>
      <c r="DPZ931" s="18"/>
      <c r="DQA931" s="18"/>
      <c r="DQB931" s="18"/>
      <c r="DQC931" s="18"/>
      <c r="DQD931" s="18"/>
      <c r="DQE931" s="18"/>
      <c r="DQF931" s="18"/>
      <c r="DQG931" s="18"/>
      <c r="DQH931" s="18"/>
      <c r="DQI931" s="18"/>
      <c r="DQJ931" s="18"/>
      <c r="DQK931" s="18"/>
      <c r="DQL931" s="18"/>
      <c r="DQM931" s="18"/>
      <c r="DQN931" s="18"/>
      <c r="DQO931" s="18"/>
      <c r="DQP931" s="18"/>
      <c r="DQQ931" s="18"/>
      <c r="DQR931" s="18"/>
      <c r="DQS931" s="18"/>
      <c r="DQT931" s="18"/>
      <c r="DQU931" s="18"/>
      <c r="DQV931" s="18"/>
      <c r="DQW931" s="18"/>
      <c r="DQX931" s="18"/>
      <c r="DQY931" s="18"/>
      <c r="DQZ931" s="18"/>
      <c r="DRA931" s="18"/>
      <c r="DRB931" s="18"/>
      <c r="DRC931" s="18"/>
      <c r="DRD931" s="18"/>
      <c r="DRE931" s="18"/>
      <c r="DRF931" s="18"/>
      <c r="DRG931" s="18"/>
      <c r="DRH931" s="18"/>
      <c r="DRI931" s="18"/>
      <c r="DRJ931" s="18"/>
      <c r="DRK931" s="18"/>
      <c r="DRL931" s="18"/>
      <c r="DRM931" s="18"/>
      <c r="DRN931" s="18"/>
      <c r="DRO931" s="18"/>
      <c r="DRP931" s="18"/>
      <c r="DRQ931" s="18"/>
      <c r="DRR931" s="18"/>
      <c r="DRS931" s="18"/>
      <c r="DRT931" s="18"/>
      <c r="DRU931" s="18"/>
      <c r="DRV931" s="18"/>
      <c r="DRW931" s="18"/>
      <c r="DRX931" s="18"/>
      <c r="DRY931" s="18"/>
      <c r="DRZ931" s="18"/>
      <c r="DSA931" s="18"/>
      <c r="DSB931" s="18"/>
      <c r="DSC931" s="18"/>
      <c r="DSD931" s="18"/>
      <c r="DSE931" s="18"/>
      <c r="DSF931" s="18"/>
      <c r="DSG931" s="18"/>
      <c r="DSH931" s="18"/>
      <c r="DSI931" s="18"/>
      <c r="DSJ931" s="18"/>
      <c r="DSK931" s="18"/>
      <c r="DSL931" s="18"/>
      <c r="DSM931" s="18"/>
      <c r="DSN931" s="18"/>
      <c r="DSO931" s="18"/>
      <c r="DSP931" s="18"/>
      <c r="DSQ931" s="18"/>
      <c r="DSR931" s="18"/>
      <c r="DSS931" s="18"/>
      <c r="DST931" s="18"/>
      <c r="DSU931" s="18"/>
      <c r="DSV931" s="18"/>
      <c r="DSW931" s="18"/>
      <c r="DSX931" s="18"/>
      <c r="DSY931" s="18"/>
      <c r="DSZ931" s="18"/>
      <c r="DTA931" s="18"/>
      <c r="DTB931" s="18"/>
      <c r="DTC931" s="18"/>
      <c r="DTD931" s="18"/>
      <c r="DTE931" s="18"/>
      <c r="DTF931" s="18"/>
      <c r="DTG931" s="18"/>
      <c r="DTH931" s="18"/>
      <c r="DTI931" s="18"/>
      <c r="DTJ931" s="18"/>
      <c r="DTK931" s="18"/>
      <c r="DTL931" s="18"/>
      <c r="DTM931" s="18"/>
      <c r="DTN931" s="18"/>
      <c r="DTO931" s="18"/>
      <c r="DTP931" s="18"/>
      <c r="DTQ931" s="18"/>
      <c r="DTR931" s="18"/>
      <c r="DTS931" s="18"/>
      <c r="DTT931" s="18"/>
      <c r="DTU931" s="18"/>
      <c r="DTV931" s="18"/>
      <c r="DTW931" s="18"/>
      <c r="DTX931" s="18"/>
      <c r="DTY931" s="18"/>
      <c r="DTZ931" s="18"/>
      <c r="DUA931" s="18"/>
      <c r="DUB931" s="18"/>
      <c r="DUC931" s="18"/>
      <c r="DUD931" s="18"/>
      <c r="DUE931" s="18"/>
      <c r="DUF931" s="18"/>
      <c r="DUG931" s="18"/>
      <c r="DUH931" s="18"/>
      <c r="DUI931" s="18"/>
      <c r="DUJ931" s="18"/>
      <c r="DUK931" s="18"/>
      <c r="DUL931" s="18"/>
      <c r="DUM931" s="18"/>
      <c r="DUN931" s="18"/>
      <c r="DUO931" s="18"/>
      <c r="DUP931" s="18"/>
      <c r="DUQ931" s="18"/>
      <c r="DUR931" s="18"/>
      <c r="DUS931" s="18"/>
      <c r="DUT931" s="18"/>
      <c r="DUU931" s="18"/>
      <c r="DUV931" s="18"/>
      <c r="DUW931" s="18"/>
      <c r="DUX931" s="18"/>
      <c r="DUY931" s="18"/>
      <c r="DUZ931" s="18"/>
      <c r="DVA931" s="18"/>
      <c r="DVB931" s="18"/>
      <c r="DVC931" s="18"/>
      <c r="DVD931" s="18"/>
      <c r="DVE931" s="18"/>
      <c r="DVF931" s="18"/>
      <c r="DVG931" s="18"/>
      <c r="DVH931" s="18"/>
      <c r="DVI931" s="18"/>
      <c r="DVJ931" s="18"/>
      <c r="DVK931" s="18"/>
      <c r="DVL931" s="18"/>
      <c r="DVM931" s="18"/>
      <c r="DVN931" s="18"/>
      <c r="DVO931" s="18"/>
      <c r="DVP931" s="18"/>
      <c r="DVQ931" s="18"/>
      <c r="DVR931" s="18"/>
      <c r="DVS931" s="18"/>
      <c r="DVT931" s="18"/>
      <c r="DVU931" s="18"/>
      <c r="DVV931" s="18"/>
      <c r="DVW931" s="18"/>
      <c r="DVX931" s="18"/>
      <c r="DVY931" s="18"/>
      <c r="DVZ931" s="18"/>
      <c r="DWA931" s="18"/>
      <c r="DWB931" s="18"/>
      <c r="DWC931" s="18"/>
      <c r="DWD931" s="18"/>
      <c r="DWE931" s="18"/>
      <c r="DWF931" s="18"/>
      <c r="DWG931" s="18"/>
      <c r="DWH931" s="18"/>
      <c r="DWI931" s="18"/>
      <c r="DWJ931" s="18"/>
      <c r="DWK931" s="18"/>
      <c r="DWL931" s="18"/>
      <c r="DWM931" s="18"/>
      <c r="DWN931" s="18"/>
      <c r="DWO931" s="18"/>
      <c r="DWP931" s="18"/>
      <c r="DWQ931" s="18"/>
      <c r="DWR931" s="18"/>
      <c r="DWS931" s="18"/>
      <c r="DWT931" s="18"/>
      <c r="DWU931" s="18"/>
      <c r="DWV931" s="18"/>
      <c r="DWW931" s="18"/>
      <c r="DWX931" s="18"/>
      <c r="DWY931" s="18"/>
      <c r="DWZ931" s="18"/>
      <c r="DXA931" s="18"/>
      <c r="DXB931" s="18"/>
      <c r="DXC931" s="18"/>
      <c r="DXD931" s="18"/>
      <c r="DXE931" s="18"/>
      <c r="DXF931" s="18"/>
      <c r="DXG931" s="18"/>
      <c r="DXH931" s="18"/>
      <c r="DXI931" s="18"/>
      <c r="DXJ931" s="18"/>
      <c r="DXK931" s="18"/>
      <c r="DXL931" s="18"/>
      <c r="DXM931" s="18"/>
      <c r="DXN931" s="18"/>
      <c r="DXO931" s="18"/>
      <c r="DXP931" s="18"/>
      <c r="DXQ931" s="18"/>
      <c r="DXR931" s="18"/>
      <c r="DXS931" s="18"/>
      <c r="DXT931" s="18"/>
      <c r="DXU931" s="18"/>
      <c r="DXV931" s="18"/>
      <c r="DXW931" s="18"/>
      <c r="DXX931" s="18"/>
      <c r="DXY931" s="18"/>
      <c r="DXZ931" s="18"/>
      <c r="DYA931" s="18"/>
      <c r="DYB931" s="18"/>
      <c r="DYC931" s="18"/>
      <c r="DYD931" s="18"/>
      <c r="DYE931" s="18"/>
      <c r="DYF931" s="18"/>
      <c r="DYG931" s="18"/>
      <c r="DYH931" s="18"/>
      <c r="DYI931" s="18"/>
      <c r="DYJ931" s="18"/>
      <c r="DYK931" s="18"/>
      <c r="DYL931" s="18"/>
      <c r="DYM931" s="18"/>
      <c r="DYN931" s="18"/>
      <c r="DYO931" s="18"/>
      <c r="DYP931" s="18"/>
      <c r="DYQ931" s="18"/>
      <c r="DYR931" s="18"/>
      <c r="DYS931" s="18"/>
      <c r="DYT931" s="18"/>
      <c r="DYU931" s="18"/>
      <c r="DYV931" s="18"/>
      <c r="DYW931" s="18"/>
      <c r="DYX931" s="18"/>
      <c r="DYY931" s="18"/>
      <c r="DYZ931" s="18"/>
      <c r="DZA931" s="18"/>
      <c r="DZB931" s="18"/>
      <c r="DZC931" s="18"/>
      <c r="DZD931" s="18"/>
      <c r="DZE931" s="18"/>
      <c r="DZF931" s="18"/>
      <c r="DZG931" s="18"/>
      <c r="DZH931" s="18"/>
      <c r="DZI931" s="18"/>
      <c r="DZJ931" s="18"/>
      <c r="DZK931" s="18"/>
      <c r="DZL931" s="18"/>
      <c r="DZM931" s="18"/>
      <c r="DZN931" s="18"/>
      <c r="DZO931" s="18"/>
      <c r="DZP931" s="18"/>
      <c r="DZQ931" s="18"/>
      <c r="DZR931" s="18"/>
      <c r="DZS931" s="18"/>
      <c r="DZT931" s="18"/>
      <c r="DZU931" s="18"/>
      <c r="DZV931" s="18"/>
      <c r="DZW931" s="18"/>
      <c r="DZX931" s="18"/>
      <c r="DZY931" s="18"/>
      <c r="DZZ931" s="18"/>
      <c r="EAA931" s="18"/>
      <c r="EAB931" s="18"/>
      <c r="EAC931" s="18"/>
      <c r="EAD931" s="18"/>
      <c r="EAE931" s="18"/>
      <c r="EAF931" s="18"/>
      <c r="EAG931" s="18"/>
      <c r="EAH931" s="18"/>
      <c r="EAI931" s="18"/>
      <c r="EAJ931" s="18"/>
      <c r="EAK931" s="18"/>
      <c r="EAL931" s="18"/>
      <c r="EAM931" s="18"/>
      <c r="EAN931" s="18"/>
      <c r="EAO931" s="18"/>
      <c r="EAP931" s="18"/>
      <c r="EAQ931" s="18"/>
      <c r="EAR931" s="18"/>
      <c r="EAS931" s="18"/>
      <c r="EAT931" s="18"/>
      <c r="EAU931" s="18"/>
      <c r="EAV931" s="18"/>
      <c r="EAW931" s="18"/>
      <c r="EAX931" s="18"/>
      <c r="EAY931" s="18"/>
      <c r="EAZ931" s="18"/>
      <c r="EBA931" s="18"/>
      <c r="EBB931" s="18"/>
      <c r="EBC931" s="18"/>
      <c r="EBD931" s="18"/>
      <c r="EBE931" s="18"/>
      <c r="EBF931" s="18"/>
      <c r="EBG931" s="18"/>
      <c r="EBH931" s="18"/>
      <c r="EBI931" s="18"/>
      <c r="EBJ931" s="18"/>
      <c r="EBK931" s="18"/>
      <c r="EBL931" s="18"/>
      <c r="EBM931" s="18"/>
      <c r="EBN931" s="18"/>
      <c r="EBO931" s="18"/>
      <c r="EBP931" s="18"/>
      <c r="EBQ931" s="18"/>
      <c r="EBR931" s="18"/>
      <c r="EBS931" s="18"/>
      <c r="EBT931" s="18"/>
      <c r="EBU931" s="18"/>
      <c r="EBV931" s="18"/>
      <c r="EBW931" s="18"/>
      <c r="EBX931" s="18"/>
      <c r="EBY931" s="18"/>
      <c r="EBZ931" s="18"/>
      <c r="ECA931" s="18"/>
      <c r="ECB931" s="18"/>
      <c r="ECC931" s="18"/>
      <c r="ECD931" s="18"/>
      <c r="ECE931" s="18"/>
      <c r="ECF931" s="18"/>
      <c r="ECG931" s="18"/>
      <c r="ECH931" s="18"/>
      <c r="ECI931" s="18"/>
      <c r="ECJ931" s="18"/>
      <c r="ECK931" s="18"/>
      <c r="ECL931" s="18"/>
      <c r="ECM931" s="18"/>
      <c r="ECN931" s="18"/>
      <c r="ECO931" s="18"/>
      <c r="ECP931" s="18"/>
      <c r="ECQ931" s="18"/>
      <c r="ECR931" s="18"/>
      <c r="ECS931" s="18"/>
      <c r="ECT931" s="18"/>
      <c r="ECU931" s="18"/>
      <c r="ECV931" s="18"/>
      <c r="ECW931" s="18"/>
      <c r="ECX931" s="18"/>
      <c r="ECY931" s="18"/>
      <c r="ECZ931" s="18"/>
      <c r="EDA931" s="18"/>
      <c r="EDB931" s="18"/>
      <c r="EDC931" s="18"/>
      <c r="EDD931" s="18"/>
      <c r="EDE931" s="18"/>
      <c r="EDF931" s="18"/>
      <c r="EDG931" s="18"/>
      <c r="EDH931" s="18"/>
      <c r="EDI931" s="18"/>
      <c r="EDJ931" s="18"/>
      <c r="EDK931" s="18"/>
      <c r="EDL931" s="18"/>
      <c r="EDM931" s="18"/>
      <c r="EDN931" s="18"/>
      <c r="EDO931" s="18"/>
      <c r="EDP931" s="18"/>
      <c r="EDQ931" s="18"/>
      <c r="EDR931" s="18"/>
      <c r="EDS931" s="18"/>
      <c r="EDT931" s="18"/>
      <c r="EDU931" s="18"/>
      <c r="EDV931" s="18"/>
      <c r="EDW931" s="18"/>
      <c r="EDX931" s="18"/>
      <c r="EDY931" s="18"/>
      <c r="EDZ931" s="18"/>
      <c r="EEA931" s="18"/>
      <c r="EEB931" s="18"/>
      <c r="EEC931" s="18"/>
      <c r="EED931" s="18"/>
      <c r="EEE931" s="18"/>
      <c r="EEF931" s="18"/>
      <c r="EEG931" s="18"/>
      <c r="EEH931" s="18"/>
      <c r="EEI931" s="18"/>
      <c r="EEJ931" s="18"/>
      <c r="EEK931" s="18"/>
      <c r="EEL931" s="18"/>
      <c r="EEM931" s="18"/>
      <c r="EEN931" s="18"/>
      <c r="EEO931" s="18"/>
      <c r="EEP931" s="18"/>
      <c r="EEQ931" s="18"/>
      <c r="EER931" s="18"/>
      <c r="EES931" s="18"/>
      <c r="EET931" s="18"/>
      <c r="EEU931" s="18"/>
      <c r="EEV931" s="18"/>
      <c r="EEW931" s="18"/>
      <c r="EEX931" s="18"/>
      <c r="EEY931" s="18"/>
      <c r="EEZ931" s="18"/>
      <c r="EFA931" s="18"/>
      <c r="EFB931" s="18"/>
      <c r="EFC931" s="18"/>
      <c r="EFD931" s="18"/>
      <c r="EFE931" s="18"/>
      <c r="EFF931" s="18"/>
      <c r="EFG931" s="18"/>
      <c r="EFH931" s="18"/>
      <c r="EFI931" s="18"/>
      <c r="EFJ931" s="18"/>
      <c r="EFK931" s="18"/>
      <c r="EFL931" s="18"/>
      <c r="EFM931" s="18"/>
      <c r="EFN931" s="18"/>
      <c r="EFO931" s="18"/>
      <c r="EFP931" s="18"/>
      <c r="EFQ931" s="18"/>
      <c r="EFR931" s="18"/>
      <c r="EFS931" s="18"/>
      <c r="EFT931" s="18"/>
      <c r="EFU931" s="18"/>
      <c r="EFV931" s="18"/>
      <c r="EFW931" s="18"/>
      <c r="EFX931" s="18"/>
      <c r="EFY931" s="18"/>
      <c r="EFZ931" s="18"/>
      <c r="EGA931" s="18"/>
      <c r="EGB931" s="18"/>
      <c r="EGC931" s="18"/>
      <c r="EGD931" s="18"/>
      <c r="EGE931" s="18"/>
      <c r="EGF931" s="18"/>
      <c r="EGG931" s="18"/>
      <c r="EGH931" s="18"/>
      <c r="EGI931" s="18"/>
      <c r="EGJ931" s="18"/>
      <c r="EGK931" s="18"/>
      <c r="EGL931" s="18"/>
      <c r="EGM931" s="18"/>
      <c r="EGN931" s="18"/>
      <c r="EGO931" s="18"/>
      <c r="EGP931" s="18"/>
      <c r="EGQ931" s="18"/>
      <c r="EGR931" s="18"/>
      <c r="EGS931" s="18"/>
      <c r="EGT931" s="18"/>
      <c r="EGU931" s="18"/>
      <c r="EGV931" s="18"/>
      <c r="EGW931" s="18"/>
      <c r="EGX931" s="18"/>
      <c r="EGY931" s="18"/>
      <c r="EGZ931" s="18"/>
      <c r="EHA931" s="18"/>
      <c r="EHB931" s="18"/>
      <c r="EHC931" s="18"/>
      <c r="EHD931" s="18"/>
      <c r="EHE931" s="18"/>
      <c r="EHF931" s="18"/>
      <c r="EHG931" s="18"/>
      <c r="EHH931" s="18"/>
      <c r="EHI931" s="18"/>
      <c r="EHJ931" s="18"/>
      <c r="EHK931" s="18"/>
      <c r="EHL931" s="18"/>
      <c r="EHM931" s="18"/>
      <c r="EHN931" s="18"/>
      <c r="EHO931" s="18"/>
      <c r="EHP931" s="18"/>
      <c r="EHQ931" s="18"/>
      <c r="EHR931" s="18"/>
      <c r="EHS931" s="18"/>
      <c r="EHT931" s="18"/>
      <c r="EHU931" s="18"/>
      <c r="EHV931" s="18"/>
      <c r="EHW931" s="18"/>
      <c r="EHX931" s="18"/>
      <c r="EHY931" s="18"/>
      <c r="EHZ931" s="18"/>
      <c r="EIA931" s="18"/>
      <c r="EIB931" s="18"/>
      <c r="EIC931" s="18"/>
      <c r="EID931" s="18"/>
      <c r="EIE931" s="18"/>
      <c r="EIF931" s="18"/>
      <c r="EIG931" s="18"/>
      <c r="EIH931" s="18"/>
      <c r="EII931" s="18"/>
      <c r="EIJ931" s="18"/>
      <c r="EIK931" s="18"/>
      <c r="EIL931" s="18"/>
      <c r="EIM931" s="18"/>
      <c r="EIN931" s="18"/>
      <c r="EIO931" s="18"/>
      <c r="EIP931" s="18"/>
      <c r="EIQ931" s="18"/>
      <c r="EIR931" s="18"/>
      <c r="EIS931" s="18"/>
      <c r="EIT931" s="18"/>
      <c r="EIU931" s="18"/>
      <c r="EIV931" s="18"/>
      <c r="EIW931" s="18"/>
      <c r="EIX931" s="18"/>
      <c r="EIY931" s="18"/>
      <c r="EIZ931" s="18"/>
      <c r="EJA931" s="18"/>
      <c r="EJB931" s="18"/>
      <c r="EJC931" s="18"/>
      <c r="EJD931" s="18"/>
      <c r="EJE931" s="18"/>
      <c r="EJF931" s="18"/>
      <c r="EJG931" s="18"/>
      <c r="EJH931" s="18"/>
      <c r="EJI931" s="18"/>
      <c r="EJJ931" s="18"/>
      <c r="EJK931" s="18"/>
      <c r="EJL931" s="18"/>
      <c r="EJM931" s="18"/>
      <c r="EJN931" s="18"/>
      <c r="EJO931" s="18"/>
      <c r="EJP931" s="18"/>
      <c r="EJQ931" s="18"/>
      <c r="EJR931" s="18"/>
      <c r="EJS931" s="18"/>
      <c r="EJT931" s="18"/>
      <c r="EJU931" s="18"/>
      <c r="EJV931" s="18"/>
      <c r="EJW931" s="18"/>
      <c r="EJX931" s="18"/>
      <c r="EJY931" s="18"/>
      <c r="EJZ931" s="18"/>
      <c r="EKA931" s="18"/>
      <c r="EKB931" s="18"/>
      <c r="EKC931" s="18"/>
      <c r="EKD931" s="18"/>
      <c r="EKE931" s="18"/>
      <c r="EKF931" s="18"/>
      <c r="EKG931" s="18"/>
      <c r="EKH931" s="18"/>
      <c r="EKI931" s="18"/>
      <c r="EKJ931" s="18"/>
      <c r="EKK931" s="18"/>
      <c r="EKL931" s="18"/>
      <c r="EKM931" s="18"/>
      <c r="EKN931" s="18"/>
      <c r="EKO931" s="18"/>
      <c r="EKP931" s="18"/>
      <c r="EKQ931" s="18"/>
      <c r="EKR931" s="18"/>
      <c r="EKS931" s="18"/>
      <c r="EKT931" s="18"/>
      <c r="EKU931" s="18"/>
      <c r="EKV931" s="18"/>
      <c r="EKW931" s="18"/>
      <c r="EKX931" s="18"/>
      <c r="EKY931" s="18"/>
      <c r="EKZ931" s="18"/>
      <c r="ELA931" s="18"/>
      <c r="ELB931" s="18"/>
      <c r="ELC931" s="18"/>
      <c r="ELD931" s="18"/>
      <c r="ELE931" s="18"/>
      <c r="ELF931" s="18"/>
      <c r="ELG931" s="18"/>
      <c r="ELH931" s="18"/>
      <c r="ELI931" s="18"/>
      <c r="ELJ931" s="18"/>
      <c r="ELK931" s="18"/>
      <c r="ELL931" s="18"/>
      <c r="ELM931" s="18"/>
      <c r="ELN931" s="18"/>
      <c r="ELO931" s="18"/>
      <c r="ELP931" s="18"/>
      <c r="ELQ931" s="18"/>
      <c r="ELR931" s="18"/>
      <c r="ELS931" s="18"/>
      <c r="ELT931" s="18"/>
      <c r="ELU931" s="18"/>
      <c r="ELV931" s="18"/>
      <c r="ELW931" s="18"/>
      <c r="ELX931" s="18"/>
      <c r="ELY931" s="18"/>
      <c r="ELZ931" s="18"/>
      <c r="EMA931" s="18"/>
      <c r="EMB931" s="18"/>
      <c r="EMC931" s="18"/>
      <c r="EMD931" s="18"/>
      <c r="EME931" s="18"/>
      <c r="EMF931" s="18"/>
      <c r="EMG931" s="18"/>
      <c r="EMH931" s="18"/>
      <c r="EMI931" s="18"/>
      <c r="EMJ931" s="18"/>
      <c r="EMK931" s="18"/>
      <c r="EML931" s="18"/>
      <c r="EMM931" s="18"/>
      <c r="EMN931" s="18"/>
      <c r="EMO931" s="18"/>
      <c r="EMP931" s="18"/>
      <c r="EMQ931" s="18"/>
      <c r="EMR931" s="18"/>
      <c r="EMS931" s="18"/>
      <c r="EMT931" s="18"/>
      <c r="EMU931" s="18"/>
      <c r="EMV931" s="18"/>
      <c r="EMW931" s="18"/>
      <c r="EMX931" s="18"/>
      <c r="EMY931" s="18"/>
      <c r="EMZ931" s="18"/>
      <c r="ENA931" s="18"/>
      <c r="ENB931" s="18"/>
      <c r="ENC931" s="18"/>
      <c r="END931" s="18"/>
      <c r="ENE931" s="18"/>
      <c r="ENF931" s="18"/>
      <c r="ENG931" s="18"/>
      <c r="ENH931" s="18"/>
      <c r="ENI931" s="18"/>
      <c r="ENJ931" s="18"/>
      <c r="ENK931" s="18"/>
      <c r="ENL931" s="18"/>
      <c r="ENM931" s="18"/>
      <c r="ENN931" s="18"/>
      <c r="ENO931" s="18"/>
      <c r="ENP931" s="18"/>
      <c r="ENQ931" s="18"/>
      <c r="ENR931" s="18"/>
      <c r="ENS931" s="18"/>
      <c r="ENT931" s="18"/>
      <c r="ENU931" s="18"/>
      <c r="ENV931" s="18"/>
      <c r="ENW931" s="18"/>
      <c r="ENX931" s="18"/>
      <c r="ENY931" s="18"/>
      <c r="ENZ931" s="18"/>
      <c r="EOA931" s="18"/>
      <c r="EOB931" s="18"/>
      <c r="EOC931" s="18"/>
      <c r="EOD931" s="18"/>
      <c r="EOE931" s="18"/>
      <c r="EOF931" s="18"/>
      <c r="EOG931" s="18"/>
      <c r="EOH931" s="18"/>
      <c r="EOI931" s="18"/>
      <c r="EOJ931" s="18"/>
      <c r="EOK931" s="18"/>
      <c r="EOL931" s="18"/>
      <c r="EOM931" s="18"/>
      <c r="EON931" s="18"/>
      <c r="EOO931" s="18"/>
      <c r="EOP931" s="18"/>
      <c r="EOQ931" s="18"/>
      <c r="EOR931" s="18"/>
      <c r="EOS931" s="18"/>
      <c r="EOT931" s="18"/>
      <c r="EOU931" s="18"/>
      <c r="EOV931" s="18"/>
      <c r="EOW931" s="18"/>
      <c r="EOX931" s="18"/>
      <c r="EOY931" s="18"/>
      <c r="EOZ931" s="18"/>
      <c r="EPA931" s="18"/>
      <c r="EPB931" s="18"/>
      <c r="EPC931" s="18"/>
      <c r="EPD931" s="18"/>
      <c r="EPE931" s="18"/>
      <c r="EPF931" s="18"/>
      <c r="EPG931" s="18"/>
      <c r="EPH931" s="18"/>
      <c r="EPI931" s="18"/>
      <c r="EPJ931" s="18"/>
      <c r="EPK931" s="18"/>
      <c r="EPL931" s="18"/>
      <c r="EPM931" s="18"/>
      <c r="EPN931" s="18"/>
      <c r="EPO931" s="18"/>
      <c r="EPP931" s="18"/>
      <c r="EPQ931" s="18"/>
      <c r="EPR931" s="18"/>
      <c r="EPS931" s="18"/>
      <c r="EPT931" s="18"/>
      <c r="EPU931" s="18"/>
      <c r="EPV931" s="18"/>
      <c r="EPW931" s="18"/>
      <c r="EPX931" s="18"/>
      <c r="EPY931" s="18"/>
      <c r="EPZ931" s="18"/>
      <c r="EQA931" s="18"/>
      <c r="EQB931" s="18"/>
      <c r="EQC931" s="18"/>
      <c r="EQD931" s="18"/>
      <c r="EQE931" s="18"/>
      <c r="EQF931" s="18"/>
      <c r="EQG931" s="18"/>
      <c r="EQH931" s="18"/>
      <c r="EQI931" s="18"/>
      <c r="EQJ931" s="18"/>
      <c r="EQK931" s="18"/>
      <c r="EQL931" s="18"/>
      <c r="EQM931" s="18"/>
      <c r="EQN931" s="18"/>
      <c r="EQO931" s="18"/>
      <c r="EQP931" s="18"/>
      <c r="EQQ931" s="18"/>
      <c r="EQR931" s="18"/>
      <c r="EQS931" s="18"/>
      <c r="EQT931" s="18"/>
      <c r="EQU931" s="18"/>
      <c r="EQV931" s="18"/>
      <c r="EQW931" s="18"/>
      <c r="EQX931" s="18"/>
      <c r="EQY931" s="18"/>
      <c r="EQZ931" s="18"/>
      <c r="ERA931" s="18"/>
      <c r="ERB931" s="18"/>
      <c r="ERC931" s="18"/>
      <c r="ERD931" s="18"/>
      <c r="ERE931" s="18"/>
      <c r="ERF931" s="18"/>
      <c r="ERG931" s="18"/>
      <c r="ERH931" s="18"/>
      <c r="ERI931" s="18"/>
      <c r="ERJ931" s="18"/>
      <c r="ERK931" s="18"/>
      <c r="ERL931" s="18"/>
      <c r="ERM931" s="18"/>
      <c r="ERN931" s="18"/>
      <c r="ERO931" s="18"/>
      <c r="ERP931" s="18"/>
      <c r="ERQ931" s="18"/>
      <c r="ERR931" s="18"/>
      <c r="ERS931" s="18"/>
      <c r="ERT931" s="18"/>
      <c r="ERU931" s="18"/>
      <c r="ERV931" s="18"/>
      <c r="ERW931" s="18"/>
      <c r="ERX931" s="18"/>
      <c r="ERY931" s="18"/>
      <c r="ERZ931" s="18"/>
      <c r="ESA931" s="18"/>
      <c r="ESB931" s="18"/>
      <c r="ESC931" s="18"/>
      <c r="ESD931" s="18"/>
      <c r="ESE931" s="18"/>
      <c r="ESF931" s="18"/>
      <c r="ESG931" s="18"/>
      <c r="ESH931" s="18"/>
      <c r="ESI931" s="18"/>
      <c r="ESJ931" s="18"/>
      <c r="ESK931" s="18"/>
      <c r="ESL931" s="18"/>
      <c r="ESM931" s="18"/>
      <c r="ESN931" s="18"/>
      <c r="ESO931" s="18"/>
      <c r="ESP931" s="18"/>
      <c r="ESQ931" s="18"/>
      <c r="ESR931" s="18"/>
      <c r="ESS931" s="18"/>
      <c r="EST931" s="18"/>
      <c r="ESU931" s="18"/>
      <c r="ESV931" s="18"/>
      <c r="ESW931" s="18"/>
      <c r="ESX931" s="18"/>
      <c r="ESY931" s="18"/>
      <c r="ESZ931" s="18"/>
      <c r="ETA931" s="18"/>
      <c r="ETB931" s="18"/>
      <c r="ETC931" s="18"/>
      <c r="ETD931" s="18"/>
      <c r="ETE931" s="18"/>
      <c r="ETF931" s="18"/>
      <c r="ETG931" s="18"/>
      <c r="ETH931" s="18"/>
      <c r="ETI931" s="18"/>
      <c r="ETJ931" s="18"/>
      <c r="ETK931" s="18"/>
      <c r="ETL931" s="18"/>
      <c r="ETM931" s="18"/>
      <c r="ETN931" s="18"/>
      <c r="ETO931" s="18"/>
      <c r="ETP931" s="18"/>
      <c r="ETQ931" s="18"/>
      <c r="ETR931" s="18"/>
      <c r="ETS931" s="18"/>
      <c r="ETT931" s="18"/>
      <c r="ETU931" s="18"/>
      <c r="ETV931" s="18"/>
      <c r="ETW931" s="18"/>
      <c r="ETX931" s="18"/>
      <c r="ETY931" s="18"/>
      <c r="ETZ931" s="18"/>
      <c r="EUA931" s="18"/>
      <c r="EUB931" s="18"/>
      <c r="EUC931" s="18"/>
      <c r="EUD931" s="18"/>
      <c r="EUE931" s="18"/>
      <c r="EUF931" s="18"/>
      <c r="EUG931" s="18"/>
      <c r="EUH931" s="18"/>
      <c r="EUI931" s="18"/>
      <c r="EUJ931" s="18"/>
      <c r="EUK931" s="18"/>
      <c r="EUL931" s="18"/>
      <c r="EUM931" s="18"/>
      <c r="EUN931" s="18"/>
      <c r="EUO931" s="18"/>
      <c r="EUP931" s="18"/>
      <c r="EUQ931" s="18"/>
      <c r="EUR931" s="18"/>
      <c r="EUS931" s="18"/>
      <c r="EUT931" s="18"/>
      <c r="EUU931" s="18"/>
      <c r="EUV931" s="18"/>
      <c r="EUW931" s="18"/>
      <c r="EUX931" s="18"/>
      <c r="EUY931" s="18"/>
      <c r="EUZ931" s="18"/>
      <c r="EVA931" s="18"/>
      <c r="EVB931" s="18"/>
      <c r="EVC931" s="18"/>
      <c r="EVD931" s="18"/>
      <c r="EVE931" s="18"/>
      <c r="EVF931" s="18"/>
      <c r="EVG931" s="18"/>
      <c r="EVH931" s="18"/>
      <c r="EVI931" s="18"/>
      <c r="EVJ931" s="18"/>
      <c r="EVK931" s="18"/>
      <c r="EVL931" s="18"/>
      <c r="EVM931" s="18"/>
      <c r="EVN931" s="18"/>
      <c r="EVO931" s="18"/>
      <c r="EVP931" s="18"/>
      <c r="EVQ931" s="18"/>
      <c r="EVR931" s="18"/>
      <c r="EVS931" s="18"/>
      <c r="EVT931" s="18"/>
      <c r="EVU931" s="18"/>
      <c r="EVV931" s="18"/>
      <c r="EVW931" s="18"/>
      <c r="EVX931" s="18"/>
      <c r="EVY931" s="18"/>
      <c r="EVZ931" s="18"/>
      <c r="EWA931" s="18"/>
      <c r="EWB931" s="18"/>
      <c r="EWC931" s="18"/>
      <c r="EWD931" s="18"/>
      <c r="EWE931" s="18"/>
      <c r="EWF931" s="18"/>
      <c r="EWG931" s="18"/>
      <c r="EWH931" s="18"/>
      <c r="EWI931" s="18"/>
      <c r="EWJ931" s="18"/>
      <c r="EWK931" s="18"/>
      <c r="EWL931" s="18"/>
      <c r="EWM931" s="18"/>
      <c r="EWN931" s="18"/>
      <c r="EWO931" s="18"/>
      <c r="EWP931" s="18"/>
      <c r="EWQ931" s="18"/>
      <c r="EWR931" s="18"/>
      <c r="EWS931" s="18"/>
      <c r="EWT931" s="18"/>
      <c r="EWU931" s="18"/>
      <c r="EWV931" s="18"/>
      <c r="EWW931" s="18"/>
      <c r="EWX931" s="18"/>
      <c r="EWY931" s="18"/>
      <c r="EWZ931" s="18"/>
      <c r="EXA931" s="18"/>
      <c r="EXB931" s="18"/>
      <c r="EXC931" s="18"/>
      <c r="EXD931" s="18"/>
      <c r="EXE931" s="18"/>
      <c r="EXF931" s="18"/>
      <c r="EXG931" s="18"/>
      <c r="EXH931" s="18"/>
      <c r="EXI931" s="18"/>
      <c r="EXJ931" s="18"/>
      <c r="EXK931" s="18"/>
      <c r="EXL931" s="18"/>
      <c r="EXM931" s="18"/>
      <c r="EXN931" s="18"/>
      <c r="EXO931" s="18"/>
      <c r="EXP931" s="18"/>
      <c r="EXQ931" s="18"/>
      <c r="EXR931" s="18"/>
      <c r="EXS931" s="18"/>
      <c r="EXT931" s="18"/>
      <c r="EXU931" s="18"/>
      <c r="EXV931" s="18"/>
      <c r="EXW931" s="18"/>
      <c r="EXX931" s="18"/>
      <c r="EXY931" s="18"/>
      <c r="EXZ931" s="18"/>
      <c r="EYA931" s="18"/>
      <c r="EYB931" s="18"/>
      <c r="EYC931" s="18"/>
      <c r="EYD931" s="18"/>
      <c r="EYE931" s="18"/>
      <c r="EYF931" s="18"/>
      <c r="EYG931" s="18"/>
      <c r="EYH931" s="18"/>
      <c r="EYI931" s="18"/>
      <c r="EYJ931" s="18"/>
      <c r="EYK931" s="18"/>
      <c r="EYL931" s="18"/>
      <c r="EYM931" s="18"/>
      <c r="EYN931" s="18"/>
      <c r="EYO931" s="18"/>
      <c r="EYP931" s="18"/>
      <c r="EYQ931" s="18"/>
      <c r="EYR931" s="18"/>
      <c r="EYS931" s="18"/>
      <c r="EYT931" s="18"/>
      <c r="EYU931" s="18"/>
      <c r="EYV931" s="18"/>
      <c r="EYW931" s="18"/>
      <c r="EYX931" s="18"/>
      <c r="EYY931" s="18"/>
      <c r="EYZ931" s="18"/>
      <c r="EZA931" s="18"/>
      <c r="EZB931" s="18"/>
      <c r="EZC931" s="18"/>
      <c r="EZD931" s="18"/>
      <c r="EZE931" s="18"/>
      <c r="EZF931" s="18"/>
      <c r="EZG931" s="18"/>
      <c r="EZH931" s="18"/>
      <c r="EZI931" s="18"/>
      <c r="EZJ931" s="18"/>
      <c r="EZK931" s="18"/>
      <c r="EZL931" s="18"/>
      <c r="EZM931" s="18"/>
      <c r="EZN931" s="18"/>
      <c r="EZO931" s="18"/>
      <c r="EZP931" s="18"/>
      <c r="EZQ931" s="18"/>
      <c r="EZR931" s="18"/>
      <c r="EZS931" s="18"/>
      <c r="EZT931" s="18"/>
      <c r="EZU931" s="18"/>
      <c r="EZV931" s="18"/>
      <c r="EZW931" s="18"/>
      <c r="EZX931" s="18"/>
      <c r="EZY931" s="18"/>
      <c r="EZZ931" s="18"/>
      <c r="FAA931" s="18"/>
      <c r="FAB931" s="18"/>
      <c r="FAC931" s="18"/>
      <c r="FAD931" s="18"/>
      <c r="FAE931" s="18"/>
      <c r="FAF931" s="18"/>
      <c r="FAG931" s="18"/>
      <c r="FAH931" s="18"/>
      <c r="FAI931" s="18"/>
      <c r="FAJ931" s="18"/>
      <c r="FAK931" s="18"/>
      <c r="FAL931" s="18"/>
      <c r="FAM931" s="18"/>
      <c r="FAN931" s="18"/>
      <c r="FAO931" s="18"/>
      <c r="FAP931" s="18"/>
      <c r="FAQ931" s="18"/>
      <c r="FAR931" s="18"/>
      <c r="FAS931" s="18"/>
      <c r="FAT931" s="18"/>
      <c r="FAU931" s="18"/>
      <c r="FAV931" s="18"/>
      <c r="FAW931" s="18"/>
      <c r="FAX931" s="18"/>
      <c r="FAY931" s="18"/>
      <c r="FAZ931" s="18"/>
      <c r="FBA931" s="18"/>
      <c r="FBB931" s="18"/>
      <c r="FBC931" s="18"/>
      <c r="FBD931" s="18"/>
      <c r="FBE931" s="18"/>
      <c r="FBF931" s="18"/>
      <c r="FBG931" s="18"/>
      <c r="FBH931" s="18"/>
      <c r="FBI931" s="18"/>
      <c r="FBJ931" s="18"/>
      <c r="FBK931" s="18"/>
      <c r="FBL931" s="18"/>
      <c r="FBM931" s="18"/>
      <c r="FBN931" s="18"/>
      <c r="FBO931" s="18"/>
      <c r="FBP931" s="18"/>
      <c r="FBQ931" s="18"/>
      <c r="FBR931" s="18"/>
      <c r="FBS931" s="18"/>
      <c r="FBT931" s="18"/>
      <c r="FBU931" s="18"/>
      <c r="FBV931" s="18"/>
      <c r="FBW931" s="18"/>
      <c r="FBX931" s="18"/>
      <c r="FBY931" s="18"/>
      <c r="FBZ931" s="18"/>
      <c r="FCA931" s="18"/>
      <c r="FCB931" s="18"/>
      <c r="FCC931" s="18"/>
      <c r="FCD931" s="18"/>
      <c r="FCE931" s="18"/>
      <c r="FCF931" s="18"/>
      <c r="FCG931" s="18"/>
      <c r="FCH931" s="18"/>
      <c r="FCI931" s="18"/>
      <c r="FCJ931" s="18"/>
      <c r="FCK931" s="18"/>
      <c r="FCL931" s="18"/>
      <c r="FCM931" s="18"/>
      <c r="FCN931" s="18"/>
      <c r="FCO931" s="18"/>
      <c r="FCP931" s="18"/>
      <c r="FCQ931" s="18"/>
      <c r="FCR931" s="18"/>
      <c r="FCS931" s="18"/>
      <c r="FCT931" s="18"/>
      <c r="FCU931" s="18"/>
      <c r="FCV931" s="18"/>
      <c r="FCW931" s="18"/>
      <c r="FCX931" s="18"/>
      <c r="FCY931" s="18"/>
      <c r="FCZ931" s="18"/>
      <c r="FDA931" s="18"/>
      <c r="FDB931" s="18"/>
      <c r="FDC931" s="18"/>
      <c r="FDD931" s="18"/>
      <c r="FDE931" s="18"/>
      <c r="FDF931" s="18"/>
      <c r="FDG931" s="18"/>
      <c r="FDH931" s="18"/>
      <c r="FDI931" s="18"/>
      <c r="FDJ931" s="18"/>
      <c r="FDK931" s="18"/>
      <c r="FDL931" s="18"/>
      <c r="FDM931" s="18"/>
      <c r="FDN931" s="18"/>
      <c r="FDO931" s="18"/>
      <c r="FDP931" s="18"/>
      <c r="FDQ931" s="18"/>
      <c r="FDR931" s="18"/>
      <c r="FDS931" s="18"/>
      <c r="FDT931" s="18"/>
      <c r="FDU931" s="18"/>
      <c r="FDV931" s="18"/>
      <c r="FDW931" s="18"/>
      <c r="FDX931" s="18"/>
      <c r="FDY931" s="18"/>
      <c r="FDZ931" s="18"/>
      <c r="FEA931" s="18"/>
      <c r="FEB931" s="18"/>
      <c r="FEC931" s="18"/>
      <c r="FED931" s="18"/>
      <c r="FEE931" s="18"/>
      <c r="FEF931" s="18"/>
      <c r="FEG931" s="18"/>
      <c r="FEH931" s="18"/>
      <c r="FEI931" s="18"/>
      <c r="FEJ931" s="18"/>
      <c r="FEK931" s="18"/>
      <c r="FEL931" s="18"/>
      <c r="FEM931" s="18"/>
      <c r="FEN931" s="18"/>
      <c r="FEO931" s="18"/>
      <c r="FEP931" s="18"/>
      <c r="FEQ931" s="18"/>
      <c r="FER931" s="18"/>
      <c r="FES931" s="18"/>
      <c r="FET931" s="18"/>
      <c r="FEU931" s="18"/>
      <c r="FEV931" s="18"/>
      <c r="FEW931" s="18"/>
      <c r="FEX931" s="18"/>
      <c r="FEY931" s="18"/>
      <c r="FEZ931" s="18"/>
      <c r="FFA931" s="18"/>
      <c r="FFB931" s="18"/>
      <c r="FFC931" s="18"/>
      <c r="FFD931" s="18"/>
      <c r="FFE931" s="18"/>
      <c r="FFF931" s="18"/>
      <c r="FFG931" s="18"/>
      <c r="FFH931" s="18"/>
      <c r="FFI931" s="18"/>
      <c r="FFJ931" s="18"/>
      <c r="FFK931" s="18"/>
      <c r="FFL931" s="18"/>
      <c r="FFM931" s="18"/>
      <c r="FFN931" s="18"/>
      <c r="FFO931" s="18"/>
      <c r="FFP931" s="18"/>
      <c r="FFQ931" s="18"/>
      <c r="FFR931" s="18"/>
      <c r="FFS931" s="18"/>
      <c r="FFT931" s="18"/>
      <c r="FFU931" s="18"/>
      <c r="FFV931" s="18"/>
      <c r="FFW931" s="18"/>
      <c r="FFX931" s="18"/>
      <c r="FFY931" s="18"/>
      <c r="FFZ931" s="18"/>
      <c r="FGA931" s="18"/>
      <c r="FGB931" s="18"/>
      <c r="FGC931" s="18"/>
      <c r="FGD931" s="18"/>
      <c r="FGE931" s="18"/>
      <c r="FGF931" s="18"/>
      <c r="FGG931" s="18"/>
      <c r="FGH931" s="18"/>
      <c r="FGI931" s="18"/>
      <c r="FGJ931" s="18"/>
      <c r="FGK931" s="18"/>
      <c r="FGL931" s="18"/>
      <c r="FGM931" s="18"/>
      <c r="FGN931" s="18"/>
      <c r="FGO931" s="18"/>
      <c r="FGP931" s="18"/>
      <c r="FGQ931" s="18"/>
      <c r="FGR931" s="18"/>
      <c r="FGS931" s="18"/>
      <c r="FGT931" s="18"/>
      <c r="FGU931" s="18"/>
      <c r="FGV931" s="18"/>
      <c r="FGW931" s="18"/>
      <c r="FGX931" s="18"/>
      <c r="FGY931" s="18"/>
      <c r="FGZ931" s="18"/>
      <c r="FHA931" s="18"/>
      <c r="FHB931" s="18"/>
      <c r="FHC931" s="18"/>
      <c r="FHD931" s="18"/>
      <c r="FHE931" s="18"/>
      <c r="FHF931" s="18"/>
      <c r="FHG931" s="18"/>
      <c r="FHH931" s="18"/>
      <c r="FHI931" s="18"/>
      <c r="FHJ931" s="18"/>
      <c r="FHK931" s="18"/>
      <c r="FHL931" s="18"/>
      <c r="FHM931" s="18"/>
      <c r="FHN931" s="18"/>
      <c r="FHO931" s="18"/>
      <c r="FHP931" s="18"/>
      <c r="FHQ931" s="18"/>
      <c r="FHR931" s="18"/>
      <c r="FHS931" s="18"/>
      <c r="FHT931" s="18"/>
      <c r="FHU931" s="18"/>
      <c r="FHV931" s="18"/>
      <c r="FHW931" s="18"/>
      <c r="FHX931" s="18"/>
      <c r="FHY931" s="18"/>
      <c r="FHZ931" s="18"/>
      <c r="FIA931" s="18"/>
      <c r="FIB931" s="18"/>
      <c r="FIC931" s="18"/>
      <c r="FID931" s="18"/>
      <c r="FIE931" s="18"/>
      <c r="FIF931" s="18"/>
      <c r="FIG931" s="18"/>
      <c r="FIH931" s="18"/>
      <c r="FII931" s="18"/>
      <c r="FIJ931" s="18"/>
      <c r="FIK931" s="18"/>
      <c r="FIL931" s="18"/>
      <c r="FIM931" s="18"/>
      <c r="FIN931" s="18"/>
      <c r="FIO931" s="18"/>
      <c r="FIP931" s="18"/>
      <c r="FIQ931" s="18"/>
      <c r="FIR931" s="18"/>
      <c r="FIS931" s="18"/>
      <c r="FIT931" s="18"/>
      <c r="FIU931" s="18"/>
      <c r="FIV931" s="18"/>
      <c r="FIW931" s="18"/>
      <c r="FIX931" s="18"/>
      <c r="FIY931" s="18"/>
      <c r="FIZ931" s="18"/>
      <c r="FJA931" s="18"/>
      <c r="FJB931" s="18"/>
      <c r="FJC931" s="18"/>
      <c r="FJD931" s="18"/>
      <c r="FJE931" s="18"/>
      <c r="FJF931" s="18"/>
      <c r="FJG931" s="18"/>
      <c r="FJH931" s="18"/>
      <c r="FJI931" s="18"/>
      <c r="FJJ931" s="18"/>
      <c r="FJK931" s="18"/>
      <c r="FJL931" s="18"/>
      <c r="FJM931" s="18"/>
      <c r="FJN931" s="18"/>
      <c r="FJO931" s="18"/>
      <c r="FJP931" s="18"/>
      <c r="FJQ931" s="18"/>
      <c r="FJR931" s="18"/>
      <c r="FJS931" s="18"/>
      <c r="FJT931" s="18"/>
      <c r="FJU931" s="18"/>
      <c r="FJV931" s="18"/>
      <c r="FJW931" s="18"/>
      <c r="FJX931" s="18"/>
      <c r="FJY931" s="18"/>
      <c r="FJZ931" s="18"/>
      <c r="FKA931" s="18"/>
      <c r="FKB931" s="18"/>
      <c r="FKC931" s="18"/>
      <c r="FKD931" s="18"/>
      <c r="FKE931" s="18"/>
      <c r="FKF931" s="18"/>
      <c r="FKG931" s="18"/>
      <c r="FKH931" s="18"/>
      <c r="FKI931" s="18"/>
      <c r="FKJ931" s="18"/>
      <c r="FKK931" s="18"/>
      <c r="FKL931" s="18"/>
      <c r="FKM931" s="18"/>
      <c r="FKN931" s="18"/>
      <c r="FKO931" s="18"/>
      <c r="FKP931" s="18"/>
      <c r="FKQ931" s="18"/>
      <c r="FKR931" s="18"/>
      <c r="FKS931" s="18"/>
      <c r="FKT931" s="18"/>
      <c r="FKU931" s="18"/>
      <c r="FKV931" s="18"/>
      <c r="FKW931" s="18"/>
      <c r="FKX931" s="18"/>
      <c r="FKY931" s="18"/>
      <c r="FKZ931" s="18"/>
      <c r="FLA931" s="18"/>
      <c r="FLB931" s="18"/>
      <c r="FLC931" s="18"/>
      <c r="FLD931" s="18"/>
      <c r="FLE931" s="18"/>
      <c r="FLF931" s="18"/>
      <c r="FLG931" s="18"/>
      <c r="FLH931" s="18"/>
      <c r="FLI931" s="18"/>
      <c r="FLJ931" s="18"/>
      <c r="FLK931" s="18"/>
      <c r="FLL931" s="18"/>
      <c r="FLM931" s="18"/>
      <c r="FLN931" s="18"/>
      <c r="FLO931" s="18"/>
      <c r="FLP931" s="18"/>
      <c r="FLQ931" s="18"/>
      <c r="FLR931" s="18"/>
      <c r="FLS931" s="18"/>
      <c r="FLT931" s="18"/>
      <c r="FLU931" s="18"/>
      <c r="FLV931" s="18"/>
      <c r="FLW931" s="18"/>
      <c r="FLX931" s="18"/>
      <c r="FLY931" s="18"/>
      <c r="FLZ931" s="18"/>
      <c r="FMA931" s="18"/>
      <c r="FMB931" s="18"/>
      <c r="FMC931" s="18"/>
      <c r="FMD931" s="18"/>
      <c r="FME931" s="18"/>
      <c r="FMF931" s="18"/>
      <c r="FMG931" s="18"/>
      <c r="FMH931" s="18"/>
      <c r="FMI931" s="18"/>
      <c r="FMJ931" s="18"/>
      <c r="FMK931" s="18"/>
      <c r="FML931" s="18"/>
      <c r="FMM931" s="18"/>
      <c r="FMN931" s="18"/>
      <c r="FMO931" s="18"/>
      <c r="FMP931" s="18"/>
      <c r="FMQ931" s="18"/>
      <c r="FMR931" s="18"/>
      <c r="FMS931" s="18"/>
      <c r="FMT931" s="18"/>
      <c r="FMU931" s="18"/>
      <c r="FMV931" s="18"/>
      <c r="FMW931" s="18"/>
      <c r="FMX931" s="18"/>
      <c r="FMY931" s="18"/>
      <c r="FMZ931" s="18"/>
      <c r="FNA931" s="18"/>
      <c r="FNB931" s="18"/>
      <c r="FNC931" s="18"/>
      <c r="FND931" s="18"/>
      <c r="FNE931" s="18"/>
      <c r="FNF931" s="18"/>
      <c r="FNG931" s="18"/>
      <c r="FNH931" s="18"/>
      <c r="FNI931" s="18"/>
      <c r="FNJ931" s="18"/>
      <c r="FNK931" s="18"/>
      <c r="FNL931" s="18"/>
      <c r="FNM931" s="18"/>
      <c r="FNN931" s="18"/>
      <c r="FNO931" s="18"/>
      <c r="FNP931" s="18"/>
      <c r="FNQ931" s="18"/>
      <c r="FNR931" s="18"/>
      <c r="FNS931" s="18"/>
      <c r="FNT931" s="18"/>
      <c r="FNU931" s="18"/>
      <c r="FNV931" s="18"/>
      <c r="FNW931" s="18"/>
      <c r="FNX931" s="18"/>
      <c r="FNY931" s="18"/>
      <c r="FNZ931" s="18"/>
      <c r="FOA931" s="18"/>
      <c r="FOB931" s="18"/>
      <c r="FOC931" s="18"/>
      <c r="FOD931" s="18"/>
      <c r="FOE931" s="18"/>
      <c r="FOF931" s="18"/>
      <c r="FOG931" s="18"/>
      <c r="FOH931" s="18"/>
      <c r="FOI931" s="18"/>
      <c r="FOJ931" s="18"/>
      <c r="FOK931" s="18"/>
      <c r="FOL931" s="18"/>
      <c r="FOM931" s="18"/>
      <c r="FON931" s="18"/>
      <c r="FOO931" s="18"/>
      <c r="FOP931" s="18"/>
      <c r="FOQ931" s="18"/>
      <c r="FOR931" s="18"/>
      <c r="FOS931" s="18"/>
      <c r="FOT931" s="18"/>
      <c r="FOU931" s="18"/>
      <c r="FOV931" s="18"/>
      <c r="FOW931" s="18"/>
      <c r="FOX931" s="18"/>
      <c r="FOY931" s="18"/>
      <c r="FOZ931" s="18"/>
      <c r="FPA931" s="18"/>
      <c r="FPB931" s="18"/>
      <c r="FPC931" s="18"/>
      <c r="FPD931" s="18"/>
      <c r="FPE931" s="18"/>
      <c r="FPF931" s="18"/>
      <c r="FPG931" s="18"/>
      <c r="FPH931" s="18"/>
      <c r="FPI931" s="18"/>
      <c r="FPJ931" s="18"/>
      <c r="FPK931" s="18"/>
      <c r="FPL931" s="18"/>
      <c r="FPM931" s="18"/>
      <c r="FPN931" s="18"/>
      <c r="FPO931" s="18"/>
      <c r="FPP931" s="18"/>
      <c r="FPQ931" s="18"/>
      <c r="FPR931" s="18"/>
      <c r="FPS931" s="18"/>
      <c r="FPT931" s="18"/>
      <c r="FPU931" s="18"/>
      <c r="FPV931" s="18"/>
      <c r="FPW931" s="18"/>
      <c r="FPX931" s="18"/>
      <c r="FPY931" s="18"/>
      <c r="FPZ931" s="18"/>
      <c r="FQA931" s="18"/>
      <c r="FQB931" s="18"/>
      <c r="FQC931" s="18"/>
      <c r="FQD931" s="18"/>
      <c r="FQE931" s="18"/>
      <c r="FQF931" s="18"/>
      <c r="FQG931" s="18"/>
      <c r="FQH931" s="18"/>
      <c r="FQI931" s="18"/>
      <c r="FQJ931" s="18"/>
      <c r="FQK931" s="18"/>
      <c r="FQL931" s="18"/>
      <c r="FQM931" s="18"/>
      <c r="FQN931" s="18"/>
      <c r="FQO931" s="18"/>
      <c r="FQP931" s="18"/>
      <c r="FQQ931" s="18"/>
      <c r="FQR931" s="18"/>
      <c r="FQS931" s="18"/>
      <c r="FQT931" s="18"/>
      <c r="FQU931" s="18"/>
      <c r="FQV931" s="18"/>
      <c r="FQW931" s="18"/>
      <c r="FQX931" s="18"/>
      <c r="FQY931" s="18"/>
      <c r="FQZ931" s="18"/>
      <c r="FRA931" s="18"/>
      <c r="FRB931" s="18"/>
      <c r="FRC931" s="18"/>
      <c r="FRD931" s="18"/>
      <c r="FRE931" s="18"/>
      <c r="FRF931" s="18"/>
      <c r="FRG931" s="18"/>
      <c r="FRH931" s="18"/>
      <c r="FRI931" s="18"/>
      <c r="FRJ931" s="18"/>
      <c r="FRK931" s="18"/>
      <c r="FRL931" s="18"/>
      <c r="FRM931" s="18"/>
      <c r="FRN931" s="18"/>
      <c r="FRO931" s="18"/>
      <c r="FRP931" s="18"/>
      <c r="FRQ931" s="18"/>
      <c r="FRR931" s="18"/>
      <c r="FRS931" s="18"/>
      <c r="FRT931" s="18"/>
      <c r="FRU931" s="18"/>
      <c r="FRV931" s="18"/>
      <c r="FRW931" s="18"/>
      <c r="FRX931" s="18"/>
      <c r="FRY931" s="18"/>
      <c r="FRZ931" s="18"/>
      <c r="FSA931" s="18"/>
      <c r="FSB931" s="18"/>
      <c r="FSC931" s="18"/>
      <c r="FSD931" s="18"/>
      <c r="FSE931" s="18"/>
      <c r="FSF931" s="18"/>
      <c r="FSG931" s="18"/>
      <c r="FSH931" s="18"/>
      <c r="FSI931" s="18"/>
      <c r="FSJ931" s="18"/>
      <c r="FSK931" s="18"/>
      <c r="FSL931" s="18"/>
      <c r="FSM931" s="18"/>
      <c r="FSN931" s="18"/>
      <c r="FSO931" s="18"/>
      <c r="FSP931" s="18"/>
      <c r="FSQ931" s="18"/>
      <c r="FSR931" s="18"/>
      <c r="FSS931" s="18"/>
      <c r="FST931" s="18"/>
      <c r="FSU931" s="18"/>
      <c r="FSV931" s="18"/>
      <c r="FSW931" s="18"/>
      <c r="FSX931" s="18"/>
      <c r="FSY931" s="18"/>
      <c r="FSZ931" s="18"/>
      <c r="FTA931" s="18"/>
      <c r="FTB931" s="18"/>
      <c r="FTC931" s="18"/>
      <c r="FTD931" s="18"/>
      <c r="FTE931" s="18"/>
      <c r="FTF931" s="18"/>
      <c r="FTG931" s="18"/>
      <c r="FTH931" s="18"/>
      <c r="FTI931" s="18"/>
      <c r="FTJ931" s="18"/>
      <c r="FTK931" s="18"/>
      <c r="FTL931" s="18"/>
      <c r="FTM931" s="18"/>
      <c r="FTN931" s="18"/>
      <c r="FTO931" s="18"/>
      <c r="FTP931" s="18"/>
      <c r="FTQ931" s="18"/>
      <c r="FTR931" s="18"/>
      <c r="FTS931" s="18"/>
      <c r="FTT931" s="18"/>
      <c r="FTU931" s="18"/>
      <c r="FTV931" s="18"/>
      <c r="FTW931" s="18"/>
      <c r="FTX931" s="18"/>
      <c r="FTY931" s="18"/>
      <c r="FTZ931" s="18"/>
      <c r="FUA931" s="18"/>
      <c r="FUB931" s="18"/>
      <c r="FUC931" s="18"/>
      <c r="FUD931" s="18"/>
      <c r="FUE931" s="18"/>
      <c r="FUF931" s="18"/>
      <c r="FUG931" s="18"/>
      <c r="FUH931" s="18"/>
      <c r="FUI931" s="18"/>
      <c r="FUJ931" s="18"/>
      <c r="FUK931" s="18"/>
      <c r="FUL931" s="18"/>
      <c r="FUM931" s="18"/>
      <c r="FUN931" s="18"/>
      <c r="FUO931" s="18"/>
      <c r="FUP931" s="18"/>
      <c r="FUQ931" s="18"/>
      <c r="FUR931" s="18"/>
      <c r="FUS931" s="18"/>
      <c r="FUT931" s="18"/>
      <c r="FUU931" s="18"/>
      <c r="FUV931" s="18"/>
      <c r="FUW931" s="18"/>
      <c r="FUX931" s="18"/>
      <c r="FUY931" s="18"/>
      <c r="FUZ931" s="18"/>
      <c r="FVA931" s="18"/>
      <c r="FVB931" s="18"/>
      <c r="FVC931" s="18"/>
      <c r="FVD931" s="18"/>
      <c r="FVE931" s="18"/>
      <c r="FVF931" s="18"/>
      <c r="FVG931" s="18"/>
      <c r="FVH931" s="18"/>
      <c r="FVI931" s="18"/>
      <c r="FVJ931" s="18"/>
      <c r="FVK931" s="18"/>
      <c r="FVL931" s="18"/>
      <c r="FVM931" s="18"/>
      <c r="FVN931" s="18"/>
      <c r="FVO931" s="18"/>
      <c r="FVP931" s="18"/>
      <c r="FVQ931" s="18"/>
      <c r="FVR931" s="18"/>
      <c r="FVS931" s="18"/>
      <c r="FVT931" s="18"/>
      <c r="FVU931" s="18"/>
      <c r="FVV931" s="18"/>
      <c r="FVW931" s="18"/>
      <c r="FVX931" s="18"/>
      <c r="FVY931" s="18"/>
      <c r="FVZ931" s="18"/>
      <c r="FWA931" s="18"/>
      <c r="FWB931" s="18"/>
      <c r="FWC931" s="18"/>
      <c r="FWD931" s="18"/>
      <c r="FWE931" s="18"/>
      <c r="FWF931" s="18"/>
      <c r="FWG931" s="18"/>
      <c r="FWH931" s="18"/>
      <c r="FWI931" s="18"/>
      <c r="FWJ931" s="18"/>
      <c r="FWK931" s="18"/>
      <c r="FWL931" s="18"/>
      <c r="FWM931" s="18"/>
      <c r="FWN931" s="18"/>
      <c r="FWO931" s="18"/>
      <c r="FWP931" s="18"/>
      <c r="FWQ931" s="18"/>
      <c r="FWR931" s="18"/>
      <c r="FWS931" s="18"/>
      <c r="FWT931" s="18"/>
      <c r="FWU931" s="18"/>
      <c r="FWV931" s="18"/>
      <c r="FWW931" s="18"/>
      <c r="FWX931" s="18"/>
      <c r="FWY931" s="18"/>
      <c r="FWZ931" s="18"/>
      <c r="FXA931" s="18"/>
      <c r="FXB931" s="18"/>
      <c r="FXC931" s="18"/>
      <c r="FXD931" s="18"/>
      <c r="FXE931" s="18"/>
      <c r="FXF931" s="18"/>
      <c r="FXG931" s="18"/>
      <c r="FXH931" s="18"/>
      <c r="FXI931" s="18"/>
      <c r="FXJ931" s="18"/>
      <c r="FXK931" s="18"/>
      <c r="FXL931" s="18"/>
      <c r="FXM931" s="18"/>
      <c r="FXN931" s="18"/>
      <c r="FXO931" s="18"/>
      <c r="FXP931" s="18"/>
      <c r="FXQ931" s="18"/>
      <c r="FXR931" s="18"/>
      <c r="FXS931" s="18"/>
      <c r="FXT931" s="18"/>
      <c r="FXU931" s="18"/>
      <c r="FXV931" s="18"/>
      <c r="FXW931" s="18"/>
      <c r="FXX931" s="18"/>
      <c r="FXY931" s="18"/>
      <c r="FXZ931" s="18"/>
      <c r="FYA931" s="18"/>
      <c r="FYB931" s="18"/>
      <c r="FYC931" s="18"/>
      <c r="FYD931" s="18"/>
      <c r="FYE931" s="18"/>
      <c r="FYF931" s="18"/>
      <c r="FYG931" s="18"/>
      <c r="FYH931" s="18"/>
      <c r="FYI931" s="18"/>
      <c r="FYJ931" s="18"/>
      <c r="FYK931" s="18"/>
      <c r="FYL931" s="18"/>
      <c r="FYM931" s="18"/>
      <c r="FYN931" s="18"/>
      <c r="FYO931" s="18"/>
      <c r="FYP931" s="18"/>
      <c r="FYQ931" s="18"/>
      <c r="FYR931" s="18"/>
      <c r="FYS931" s="18"/>
      <c r="FYT931" s="18"/>
      <c r="FYU931" s="18"/>
      <c r="FYV931" s="18"/>
      <c r="FYW931" s="18"/>
      <c r="FYX931" s="18"/>
      <c r="FYY931" s="18"/>
      <c r="FYZ931" s="18"/>
      <c r="FZA931" s="18"/>
      <c r="FZB931" s="18"/>
      <c r="FZC931" s="18"/>
      <c r="FZD931" s="18"/>
      <c r="FZE931" s="18"/>
      <c r="FZF931" s="18"/>
      <c r="FZG931" s="18"/>
      <c r="FZH931" s="18"/>
      <c r="FZI931" s="18"/>
      <c r="FZJ931" s="18"/>
      <c r="FZK931" s="18"/>
      <c r="FZL931" s="18"/>
      <c r="FZM931" s="18"/>
      <c r="FZN931" s="18"/>
      <c r="FZO931" s="18"/>
      <c r="FZP931" s="18"/>
      <c r="FZQ931" s="18"/>
      <c r="FZR931" s="18"/>
      <c r="FZS931" s="18"/>
      <c r="FZT931" s="18"/>
      <c r="FZU931" s="18"/>
      <c r="FZV931" s="18"/>
      <c r="FZW931" s="18"/>
      <c r="FZX931" s="18"/>
      <c r="FZY931" s="18"/>
      <c r="FZZ931" s="18"/>
      <c r="GAA931" s="18"/>
      <c r="GAB931" s="18"/>
      <c r="GAC931" s="18"/>
      <c r="GAD931" s="18"/>
      <c r="GAE931" s="18"/>
      <c r="GAF931" s="18"/>
      <c r="GAG931" s="18"/>
      <c r="GAH931" s="18"/>
      <c r="GAI931" s="18"/>
      <c r="GAJ931" s="18"/>
      <c r="GAK931" s="18"/>
      <c r="GAL931" s="18"/>
      <c r="GAM931" s="18"/>
      <c r="GAN931" s="18"/>
      <c r="GAO931" s="18"/>
      <c r="GAP931" s="18"/>
      <c r="GAQ931" s="18"/>
      <c r="GAR931" s="18"/>
      <c r="GAS931" s="18"/>
      <c r="GAT931" s="18"/>
      <c r="GAU931" s="18"/>
      <c r="GAV931" s="18"/>
      <c r="GAW931" s="18"/>
      <c r="GAX931" s="18"/>
      <c r="GAY931" s="18"/>
      <c r="GAZ931" s="18"/>
      <c r="GBA931" s="18"/>
      <c r="GBB931" s="18"/>
      <c r="GBC931" s="18"/>
      <c r="GBD931" s="18"/>
      <c r="GBE931" s="18"/>
      <c r="GBF931" s="18"/>
      <c r="GBG931" s="18"/>
      <c r="GBH931" s="18"/>
      <c r="GBI931" s="18"/>
      <c r="GBJ931" s="18"/>
      <c r="GBK931" s="18"/>
      <c r="GBL931" s="18"/>
      <c r="GBM931" s="18"/>
      <c r="GBN931" s="18"/>
      <c r="GBO931" s="18"/>
      <c r="GBP931" s="18"/>
      <c r="GBQ931" s="18"/>
      <c r="GBR931" s="18"/>
      <c r="GBS931" s="18"/>
      <c r="GBT931" s="18"/>
      <c r="GBU931" s="18"/>
      <c r="GBV931" s="18"/>
      <c r="GBW931" s="18"/>
      <c r="GBX931" s="18"/>
      <c r="GBY931" s="18"/>
      <c r="GBZ931" s="18"/>
      <c r="GCA931" s="18"/>
      <c r="GCB931" s="18"/>
      <c r="GCC931" s="18"/>
      <c r="GCD931" s="18"/>
      <c r="GCE931" s="18"/>
      <c r="GCF931" s="18"/>
      <c r="GCG931" s="18"/>
      <c r="GCH931" s="18"/>
      <c r="GCI931" s="18"/>
      <c r="GCJ931" s="18"/>
      <c r="GCK931" s="18"/>
      <c r="GCL931" s="18"/>
      <c r="GCM931" s="18"/>
      <c r="GCN931" s="18"/>
      <c r="GCO931" s="18"/>
      <c r="GCP931" s="18"/>
      <c r="GCQ931" s="18"/>
      <c r="GCR931" s="18"/>
      <c r="GCS931" s="18"/>
      <c r="GCT931" s="18"/>
      <c r="GCU931" s="18"/>
      <c r="GCV931" s="18"/>
      <c r="GCW931" s="18"/>
      <c r="GCX931" s="18"/>
      <c r="GCY931" s="18"/>
      <c r="GCZ931" s="18"/>
      <c r="GDA931" s="18"/>
      <c r="GDB931" s="18"/>
      <c r="GDC931" s="18"/>
      <c r="GDD931" s="18"/>
      <c r="GDE931" s="18"/>
      <c r="GDF931" s="18"/>
      <c r="GDG931" s="18"/>
      <c r="GDH931" s="18"/>
      <c r="GDI931" s="18"/>
      <c r="GDJ931" s="18"/>
      <c r="GDK931" s="18"/>
      <c r="GDL931" s="18"/>
      <c r="GDM931" s="18"/>
      <c r="GDN931" s="18"/>
      <c r="GDO931" s="18"/>
      <c r="GDP931" s="18"/>
      <c r="GDQ931" s="18"/>
      <c r="GDR931" s="18"/>
      <c r="GDS931" s="18"/>
      <c r="GDT931" s="18"/>
      <c r="GDU931" s="18"/>
      <c r="GDV931" s="18"/>
      <c r="GDW931" s="18"/>
      <c r="GDX931" s="18"/>
      <c r="GDY931" s="18"/>
      <c r="GDZ931" s="18"/>
      <c r="GEA931" s="18"/>
      <c r="GEB931" s="18"/>
      <c r="GEC931" s="18"/>
      <c r="GED931" s="18"/>
      <c r="GEE931" s="18"/>
      <c r="GEF931" s="18"/>
      <c r="GEG931" s="18"/>
      <c r="GEH931" s="18"/>
      <c r="GEI931" s="18"/>
      <c r="GEJ931" s="18"/>
      <c r="GEK931" s="18"/>
      <c r="GEL931" s="18"/>
      <c r="GEM931" s="18"/>
      <c r="GEN931" s="18"/>
      <c r="GEO931" s="18"/>
      <c r="GEP931" s="18"/>
      <c r="GEQ931" s="18"/>
      <c r="GER931" s="18"/>
      <c r="GES931" s="18"/>
      <c r="GET931" s="18"/>
      <c r="GEU931" s="18"/>
      <c r="GEV931" s="18"/>
      <c r="GEW931" s="18"/>
      <c r="GEX931" s="18"/>
      <c r="GEY931" s="18"/>
      <c r="GEZ931" s="18"/>
      <c r="GFA931" s="18"/>
      <c r="GFB931" s="18"/>
      <c r="GFC931" s="18"/>
      <c r="GFD931" s="18"/>
      <c r="GFE931" s="18"/>
      <c r="GFF931" s="18"/>
      <c r="GFG931" s="18"/>
      <c r="GFH931" s="18"/>
      <c r="GFI931" s="18"/>
      <c r="GFJ931" s="18"/>
      <c r="GFK931" s="18"/>
      <c r="GFL931" s="18"/>
      <c r="GFM931" s="18"/>
      <c r="GFN931" s="18"/>
      <c r="GFO931" s="18"/>
      <c r="GFP931" s="18"/>
      <c r="GFQ931" s="18"/>
      <c r="GFR931" s="18"/>
      <c r="GFS931" s="18"/>
      <c r="GFT931" s="18"/>
      <c r="GFU931" s="18"/>
      <c r="GFV931" s="18"/>
      <c r="GFW931" s="18"/>
      <c r="GFX931" s="18"/>
      <c r="GFY931" s="18"/>
      <c r="GFZ931" s="18"/>
      <c r="GGA931" s="18"/>
      <c r="GGB931" s="18"/>
      <c r="GGC931" s="18"/>
      <c r="GGD931" s="18"/>
      <c r="GGE931" s="18"/>
      <c r="GGF931" s="18"/>
      <c r="GGG931" s="18"/>
      <c r="GGH931" s="18"/>
      <c r="GGI931" s="18"/>
      <c r="GGJ931" s="18"/>
      <c r="GGK931" s="18"/>
      <c r="GGL931" s="18"/>
      <c r="GGM931" s="18"/>
      <c r="GGN931" s="18"/>
      <c r="GGO931" s="18"/>
      <c r="GGP931" s="18"/>
      <c r="GGQ931" s="18"/>
      <c r="GGR931" s="18"/>
      <c r="GGS931" s="18"/>
      <c r="GGT931" s="18"/>
      <c r="GGU931" s="18"/>
      <c r="GGV931" s="18"/>
      <c r="GGW931" s="18"/>
      <c r="GGX931" s="18"/>
      <c r="GGY931" s="18"/>
      <c r="GGZ931" s="18"/>
      <c r="GHA931" s="18"/>
      <c r="GHB931" s="18"/>
      <c r="GHC931" s="18"/>
      <c r="GHD931" s="18"/>
      <c r="GHE931" s="18"/>
      <c r="GHF931" s="18"/>
      <c r="GHG931" s="18"/>
      <c r="GHH931" s="18"/>
      <c r="GHI931" s="18"/>
      <c r="GHJ931" s="18"/>
      <c r="GHK931" s="18"/>
      <c r="GHL931" s="18"/>
      <c r="GHM931" s="18"/>
      <c r="GHN931" s="18"/>
      <c r="GHO931" s="18"/>
      <c r="GHP931" s="18"/>
      <c r="GHQ931" s="18"/>
      <c r="GHR931" s="18"/>
      <c r="GHS931" s="18"/>
      <c r="GHT931" s="18"/>
      <c r="GHU931" s="18"/>
      <c r="GHV931" s="18"/>
      <c r="GHW931" s="18"/>
      <c r="GHX931" s="18"/>
      <c r="GHY931" s="18"/>
      <c r="GHZ931" s="18"/>
      <c r="GIA931" s="18"/>
      <c r="GIB931" s="18"/>
      <c r="GIC931" s="18"/>
      <c r="GID931" s="18"/>
      <c r="GIE931" s="18"/>
      <c r="GIF931" s="18"/>
      <c r="GIG931" s="18"/>
      <c r="GIH931" s="18"/>
      <c r="GII931" s="18"/>
      <c r="GIJ931" s="18"/>
      <c r="GIK931" s="18"/>
      <c r="GIL931" s="18"/>
      <c r="GIM931" s="18"/>
      <c r="GIN931" s="18"/>
      <c r="GIO931" s="18"/>
      <c r="GIP931" s="18"/>
      <c r="GIQ931" s="18"/>
      <c r="GIR931" s="18"/>
      <c r="GIS931" s="18"/>
      <c r="GIT931" s="18"/>
      <c r="GIU931" s="18"/>
      <c r="GIV931" s="18"/>
      <c r="GIW931" s="18"/>
      <c r="GIX931" s="18"/>
      <c r="GIY931" s="18"/>
      <c r="GIZ931" s="18"/>
      <c r="GJA931" s="18"/>
      <c r="GJB931" s="18"/>
      <c r="GJC931" s="18"/>
      <c r="GJD931" s="18"/>
      <c r="GJE931" s="18"/>
      <c r="GJF931" s="18"/>
      <c r="GJG931" s="18"/>
      <c r="GJH931" s="18"/>
      <c r="GJI931" s="18"/>
      <c r="GJJ931" s="18"/>
      <c r="GJK931" s="18"/>
      <c r="GJL931" s="18"/>
      <c r="GJM931" s="18"/>
      <c r="GJN931" s="18"/>
      <c r="GJO931" s="18"/>
      <c r="GJP931" s="18"/>
      <c r="GJQ931" s="18"/>
      <c r="GJR931" s="18"/>
      <c r="GJS931" s="18"/>
      <c r="GJT931" s="18"/>
      <c r="GJU931" s="18"/>
      <c r="GJV931" s="18"/>
      <c r="GJW931" s="18"/>
      <c r="GJX931" s="18"/>
      <c r="GJY931" s="18"/>
      <c r="GJZ931" s="18"/>
      <c r="GKA931" s="18"/>
      <c r="GKB931" s="18"/>
      <c r="GKC931" s="18"/>
      <c r="GKD931" s="18"/>
      <c r="GKE931" s="18"/>
      <c r="GKF931" s="18"/>
      <c r="GKG931" s="18"/>
      <c r="GKH931" s="18"/>
      <c r="GKI931" s="18"/>
      <c r="GKJ931" s="18"/>
      <c r="GKK931" s="18"/>
      <c r="GKL931" s="18"/>
      <c r="GKM931" s="18"/>
      <c r="GKN931" s="18"/>
      <c r="GKO931" s="18"/>
      <c r="GKP931" s="18"/>
      <c r="GKQ931" s="18"/>
      <c r="GKR931" s="18"/>
      <c r="GKS931" s="18"/>
      <c r="GKT931" s="18"/>
      <c r="GKU931" s="18"/>
      <c r="GKV931" s="18"/>
      <c r="GKW931" s="18"/>
      <c r="GKX931" s="18"/>
      <c r="GKY931" s="18"/>
      <c r="GKZ931" s="18"/>
      <c r="GLA931" s="18"/>
      <c r="GLB931" s="18"/>
      <c r="GLC931" s="18"/>
      <c r="GLD931" s="18"/>
      <c r="GLE931" s="18"/>
      <c r="GLF931" s="18"/>
      <c r="GLG931" s="18"/>
      <c r="GLH931" s="18"/>
      <c r="GLI931" s="18"/>
      <c r="GLJ931" s="18"/>
      <c r="GLK931" s="18"/>
      <c r="GLL931" s="18"/>
      <c r="GLM931" s="18"/>
      <c r="GLN931" s="18"/>
      <c r="GLO931" s="18"/>
      <c r="GLP931" s="18"/>
      <c r="GLQ931" s="18"/>
      <c r="GLR931" s="18"/>
      <c r="GLS931" s="18"/>
      <c r="GLT931" s="18"/>
      <c r="GLU931" s="18"/>
      <c r="GLV931" s="18"/>
      <c r="GLW931" s="18"/>
      <c r="GLX931" s="18"/>
      <c r="GLY931" s="18"/>
      <c r="GLZ931" s="18"/>
      <c r="GMA931" s="18"/>
      <c r="GMB931" s="18"/>
      <c r="GMC931" s="18"/>
      <c r="GMD931" s="18"/>
      <c r="GME931" s="18"/>
      <c r="GMF931" s="18"/>
      <c r="GMG931" s="18"/>
      <c r="GMH931" s="18"/>
      <c r="GMI931" s="18"/>
      <c r="GMJ931" s="18"/>
      <c r="GMK931" s="18"/>
      <c r="GML931" s="18"/>
      <c r="GMM931" s="18"/>
      <c r="GMN931" s="18"/>
      <c r="GMO931" s="18"/>
      <c r="GMP931" s="18"/>
      <c r="GMQ931" s="18"/>
      <c r="GMR931" s="18"/>
      <c r="GMS931" s="18"/>
      <c r="GMT931" s="18"/>
      <c r="GMU931" s="18"/>
      <c r="GMV931" s="18"/>
      <c r="GMW931" s="18"/>
      <c r="GMX931" s="18"/>
      <c r="GMY931" s="18"/>
      <c r="GMZ931" s="18"/>
      <c r="GNA931" s="18"/>
      <c r="GNB931" s="18"/>
      <c r="GNC931" s="18"/>
      <c r="GND931" s="18"/>
      <c r="GNE931" s="18"/>
      <c r="GNF931" s="18"/>
      <c r="GNG931" s="18"/>
      <c r="GNH931" s="18"/>
      <c r="GNI931" s="18"/>
      <c r="GNJ931" s="18"/>
      <c r="GNK931" s="18"/>
      <c r="GNL931" s="18"/>
      <c r="GNM931" s="18"/>
      <c r="GNN931" s="18"/>
      <c r="GNO931" s="18"/>
      <c r="GNP931" s="18"/>
      <c r="GNQ931" s="18"/>
      <c r="GNR931" s="18"/>
      <c r="GNS931" s="18"/>
      <c r="GNT931" s="18"/>
      <c r="GNU931" s="18"/>
      <c r="GNV931" s="18"/>
      <c r="GNW931" s="18"/>
      <c r="GNX931" s="18"/>
      <c r="GNY931" s="18"/>
      <c r="GNZ931" s="18"/>
      <c r="GOA931" s="18"/>
      <c r="GOB931" s="18"/>
      <c r="GOC931" s="18"/>
      <c r="GOD931" s="18"/>
      <c r="GOE931" s="18"/>
      <c r="GOF931" s="18"/>
      <c r="GOG931" s="18"/>
      <c r="GOH931" s="18"/>
      <c r="GOI931" s="18"/>
      <c r="GOJ931" s="18"/>
      <c r="GOK931" s="18"/>
      <c r="GOL931" s="18"/>
      <c r="GOM931" s="18"/>
      <c r="GON931" s="18"/>
      <c r="GOO931" s="18"/>
      <c r="GOP931" s="18"/>
      <c r="GOQ931" s="18"/>
      <c r="GOR931" s="18"/>
      <c r="GOS931" s="18"/>
      <c r="GOT931" s="18"/>
      <c r="GOU931" s="18"/>
      <c r="GOV931" s="18"/>
      <c r="GOW931" s="18"/>
      <c r="GOX931" s="18"/>
      <c r="GOY931" s="18"/>
      <c r="GOZ931" s="18"/>
      <c r="GPA931" s="18"/>
      <c r="GPB931" s="18"/>
      <c r="GPC931" s="18"/>
      <c r="GPD931" s="18"/>
      <c r="GPE931" s="18"/>
      <c r="GPF931" s="18"/>
      <c r="GPG931" s="18"/>
      <c r="GPH931" s="18"/>
      <c r="GPI931" s="18"/>
      <c r="GPJ931" s="18"/>
      <c r="GPK931" s="18"/>
      <c r="GPL931" s="18"/>
      <c r="GPM931" s="18"/>
      <c r="GPN931" s="18"/>
      <c r="GPO931" s="18"/>
      <c r="GPP931" s="18"/>
      <c r="GPQ931" s="18"/>
      <c r="GPR931" s="18"/>
      <c r="GPS931" s="18"/>
      <c r="GPT931" s="18"/>
      <c r="GPU931" s="18"/>
      <c r="GPV931" s="18"/>
      <c r="GPW931" s="18"/>
      <c r="GPX931" s="18"/>
      <c r="GPY931" s="18"/>
      <c r="GPZ931" s="18"/>
      <c r="GQA931" s="18"/>
      <c r="GQB931" s="18"/>
      <c r="GQC931" s="18"/>
      <c r="GQD931" s="18"/>
      <c r="GQE931" s="18"/>
      <c r="GQF931" s="18"/>
      <c r="GQG931" s="18"/>
      <c r="GQH931" s="18"/>
      <c r="GQI931" s="18"/>
      <c r="GQJ931" s="18"/>
      <c r="GQK931" s="18"/>
      <c r="GQL931" s="18"/>
      <c r="GQM931" s="18"/>
      <c r="GQN931" s="18"/>
      <c r="GQO931" s="18"/>
      <c r="GQP931" s="18"/>
      <c r="GQQ931" s="18"/>
      <c r="GQR931" s="18"/>
      <c r="GQS931" s="18"/>
      <c r="GQT931" s="18"/>
      <c r="GQU931" s="18"/>
      <c r="GQV931" s="18"/>
      <c r="GQW931" s="18"/>
      <c r="GQX931" s="18"/>
      <c r="GQY931" s="18"/>
      <c r="GQZ931" s="18"/>
      <c r="GRA931" s="18"/>
      <c r="GRB931" s="18"/>
      <c r="GRC931" s="18"/>
      <c r="GRD931" s="18"/>
      <c r="GRE931" s="18"/>
      <c r="GRF931" s="18"/>
      <c r="GRG931" s="18"/>
      <c r="GRH931" s="18"/>
      <c r="GRI931" s="18"/>
      <c r="GRJ931" s="18"/>
      <c r="GRK931" s="18"/>
      <c r="GRL931" s="18"/>
      <c r="GRM931" s="18"/>
      <c r="GRN931" s="18"/>
      <c r="GRO931" s="18"/>
      <c r="GRP931" s="18"/>
      <c r="GRQ931" s="18"/>
      <c r="GRR931" s="18"/>
      <c r="GRS931" s="18"/>
      <c r="GRT931" s="18"/>
      <c r="GRU931" s="18"/>
      <c r="GRV931" s="18"/>
      <c r="GRW931" s="18"/>
      <c r="GRX931" s="18"/>
      <c r="GRY931" s="18"/>
      <c r="GRZ931" s="18"/>
      <c r="GSA931" s="18"/>
      <c r="GSB931" s="18"/>
      <c r="GSC931" s="18"/>
      <c r="GSD931" s="18"/>
      <c r="GSE931" s="18"/>
      <c r="GSF931" s="18"/>
      <c r="GSG931" s="18"/>
      <c r="GSH931" s="18"/>
      <c r="GSI931" s="18"/>
      <c r="GSJ931" s="18"/>
      <c r="GSK931" s="18"/>
      <c r="GSL931" s="18"/>
      <c r="GSM931" s="18"/>
      <c r="GSN931" s="18"/>
      <c r="GSO931" s="18"/>
      <c r="GSP931" s="18"/>
      <c r="GSQ931" s="18"/>
      <c r="GSR931" s="18"/>
      <c r="GSS931" s="18"/>
      <c r="GST931" s="18"/>
      <c r="GSU931" s="18"/>
      <c r="GSV931" s="18"/>
      <c r="GSW931" s="18"/>
      <c r="GSX931" s="18"/>
      <c r="GSY931" s="18"/>
      <c r="GSZ931" s="18"/>
      <c r="GTA931" s="18"/>
      <c r="GTB931" s="18"/>
      <c r="GTC931" s="18"/>
      <c r="GTD931" s="18"/>
      <c r="GTE931" s="18"/>
      <c r="GTF931" s="18"/>
      <c r="GTG931" s="18"/>
      <c r="GTH931" s="18"/>
      <c r="GTI931" s="18"/>
      <c r="GTJ931" s="18"/>
      <c r="GTK931" s="18"/>
      <c r="GTL931" s="18"/>
      <c r="GTM931" s="18"/>
      <c r="GTN931" s="18"/>
      <c r="GTO931" s="18"/>
      <c r="GTP931" s="18"/>
      <c r="GTQ931" s="18"/>
      <c r="GTR931" s="18"/>
      <c r="GTS931" s="18"/>
      <c r="GTT931" s="18"/>
      <c r="GTU931" s="18"/>
      <c r="GTV931" s="18"/>
      <c r="GTW931" s="18"/>
      <c r="GTX931" s="18"/>
      <c r="GTY931" s="18"/>
      <c r="GTZ931" s="18"/>
      <c r="GUA931" s="18"/>
      <c r="GUB931" s="18"/>
      <c r="GUC931" s="18"/>
      <c r="GUD931" s="18"/>
      <c r="GUE931" s="18"/>
      <c r="GUF931" s="18"/>
      <c r="GUG931" s="18"/>
      <c r="GUH931" s="18"/>
      <c r="GUI931" s="18"/>
      <c r="GUJ931" s="18"/>
      <c r="GUK931" s="18"/>
      <c r="GUL931" s="18"/>
      <c r="GUM931" s="18"/>
      <c r="GUN931" s="18"/>
      <c r="GUO931" s="18"/>
      <c r="GUP931" s="18"/>
      <c r="GUQ931" s="18"/>
      <c r="GUR931" s="18"/>
      <c r="GUS931" s="18"/>
      <c r="GUT931" s="18"/>
      <c r="GUU931" s="18"/>
      <c r="GUV931" s="18"/>
      <c r="GUW931" s="18"/>
      <c r="GUX931" s="18"/>
      <c r="GUY931" s="18"/>
      <c r="GUZ931" s="18"/>
      <c r="GVA931" s="18"/>
      <c r="GVB931" s="18"/>
      <c r="GVC931" s="18"/>
      <c r="GVD931" s="18"/>
      <c r="GVE931" s="18"/>
      <c r="GVF931" s="18"/>
      <c r="GVG931" s="18"/>
      <c r="GVH931" s="18"/>
      <c r="GVI931" s="18"/>
      <c r="GVJ931" s="18"/>
      <c r="GVK931" s="18"/>
      <c r="GVL931" s="18"/>
      <c r="GVM931" s="18"/>
      <c r="GVN931" s="18"/>
      <c r="GVO931" s="18"/>
      <c r="GVP931" s="18"/>
      <c r="GVQ931" s="18"/>
      <c r="GVR931" s="18"/>
      <c r="GVS931" s="18"/>
      <c r="GVT931" s="18"/>
      <c r="GVU931" s="18"/>
      <c r="GVV931" s="18"/>
      <c r="GVW931" s="18"/>
      <c r="GVX931" s="18"/>
      <c r="GVY931" s="18"/>
      <c r="GVZ931" s="18"/>
      <c r="GWA931" s="18"/>
      <c r="GWB931" s="18"/>
      <c r="GWC931" s="18"/>
      <c r="GWD931" s="18"/>
      <c r="GWE931" s="18"/>
      <c r="GWF931" s="18"/>
      <c r="GWG931" s="18"/>
      <c r="GWH931" s="18"/>
      <c r="GWI931" s="18"/>
      <c r="GWJ931" s="18"/>
      <c r="GWK931" s="18"/>
      <c r="GWL931" s="18"/>
      <c r="GWM931" s="18"/>
      <c r="GWN931" s="18"/>
      <c r="GWO931" s="18"/>
      <c r="GWP931" s="18"/>
      <c r="GWQ931" s="18"/>
      <c r="GWR931" s="18"/>
      <c r="GWS931" s="18"/>
      <c r="GWT931" s="18"/>
      <c r="GWU931" s="18"/>
      <c r="GWV931" s="18"/>
      <c r="GWW931" s="18"/>
      <c r="GWX931" s="18"/>
      <c r="GWY931" s="18"/>
      <c r="GWZ931" s="18"/>
      <c r="GXA931" s="18"/>
      <c r="GXB931" s="18"/>
      <c r="GXC931" s="18"/>
      <c r="GXD931" s="18"/>
      <c r="GXE931" s="18"/>
      <c r="GXF931" s="18"/>
      <c r="GXG931" s="18"/>
      <c r="GXH931" s="18"/>
      <c r="GXI931" s="18"/>
      <c r="GXJ931" s="18"/>
      <c r="GXK931" s="18"/>
      <c r="GXL931" s="18"/>
      <c r="GXM931" s="18"/>
      <c r="GXN931" s="18"/>
      <c r="GXO931" s="18"/>
      <c r="GXP931" s="18"/>
      <c r="GXQ931" s="18"/>
      <c r="GXR931" s="18"/>
      <c r="GXS931" s="18"/>
      <c r="GXT931" s="18"/>
      <c r="GXU931" s="18"/>
      <c r="GXV931" s="18"/>
      <c r="GXW931" s="18"/>
      <c r="GXX931" s="18"/>
      <c r="GXY931" s="18"/>
      <c r="GXZ931" s="18"/>
      <c r="GYA931" s="18"/>
      <c r="GYB931" s="18"/>
      <c r="GYC931" s="18"/>
      <c r="GYD931" s="18"/>
      <c r="GYE931" s="18"/>
      <c r="GYF931" s="18"/>
      <c r="GYG931" s="18"/>
      <c r="GYH931" s="18"/>
      <c r="GYI931" s="18"/>
      <c r="GYJ931" s="18"/>
      <c r="GYK931" s="18"/>
      <c r="GYL931" s="18"/>
      <c r="GYM931" s="18"/>
      <c r="GYN931" s="18"/>
      <c r="GYO931" s="18"/>
      <c r="GYP931" s="18"/>
      <c r="GYQ931" s="18"/>
      <c r="GYR931" s="18"/>
      <c r="GYS931" s="18"/>
      <c r="GYT931" s="18"/>
      <c r="GYU931" s="18"/>
      <c r="GYV931" s="18"/>
      <c r="GYW931" s="18"/>
      <c r="GYX931" s="18"/>
      <c r="GYY931" s="18"/>
      <c r="GYZ931" s="18"/>
      <c r="GZA931" s="18"/>
      <c r="GZB931" s="18"/>
      <c r="GZC931" s="18"/>
      <c r="GZD931" s="18"/>
      <c r="GZE931" s="18"/>
      <c r="GZF931" s="18"/>
      <c r="GZG931" s="18"/>
      <c r="GZH931" s="18"/>
      <c r="GZI931" s="18"/>
      <c r="GZJ931" s="18"/>
      <c r="GZK931" s="18"/>
      <c r="GZL931" s="18"/>
      <c r="GZM931" s="18"/>
      <c r="GZN931" s="18"/>
      <c r="GZO931" s="18"/>
      <c r="GZP931" s="18"/>
      <c r="GZQ931" s="18"/>
      <c r="GZR931" s="18"/>
      <c r="GZS931" s="18"/>
      <c r="GZT931" s="18"/>
      <c r="GZU931" s="18"/>
      <c r="GZV931" s="18"/>
      <c r="GZW931" s="18"/>
      <c r="GZX931" s="18"/>
      <c r="GZY931" s="18"/>
      <c r="GZZ931" s="18"/>
      <c r="HAA931" s="18"/>
      <c r="HAB931" s="18"/>
      <c r="HAC931" s="18"/>
      <c r="HAD931" s="18"/>
      <c r="HAE931" s="18"/>
      <c r="HAF931" s="18"/>
      <c r="HAG931" s="18"/>
      <c r="HAH931" s="18"/>
      <c r="HAI931" s="18"/>
      <c r="HAJ931" s="18"/>
      <c r="HAK931" s="18"/>
      <c r="HAL931" s="18"/>
      <c r="HAM931" s="18"/>
      <c r="HAN931" s="18"/>
      <c r="HAO931" s="18"/>
      <c r="HAP931" s="18"/>
      <c r="HAQ931" s="18"/>
      <c r="HAR931" s="18"/>
      <c r="HAS931" s="18"/>
      <c r="HAT931" s="18"/>
      <c r="HAU931" s="18"/>
      <c r="HAV931" s="18"/>
      <c r="HAW931" s="18"/>
      <c r="HAX931" s="18"/>
      <c r="HAY931" s="18"/>
      <c r="HAZ931" s="18"/>
      <c r="HBA931" s="18"/>
      <c r="HBB931" s="18"/>
      <c r="HBC931" s="18"/>
      <c r="HBD931" s="18"/>
      <c r="HBE931" s="18"/>
      <c r="HBF931" s="18"/>
      <c r="HBG931" s="18"/>
      <c r="HBH931" s="18"/>
      <c r="HBI931" s="18"/>
      <c r="HBJ931" s="18"/>
      <c r="HBK931" s="18"/>
      <c r="HBL931" s="18"/>
      <c r="HBM931" s="18"/>
      <c r="HBN931" s="18"/>
      <c r="HBO931" s="18"/>
      <c r="HBP931" s="18"/>
      <c r="HBQ931" s="18"/>
      <c r="HBR931" s="18"/>
      <c r="HBS931" s="18"/>
      <c r="HBT931" s="18"/>
      <c r="HBU931" s="18"/>
      <c r="HBV931" s="18"/>
      <c r="HBW931" s="18"/>
      <c r="HBX931" s="18"/>
      <c r="HBY931" s="18"/>
      <c r="HBZ931" s="18"/>
      <c r="HCA931" s="18"/>
      <c r="HCB931" s="18"/>
      <c r="HCC931" s="18"/>
      <c r="HCD931" s="18"/>
      <c r="HCE931" s="18"/>
      <c r="HCF931" s="18"/>
      <c r="HCG931" s="18"/>
      <c r="HCH931" s="18"/>
      <c r="HCI931" s="18"/>
      <c r="HCJ931" s="18"/>
      <c r="HCK931" s="18"/>
      <c r="HCL931" s="18"/>
      <c r="HCM931" s="18"/>
      <c r="HCN931" s="18"/>
      <c r="HCO931" s="18"/>
      <c r="HCP931" s="18"/>
      <c r="HCQ931" s="18"/>
      <c r="HCR931" s="18"/>
      <c r="HCS931" s="18"/>
      <c r="HCT931" s="18"/>
      <c r="HCU931" s="18"/>
      <c r="HCV931" s="18"/>
      <c r="HCW931" s="18"/>
      <c r="HCX931" s="18"/>
      <c r="HCY931" s="18"/>
      <c r="HCZ931" s="18"/>
      <c r="HDA931" s="18"/>
      <c r="HDB931" s="18"/>
      <c r="HDC931" s="18"/>
      <c r="HDD931" s="18"/>
      <c r="HDE931" s="18"/>
      <c r="HDF931" s="18"/>
      <c r="HDG931" s="18"/>
      <c r="HDH931" s="18"/>
      <c r="HDI931" s="18"/>
      <c r="HDJ931" s="18"/>
      <c r="HDK931" s="18"/>
      <c r="HDL931" s="18"/>
      <c r="HDM931" s="18"/>
      <c r="HDN931" s="18"/>
      <c r="HDO931" s="18"/>
      <c r="HDP931" s="18"/>
      <c r="HDQ931" s="18"/>
      <c r="HDR931" s="18"/>
      <c r="HDS931" s="18"/>
      <c r="HDT931" s="18"/>
      <c r="HDU931" s="18"/>
      <c r="HDV931" s="18"/>
      <c r="HDW931" s="18"/>
      <c r="HDX931" s="18"/>
      <c r="HDY931" s="18"/>
      <c r="HDZ931" s="18"/>
      <c r="HEA931" s="18"/>
      <c r="HEB931" s="18"/>
      <c r="HEC931" s="18"/>
      <c r="HED931" s="18"/>
      <c r="HEE931" s="18"/>
      <c r="HEF931" s="18"/>
      <c r="HEG931" s="18"/>
      <c r="HEH931" s="18"/>
      <c r="HEI931" s="18"/>
      <c r="HEJ931" s="18"/>
      <c r="HEK931" s="18"/>
      <c r="HEL931" s="18"/>
      <c r="HEM931" s="18"/>
      <c r="HEN931" s="18"/>
      <c r="HEO931" s="18"/>
      <c r="HEP931" s="18"/>
      <c r="HEQ931" s="18"/>
      <c r="HER931" s="18"/>
      <c r="HES931" s="18"/>
      <c r="HET931" s="18"/>
      <c r="HEU931" s="18"/>
      <c r="HEV931" s="18"/>
      <c r="HEW931" s="18"/>
      <c r="HEX931" s="18"/>
      <c r="HEY931" s="18"/>
      <c r="HEZ931" s="18"/>
      <c r="HFA931" s="18"/>
      <c r="HFB931" s="18"/>
      <c r="HFC931" s="18"/>
      <c r="HFD931" s="18"/>
      <c r="HFE931" s="18"/>
      <c r="HFF931" s="18"/>
      <c r="HFG931" s="18"/>
      <c r="HFH931" s="18"/>
      <c r="HFI931" s="18"/>
      <c r="HFJ931" s="18"/>
      <c r="HFK931" s="18"/>
      <c r="HFL931" s="18"/>
      <c r="HFM931" s="18"/>
      <c r="HFN931" s="18"/>
      <c r="HFO931" s="18"/>
      <c r="HFP931" s="18"/>
      <c r="HFQ931" s="18"/>
      <c r="HFR931" s="18"/>
      <c r="HFS931" s="18"/>
      <c r="HFT931" s="18"/>
      <c r="HFU931" s="18"/>
      <c r="HFV931" s="18"/>
      <c r="HFW931" s="18"/>
      <c r="HFX931" s="18"/>
      <c r="HFY931" s="18"/>
      <c r="HFZ931" s="18"/>
      <c r="HGA931" s="18"/>
      <c r="HGB931" s="18"/>
      <c r="HGC931" s="18"/>
      <c r="HGD931" s="18"/>
      <c r="HGE931" s="18"/>
      <c r="HGF931" s="18"/>
      <c r="HGG931" s="18"/>
      <c r="HGH931" s="18"/>
      <c r="HGI931" s="18"/>
      <c r="HGJ931" s="18"/>
      <c r="HGK931" s="18"/>
      <c r="HGL931" s="18"/>
      <c r="HGM931" s="18"/>
      <c r="HGN931" s="18"/>
      <c r="HGO931" s="18"/>
      <c r="HGP931" s="18"/>
      <c r="HGQ931" s="18"/>
      <c r="HGR931" s="18"/>
      <c r="HGS931" s="18"/>
      <c r="HGT931" s="18"/>
      <c r="HGU931" s="18"/>
      <c r="HGV931" s="18"/>
      <c r="HGW931" s="18"/>
      <c r="HGX931" s="18"/>
      <c r="HGY931" s="18"/>
      <c r="HGZ931" s="18"/>
      <c r="HHA931" s="18"/>
      <c r="HHB931" s="18"/>
      <c r="HHC931" s="18"/>
      <c r="HHD931" s="18"/>
      <c r="HHE931" s="18"/>
      <c r="HHF931" s="18"/>
      <c r="HHG931" s="18"/>
      <c r="HHH931" s="18"/>
      <c r="HHI931" s="18"/>
      <c r="HHJ931" s="18"/>
      <c r="HHK931" s="18"/>
      <c r="HHL931" s="18"/>
      <c r="HHM931" s="18"/>
      <c r="HHN931" s="18"/>
      <c r="HHO931" s="18"/>
      <c r="HHP931" s="18"/>
      <c r="HHQ931" s="18"/>
      <c r="HHR931" s="18"/>
      <c r="HHS931" s="18"/>
      <c r="HHT931" s="18"/>
      <c r="HHU931" s="18"/>
      <c r="HHV931" s="18"/>
      <c r="HHW931" s="18"/>
      <c r="HHX931" s="18"/>
      <c r="HHY931" s="18"/>
      <c r="HHZ931" s="18"/>
      <c r="HIA931" s="18"/>
      <c r="HIB931" s="18"/>
      <c r="HIC931" s="18"/>
      <c r="HID931" s="18"/>
      <c r="HIE931" s="18"/>
      <c r="HIF931" s="18"/>
      <c r="HIG931" s="18"/>
      <c r="HIH931" s="18"/>
      <c r="HII931" s="18"/>
      <c r="HIJ931" s="18"/>
      <c r="HIK931" s="18"/>
      <c r="HIL931" s="18"/>
      <c r="HIM931" s="18"/>
      <c r="HIN931" s="18"/>
      <c r="HIO931" s="18"/>
      <c r="HIP931" s="18"/>
      <c r="HIQ931" s="18"/>
      <c r="HIR931" s="18"/>
      <c r="HIS931" s="18"/>
      <c r="HIT931" s="18"/>
      <c r="HIU931" s="18"/>
      <c r="HIV931" s="18"/>
      <c r="HIW931" s="18"/>
      <c r="HIX931" s="18"/>
      <c r="HIY931" s="18"/>
      <c r="HIZ931" s="18"/>
      <c r="HJA931" s="18"/>
      <c r="HJB931" s="18"/>
      <c r="HJC931" s="18"/>
      <c r="HJD931" s="18"/>
      <c r="HJE931" s="18"/>
      <c r="HJF931" s="18"/>
      <c r="HJG931" s="18"/>
      <c r="HJH931" s="18"/>
      <c r="HJI931" s="18"/>
      <c r="HJJ931" s="18"/>
      <c r="HJK931" s="18"/>
      <c r="HJL931" s="18"/>
      <c r="HJM931" s="18"/>
      <c r="HJN931" s="18"/>
      <c r="HJO931" s="18"/>
      <c r="HJP931" s="18"/>
      <c r="HJQ931" s="18"/>
      <c r="HJR931" s="18"/>
      <c r="HJS931" s="18"/>
      <c r="HJT931" s="18"/>
      <c r="HJU931" s="18"/>
      <c r="HJV931" s="18"/>
      <c r="HJW931" s="18"/>
      <c r="HJX931" s="18"/>
      <c r="HJY931" s="18"/>
      <c r="HJZ931" s="18"/>
      <c r="HKA931" s="18"/>
      <c r="HKB931" s="18"/>
      <c r="HKC931" s="18"/>
      <c r="HKD931" s="18"/>
      <c r="HKE931" s="18"/>
      <c r="HKF931" s="18"/>
      <c r="HKG931" s="18"/>
      <c r="HKH931" s="18"/>
      <c r="HKI931" s="18"/>
      <c r="HKJ931" s="18"/>
      <c r="HKK931" s="18"/>
      <c r="HKL931" s="18"/>
      <c r="HKM931" s="18"/>
      <c r="HKN931" s="18"/>
      <c r="HKO931" s="18"/>
      <c r="HKP931" s="18"/>
      <c r="HKQ931" s="18"/>
      <c r="HKR931" s="18"/>
      <c r="HKS931" s="18"/>
      <c r="HKT931" s="18"/>
      <c r="HKU931" s="18"/>
      <c r="HKV931" s="18"/>
      <c r="HKW931" s="18"/>
      <c r="HKX931" s="18"/>
      <c r="HKY931" s="18"/>
      <c r="HKZ931" s="18"/>
      <c r="HLA931" s="18"/>
      <c r="HLB931" s="18"/>
      <c r="HLC931" s="18"/>
      <c r="HLD931" s="18"/>
      <c r="HLE931" s="18"/>
      <c r="HLF931" s="18"/>
      <c r="HLG931" s="18"/>
      <c r="HLH931" s="18"/>
      <c r="HLI931" s="18"/>
      <c r="HLJ931" s="18"/>
      <c r="HLK931" s="18"/>
      <c r="HLL931" s="18"/>
      <c r="HLM931" s="18"/>
      <c r="HLN931" s="18"/>
      <c r="HLO931" s="18"/>
      <c r="HLP931" s="18"/>
      <c r="HLQ931" s="18"/>
      <c r="HLR931" s="18"/>
      <c r="HLS931" s="18"/>
      <c r="HLT931" s="18"/>
      <c r="HLU931" s="18"/>
      <c r="HLV931" s="18"/>
      <c r="HLW931" s="18"/>
      <c r="HLX931" s="18"/>
      <c r="HLY931" s="18"/>
      <c r="HLZ931" s="18"/>
      <c r="HMA931" s="18"/>
      <c r="HMB931" s="18"/>
      <c r="HMC931" s="18"/>
      <c r="HMD931" s="18"/>
      <c r="HME931" s="18"/>
      <c r="HMF931" s="18"/>
      <c r="HMG931" s="18"/>
      <c r="HMH931" s="18"/>
      <c r="HMI931" s="18"/>
      <c r="HMJ931" s="18"/>
      <c r="HMK931" s="18"/>
      <c r="HML931" s="18"/>
      <c r="HMM931" s="18"/>
      <c r="HMN931" s="18"/>
      <c r="HMO931" s="18"/>
      <c r="HMP931" s="18"/>
      <c r="HMQ931" s="18"/>
      <c r="HMR931" s="18"/>
      <c r="HMS931" s="18"/>
      <c r="HMT931" s="18"/>
      <c r="HMU931" s="18"/>
      <c r="HMV931" s="18"/>
      <c r="HMW931" s="18"/>
      <c r="HMX931" s="18"/>
      <c r="HMY931" s="18"/>
      <c r="HMZ931" s="18"/>
      <c r="HNA931" s="18"/>
      <c r="HNB931" s="18"/>
      <c r="HNC931" s="18"/>
      <c r="HND931" s="18"/>
      <c r="HNE931" s="18"/>
      <c r="HNF931" s="18"/>
      <c r="HNG931" s="18"/>
      <c r="HNH931" s="18"/>
      <c r="HNI931" s="18"/>
      <c r="HNJ931" s="18"/>
      <c r="HNK931" s="18"/>
      <c r="HNL931" s="18"/>
      <c r="HNM931" s="18"/>
      <c r="HNN931" s="18"/>
      <c r="HNO931" s="18"/>
      <c r="HNP931" s="18"/>
      <c r="HNQ931" s="18"/>
      <c r="HNR931" s="18"/>
      <c r="HNS931" s="18"/>
      <c r="HNT931" s="18"/>
      <c r="HNU931" s="18"/>
      <c r="HNV931" s="18"/>
      <c r="HNW931" s="18"/>
      <c r="HNX931" s="18"/>
      <c r="HNY931" s="18"/>
      <c r="HNZ931" s="18"/>
      <c r="HOA931" s="18"/>
      <c r="HOB931" s="18"/>
      <c r="HOC931" s="18"/>
      <c r="HOD931" s="18"/>
      <c r="HOE931" s="18"/>
      <c r="HOF931" s="18"/>
      <c r="HOG931" s="18"/>
      <c r="HOH931" s="18"/>
      <c r="HOI931" s="18"/>
      <c r="HOJ931" s="18"/>
      <c r="HOK931" s="18"/>
      <c r="HOL931" s="18"/>
      <c r="HOM931" s="18"/>
      <c r="HON931" s="18"/>
      <c r="HOO931" s="18"/>
      <c r="HOP931" s="18"/>
      <c r="HOQ931" s="18"/>
      <c r="HOR931" s="18"/>
      <c r="HOS931" s="18"/>
      <c r="HOT931" s="18"/>
      <c r="HOU931" s="18"/>
      <c r="HOV931" s="18"/>
      <c r="HOW931" s="18"/>
      <c r="HOX931" s="18"/>
      <c r="HOY931" s="18"/>
      <c r="HOZ931" s="18"/>
      <c r="HPA931" s="18"/>
      <c r="HPB931" s="18"/>
      <c r="HPC931" s="18"/>
      <c r="HPD931" s="18"/>
      <c r="HPE931" s="18"/>
      <c r="HPF931" s="18"/>
      <c r="HPG931" s="18"/>
      <c r="HPH931" s="18"/>
      <c r="HPI931" s="18"/>
      <c r="HPJ931" s="18"/>
      <c r="HPK931" s="18"/>
      <c r="HPL931" s="18"/>
      <c r="HPM931" s="18"/>
      <c r="HPN931" s="18"/>
      <c r="HPO931" s="18"/>
      <c r="HPP931" s="18"/>
      <c r="HPQ931" s="18"/>
      <c r="HPR931" s="18"/>
      <c r="HPS931" s="18"/>
      <c r="HPT931" s="18"/>
      <c r="HPU931" s="18"/>
      <c r="HPV931" s="18"/>
      <c r="HPW931" s="18"/>
      <c r="HPX931" s="18"/>
      <c r="HPY931" s="18"/>
      <c r="HPZ931" s="18"/>
      <c r="HQA931" s="18"/>
      <c r="HQB931" s="18"/>
      <c r="HQC931" s="18"/>
      <c r="HQD931" s="18"/>
      <c r="HQE931" s="18"/>
      <c r="HQF931" s="18"/>
      <c r="HQG931" s="18"/>
      <c r="HQH931" s="18"/>
      <c r="HQI931" s="18"/>
      <c r="HQJ931" s="18"/>
      <c r="HQK931" s="18"/>
      <c r="HQL931" s="18"/>
      <c r="HQM931" s="18"/>
      <c r="HQN931" s="18"/>
      <c r="HQO931" s="18"/>
      <c r="HQP931" s="18"/>
      <c r="HQQ931" s="18"/>
      <c r="HQR931" s="18"/>
      <c r="HQS931" s="18"/>
      <c r="HQT931" s="18"/>
      <c r="HQU931" s="18"/>
      <c r="HQV931" s="18"/>
      <c r="HQW931" s="18"/>
      <c r="HQX931" s="18"/>
      <c r="HQY931" s="18"/>
      <c r="HQZ931" s="18"/>
      <c r="HRA931" s="18"/>
      <c r="HRB931" s="18"/>
      <c r="HRC931" s="18"/>
      <c r="HRD931" s="18"/>
      <c r="HRE931" s="18"/>
      <c r="HRF931" s="18"/>
      <c r="HRG931" s="18"/>
      <c r="HRH931" s="18"/>
      <c r="HRI931" s="18"/>
      <c r="HRJ931" s="18"/>
      <c r="HRK931" s="18"/>
      <c r="HRL931" s="18"/>
      <c r="HRM931" s="18"/>
      <c r="HRN931" s="18"/>
      <c r="HRO931" s="18"/>
      <c r="HRP931" s="18"/>
      <c r="HRQ931" s="18"/>
      <c r="HRR931" s="18"/>
      <c r="HRS931" s="18"/>
      <c r="HRT931" s="18"/>
      <c r="HRU931" s="18"/>
      <c r="HRV931" s="18"/>
      <c r="HRW931" s="18"/>
      <c r="HRX931" s="18"/>
      <c r="HRY931" s="18"/>
      <c r="HRZ931" s="18"/>
      <c r="HSA931" s="18"/>
      <c r="HSB931" s="18"/>
      <c r="HSC931" s="18"/>
      <c r="HSD931" s="18"/>
      <c r="HSE931" s="18"/>
      <c r="HSF931" s="18"/>
      <c r="HSG931" s="18"/>
      <c r="HSH931" s="18"/>
      <c r="HSI931" s="18"/>
      <c r="HSJ931" s="18"/>
      <c r="HSK931" s="18"/>
      <c r="HSL931" s="18"/>
      <c r="HSM931" s="18"/>
      <c r="HSN931" s="18"/>
      <c r="HSO931" s="18"/>
      <c r="HSP931" s="18"/>
      <c r="HSQ931" s="18"/>
      <c r="HSR931" s="18"/>
      <c r="HSS931" s="18"/>
      <c r="HST931" s="18"/>
      <c r="HSU931" s="18"/>
      <c r="HSV931" s="18"/>
      <c r="HSW931" s="18"/>
      <c r="HSX931" s="18"/>
      <c r="HSY931" s="18"/>
      <c r="HSZ931" s="18"/>
      <c r="HTA931" s="18"/>
      <c r="HTB931" s="18"/>
      <c r="HTC931" s="18"/>
      <c r="HTD931" s="18"/>
      <c r="HTE931" s="18"/>
      <c r="HTF931" s="18"/>
      <c r="HTG931" s="18"/>
      <c r="HTH931" s="18"/>
      <c r="HTI931" s="18"/>
      <c r="HTJ931" s="18"/>
      <c r="HTK931" s="18"/>
      <c r="HTL931" s="18"/>
      <c r="HTM931" s="18"/>
      <c r="HTN931" s="18"/>
      <c r="HTO931" s="18"/>
      <c r="HTP931" s="18"/>
      <c r="HTQ931" s="18"/>
      <c r="HTR931" s="18"/>
      <c r="HTS931" s="18"/>
      <c r="HTT931" s="18"/>
      <c r="HTU931" s="18"/>
      <c r="HTV931" s="18"/>
      <c r="HTW931" s="18"/>
      <c r="HTX931" s="18"/>
      <c r="HTY931" s="18"/>
      <c r="HTZ931" s="18"/>
      <c r="HUA931" s="18"/>
      <c r="HUB931" s="18"/>
      <c r="HUC931" s="18"/>
      <c r="HUD931" s="18"/>
      <c r="HUE931" s="18"/>
      <c r="HUF931" s="18"/>
      <c r="HUG931" s="18"/>
      <c r="HUH931" s="18"/>
      <c r="HUI931" s="18"/>
      <c r="HUJ931" s="18"/>
      <c r="HUK931" s="18"/>
      <c r="HUL931" s="18"/>
      <c r="HUM931" s="18"/>
      <c r="HUN931" s="18"/>
      <c r="HUO931" s="18"/>
      <c r="HUP931" s="18"/>
      <c r="HUQ931" s="18"/>
      <c r="HUR931" s="18"/>
      <c r="HUS931" s="18"/>
      <c r="HUT931" s="18"/>
      <c r="HUU931" s="18"/>
      <c r="HUV931" s="18"/>
      <c r="HUW931" s="18"/>
      <c r="HUX931" s="18"/>
      <c r="HUY931" s="18"/>
      <c r="HUZ931" s="18"/>
      <c r="HVA931" s="18"/>
      <c r="HVB931" s="18"/>
      <c r="HVC931" s="18"/>
      <c r="HVD931" s="18"/>
      <c r="HVE931" s="18"/>
      <c r="HVF931" s="18"/>
      <c r="HVG931" s="18"/>
      <c r="HVH931" s="18"/>
      <c r="HVI931" s="18"/>
      <c r="HVJ931" s="18"/>
      <c r="HVK931" s="18"/>
      <c r="HVL931" s="18"/>
      <c r="HVM931" s="18"/>
      <c r="HVN931" s="18"/>
      <c r="HVO931" s="18"/>
      <c r="HVP931" s="18"/>
      <c r="HVQ931" s="18"/>
      <c r="HVR931" s="18"/>
      <c r="HVS931" s="18"/>
      <c r="HVT931" s="18"/>
      <c r="HVU931" s="18"/>
      <c r="HVV931" s="18"/>
      <c r="HVW931" s="18"/>
      <c r="HVX931" s="18"/>
      <c r="HVY931" s="18"/>
      <c r="HVZ931" s="18"/>
      <c r="HWA931" s="18"/>
      <c r="HWB931" s="18"/>
      <c r="HWC931" s="18"/>
      <c r="HWD931" s="18"/>
      <c r="HWE931" s="18"/>
      <c r="HWF931" s="18"/>
      <c r="HWG931" s="18"/>
      <c r="HWH931" s="18"/>
      <c r="HWI931" s="18"/>
      <c r="HWJ931" s="18"/>
      <c r="HWK931" s="18"/>
      <c r="HWL931" s="18"/>
      <c r="HWM931" s="18"/>
      <c r="HWN931" s="18"/>
      <c r="HWO931" s="18"/>
      <c r="HWP931" s="18"/>
      <c r="HWQ931" s="18"/>
      <c r="HWR931" s="18"/>
      <c r="HWS931" s="18"/>
      <c r="HWT931" s="18"/>
      <c r="HWU931" s="18"/>
      <c r="HWV931" s="18"/>
      <c r="HWW931" s="18"/>
      <c r="HWX931" s="18"/>
      <c r="HWY931" s="18"/>
      <c r="HWZ931" s="18"/>
      <c r="HXA931" s="18"/>
      <c r="HXB931" s="18"/>
      <c r="HXC931" s="18"/>
      <c r="HXD931" s="18"/>
      <c r="HXE931" s="18"/>
      <c r="HXF931" s="18"/>
      <c r="HXG931" s="18"/>
      <c r="HXH931" s="18"/>
      <c r="HXI931" s="18"/>
      <c r="HXJ931" s="18"/>
      <c r="HXK931" s="18"/>
      <c r="HXL931" s="18"/>
      <c r="HXM931" s="18"/>
      <c r="HXN931" s="18"/>
      <c r="HXO931" s="18"/>
      <c r="HXP931" s="18"/>
      <c r="HXQ931" s="18"/>
      <c r="HXR931" s="18"/>
      <c r="HXS931" s="18"/>
      <c r="HXT931" s="18"/>
      <c r="HXU931" s="18"/>
      <c r="HXV931" s="18"/>
      <c r="HXW931" s="18"/>
      <c r="HXX931" s="18"/>
      <c r="HXY931" s="18"/>
      <c r="HXZ931" s="18"/>
      <c r="HYA931" s="18"/>
      <c r="HYB931" s="18"/>
      <c r="HYC931" s="18"/>
      <c r="HYD931" s="18"/>
      <c r="HYE931" s="18"/>
      <c r="HYF931" s="18"/>
      <c r="HYG931" s="18"/>
      <c r="HYH931" s="18"/>
      <c r="HYI931" s="18"/>
      <c r="HYJ931" s="18"/>
      <c r="HYK931" s="18"/>
      <c r="HYL931" s="18"/>
      <c r="HYM931" s="18"/>
      <c r="HYN931" s="18"/>
      <c r="HYO931" s="18"/>
      <c r="HYP931" s="18"/>
      <c r="HYQ931" s="18"/>
      <c r="HYR931" s="18"/>
      <c r="HYS931" s="18"/>
      <c r="HYT931" s="18"/>
      <c r="HYU931" s="18"/>
      <c r="HYV931" s="18"/>
      <c r="HYW931" s="18"/>
      <c r="HYX931" s="18"/>
      <c r="HYY931" s="18"/>
      <c r="HYZ931" s="18"/>
      <c r="HZA931" s="18"/>
      <c r="HZB931" s="18"/>
      <c r="HZC931" s="18"/>
      <c r="HZD931" s="18"/>
      <c r="HZE931" s="18"/>
      <c r="HZF931" s="18"/>
      <c r="HZG931" s="18"/>
      <c r="HZH931" s="18"/>
      <c r="HZI931" s="18"/>
      <c r="HZJ931" s="18"/>
      <c r="HZK931" s="18"/>
      <c r="HZL931" s="18"/>
      <c r="HZM931" s="18"/>
      <c r="HZN931" s="18"/>
      <c r="HZO931" s="18"/>
      <c r="HZP931" s="18"/>
      <c r="HZQ931" s="18"/>
      <c r="HZR931" s="18"/>
      <c r="HZS931" s="18"/>
      <c r="HZT931" s="18"/>
      <c r="HZU931" s="18"/>
      <c r="HZV931" s="18"/>
      <c r="HZW931" s="18"/>
      <c r="HZX931" s="18"/>
      <c r="HZY931" s="18"/>
      <c r="HZZ931" s="18"/>
      <c r="IAA931" s="18"/>
      <c r="IAB931" s="18"/>
      <c r="IAC931" s="18"/>
      <c r="IAD931" s="18"/>
      <c r="IAE931" s="18"/>
      <c r="IAF931" s="18"/>
      <c r="IAG931" s="18"/>
      <c r="IAH931" s="18"/>
      <c r="IAI931" s="18"/>
      <c r="IAJ931" s="18"/>
      <c r="IAK931" s="18"/>
      <c r="IAL931" s="18"/>
      <c r="IAM931" s="18"/>
      <c r="IAN931" s="18"/>
      <c r="IAO931" s="18"/>
      <c r="IAP931" s="18"/>
      <c r="IAQ931" s="18"/>
      <c r="IAR931" s="18"/>
      <c r="IAS931" s="18"/>
      <c r="IAT931" s="18"/>
      <c r="IAU931" s="18"/>
      <c r="IAV931" s="18"/>
      <c r="IAW931" s="18"/>
      <c r="IAX931" s="18"/>
      <c r="IAY931" s="18"/>
      <c r="IAZ931" s="18"/>
      <c r="IBA931" s="18"/>
      <c r="IBB931" s="18"/>
      <c r="IBC931" s="18"/>
      <c r="IBD931" s="18"/>
      <c r="IBE931" s="18"/>
      <c r="IBF931" s="18"/>
      <c r="IBG931" s="18"/>
      <c r="IBH931" s="18"/>
      <c r="IBI931" s="18"/>
      <c r="IBJ931" s="18"/>
      <c r="IBK931" s="18"/>
      <c r="IBL931" s="18"/>
      <c r="IBM931" s="18"/>
      <c r="IBN931" s="18"/>
      <c r="IBO931" s="18"/>
      <c r="IBP931" s="18"/>
      <c r="IBQ931" s="18"/>
      <c r="IBR931" s="18"/>
      <c r="IBS931" s="18"/>
      <c r="IBT931" s="18"/>
      <c r="IBU931" s="18"/>
      <c r="IBV931" s="18"/>
      <c r="IBW931" s="18"/>
      <c r="IBX931" s="18"/>
      <c r="IBY931" s="18"/>
      <c r="IBZ931" s="18"/>
      <c r="ICA931" s="18"/>
      <c r="ICB931" s="18"/>
      <c r="ICC931" s="18"/>
      <c r="ICD931" s="18"/>
      <c r="ICE931" s="18"/>
      <c r="ICF931" s="18"/>
      <c r="ICG931" s="18"/>
      <c r="ICH931" s="18"/>
      <c r="ICI931" s="18"/>
      <c r="ICJ931" s="18"/>
      <c r="ICK931" s="18"/>
      <c r="ICL931" s="18"/>
      <c r="ICM931" s="18"/>
      <c r="ICN931" s="18"/>
      <c r="ICO931" s="18"/>
      <c r="ICP931" s="18"/>
      <c r="ICQ931" s="18"/>
      <c r="ICR931" s="18"/>
      <c r="ICS931" s="18"/>
      <c r="ICT931" s="18"/>
      <c r="ICU931" s="18"/>
      <c r="ICV931" s="18"/>
      <c r="ICW931" s="18"/>
      <c r="ICX931" s="18"/>
      <c r="ICY931" s="18"/>
      <c r="ICZ931" s="18"/>
      <c r="IDA931" s="18"/>
      <c r="IDB931" s="18"/>
      <c r="IDC931" s="18"/>
      <c r="IDD931" s="18"/>
      <c r="IDE931" s="18"/>
      <c r="IDF931" s="18"/>
      <c r="IDG931" s="18"/>
      <c r="IDH931" s="18"/>
      <c r="IDI931" s="18"/>
      <c r="IDJ931" s="18"/>
      <c r="IDK931" s="18"/>
      <c r="IDL931" s="18"/>
      <c r="IDM931" s="18"/>
      <c r="IDN931" s="18"/>
      <c r="IDO931" s="18"/>
      <c r="IDP931" s="18"/>
      <c r="IDQ931" s="18"/>
      <c r="IDR931" s="18"/>
      <c r="IDS931" s="18"/>
      <c r="IDT931" s="18"/>
      <c r="IDU931" s="18"/>
      <c r="IDV931" s="18"/>
      <c r="IDW931" s="18"/>
      <c r="IDX931" s="18"/>
      <c r="IDY931" s="18"/>
      <c r="IDZ931" s="18"/>
      <c r="IEA931" s="18"/>
      <c r="IEB931" s="18"/>
      <c r="IEC931" s="18"/>
      <c r="IED931" s="18"/>
      <c r="IEE931" s="18"/>
      <c r="IEF931" s="18"/>
      <c r="IEG931" s="18"/>
      <c r="IEH931" s="18"/>
      <c r="IEI931" s="18"/>
      <c r="IEJ931" s="18"/>
      <c r="IEK931" s="18"/>
      <c r="IEL931" s="18"/>
      <c r="IEM931" s="18"/>
      <c r="IEN931" s="18"/>
      <c r="IEO931" s="18"/>
      <c r="IEP931" s="18"/>
      <c r="IEQ931" s="18"/>
      <c r="IER931" s="18"/>
      <c r="IES931" s="18"/>
      <c r="IET931" s="18"/>
      <c r="IEU931" s="18"/>
      <c r="IEV931" s="18"/>
      <c r="IEW931" s="18"/>
      <c r="IEX931" s="18"/>
      <c r="IEY931" s="18"/>
      <c r="IEZ931" s="18"/>
      <c r="IFA931" s="18"/>
      <c r="IFB931" s="18"/>
      <c r="IFC931" s="18"/>
      <c r="IFD931" s="18"/>
      <c r="IFE931" s="18"/>
      <c r="IFF931" s="18"/>
      <c r="IFG931" s="18"/>
      <c r="IFH931" s="18"/>
      <c r="IFI931" s="18"/>
      <c r="IFJ931" s="18"/>
      <c r="IFK931" s="18"/>
      <c r="IFL931" s="18"/>
      <c r="IFM931" s="18"/>
      <c r="IFN931" s="18"/>
      <c r="IFO931" s="18"/>
      <c r="IFP931" s="18"/>
      <c r="IFQ931" s="18"/>
      <c r="IFR931" s="18"/>
      <c r="IFS931" s="18"/>
      <c r="IFT931" s="18"/>
      <c r="IFU931" s="18"/>
      <c r="IFV931" s="18"/>
      <c r="IFW931" s="18"/>
      <c r="IFX931" s="18"/>
      <c r="IFY931" s="18"/>
      <c r="IFZ931" s="18"/>
      <c r="IGA931" s="18"/>
      <c r="IGB931" s="18"/>
      <c r="IGC931" s="18"/>
      <c r="IGD931" s="18"/>
      <c r="IGE931" s="18"/>
      <c r="IGF931" s="18"/>
      <c r="IGG931" s="18"/>
      <c r="IGH931" s="18"/>
      <c r="IGI931" s="18"/>
      <c r="IGJ931" s="18"/>
      <c r="IGK931" s="18"/>
      <c r="IGL931" s="18"/>
      <c r="IGM931" s="18"/>
      <c r="IGN931" s="18"/>
      <c r="IGO931" s="18"/>
      <c r="IGP931" s="18"/>
      <c r="IGQ931" s="18"/>
      <c r="IGR931" s="18"/>
      <c r="IGS931" s="18"/>
      <c r="IGT931" s="18"/>
      <c r="IGU931" s="18"/>
      <c r="IGV931" s="18"/>
      <c r="IGW931" s="18"/>
      <c r="IGX931" s="18"/>
      <c r="IGY931" s="18"/>
      <c r="IGZ931" s="18"/>
      <c r="IHA931" s="18"/>
      <c r="IHB931" s="18"/>
      <c r="IHC931" s="18"/>
      <c r="IHD931" s="18"/>
      <c r="IHE931" s="18"/>
      <c r="IHF931" s="18"/>
      <c r="IHG931" s="18"/>
      <c r="IHH931" s="18"/>
      <c r="IHI931" s="18"/>
      <c r="IHJ931" s="18"/>
      <c r="IHK931" s="18"/>
      <c r="IHL931" s="18"/>
      <c r="IHM931" s="18"/>
      <c r="IHN931" s="18"/>
      <c r="IHO931" s="18"/>
      <c r="IHP931" s="18"/>
      <c r="IHQ931" s="18"/>
      <c r="IHR931" s="18"/>
      <c r="IHS931" s="18"/>
      <c r="IHT931" s="18"/>
      <c r="IHU931" s="18"/>
      <c r="IHV931" s="18"/>
      <c r="IHW931" s="18"/>
      <c r="IHX931" s="18"/>
      <c r="IHY931" s="18"/>
      <c r="IHZ931" s="18"/>
      <c r="IIA931" s="18"/>
      <c r="IIB931" s="18"/>
      <c r="IIC931" s="18"/>
      <c r="IID931" s="18"/>
      <c r="IIE931" s="18"/>
      <c r="IIF931" s="18"/>
      <c r="IIG931" s="18"/>
      <c r="IIH931" s="18"/>
      <c r="III931" s="18"/>
      <c r="IIJ931" s="18"/>
      <c r="IIK931" s="18"/>
      <c r="IIL931" s="18"/>
      <c r="IIM931" s="18"/>
      <c r="IIN931" s="18"/>
      <c r="IIO931" s="18"/>
      <c r="IIP931" s="18"/>
      <c r="IIQ931" s="18"/>
      <c r="IIR931" s="18"/>
      <c r="IIS931" s="18"/>
      <c r="IIT931" s="18"/>
      <c r="IIU931" s="18"/>
      <c r="IIV931" s="18"/>
      <c r="IIW931" s="18"/>
      <c r="IIX931" s="18"/>
      <c r="IIY931" s="18"/>
      <c r="IIZ931" s="18"/>
      <c r="IJA931" s="18"/>
      <c r="IJB931" s="18"/>
      <c r="IJC931" s="18"/>
      <c r="IJD931" s="18"/>
      <c r="IJE931" s="18"/>
      <c r="IJF931" s="18"/>
      <c r="IJG931" s="18"/>
      <c r="IJH931" s="18"/>
      <c r="IJI931" s="18"/>
      <c r="IJJ931" s="18"/>
      <c r="IJK931" s="18"/>
      <c r="IJL931" s="18"/>
      <c r="IJM931" s="18"/>
      <c r="IJN931" s="18"/>
      <c r="IJO931" s="18"/>
      <c r="IJP931" s="18"/>
      <c r="IJQ931" s="18"/>
      <c r="IJR931" s="18"/>
      <c r="IJS931" s="18"/>
      <c r="IJT931" s="18"/>
      <c r="IJU931" s="18"/>
      <c r="IJV931" s="18"/>
      <c r="IJW931" s="18"/>
      <c r="IJX931" s="18"/>
      <c r="IJY931" s="18"/>
      <c r="IJZ931" s="18"/>
      <c r="IKA931" s="18"/>
      <c r="IKB931" s="18"/>
      <c r="IKC931" s="18"/>
      <c r="IKD931" s="18"/>
      <c r="IKE931" s="18"/>
      <c r="IKF931" s="18"/>
      <c r="IKG931" s="18"/>
      <c r="IKH931" s="18"/>
      <c r="IKI931" s="18"/>
      <c r="IKJ931" s="18"/>
      <c r="IKK931" s="18"/>
      <c r="IKL931" s="18"/>
      <c r="IKM931" s="18"/>
      <c r="IKN931" s="18"/>
      <c r="IKO931" s="18"/>
      <c r="IKP931" s="18"/>
      <c r="IKQ931" s="18"/>
      <c r="IKR931" s="18"/>
      <c r="IKS931" s="18"/>
      <c r="IKT931" s="18"/>
      <c r="IKU931" s="18"/>
      <c r="IKV931" s="18"/>
      <c r="IKW931" s="18"/>
      <c r="IKX931" s="18"/>
      <c r="IKY931" s="18"/>
      <c r="IKZ931" s="18"/>
      <c r="ILA931" s="18"/>
      <c r="ILB931" s="18"/>
      <c r="ILC931" s="18"/>
      <c r="ILD931" s="18"/>
      <c r="ILE931" s="18"/>
      <c r="ILF931" s="18"/>
      <c r="ILG931" s="18"/>
      <c r="ILH931" s="18"/>
      <c r="ILI931" s="18"/>
      <c r="ILJ931" s="18"/>
      <c r="ILK931" s="18"/>
      <c r="ILL931" s="18"/>
      <c r="ILM931" s="18"/>
      <c r="ILN931" s="18"/>
      <c r="ILO931" s="18"/>
      <c r="ILP931" s="18"/>
      <c r="ILQ931" s="18"/>
      <c r="ILR931" s="18"/>
      <c r="ILS931" s="18"/>
      <c r="ILT931" s="18"/>
      <c r="ILU931" s="18"/>
      <c r="ILV931" s="18"/>
      <c r="ILW931" s="18"/>
      <c r="ILX931" s="18"/>
      <c r="ILY931" s="18"/>
      <c r="ILZ931" s="18"/>
      <c r="IMA931" s="18"/>
      <c r="IMB931" s="18"/>
      <c r="IMC931" s="18"/>
      <c r="IMD931" s="18"/>
      <c r="IME931" s="18"/>
      <c r="IMF931" s="18"/>
      <c r="IMG931" s="18"/>
      <c r="IMH931" s="18"/>
      <c r="IMI931" s="18"/>
      <c r="IMJ931" s="18"/>
      <c r="IMK931" s="18"/>
      <c r="IML931" s="18"/>
      <c r="IMM931" s="18"/>
      <c r="IMN931" s="18"/>
      <c r="IMO931" s="18"/>
      <c r="IMP931" s="18"/>
      <c r="IMQ931" s="18"/>
      <c r="IMR931" s="18"/>
      <c r="IMS931" s="18"/>
      <c r="IMT931" s="18"/>
      <c r="IMU931" s="18"/>
      <c r="IMV931" s="18"/>
      <c r="IMW931" s="18"/>
      <c r="IMX931" s="18"/>
      <c r="IMY931" s="18"/>
      <c r="IMZ931" s="18"/>
      <c r="INA931" s="18"/>
      <c r="INB931" s="18"/>
      <c r="INC931" s="18"/>
      <c r="IND931" s="18"/>
      <c r="INE931" s="18"/>
      <c r="INF931" s="18"/>
      <c r="ING931" s="18"/>
      <c r="INH931" s="18"/>
      <c r="INI931" s="18"/>
      <c r="INJ931" s="18"/>
      <c r="INK931" s="18"/>
      <c r="INL931" s="18"/>
      <c r="INM931" s="18"/>
      <c r="INN931" s="18"/>
      <c r="INO931" s="18"/>
      <c r="INP931" s="18"/>
      <c r="INQ931" s="18"/>
      <c r="INR931" s="18"/>
      <c r="INS931" s="18"/>
      <c r="INT931" s="18"/>
      <c r="INU931" s="18"/>
      <c r="INV931" s="18"/>
      <c r="INW931" s="18"/>
      <c r="INX931" s="18"/>
      <c r="INY931" s="18"/>
      <c r="INZ931" s="18"/>
      <c r="IOA931" s="18"/>
      <c r="IOB931" s="18"/>
      <c r="IOC931" s="18"/>
      <c r="IOD931" s="18"/>
      <c r="IOE931" s="18"/>
      <c r="IOF931" s="18"/>
      <c r="IOG931" s="18"/>
      <c r="IOH931" s="18"/>
      <c r="IOI931" s="18"/>
      <c r="IOJ931" s="18"/>
      <c r="IOK931" s="18"/>
      <c r="IOL931" s="18"/>
      <c r="IOM931" s="18"/>
      <c r="ION931" s="18"/>
      <c r="IOO931" s="18"/>
      <c r="IOP931" s="18"/>
      <c r="IOQ931" s="18"/>
      <c r="IOR931" s="18"/>
      <c r="IOS931" s="18"/>
      <c r="IOT931" s="18"/>
      <c r="IOU931" s="18"/>
      <c r="IOV931" s="18"/>
      <c r="IOW931" s="18"/>
      <c r="IOX931" s="18"/>
      <c r="IOY931" s="18"/>
      <c r="IOZ931" s="18"/>
      <c r="IPA931" s="18"/>
      <c r="IPB931" s="18"/>
      <c r="IPC931" s="18"/>
      <c r="IPD931" s="18"/>
      <c r="IPE931" s="18"/>
      <c r="IPF931" s="18"/>
      <c r="IPG931" s="18"/>
      <c r="IPH931" s="18"/>
      <c r="IPI931" s="18"/>
      <c r="IPJ931" s="18"/>
      <c r="IPK931" s="18"/>
      <c r="IPL931" s="18"/>
      <c r="IPM931" s="18"/>
      <c r="IPN931" s="18"/>
      <c r="IPO931" s="18"/>
      <c r="IPP931" s="18"/>
      <c r="IPQ931" s="18"/>
      <c r="IPR931" s="18"/>
      <c r="IPS931" s="18"/>
      <c r="IPT931" s="18"/>
      <c r="IPU931" s="18"/>
      <c r="IPV931" s="18"/>
      <c r="IPW931" s="18"/>
      <c r="IPX931" s="18"/>
      <c r="IPY931" s="18"/>
      <c r="IPZ931" s="18"/>
      <c r="IQA931" s="18"/>
      <c r="IQB931" s="18"/>
      <c r="IQC931" s="18"/>
      <c r="IQD931" s="18"/>
      <c r="IQE931" s="18"/>
      <c r="IQF931" s="18"/>
      <c r="IQG931" s="18"/>
      <c r="IQH931" s="18"/>
      <c r="IQI931" s="18"/>
      <c r="IQJ931" s="18"/>
      <c r="IQK931" s="18"/>
      <c r="IQL931" s="18"/>
      <c r="IQM931" s="18"/>
      <c r="IQN931" s="18"/>
      <c r="IQO931" s="18"/>
      <c r="IQP931" s="18"/>
      <c r="IQQ931" s="18"/>
      <c r="IQR931" s="18"/>
      <c r="IQS931" s="18"/>
      <c r="IQT931" s="18"/>
      <c r="IQU931" s="18"/>
      <c r="IQV931" s="18"/>
      <c r="IQW931" s="18"/>
      <c r="IQX931" s="18"/>
      <c r="IQY931" s="18"/>
      <c r="IQZ931" s="18"/>
      <c r="IRA931" s="18"/>
      <c r="IRB931" s="18"/>
      <c r="IRC931" s="18"/>
      <c r="IRD931" s="18"/>
      <c r="IRE931" s="18"/>
      <c r="IRF931" s="18"/>
      <c r="IRG931" s="18"/>
      <c r="IRH931" s="18"/>
      <c r="IRI931" s="18"/>
      <c r="IRJ931" s="18"/>
      <c r="IRK931" s="18"/>
      <c r="IRL931" s="18"/>
      <c r="IRM931" s="18"/>
      <c r="IRN931" s="18"/>
      <c r="IRO931" s="18"/>
      <c r="IRP931" s="18"/>
      <c r="IRQ931" s="18"/>
      <c r="IRR931" s="18"/>
      <c r="IRS931" s="18"/>
      <c r="IRT931" s="18"/>
      <c r="IRU931" s="18"/>
      <c r="IRV931" s="18"/>
      <c r="IRW931" s="18"/>
      <c r="IRX931" s="18"/>
      <c r="IRY931" s="18"/>
      <c r="IRZ931" s="18"/>
      <c r="ISA931" s="18"/>
      <c r="ISB931" s="18"/>
      <c r="ISC931" s="18"/>
      <c r="ISD931" s="18"/>
      <c r="ISE931" s="18"/>
      <c r="ISF931" s="18"/>
      <c r="ISG931" s="18"/>
      <c r="ISH931" s="18"/>
      <c r="ISI931" s="18"/>
      <c r="ISJ931" s="18"/>
      <c r="ISK931" s="18"/>
      <c r="ISL931" s="18"/>
      <c r="ISM931" s="18"/>
      <c r="ISN931" s="18"/>
      <c r="ISO931" s="18"/>
      <c r="ISP931" s="18"/>
      <c r="ISQ931" s="18"/>
      <c r="ISR931" s="18"/>
      <c r="ISS931" s="18"/>
      <c r="IST931" s="18"/>
      <c r="ISU931" s="18"/>
      <c r="ISV931" s="18"/>
      <c r="ISW931" s="18"/>
      <c r="ISX931" s="18"/>
      <c r="ISY931" s="18"/>
      <c r="ISZ931" s="18"/>
      <c r="ITA931" s="18"/>
      <c r="ITB931" s="18"/>
      <c r="ITC931" s="18"/>
      <c r="ITD931" s="18"/>
      <c r="ITE931" s="18"/>
      <c r="ITF931" s="18"/>
      <c r="ITG931" s="18"/>
      <c r="ITH931" s="18"/>
      <c r="ITI931" s="18"/>
      <c r="ITJ931" s="18"/>
      <c r="ITK931" s="18"/>
      <c r="ITL931" s="18"/>
      <c r="ITM931" s="18"/>
      <c r="ITN931" s="18"/>
      <c r="ITO931" s="18"/>
      <c r="ITP931" s="18"/>
      <c r="ITQ931" s="18"/>
      <c r="ITR931" s="18"/>
      <c r="ITS931" s="18"/>
      <c r="ITT931" s="18"/>
      <c r="ITU931" s="18"/>
      <c r="ITV931" s="18"/>
      <c r="ITW931" s="18"/>
      <c r="ITX931" s="18"/>
      <c r="ITY931" s="18"/>
      <c r="ITZ931" s="18"/>
      <c r="IUA931" s="18"/>
      <c r="IUB931" s="18"/>
      <c r="IUC931" s="18"/>
      <c r="IUD931" s="18"/>
      <c r="IUE931" s="18"/>
      <c r="IUF931" s="18"/>
      <c r="IUG931" s="18"/>
      <c r="IUH931" s="18"/>
      <c r="IUI931" s="18"/>
      <c r="IUJ931" s="18"/>
      <c r="IUK931" s="18"/>
      <c r="IUL931" s="18"/>
      <c r="IUM931" s="18"/>
      <c r="IUN931" s="18"/>
      <c r="IUO931" s="18"/>
      <c r="IUP931" s="18"/>
      <c r="IUQ931" s="18"/>
      <c r="IUR931" s="18"/>
      <c r="IUS931" s="18"/>
      <c r="IUT931" s="18"/>
      <c r="IUU931" s="18"/>
      <c r="IUV931" s="18"/>
      <c r="IUW931" s="18"/>
      <c r="IUX931" s="18"/>
      <c r="IUY931" s="18"/>
      <c r="IUZ931" s="18"/>
      <c r="IVA931" s="18"/>
      <c r="IVB931" s="18"/>
      <c r="IVC931" s="18"/>
      <c r="IVD931" s="18"/>
      <c r="IVE931" s="18"/>
      <c r="IVF931" s="18"/>
      <c r="IVG931" s="18"/>
      <c r="IVH931" s="18"/>
      <c r="IVI931" s="18"/>
      <c r="IVJ931" s="18"/>
      <c r="IVK931" s="18"/>
      <c r="IVL931" s="18"/>
      <c r="IVM931" s="18"/>
      <c r="IVN931" s="18"/>
      <c r="IVO931" s="18"/>
      <c r="IVP931" s="18"/>
      <c r="IVQ931" s="18"/>
      <c r="IVR931" s="18"/>
      <c r="IVS931" s="18"/>
      <c r="IVT931" s="18"/>
      <c r="IVU931" s="18"/>
      <c r="IVV931" s="18"/>
      <c r="IVW931" s="18"/>
      <c r="IVX931" s="18"/>
      <c r="IVY931" s="18"/>
      <c r="IVZ931" s="18"/>
      <c r="IWA931" s="18"/>
      <c r="IWB931" s="18"/>
      <c r="IWC931" s="18"/>
      <c r="IWD931" s="18"/>
      <c r="IWE931" s="18"/>
      <c r="IWF931" s="18"/>
      <c r="IWG931" s="18"/>
      <c r="IWH931" s="18"/>
      <c r="IWI931" s="18"/>
      <c r="IWJ931" s="18"/>
      <c r="IWK931" s="18"/>
      <c r="IWL931" s="18"/>
      <c r="IWM931" s="18"/>
      <c r="IWN931" s="18"/>
      <c r="IWO931" s="18"/>
      <c r="IWP931" s="18"/>
      <c r="IWQ931" s="18"/>
      <c r="IWR931" s="18"/>
      <c r="IWS931" s="18"/>
      <c r="IWT931" s="18"/>
      <c r="IWU931" s="18"/>
      <c r="IWV931" s="18"/>
      <c r="IWW931" s="18"/>
      <c r="IWX931" s="18"/>
      <c r="IWY931" s="18"/>
      <c r="IWZ931" s="18"/>
      <c r="IXA931" s="18"/>
      <c r="IXB931" s="18"/>
      <c r="IXC931" s="18"/>
      <c r="IXD931" s="18"/>
      <c r="IXE931" s="18"/>
      <c r="IXF931" s="18"/>
      <c r="IXG931" s="18"/>
      <c r="IXH931" s="18"/>
      <c r="IXI931" s="18"/>
      <c r="IXJ931" s="18"/>
      <c r="IXK931" s="18"/>
      <c r="IXL931" s="18"/>
      <c r="IXM931" s="18"/>
      <c r="IXN931" s="18"/>
      <c r="IXO931" s="18"/>
      <c r="IXP931" s="18"/>
      <c r="IXQ931" s="18"/>
      <c r="IXR931" s="18"/>
      <c r="IXS931" s="18"/>
      <c r="IXT931" s="18"/>
      <c r="IXU931" s="18"/>
      <c r="IXV931" s="18"/>
      <c r="IXW931" s="18"/>
      <c r="IXX931" s="18"/>
      <c r="IXY931" s="18"/>
      <c r="IXZ931" s="18"/>
      <c r="IYA931" s="18"/>
      <c r="IYB931" s="18"/>
      <c r="IYC931" s="18"/>
      <c r="IYD931" s="18"/>
      <c r="IYE931" s="18"/>
      <c r="IYF931" s="18"/>
      <c r="IYG931" s="18"/>
      <c r="IYH931" s="18"/>
      <c r="IYI931" s="18"/>
      <c r="IYJ931" s="18"/>
      <c r="IYK931" s="18"/>
      <c r="IYL931" s="18"/>
      <c r="IYM931" s="18"/>
      <c r="IYN931" s="18"/>
      <c r="IYO931" s="18"/>
      <c r="IYP931" s="18"/>
      <c r="IYQ931" s="18"/>
      <c r="IYR931" s="18"/>
      <c r="IYS931" s="18"/>
      <c r="IYT931" s="18"/>
      <c r="IYU931" s="18"/>
      <c r="IYV931" s="18"/>
      <c r="IYW931" s="18"/>
      <c r="IYX931" s="18"/>
      <c r="IYY931" s="18"/>
      <c r="IYZ931" s="18"/>
      <c r="IZA931" s="18"/>
      <c r="IZB931" s="18"/>
      <c r="IZC931" s="18"/>
      <c r="IZD931" s="18"/>
      <c r="IZE931" s="18"/>
      <c r="IZF931" s="18"/>
      <c r="IZG931" s="18"/>
      <c r="IZH931" s="18"/>
      <c r="IZI931" s="18"/>
      <c r="IZJ931" s="18"/>
      <c r="IZK931" s="18"/>
      <c r="IZL931" s="18"/>
      <c r="IZM931" s="18"/>
      <c r="IZN931" s="18"/>
      <c r="IZO931" s="18"/>
      <c r="IZP931" s="18"/>
      <c r="IZQ931" s="18"/>
      <c r="IZR931" s="18"/>
      <c r="IZS931" s="18"/>
      <c r="IZT931" s="18"/>
      <c r="IZU931" s="18"/>
      <c r="IZV931" s="18"/>
      <c r="IZW931" s="18"/>
      <c r="IZX931" s="18"/>
      <c r="IZY931" s="18"/>
      <c r="IZZ931" s="18"/>
      <c r="JAA931" s="18"/>
      <c r="JAB931" s="18"/>
      <c r="JAC931" s="18"/>
      <c r="JAD931" s="18"/>
      <c r="JAE931" s="18"/>
      <c r="JAF931" s="18"/>
      <c r="JAG931" s="18"/>
      <c r="JAH931" s="18"/>
      <c r="JAI931" s="18"/>
      <c r="JAJ931" s="18"/>
      <c r="JAK931" s="18"/>
      <c r="JAL931" s="18"/>
      <c r="JAM931" s="18"/>
      <c r="JAN931" s="18"/>
      <c r="JAO931" s="18"/>
      <c r="JAP931" s="18"/>
      <c r="JAQ931" s="18"/>
      <c r="JAR931" s="18"/>
      <c r="JAS931" s="18"/>
      <c r="JAT931" s="18"/>
      <c r="JAU931" s="18"/>
      <c r="JAV931" s="18"/>
      <c r="JAW931" s="18"/>
      <c r="JAX931" s="18"/>
      <c r="JAY931" s="18"/>
      <c r="JAZ931" s="18"/>
      <c r="JBA931" s="18"/>
      <c r="JBB931" s="18"/>
      <c r="JBC931" s="18"/>
      <c r="JBD931" s="18"/>
      <c r="JBE931" s="18"/>
      <c r="JBF931" s="18"/>
      <c r="JBG931" s="18"/>
      <c r="JBH931" s="18"/>
      <c r="JBI931" s="18"/>
      <c r="JBJ931" s="18"/>
      <c r="JBK931" s="18"/>
      <c r="JBL931" s="18"/>
      <c r="JBM931" s="18"/>
      <c r="JBN931" s="18"/>
      <c r="JBO931" s="18"/>
      <c r="JBP931" s="18"/>
      <c r="JBQ931" s="18"/>
      <c r="JBR931" s="18"/>
      <c r="JBS931" s="18"/>
      <c r="JBT931" s="18"/>
      <c r="JBU931" s="18"/>
      <c r="JBV931" s="18"/>
      <c r="JBW931" s="18"/>
      <c r="JBX931" s="18"/>
      <c r="JBY931" s="18"/>
      <c r="JBZ931" s="18"/>
      <c r="JCA931" s="18"/>
      <c r="JCB931" s="18"/>
      <c r="JCC931" s="18"/>
      <c r="JCD931" s="18"/>
      <c r="JCE931" s="18"/>
      <c r="JCF931" s="18"/>
      <c r="JCG931" s="18"/>
      <c r="JCH931" s="18"/>
      <c r="JCI931" s="18"/>
      <c r="JCJ931" s="18"/>
      <c r="JCK931" s="18"/>
      <c r="JCL931" s="18"/>
      <c r="JCM931" s="18"/>
      <c r="JCN931" s="18"/>
      <c r="JCO931" s="18"/>
      <c r="JCP931" s="18"/>
      <c r="JCQ931" s="18"/>
      <c r="JCR931" s="18"/>
      <c r="JCS931" s="18"/>
      <c r="JCT931" s="18"/>
      <c r="JCU931" s="18"/>
      <c r="JCV931" s="18"/>
      <c r="JCW931" s="18"/>
      <c r="JCX931" s="18"/>
      <c r="JCY931" s="18"/>
      <c r="JCZ931" s="18"/>
      <c r="JDA931" s="18"/>
      <c r="JDB931" s="18"/>
      <c r="JDC931" s="18"/>
      <c r="JDD931" s="18"/>
      <c r="JDE931" s="18"/>
      <c r="JDF931" s="18"/>
      <c r="JDG931" s="18"/>
      <c r="JDH931" s="18"/>
      <c r="JDI931" s="18"/>
      <c r="JDJ931" s="18"/>
      <c r="JDK931" s="18"/>
      <c r="JDL931" s="18"/>
      <c r="JDM931" s="18"/>
      <c r="JDN931" s="18"/>
      <c r="JDO931" s="18"/>
      <c r="JDP931" s="18"/>
      <c r="JDQ931" s="18"/>
      <c r="JDR931" s="18"/>
      <c r="JDS931" s="18"/>
      <c r="JDT931" s="18"/>
      <c r="JDU931" s="18"/>
      <c r="JDV931" s="18"/>
      <c r="JDW931" s="18"/>
      <c r="JDX931" s="18"/>
      <c r="JDY931" s="18"/>
      <c r="JDZ931" s="18"/>
      <c r="JEA931" s="18"/>
      <c r="JEB931" s="18"/>
      <c r="JEC931" s="18"/>
      <c r="JED931" s="18"/>
      <c r="JEE931" s="18"/>
      <c r="JEF931" s="18"/>
      <c r="JEG931" s="18"/>
      <c r="JEH931" s="18"/>
      <c r="JEI931" s="18"/>
      <c r="JEJ931" s="18"/>
      <c r="JEK931" s="18"/>
      <c r="JEL931" s="18"/>
      <c r="JEM931" s="18"/>
      <c r="JEN931" s="18"/>
      <c r="JEO931" s="18"/>
      <c r="JEP931" s="18"/>
      <c r="JEQ931" s="18"/>
      <c r="JER931" s="18"/>
      <c r="JES931" s="18"/>
      <c r="JET931" s="18"/>
      <c r="JEU931" s="18"/>
      <c r="JEV931" s="18"/>
      <c r="JEW931" s="18"/>
      <c r="JEX931" s="18"/>
      <c r="JEY931" s="18"/>
      <c r="JEZ931" s="18"/>
      <c r="JFA931" s="18"/>
      <c r="JFB931" s="18"/>
      <c r="JFC931" s="18"/>
      <c r="JFD931" s="18"/>
      <c r="JFE931" s="18"/>
      <c r="JFF931" s="18"/>
      <c r="JFG931" s="18"/>
      <c r="JFH931" s="18"/>
      <c r="JFI931" s="18"/>
      <c r="JFJ931" s="18"/>
      <c r="JFK931" s="18"/>
      <c r="JFL931" s="18"/>
      <c r="JFM931" s="18"/>
      <c r="JFN931" s="18"/>
      <c r="JFO931" s="18"/>
      <c r="JFP931" s="18"/>
      <c r="JFQ931" s="18"/>
      <c r="JFR931" s="18"/>
      <c r="JFS931" s="18"/>
      <c r="JFT931" s="18"/>
      <c r="JFU931" s="18"/>
      <c r="JFV931" s="18"/>
      <c r="JFW931" s="18"/>
      <c r="JFX931" s="18"/>
      <c r="JFY931" s="18"/>
      <c r="JFZ931" s="18"/>
      <c r="JGA931" s="18"/>
      <c r="JGB931" s="18"/>
      <c r="JGC931" s="18"/>
      <c r="JGD931" s="18"/>
      <c r="JGE931" s="18"/>
      <c r="JGF931" s="18"/>
      <c r="JGG931" s="18"/>
      <c r="JGH931" s="18"/>
      <c r="JGI931" s="18"/>
      <c r="JGJ931" s="18"/>
      <c r="JGK931" s="18"/>
      <c r="JGL931" s="18"/>
      <c r="JGM931" s="18"/>
      <c r="JGN931" s="18"/>
      <c r="JGO931" s="18"/>
      <c r="JGP931" s="18"/>
      <c r="JGQ931" s="18"/>
      <c r="JGR931" s="18"/>
      <c r="JGS931" s="18"/>
      <c r="JGT931" s="18"/>
      <c r="JGU931" s="18"/>
      <c r="JGV931" s="18"/>
      <c r="JGW931" s="18"/>
      <c r="JGX931" s="18"/>
      <c r="JGY931" s="18"/>
      <c r="JGZ931" s="18"/>
      <c r="JHA931" s="18"/>
      <c r="JHB931" s="18"/>
      <c r="JHC931" s="18"/>
      <c r="JHD931" s="18"/>
      <c r="JHE931" s="18"/>
      <c r="JHF931" s="18"/>
      <c r="JHG931" s="18"/>
      <c r="JHH931" s="18"/>
      <c r="JHI931" s="18"/>
      <c r="JHJ931" s="18"/>
      <c r="JHK931" s="18"/>
      <c r="JHL931" s="18"/>
      <c r="JHM931" s="18"/>
      <c r="JHN931" s="18"/>
      <c r="JHO931" s="18"/>
      <c r="JHP931" s="18"/>
      <c r="JHQ931" s="18"/>
      <c r="JHR931" s="18"/>
      <c r="JHS931" s="18"/>
      <c r="JHT931" s="18"/>
      <c r="JHU931" s="18"/>
      <c r="JHV931" s="18"/>
      <c r="JHW931" s="18"/>
      <c r="JHX931" s="18"/>
      <c r="JHY931" s="18"/>
      <c r="JHZ931" s="18"/>
      <c r="JIA931" s="18"/>
      <c r="JIB931" s="18"/>
      <c r="JIC931" s="18"/>
      <c r="JID931" s="18"/>
      <c r="JIE931" s="18"/>
      <c r="JIF931" s="18"/>
      <c r="JIG931" s="18"/>
      <c r="JIH931" s="18"/>
      <c r="JII931" s="18"/>
      <c r="JIJ931" s="18"/>
      <c r="JIK931" s="18"/>
      <c r="JIL931" s="18"/>
      <c r="JIM931" s="18"/>
      <c r="JIN931" s="18"/>
      <c r="JIO931" s="18"/>
      <c r="JIP931" s="18"/>
      <c r="JIQ931" s="18"/>
      <c r="JIR931" s="18"/>
      <c r="JIS931" s="18"/>
      <c r="JIT931" s="18"/>
      <c r="JIU931" s="18"/>
      <c r="JIV931" s="18"/>
      <c r="JIW931" s="18"/>
      <c r="JIX931" s="18"/>
      <c r="JIY931" s="18"/>
      <c r="JIZ931" s="18"/>
      <c r="JJA931" s="18"/>
      <c r="JJB931" s="18"/>
      <c r="JJC931" s="18"/>
      <c r="JJD931" s="18"/>
      <c r="JJE931" s="18"/>
      <c r="JJF931" s="18"/>
      <c r="JJG931" s="18"/>
      <c r="JJH931" s="18"/>
      <c r="JJI931" s="18"/>
      <c r="JJJ931" s="18"/>
      <c r="JJK931" s="18"/>
      <c r="JJL931" s="18"/>
      <c r="JJM931" s="18"/>
      <c r="JJN931" s="18"/>
      <c r="JJO931" s="18"/>
      <c r="JJP931" s="18"/>
      <c r="JJQ931" s="18"/>
      <c r="JJR931" s="18"/>
      <c r="JJS931" s="18"/>
      <c r="JJT931" s="18"/>
      <c r="JJU931" s="18"/>
      <c r="JJV931" s="18"/>
      <c r="JJW931" s="18"/>
      <c r="JJX931" s="18"/>
      <c r="JJY931" s="18"/>
      <c r="JJZ931" s="18"/>
      <c r="JKA931" s="18"/>
      <c r="JKB931" s="18"/>
      <c r="JKC931" s="18"/>
      <c r="JKD931" s="18"/>
      <c r="JKE931" s="18"/>
      <c r="JKF931" s="18"/>
      <c r="JKG931" s="18"/>
      <c r="JKH931" s="18"/>
      <c r="JKI931" s="18"/>
      <c r="JKJ931" s="18"/>
      <c r="JKK931" s="18"/>
      <c r="JKL931" s="18"/>
      <c r="JKM931" s="18"/>
      <c r="JKN931" s="18"/>
      <c r="JKO931" s="18"/>
      <c r="JKP931" s="18"/>
      <c r="JKQ931" s="18"/>
      <c r="JKR931" s="18"/>
      <c r="JKS931" s="18"/>
      <c r="JKT931" s="18"/>
      <c r="JKU931" s="18"/>
      <c r="JKV931" s="18"/>
      <c r="JKW931" s="18"/>
      <c r="JKX931" s="18"/>
      <c r="JKY931" s="18"/>
      <c r="JKZ931" s="18"/>
      <c r="JLA931" s="18"/>
      <c r="JLB931" s="18"/>
      <c r="JLC931" s="18"/>
      <c r="JLD931" s="18"/>
      <c r="JLE931" s="18"/>
      <c r="JLF931" s="18"/>
      <c r="JLG931" s="18"/>
      <c r="JLH931" s="18"/>
      <c r="JLI931" s="18"/>
      <c r="JLJ931" s="18"/>
      <c r="JLK931" s="18"/>
      <c r="JLL931" s="18"/>
      <c r="JLM931" s="18"/>
      <c r="JLN931" s="18"/>
      <c r="JLO931" s="18"/>
      <c r="JLP931" s="18"/>
      <c r="JLQ931" s="18"/>
      <c r="JLR931" s="18"/>
      <c r="JLS931" s="18"/>
      <c r="JLT931" s="18"/>
      <c r="JLU931" s="18"/>
      <c r="JLV931" s="18"/>
      <c r="JLW931" s="18"/>
      <c r="JLX931" s="18"/>
      <c r="JLY931" s="18"/>
      <c r="JLZ931" s="18"/>
      <c r="JMA931" s="18"/>
      <c r="JMB931" s="18"/>
      <c r="JMC931" s="18"/>
      <c r="JMD931" s="18"/>
      <c r="JME931" s="18"/>
      <c r="JMF931" s="18"/>
      <c r="JMG931" s="18"/>
      <c r="JMH931" s="18"/>
      <c r="JMI931" s="18"/>
      <c r="JMJ931" s="18"/>
      <c r="JMK931" s="18"/>
      <c r="JML931" s="18"/>
      <c r="JMM931" s="18"/>
      <c r="JMN931" s="18"/>
      <c r="JMO931" s="18"/>
      <c r="JMP931" s="18"/>
      <c r="JMQ931" s="18"/>
      <c r="JMR931" s="18"/>
      <c r="JMS931" s="18"/>
      <c r="JMT931" s="18"/>
      <c r="JMU931" s="18"/>
      <c r="JMV931" s="18"/>
      <c r="JMW931" s="18"/>
      <c r="JMX931" s="18"/>
      <c r="JMY931" s="18"/>
      <c r="JMZ931" s="18"/>
      <c r="JNA931" s="18"/>
      <c r="JNB931" s="18"/>
      <c r="JNC931" s="18"/>
      <c r="JND931" s="18"/>
      <c r="JNE931" s="18"/>
      <c r="JNF931" s="18"/>
      <c r="JNG931" s="18"/>
      <c r="JNH931" s="18"/>
      <c r="JNI931" s="18"/>
      <c r="JNJ931" s="18"/>
      <c r="JNK931" s="18"/>
      <c r="JNL931" s="18"/>
      <c r="JNM931" s="18"/>
      <c r="JNN931" s="18"/>
      <c r="JNO931" s="18"/>
      <c r="JNP931" s="18"/>
      <c r="JNQ931" s="18"/>
      <c r="JNR931" s="18"/>
      <c r="JNS931" s="18"/>
      <c r="JNT931" s="18"/>
      <c r="JNU931" s="18"/>
      <c r="JNV931" s="18"/>
      <c r="JNW931" s="18"/>
      <c r="JNX931" s="18"/>
      <c r="JNY931" s="18"/>
      <c r="JNZ931" s="18"/>
      <c r="JOA931" s="18"/>
      <c r="JOB931" s="18"/>
      <c r="JOC931" s="18"/>
      <c r="JOD931" s="18"/>
      <c r="JOE931" s="18"/>
      <c r="JOF931" s="18"/>
      <c r="JOG931" s="18"/>
      <c r="JOH931" s="18"/>
      <c r="JOI931" s="18"/>
      <c r="JOJ931" s="18"/>
      <c r="JOK931" s="18"/>
      <c r="JOL931" s="18"/>
      <c r="JOM931" s="18"/>
      <c r="JON931" s="18"/>
      <c r="JOO931" s="18"/>
      <c r="JOP931" s="18"/>
      <c r="JOQ931" s="18"/>
      <c r="JOR931" s="18"/>
      <c r="JOS931" s="18"/>
      <c r="JOT931" s="18"/>
      <c r="JOU931" s="18"/>
      <c r="JOV931" s="18"/>
      <c r="JOW931" s="18"/>
      <c r="JOX931" s="18"/>
      <c r="JOY931" s="18"/>
      <c r="JOZ931" s="18"/>
      <c r="JPA931" s="18"/>
      <c r="JPB931" s="18"/>
      <c r="JPC931" s="18"/>
      <c r="JPD931" s="18"/>
      <c r="JPE931" s="18"/>
      <c r="JPF931" s="18"/>
      <c r="JPG931" s="18"/>
      <c r="JPH931" s="18"/>
      <c r="JPI931" s="18"/>
      <c r="JPJ931" s="18"/>
      <c r="JPK931" s="18"/>
      <c r="JPL931" s="18"/>
      <c r="JPM931" s="18"/>
      <c r="JPN931" s="18"/>
      <c r="JPO931" s="18"/>
      <c r="JPP931" s="18"/>
      <c r="JPQ931" s="18"/>
      <c r="JPR931" s="18"/>
      <c r="JPS931" s="18"/>
      <c r="JPT931" s="18"/>
      <c r="JPU931" s="18"/>
      <c r="JPV931" s="18"/>
      <c r="JPW931" s="18"/>
      <c r="JPX931" s="18"/>
      <c r="JPY931" s="18"/>
      <c r="JPZ931" s="18"/>
      <c r="JQA931" s="18"/>
      <c r="JQB931" s="18"/>
      <c r="JQC931" s="18"/>
      <c r="JQD931" s="18"/>
      <c r="JQE931" s="18"/>
      <c r="JQF931" s="18"/>
      <c r="JQG931" s="18"/>
      <c r="JQH931" s="18"/>
      <c r="JQI931" s="18"/>
      <c r="JQJ931" s="18"/>
      <c r="JQK931" s="18"/>
      <c r="JQL931" s="18"/>
      <c r="JQM931" s="18"/>
      <c r="JQN931" s="18"/>
      <c r="JQO931" s="18"/>
      <c r="JQP931" s="18"/>
      <c r="JQQ931" s="18"/>
      <c r="JQR931" s="18"/>
      <c r="JQS931" s="18"/>
      <c r="JQT931" s="18"/>
      <c r="JQU931" s="18"/>
      <c r="JQV931" s="18"/>
      <c r="JQW931" s="18"/>
      <c r="JQX931" s="18"/>
      <c r="JQY931" s="18"/>
      <c r="JQZ931" s="18"/>
      <c r="JRA931" s="18"/>
      <c r="JRB931" s="18"/>
      <c r="JRC931" s="18"/>
      <c r="JRD931" s="18"/>
      <c r="JRE931" s="18"/>
      <c r="JRF931" s="18"/>
      <c r="JRG931" s="18"/>
      <c r="JRH931" s="18"/>
      <c r="JRI931" s="18"/>
      <c r="JRJ931" s="18"/>
      <c r="JRK931" s="18"/>
      <c r="JRL931" s="18"/>
      <c r="JRM931" s="18"/>
      <c r="JRN931" s="18"/>
      <c r="JRO931" s="18"/>
      <c r="JRP931" s="18"/>
      <c r="JRQ931" s="18"/>
      <c r="JRR931" s="18"/>
      <c r="JRS931" s="18"/>
      <c r="JRT931" s="18"/>
      <c r="JRU931" s="18"/>
      <c r="JRV931" s="18"/>
      <c r="JRW931" s="18"/>
      <c r="JRX931" s="18"/>
      <c r="JRY931" s="18"/>
      <c r="JRZ931" s="18"/>
      <c r="JSA931" s="18"/>
      <c r="JSB931" s="18"/>
      <c r="JSC931" s="18"/>
      <c r="JSD931" s="18"/>
      <c r="JSE931" s="18"/>
      <c r="JSF931" s="18"/>
      <c r="JSG931" s="18"/>
      <c r="JSH931" s="18"/>
      <c r="JSI931" s="18"/>
      <c r="JSJ931" s="18"/>
      <c r="JSK931" s="18"/>
      <c r="JSL931" s="18"/>
      <c r="JSM931" s="18"/>
      <c r="JSN931" s="18"/>
      <c r="JSO931" s="18"/>
      <c r="JSP931" s="18"/>
      <c r="JSQ931" s="18"/>
      <c r="JSR931" s="18"/>
      <c r="JSS931" s="18"/>
      <c r="JST931" s="18"/>
      <c r="JSU931" s="18"/>
      <c r="JSV931" s="18"/>
      <c r="JSW931" s="18"/>
      <c r="JSX931" s="18"/>
      <c r="JSY931" s="18"/>
      <c r="JSZ931" s="18"/>
      <c r="JTA931" s="18"/>
      <c r="JTB931" s="18"/>
      <c r="JTC931" s="18"/>
      <c r="JTD931" s="18"/>
      <c r="JTE931" s="18"/>
      <c r="JTF931" s="18"/>
      <c r="JTG931" s="18"/>
      <c r="JTH931" s="18"/>
      <c r="JTI931" s="18"/>
      <c r="JTJ931" s="18"/>
      <c r="JTK931" s="18"/>
      <c r="JTL931" s="18"/>
      <c r="JTM931" s="18"/>
      <c r="JTN931" s="18"/>
      <c r="JTO931" s="18"/>
      <c r="JTP931" s="18"/>
      <c r="JTQ931" s="18"/>
      <c r="JTR931" s="18"/>
      <c r="JTS931" s="18"/>
      <c r="JTT931" s="18"/>
      <c r="JTU931" s="18"/>
      <c r="JTV931" s="18"/>
      <c r="JTW931" s="18"/>
      <c r="JTX931" s="18"/>
      <c r="JTY931" s="18"/>
      <c r="JTZ931" s="18"/>
      <c r="JUA931" s="18"/>
      <c r="JUB931" s="18"/>
      <c r="JUC931" s="18"/>
      <c r="JUD931" s="18"/>
      <c r="JUE931" s="18"/>
      <c r="JUF931" s="18"/>
      <c r="JUG931" s="18"/>
      <c r="JUH931" s="18"/>
      <c r="JUI931" s="18"/>
      <c r="JUJ931" s="18"/>
      <c r="JUK931" s="18"/>
      <c r="JUL931" s="18"/>
      <c r="JUM931" s="18"/>
      <c r="JUN931" s="18"/>
      <c r="JUO931" s="18"/>
      <c r="JUP931" s="18"/>
      <c r="JUQ931" s="18"/>
      <c r="JUR931" s="18"/>
      <c r="JUS931" s="18"/>
      <c r="JUT931" s="18"/>
      <c r="JUU931" s="18"/>
      <c r="JUV931" s="18"/>
      <c r="JUW931" s="18"/>
      <c r="JUX931" s="18"/>
      <c r="JUY931" s="18"/>
      <c r="JUZ931" s="18"/>
      <c r="JVA931" s="18"/>
      <c r="JVB931" s="18"/>
      <c r="JVC931" s="18"/>
      <c r="JVD931" s="18"/>
      <c r="JVE931" s="18"/>
      <c r="JVF931" s="18"/>
      <c r="JVG931" s="18"/>
      <c r="JVH931" s="18"/>
      <c r="JVI931" s="18"/>
      <c r="JVJ931" s="18"/>
      <c r="JVK931" s="18"/>
      <c r="JVL931" s="18"/>
      <c r="JVM931" s="18"/>
      <c r="JVN931" s="18"/>
      <c r="JVO931" s="18"/>
      <c r="JVP931" s="18"/>
      <c r="JVQ931" s="18"/>
      <c r="JVR931" s="18"/>
      <c r="JVS931" s="18"/>
      <c r="JVT931" s="18"/>
      <c r="JVU931" s="18"/>
      <c r="JVV931" s="18"/>
      <c r="JVW931" s="18"/>
      <c r="JVX931" s="18"/>
      <c r="JVY931" s="18"/>
      <c r="JVZ931" s="18"/>
      <c r="JWA931" s="18"/>
      <c r="JWB931" s="18"/>
      <c r="JWC931" s="18"/>
      <c r="JWD931" s="18"/>
      <c r="JWE931" s="18"/>
      <c r="JWF931" s="18"/>
      <c r="JWG931" s="18"/>
      <c r="JWH931" s="18"/>
      <c r="JWI931" s="18"/>
      <c r="JWJ931" s="18"/>
      <c r="JWK931" s="18"/>
      <c r="JWL931" s="18"/>
      <c r="JWM931" s="18"/>
      <c r="JWN931" s="18"/>
      <c r="JWO931" s="18"/>
      <c r="JWP931" s="18"/>
      <c r="JWQ931" s="18"/>
      <c r="JWR931" s="18"/>
      <c r="JWS931" s="18"/>
      <c r="JWT931" s="18"/>
      <c r="JWU931" s="18"/>
      <c r="JWV931" s="18"/>
      <c r="JWW931" s="18"/>
      <c r="JWX931" s="18"/>
      <c r="JWY931" s="18"/>
      <c r="JWZ931" s="18"/>
      <c r="JXA931" s="18"/>
      <c r="JXB931" s="18"/>
      <c r="JXC931" s="18"/>
      <c r="JXD931" s="18"/>
      <c r="JXE931" s="18"/>
      <c r="JXF931" s="18"/>
      <c r="JXG931" s="18"/>
      <c r="JXH931" s="18"/>
      <c r="JXI931" s="18"/>
      <c r="JXJ931" s="18"/>
      <c r="JXK931" s="18"/>
      <c r="JXL931" s="18"/>
      <c r="JXM931" s="18"/>
      <c r="JXN931" s="18"/>
      <c r="JXO931" s="18"/>
      <c r="JXP931" s="18"/>
      <c r="JXQ931" s="18"/>
      <c r="JXR931" s="18"/>
      <c r="JXS931" s="18"/>
      <c r="JXT931" s="18"/>
      <c r="JXU931" s="18"/>
      <c r="JXV931" s="18"/>
      <c r="JXW931" s="18"/>
      <c r="JXX931" s="18"/>
      <c r="JXY931" s="18"/>
      <c r="JXZ931" s="18"/>
      <c r="JYA931" s="18"/>
      <c r="JYB931" s="18"/>
      <c r="JYC931" s="18"/>
      <c r="JYD931" s="18"/>
      <c r="JYE931" s="18"/>
      <c r="JYF931" s="18"/>
      <c r="JYG931" s="18"/>
      <c r="JYH931" s="18"/>
      <c r="JYI931" s="18"/>
      <c r="JYJ931" s="18"/>
      <c r="JYK931" s="18"/>
      <c r="JYL931" s="18"/>
      <c r="JYM931" s="18"/>
      <c r="JYN931" s="18"/>
      <c r="JYO931" s="18"/>
      <c r="JYP931" s="18"/>
      <c r="JYQ931" s="18"/>
      <c r="JYR931" s="18"/>
      <c r="JYS931" s="18"/>
      <c r="JYT931" s="18"/>
      <c r="JYU931" s="18"/>
      <c r="JYV931" s="18"/>
      <c r="JYW931" s="18"/>
      <c r="JYX931" s="18"/>
      <c r="JYY931" s="18"/>
      <c r="JYZ931" s="18"/>
      <c r="JZA931" s="18"/>
      <c r="JZB931" s="18"/>
      <c r="JZC931" s="18"/>
      <c r="JZD931" s="18"/>
      <c r="JZE931" s="18"/>
      <c r="JZF931" s="18"/>
      <c r="JZG931" s="18"/>
      <c r="JZH931" s="18"/>
      <c r="JZI931" s="18"/>
      <c r="JZJ931" s="18"/>
      <c r="JZK931" s="18"/>
      <c r="JZL931" s="18"/>
      <c r="JZM931" s="18"/>
      <c r="JZN931" s="18"/>
      <c r="JZO931" s="18"/>
      <c r="JZP931" s="18"/>
      <c r="JZQ931" s="18"/>
      <c r="JZR931" s="18"/>
      <c r="JZS931" s="18"/>
      <c r="JZT931" s="18"/>
      <c r="JZU931" s="18"/>
      <c r="JZV931" s="18"/>
      <c r="JZW931" s="18"/>
      <c r="JZX931" s="18"/>
      <c r="JZY931" s="18"/>
      <c r="JZZ931" s="18"/>
      <c r="KAA931" s="18"/>
      <c r="KAB931" s="18"/>
      <c r="KAC931" s="18"/>
      <c r="KAD931" s="18"/>
      <c r="KAE931" s="18"/>
      <c r="KAF931" s="18"/>
      <c r="KAG931" s="18"/>
      <c r="KAH931" s="18"/>
      <c r="KAI931" s="18"/>
      <c r="KAJ931" s="18"/>
      <c r="KAK931" s="18"/>
      <c r="KAL931" s="18"/>
      <c r="KAM931" s="18"/>
      <c r="KAN931" s="18"/>
      <c r="KAO931" s="18"/>
      <c r="KAP931" s="18"/>
      <c r="KAQ931" s="18"/>
      <c r="KAR931" s="18"/>
      <c r="KAS931" s="18"/>
      <c r="KAT931" s="18"/>
      <c r="KAU931" s="18"/>
      <c r="KAV931" s="18"/>
      <c r="KAW931" s="18"/>
      <c r="KAX931" s="18"/>
      <c r="KAY931" s="18"/>
      <c r="KAZ931" s="18"/>
      <c r="KBA931" s="18"/>
      <c r="KBB931" s="18"/>
      <c r="KBC931" s="18"/>
      <c r="KBD931" s="18"/>
      <c r="KBE931" s="18"/>
      <c r="KBF931" s="18"/>
      <c r="KBG931" s="18"/>
      <c r="KBH931" s="18"/>
      <c r="KBI931" s="18"/>
      <c r="KBJ931" s="18"/>
      <c r="KBK931" s="18"/>
      <c r="KBL931" s="18"/>
      <c r="KBM931" s="18"/>
      <c r="KBN931" s="18"/>
      <c r="KBO931" s="18"/>
      <c r="KBP931" s="18"/>
      <c r="KBQ931" s="18"/>
      <c r="KBR931" s="18"/>
      <c r="KBS931" s="18"/>
      <c r="KBT931" s="18"/>
      <c r="KBU931" s="18"/>
      <c r="KBV931" s="18"/>
      <c r="KBW931" s="18"/>
      <c r="KBX931" s="18"/>
      <c r="KBY931" s="18"/>
      <c r="KBZ931" s="18"/>
      <c r="KCA931" s="18"/>
      <c r="KCB931" s="18"/>
      <c r="KCC931" s="18"/>
      <c r="KCD931" s="18"/>
      <c r="KCE931" s="18"/>
      <c r="KCF931" s="18"/>
      <c r="KCG931" s="18"/>
      <c r="KCH931" s="18"/>
      <c r="KCI931" s="18"/>
      <c r="KCJ931" s="18"/>
      <c r="KCK931" s="18"/>
      <c r="KCL931" s="18"/>
      <c r="KCM931" s="18"/>
      <c r="KCN931" s="18"/>
      <c r="KCO931" s="18"/>
      <c r="KCP931" s="18"/>
      <c r="KCQ931" s="18"/>
      <c r="KCR931" s="18"/>
      <c r="KCS931" s="18"/>
      <c r="KCT931" s="18"/>
      <c r="KCU931" s="18"/>
      <c r="KCV931" s="18"/>
      <c r="KCW931" s="18"/>
      <c r="KCX931" s="18"/>
      <c r="KCY931" s="18"/>
      <c r="KCZ931" s="18"/>
      <c r="KDA931" s="18"/>
      <c r="KDB931" s="18"/>
      <c r="KDC931" s="18"/>
      <c r="KDD931" s="18"/>
      <c r="KDE931" s="18"/>
      <c r="KDF931" s="18"/>
      <c r="KDG931" s="18"/>
      <c r="KDH931" s="18"/>
      <c r="KDI931" s="18"/>
      <c r="KDJ931" s="18"/>
      <c r="KDK931" s="18"/>
      <c r="KDL931" s="18"/>
      <c r="KDM931" s="18"/>
      <c r="KDN931" s="18"/>
      <c r="KDO931" s="18"/>
      <c r="KDP931" s="18"/>
      <c r="KDQ931" s="18"/>
      <c r="KDR931" s="18"/>
      <c r="KDS931" s="18"/>
      <c r="KDT931" s="18"/>
      <c r="KDU931" s="18"/>
      <c r="KDV931" s="18"/>
      <c r="KDW931" s="18"/>
      <c r="KDX931" s="18"/>
      <c r="KDY931" s="18"/>
      <c r="KDZ931" s="18"/>
      <c r="KEA931" s="18"/>
      <c r="KEB931" s="18"/>
      <c r="KEC931" s="18"/>
      <c r="KED931" s="18"/>
      <c r="KEE931" s="18"/>
      <c r="KEF931" s="18"/>
      <c r="KEG931" s="18"/>
      <c r="KEH931" s="18"/>
      <c r="KEI931" s="18"/>
      <c r="KEJ931" s="18"/>
      <c r="KEK931" s="18"/>
      <c r="KEL931" s="18"/>
      <c r="KEM931" s="18"/>
      <c r="KEN931" s="18"/>
      <c r="KEO931" s="18"/>
      <c r="KEP931" s="18"/>
      <c r="KEQ931" s="18"/>
      <c r="KER931" s="18"/>
      <c r="KES931" s="18"/>
      <c r="KET931" s="18"/>
      <c r="KEU931" s="18"/>
      <c r="KEV931" s="18"/>
      <c r="KEW931" s="18"/>
      <c r="KEX931" s="18"/>
      <c r="KEY931" s="18"/>
      <c r="KEZ931" s="18"/>
      <c r="KFA931" s="18"/>
      <c r="KFB931" s="18"/>
      <c r="KFC931" s="18"/>
      <c r="KFD931" s="18"/>
      <c r="KFE931" s="18"/>
      <c r="KFF931" s="18"/>
      <c r="KFG931" s="18"/>
      <c r="KFH931" s="18"/>
      <c r="KFI931" s="18"/>
      <c r="KFJ931" s="18"/>
      <c r="KFK931" s="18"/>
      <c r="KFL931" s="18"/>
      <c r="KFM931" s="18"/>
      <c r="KFN931" s="18"/>
      <c r="KFO931" s="18"/>
      <c r="KFP931" s="18"/>
      <c r="KFQ931" s="18"/>
      <c r="KFR931" s="18"/>
      <c r="KFS931" s="18"/>
      <c r="KFT931" s="18"/>
      <c r="KFU931" s="18"/>
      <c r="KFV931" s="18"/>
      <c r="KFW931" s="18"/>
      <c r="KFX931" s="18"/>
      <c r="KFY931" s="18"/>
      <c r="KFZ931" s="18"/>
      <c r="KGA931" s="18"/>
      <c r="KGB931" s="18"/>
      <c r="KGC931" s="18"/>
      <c r="KGD931" s="18"/>
      <c r="KGE931" s="18"/>
      <c r="KGF931" s="18"/>
      <c r="KGG931" s="18"/>
      <c r="KGH931" s="18"/>
      <c r="KGI931" s="18"/>
      <c r="KGJ931" s="18"/>
      <c r="KGK931" s="18"/>
      <c r="KGL931" s="18"/>
      <c r="KGM931" s="18"/>
      <c r="KGN931" s="18"/>
      <c r="KGO931" s="18"/>
      <c r="KGP931" s="18"/>
      <c r="KGQ931" s="18"/>
      <c r="KGR931" s="18"/>
      <c r="KGS931" s="18"/>
      <c r="KGT931" s="18"/>
      <c r="KGU931" s="18"/>
      <c r="KGV931" s="18"/>
      <c r="KGW931" s="18"/>
      <c r="KGX931" s="18"/>
      <c r="KGY931" s="18"/>
      <c r="KGZ931" s="18"/>
      <c r="KHA931" s="18"/>
      <c r="KHB931" s="18"/>
      <c r="KHC931" s="18"/>
      <c r="KHD931" s="18"/>
      <c r="KHE931" s="18"/>
      <c r="KHF931" s="18"/>
      <c r="KHG931" s="18"/>
      <c r="KHH931" s="18"/>
      <c r="KHI931" s="18"/>
      <c r="KHJ931" s="18"/>
      <c r="KHK931" s="18"/>
      <c r="KHL931" s="18"/>
      <c r="KHM931" s="18"/>
      <c r="KHN931" s="18"/>
      <c r="KHO931" s="18"/>
      <c r="KHP931" s="18"/>
      <c r="KHQ931" s="18"/>
      <c r="KHR931" s="18"/>
      <c r="KHS931" s="18"/>
      <c r="KHT931" s="18"/>
      <c r="KHU931" s="18"/>
      <c r="KHV931" s="18"/>
      <c r="KHW931" s="18"/>
      <c r="KHX931" s="18"/>
      <c r="KHY931" s="18"/>
      <c r="KHZ931" s="18"/>
      <c r="KIA931" s="18"/>
      <c r="KIB931" s="18"/>
      <c r="KIC931" s="18"/>
      <c r="KID931" s="18"/>
      <c r="KIE931" s="18"/>
      <c r="KIF931" s="18"/>
      <c r="KIG931" s="18"/>
      <c r="KIH931" s="18"/>
      <c r="KII931" s="18"/>
      <c r="KIJ931" s="18"/>
      <c r="KIK931" s="18"/>
      <c r="KIL931" s="18"/>
      <c r="KIM931" s="18"/>
      <c r="KIN931" s="18"/>
      <c r="KIO931" s="18"/>
      <c r="KIP931" s="18"/>
      <c r="KIQ931" s="18"/>
      <c r="KIR931" s="18"/>
      <c r="KIS931" s="18"/>
      <c r="KIT931" s="18"/>
      <c r="KIU931" s="18"/>
      <c r="KIV931" s="18"/>
      <c r="KIW931" s="18"/>
      <c r="KIX931" s="18"/>
      <c r="KIY931" s="18"/>
      <c r="KIZ931" s="18"/>
      <c r="KJA931" s="18"/>
      <c r="KJB931" s="18"/>
      <c r="KJC931" s="18"/>
      <c r="KJD931" s="18"/>
      <c r="KJE931" s="18"/>
      <c r="KJF931" s="18"/>
      <c r="KJG931" s="18"/>
      <c r="KJH931" s="18"/>
      <c r="KJI931" s="18"/>
      <c r="KJJ931" s="18"/>
      <c r="KJK931" s="18"/>
      <c r="KJL931" s="18"/>
      <c r="KJM931" s="18"/>
      <c r="KJN931" s="18"/>
      <c r="KJO931" s="18"/>
      <c r="KJP931" s="18"/>
      <c r="KJQ931" s="18"/>
      <c r="KJR931" s="18"/>
      <c r="KJS931" s="18"/>
      <c r="KJT931" s="18"/>
      <c r="KJU931" s="18"/>
      <c r="KJV931" s="18"/>
      <c r="KJW931" s="18"/>
      <c r="KJX931" s="18"/>
      <c r="KJY931" s="18"/>
      <c r="KJZ931" s="18"/>
      <c r="KKA931" s="18"/>
      <c r="KKB931" s="18"/>
      <c r="KKC931" s="18"/>
      <c r="KKD931" s="18"/>
      <c r="KKE931" s="18"/>
      <c r="KKF931" s="18"/>
      <c r="KKG931" s="18"/>
      <c r="KKH931" s="18"/>
      <c r="KKI931" s="18"/>
      <c r="KKJ931" s="18"/>
      <c r="KKK931" s="18"/>
      <c r="KKL931" s="18"/>
      <c r="KKM931" s="18"/>
      <c r="KKN931" s="18"/>
      <c r="KKO931" s="18"/>
      <c r="KKP931" s="18"/>
      <c r="KKQ931" s="18"/>
      <c r="KKR931" s="18"/>
      <c r="KKS931" s="18"/>
      <c r="KKT931" s="18"/>
      <c r="KKU931" s="18"/>
      <c r="KKV931" s="18"/>
      <c r="KKW931" s="18"/>
      <c r="KKX931" s="18"/>
      <c r="KKY931" s="18"/>
      <c r="KKZ931" s="18"/>
      <c r="KLA931" s="18"/>
      <c r="KLB931" s="18"/>
      <c r="KLC931" s="18"/>
      <c r="KLD931" s="18"/>
      <c r="KLE931" s="18"/>
      <c r="KLF931" s="18"/>
      <c r="KLG931" s="18"/>
      <c r="KLH931" s="18"/>
      <c r="KLI931" s="18"/>
      <c r="KLJ931" s="18"/>
      <c r="KLK931" s="18"/>
      <c r="KLL931" s="18"/>
      <c r="KLM931" s="18"/>
      <c r="KLN931" s="18"/>
      <c r="KLO931" s="18"/>
      <c r="KLP931" s="18"/>
      <c r="KLQ931" s="18"/>
      <c r="KLR931" s="18"/>
      <c r="KLS931" s="18"/>
      <c r="KLT931" s="18"/>
      <c r="KLU931" s="18"/>
      <c r="KLV931" s="18"/>
      <c r="KLW931" s="18"/>
      <c r="KLX931" s="18"/>
      <c r="KLY931" s="18"/>
      <c r="KLZ931" s="18"/>
      <c r="KMA931" s="18"/>
      <c r="KMB931" s="18"/>
      <c r="KMC931" s="18"/>
      <c r="KMD931" s="18"/>
      <c r="KME931" s="18"/>
      <c r="KMF931" s="18"/>
      <c r="KMG931" s="18"/>
      <c r="KMH931" s="18"/>
      <c r="KMI931" s="18"/>
      <c r="KMJ931" s="18"/>
      <c r="KMK931" s="18"/>
      <c r="KML931" s="18"/>
      <c r="KMM931" s="18"/>
      <c r="KMN931" s="18"/>
      <c r="KMO931" s="18"/>
      <c r="KMP931" s="18"/>
      <c r="KMQ931" s="18"/>
      <c r="KMR931" s="18"/>
      <c r="KMS931" s="18"/>
      <c r="KMT931" s="18"/>
      <c r="KMU931" s="18"/>
      <c r="KMV931" s="18"/>
      <c r="KMW931" s="18"/>
      <c r="KMX931" s="18"/>
      <c r="KMY931" s="18"/>
      <c r="KMZ931" s="18"/>
      <c r="KNA931" s="18"/>
      <c r="KNB931" s="18"/>
      <c r="KNC931" s="18"/>
      <c r="KND931" s="18"/>
      <c r="KNE931" s="18"/>
      <c r="KNF931" s="18"/>
      <c r="KNG931" s="18"/>
      <c r="KNH931" s="18"/>
      <c r="KNI931" s="18"/>
      <c r="KNJ931" s="18"/>
      <c r="KNK931" s="18"/>
      <c r="KNL931" s="18"/>
      <c r="KNM931" s="18"/>
      <c r="KNN931" s="18"/>
      <c r="KNO931" s="18"/>
      <c r="KNP931" s="18"/>
      <c r="KNQ931" s="18"/>
      <c r="KNR931" s="18"/>
      <c r="KNS931" s="18"/>
      <c r="KNT931" s="18"/>
      <c r="KNU931" s="18"/>
      <c r="KNV931" s="18"/>
      <c r="KNW931" s="18"/>
      <c r="KNX931" s="18"/>
      <c r="KNY931" s="18"/>
      <c r="KNZ931" s="18"/>
      <c r="KOA931" s="18"/>
      <c r="KOB931" s="18"/>
      <c r="KOC931" s="18"/>
      <c r="KOD931" s="18"/>
      <c r="KOE931" s="18"/>
      <c r="KOF931" s="18"/>
      <c r="KOG931" s="18"/>
      <c r="KOH931" s="18"/>
      <c r="KOI931" s="18"/>
      <c r="KOJ931" s="18"/>
      <c r="KOK931" s="18"/>
      <c r="KOL931" s="18"/>
      <c r="KOM931" s="18"/>
      <c r="KON931" s="18"/>
      <c r="KOO931" s="18"/>
      <c r="KOP931" s="18"/>
      <c r="KOQ931" s="18"/>
      <c r="KOR931" s="18"/>
      <c r="KOS931" s="18"/>
      <c r="KOT931" s="18"/>
      <c r="KOU931" s="18"/>
      <c r="KOV931" s="18"/>
      <c r="KOW931" s="18"/>
      <c r="KOX931" s="18"/>
      <c r="KOY931" s="18"/>
      <c r="KOZ931" s="18"/>
      <c r="KPA931" s="18"/>
      <c r="KPB931" s="18"/>
      <c r="KPC931" s="18"/>
      <c r="KPD931" s="18"/>
      <c r="KPE931" s="18"/>
      <c r="KPF931" s="18"/>
      <c r="KPG931" s="18"/>
      <c r="KPH931" s="18"/>
      <c r="KPI931" s="18"/>
      <c r="KPJ931" s="18"/>
      <c r="KPK931" s="18"/>
      <c r="KPL931" s="18"/>
      <c r="KPM931" s="18"/>
      <c r="KPN931" s="18"/>
      <c r="KPO931" s="18"/>
      <c r="KPP931" s="18"/>
      <c r="KPQ931" s="18"/>
      <c r="KPR931" s="18"/>
      <c r="KPS931" s="18"/>
      <c r="KPT931" s="18"/>
      <c r="KPU931" s="18"/>
      <c r="KPV931" s="18"/>
      <c r="KPW931" s="18"/>
      <c r="KPX931" s="18"/>
      <c r="KPY931" s="18"/>
      <c r="KPZ931" s="18"/>
      <c r="KQA931" s="18"/>
      <c r="KQB931" s="18"/>
      <c r="KQC931" s="18"/>
      <c r="KQD931" s="18"/>
      <c r="KQE931" s="18"/>
      <c r="KQF931" s="18"/>
      <c r="KQG931" s="18"/>
      <c r="KQH931" s="18"/>
      <c r="KQI931" s="18"/>
      <c r="KQJ931" s="18"/>
      <c r="KQK931" s="18"/>
      <c r="KQL931" s="18"/>
      <c r="KQM931" s="18"/>
      <c r="KQN931" s="18"/>
      <c r="KQO931" s="18"/>
      <c r="KQP931" s="18"/>
      <c r="KQQ931" s="18"/>
      <c r="KQR931" s="18"/>
      <c r="KQS931" s="18"/>
      <c r="KQT931" s="18"/>
      <c r="KQU931" s="18"/>
      <c r="KQV931" s="18"/>
      <c r="KQW931" s="18"/>
      <c r="KQX931" s="18"/>
      <c r="KQY931" s="18"/>
      <c r="KQZ931" s="18"/>
      <c r="KRA931" s="18"/>
      <c r="KRB931" s="18"/>
      <c r="KRC931" s="18"/>
      <c r="KRD931" s="18"/>
      <c r="KRE931" s="18"/>
      <c r="KRF931" s="18"/>
      <c r="KRG931" s="18"/>
      <c r="KRH931" s="18"/>
      <c r="KRI931" s="18"/>
      <c r="KRJ931" s="18"/>
      <c r="KRK931" s="18"/>
      <c r="KRL931" s="18"/>
      <c r="KRM931" s="18"/>
      <c r="KRN931" s="18"/>
      <c r="KRO931" s="18"/>
      <c r="KRP931" s="18"/>
      <c r="KRQ931" s="18"/>
      <c r="KRR931" s="18"/>
      <c r="KRS931" s="18"/>
      <c r="KRT931" s="18"/>
      <c r="KRU931" s="18"/>
      <c r="KRV931" s="18"/>
      <c r="KRW931" s="18"/>
      <c r="KRX931" s="18"/>
      <c r="KRY931" s="18"/>
      <c r="KRZ931" s="18"/>
      <c r="KSA931" s="18"/>
      <c r="KSB931" s="18"/>
      <c r="KSC931" s="18"/>
      <c r="KSD931" s="18"/>
      <c r="KSE931" s="18"/>
      <c r="KSF931" s="18"/>
      <c r="KSG931" s="18"/>
      <c r="KSH931" s="18"/>
      <c r="KSI931" s="18"/>
      <c r="KSJ931" s="18"/>
      <c r="KSK931" s="18"/>
      <c r="KSL931" s="18"/>
      <c r="KSM931" s="18"/>
      <c r="KSN931" s="18"/>
      <c r="KSO931" s="18"/>
      <c r="KSP931" s="18"/>
      <c r="KSQ931" s="18"/>
      <c r="KSR931" s="18"/>
      <c r="KSS931" s="18"/>
      <c r="KST931" s="18"/>
      <c r="KSU931" s="18"/>
      <c r="KSV931" s="18"/>
      <c r="KSW931" s="18"/>
      <c r="KSX931" s="18"/>
      <c r="KSY931" s="18"/>
      <c r="KSZ931" s="18"/>
      <c r="KTA931" s="18"/>
      <c r="KTB931" s="18"/>
      <c r="KTC931" s="18"/>
      <c r="KTD931" s="18"/>
      <c r="KTE931" s="18"/>
      <c r="KTF931" s="18"/>
      <c r="KTG931" s="18"/>
      <c r="KTH931" s="18"/>
      <c r="KTI931" s="18"/>
      <c r="KTJ931" s="18"/>
      <c r="KTK931" s="18"/>
      <c r="KTL931" s="18"/>
      <c r="KTM931" s="18"/>
      <c r="KTN931" s="18"/>
      <c r="KTO931" s="18"/>
      <c r="KTP931" s="18"/>
      <c r="KTQ931" s="18"/>
      <c r="KTR931" s="18"/>
      <c r="KTS931" s="18"/>
      <c r="KTT931" s="18"/>
      <c r="KTU931" s="18"/>
      <c r="KTV931" s="18"/>
      <c r="KTW931" s="18"/>
      <c r="KTX931" s="18"/>
      <c r="KTY931" s="18"/>
      <c r="KTZ931" s="18"/>
      <c r="KUA931" s="18"/>
      <c r="KUB931" s="18"/>
      <c r="KUC931" s="18"/>
      <c r="KUD931" s="18"/>
      <c r="KUE931" s="18"/>
      <c r="KUF931" s="18"/>
      <c r="KUG931" s="18"/>
      <c r="KUH931" s="18"/>
      <c r="KUI931" s="18"/>
      <c r="KUJ931" s="18"/>
      <c r="KUK931" s="18"/>
      <c r="KUL931" s="18"/>
      <c r="KUM931" s="18"/>
      <c r="KUN931" s="18"/>
      <c r="KUO931" s="18"/>
      <c r="KUP931" s="18"/>
      <c r="KUQ931" s="18"/>
      <c r="KUR931" s="18"/>
      <c r="KUS931" s="18"/>
      <c r="KUT931" s="18"/>
      <c r="KUU931" s="18"/>
      <c r="KUV931" s="18"/>
      <c r="KUW931" s="18"/>
      <c r="KUX931" s="18"/>
      <c r="KUY931" s="18"/>
      <c r="KUZ931" s="18"/>
      <c r="KVA931" s="18"/>
      <c r="KVB931" s="18"/>
      <c r="KVC931" s="18"/>
      <c r="KVD931" s="18"/>
      <c r="KVE931" s="18"/>
      <c r="KVF931" s="18"/>
      <c r="KVG931" s="18"/>
      <c r="KVH931" s="18"/>
      <c r="KVI931" s="18"/>
      <c r="KVJ931" s="18"/>
      <c r="KVK931" s="18"/>
      <c r="KVL931" s="18"/>
      <c r="KVM931" s="18"/>
      <c r="KVN931" s="18"/>
      <c r="KVO931" s="18"/>
      <c r="KVP931" s="18"/>
      <c r="KVQ931" s="18"/>
      <c r="KVR931" s="18"/>
      <c r="KVS931" s="18"/>
      <c r="KVT931" s="18"/>
      <c r="KVU931" s="18"/>
      <c r="KVV931" s="18"/>
      <c r="KVW931" s="18"/>
      <c r="KVX931" s="18"/>
      <c r="KVY931" s="18"/>
      <c r="KVZ931" s="18"/>
      <c r="KWA931" s="18"/>
      <c r="KWB931" s="18"/>
      <c r="KWC931" s="18"/>
      <c r="KWD931" s="18"/>
      <c r="KWE931" s="18"/>
      <c r="KWF931" s="18"/>
      <c r="KWG931" s="18"/>
      <c r="KWH931" s="18"/>
      <c r="KWI931" s="18"/>
      <c r="KWJ931" s="18"/>
      <c r="KWK931" s="18"/>
      <c r="KWL931" s="18"/>
      <c r="KWM931" s="18"/>
      <c r="KWN931" s="18"/>
      <c r="KWO931" s="18"/>
      <c r="KWP931" s="18"/>
      <c r="KWQ931" s="18"/>
      <c r="KWR931" s="18"/>
      <c r="KWS931" s="18"/>
      <c r="KWT931" s="18"/>
      <c r="KWU931" s="18"/>
      <c r="KWV931" s="18"/>
      <c r="KWW931" s="18"/>
      <c r="KWX931" s="18"/>
      <c r="KWY931" s="18"/>
      <c r="KWZ931" s="18"/>
      <c r="KXA931" s="18"/>
      <c r="KXB931" s="18"/>
      <c r="KXC931" s="18"/>
      <c r="KXD931" s="18"/>
      <c r="KXE931" s="18"/>
      <c r="KXF931" s="18"/>
      <c r="KXG931" s="18"/>
      <c r="KXH931" s="18"/>
      <c r="KXI931" s="18"/>
      <c r="KXJ931" s="18"/>
      <c r="KXK931" s="18"/>
      <c r="KXL931" s="18"/>
      <c r="KXM931" s="18"/>
      <c r="KXN931" s="18"/>
      <c r="KXO931" s="18"/>
      <c r="KXP931" s="18"/>
      <c r="KXQ931" s="18"/>
      <c r="KXR931" s="18"/>
      <c r="KXS931" s="18"/>
      <c r="KXT931" s="18"/>
      <c r="KXU931" s="18"/>
      <c r="KXV931" s="18"/>
      <c r="KXW931" s="18"/>
      <c r="KXX931" s="18"/>
      <c r="KXY931" s="18"/>
      <c r="KXZ931" s="18"/>
      <c r="KYA931" s="18"/>
      <c r="KYB931" s="18"/>
      <c r="KYC931" s="18"/>
      <c r="KYD931" s="18"/>
      <c r="KYE931" s="18"/>
      <c r="KYF931" s="18"/>
      <c r="KYG931" s="18"/>
      <c r="KYH931" s="18"/>
      <c r="KYI931" s="18"/>
      <c r="KYJ931" s="18"/>
      <c r="KYK931" s="18"/>
      <c r="KYL931" s="18"/>
      <c r="KYM931" s="18"/>
      <c r="KYN931" s="18"/>
      <c r="KYO931" s="18"/>
      <c r="KYP931" s="18"/>
      <c r="KYQ931" s="18"/>
      <c r="KYR931" s="18"/>
      <c r="KYS931" s="18"/>
      <c r="KYT931" s="18"/>
      <c r="KYU931" s="18"/>
      <c r="KYV931" s="18"/>
      <c r="KYW931" s="18"/>
      <c r="KYX931" s="18"/>
      <c r="KYY931" s="18"/>
      <c r="KYZ931" s="18"/>
      <c r="KZA931" s="18"/>
      <c r="KZB931" s="18"/>
      <c r="KZC931" s="18"/>
      <c r="KZD931" s="18"/>
      <c r="KZE931" s="18"/>
      <c r="KZF931" s="18"/>
      <c r="KZG931" s="18"/>
      <c r="KZH931" s="18"/>
      <c r="KZI931" s="18"/>
      <c r="KZJ931" s="18"/>
      <c r="KZK931" s="18"/>
      <c r="KZL931" s="18"/>
      <c r="KZM931" s="18"/>
      <c r="KZN931" s="18"/>
      <c r="KZO931" s="18"/>
      <c r="KZP931" s="18"/>
      <c r="KZQ931" s="18"/>
      <c r="KZR931" s="18"/>
      <c r="KZS931" s="18"/>
      <c r="KZT931" s="18"/>
      <c r="KZU931" s="18"/>
      <c r="KZV931" s="18"/>
      <c r="KZW931" s="18"/>
      <c r="KZX931" s="18"/>
      <c r="KZY931" s="18"/>
      <c r="KZZ931" s="18"/>
      <c r="LAA931" s="18"/>
      <c r="LAB931" s="18"/>
      <c r="LAC931" s="18"/>
      <c r="LAD931" s="18"/>
      <c r="LAE931" s="18"/>
      <c r="LAF931" s="18"/>
      <c r="LAG931" s="18"/>
      <c r="LAH931" s="18"/>
      <c r="LAI931" s="18"/>
      <c r="LAJ931" s="18"/>
      <c r="LAK931" s="18"/>
      <c r="LAL931" s="18"/>
      <c r="LAM931" s="18"/>
      <c r="LAN931" s="18"/>
      <c r="LAO931" s="18"/>
      <c r="LAP931" s="18"/>
      <c r="LAQ931" s="18"/>
      <c r="LAR931" s="18"/>
      <c r="LAS931" s="18"/>
      <c r="LAT931" s="18"/>
      <c r="LAU931" s="18"/>
      <c r="LAV931" s="18"/>
      <c r="LAW931" s="18"/>
      <c r="LAX931" s="18"/>
      <c r="LAY931" s="18"/>
      <c r="LAZ931" s="18"/>
      <c r="LBA931" s="18"/>
      <c r="LBB931" s="18"/>
      <c r="LBC931" s="18"/>
      <c r="LBD931" s="18"/>
      <c r="LBE931" s="18"/>
      <c r="LBF931" s="18"/>
      <c r="LBG931" s="18"/>
      <c r="LBH931" s="18"/>
      <c r="LBI931" s="18"/>
      <c r="LBJ931" s="18"/>
      <c r="LBK931" s="18"/>
      <c r="LBL931" s="18"/>
      <c r="LBM931" s="18"/>
      <c r="LBN931" s="18"/>
      <c r="LBO931" s="18"/>
      <c r="LBP931" s="18"/>
      <c r="LBQ931" s="18"/>
      <c r="LBR931" s="18"/>
      <c r="LBS931" s="18"/>
      <c r="LBT931" s="18"/>
      <c r="LBU931" s="18"/>
      <c r="LBV931" s="18"/>
      <c r="LBW931" s="18"/>
      <c r="LBX931" s="18"/>
      <c r="LBY931" s="18"/>
      <c r="LBZ931" s="18"/>
      <c r="LCA931" s="18"/>
      <c r="LCB931" s="18"/>
      <c r="LCC931" s="18"/>
      <c r="LCD931" s="18"/>
      <c r="LCE931" s="18"/>
      <c r="LCF931" s="18"/>
      <c r="LCG931" s="18"/>
      <c r="LCH931" s="18"/>
      <c r="LCI931" s="18"/>
      <c r="LCJ931" s="18"/>
      <c r="LCK931" s="18"/>
      <c r="LCL931" s="18"/>
      <c r="LCM931" s="18"/>
      <c r="LCN931" s="18"/>
      <c r="LCO931" s="18"/>
      <c r="LCP931" s="18"/>
      <c r="LCQ931" s="18"/>
      <c r="LCR931" s="18"/>
      <c r="LCS931" s="18"/>
      <c r="LCT931" s="18"/>
      <c r="LCU931" s="18"/>
      <c r="LCV931" s="18"/>
      <c r="LCW931" s="18"/>
      <c r="LCX931" s="18"/>
      <c r="LCY931" s="18"/>
      <c r="LCZ931" s="18"/>
      <c r="LDA931" s="18"/>
      <c r="LDB931" s="18"/>
      <c r="LDC931" s="18"/>
      <c r="LDD931" s="18"/>
      <c r="LDE931" s="18"/>
      <c r="LDF931" s="18"/>
      <c r="LDG931" s="18"/>
      <c r="LDH931" s="18"/>
      <c r="LDI931" s="18"/>
      <c r="LDJ931" s="18"/>
      <c r="LDK931" s="18"/>
      <c r="LDL931" s="18"/>
      <c r="LDM931" s="18"/>
      <c r="LDN931" s="18"/>
      <c r="LDO931" s="18"/>
      <c r="LDP931" s="18"/>
      <c r="LDQ931" s="18"/>
      <c r="LDR931" s="18"/>
      <c r="LDS931" s="18"/>
      <c r="LDT931" s="18"/>
      <c r="LDU931" s="18"/>
      <c r="LDV931" s="18"/>
      <c r="LDW931" s="18"/>
      <c r="LDX931" s="18"/>
      <c r="LDY931" s="18"/>
      <c r="LDZ931" s="18"/>
      <c r="LEA931" s="18"/>
      <c r="LEB931" s="18"/>
      <c r="LEC931" s="18"/>
      <c r="LED931" s="18"/>
      <c r="LEE931" s="18"/>
      <c r="LEF931" s="18"/>
      <c r="LEG931" s="18"/>
      <c r="LEH931" s="18"/>
      <c r="LEI931" s="18"/>
      <c r="LEJ931" s="18"/>
      <c r="LEK931" s="18"/>
      <c r="LEL931" s="18"/>
      <c r="LEM931" s="18"/>
      <c r="LEN931" s="18"/>
      <c r="LEO931" s="18"/>
      <c r="LEP931" s="18"/>
      <c r="LEQ931" s="18"/>
      <c r="LER931" s="18"/>
      <c r="LES931" s="18"/>
      <c r="LET931" s="18"/>
      <c r="LEU931" s="18"/>
      <c r="LEV931" s="18"/>
      <c r="LEW931" s="18"/>
      <c r="LEX931" s="18"/>
      <c r="LEY931" s="18"/>
      <c r="LEZ931" s="18"/>
      <c r="LFA931" s="18"/>
      <c r="LFB931" s="18"/>
      <c r="LFC931" s="18"/>
      <c r="LFD931" s="18"/>
      <c r="LFE931" s="18"/>
      <c r="LFF931" s="18"/>
      <c r="LFG931" s="18"/>
      <c r="LFH931" s="18"/>
      <c r="LFI931" s="18"/>
      <c r="LFJ931" s="18"/>
      <c r="LFK931" s="18"/>
      <c r="LFL931" s="18"/>
      <c r="LFM931" s="18"/>
      <c r="LFN931" s="18"/>
      <c r="LFO931" s="18"/>
      <c r="LFP931" s="18"/>
      <c r="LFQ931" s="18"/>
      <c r="LFR931" s="18"/>
      <c r="LFS931" s="18"/>
      <c r="LFT931" s="18"/>
      <c r="LFU931" s="18"/>
      <c r="LFV931" s="18"/>
      <c r="LFW931" s="18"/>
      <c r="LFX931" s="18"/>
      <c r="LFY931" s="18"/>
      <c r="LFZ931" s="18"/>
      <c r="LGA931" s="18"/>
      <c r="LGB931" s="18"/>
      <c r="LGC931" s="18"/>
      <c r="LGD931" s="18"/>
      <c r="LGE931" s="18"/>
      <c r="LGF931" s="18"/>
      <c r="LGG931" s="18"/>
      <c r="LGH931" s="18"/>
      <c r="LGI931" s="18"/>
      <c r="LGJ931" s="18"/>
      <c r="LGK931" s="18"/>
      <c r="LGL931" s="18"/>
      <c r="LGM931" s="18"/>
      <c r="LGN931" s="18"/>
      <c r="LGO931" s="18"/>
      <c r="LGP931" s="18"/>
      <c r="LGQ931" s="18"/>
      <c r="LGR931" s="18"/>
      <c r="LGS931" s="18"/>
      <c r="LGT931" s="18"/>
      <c r="LGU931" s="18"/>
      <c r="LGV931" s="18"/>
      <c r="LGW931" s="18"/>
      <c r="LGX931" s="18"/>
      <c r="LGY931" s="18"/>
      <c r="LGZ931" s="18"/>
      <c r="LHA931" s="18"/>
      <c r="LHB931" s="18"/>
      <c r="LHC931" s="18"/>
      <c r="LHD931" s="18"/>
      <c r="LHE931" s="18"/>
      <c r="LHF931" s="18"/>
      <c r="LHG931" s="18"/>
      <c r="LHH931" s="18"/>
      <c r="LHI931" s="18"/>
      <c r="LHJ931" s="18"/>
      <c r="LHK931" s="18"/>
      <c r="LHL931" s="18"/>
      <c r="LHM931" s="18"/>
      <c r="LHN931" s="18"/>
      <c r="LHO931" s="18"/>
      <c r="LHP931" s="18"/>
      <c r="LHQ931" s="18"/>
      <c r="LHR931" s="18"/>
      <c r="LHS931" s="18"/>
      <c r="LHT931" s="18"/>
      <c r="LHU931" s="18"/>
      <c r="LHV931" s="18"/>
      <c r="LHW931" s="18"/>
      <c r="LHX931" s="18"/>
      <c r="LHY931" s="18"/>
      <c r="LHZ931" s="18"/>
      <c r="LIA931" s="18"/>
      <c r="LIB931" s="18"/>
      <c r="LIC931" s="18"/>
      <c r="LID931" s="18"/>
      <c r="LIE931" s="18"/>
      <c r="LIF931" s="18"/>
      <c r="LIG931" s="18"/>
      <c r="LIH931" s="18"/>
      <c r="LII931" s="18"/>
      <c r="LIJ931" s="18"/>
      <c r="LIK931" s="18"/>
      <c r="LIL931" s="18"/>
      <c r="LIM931" s="18"/>
      <c r="LIN931" s="18"/>
      <c r="LIO931" s="18"/>
      <c r="LIP931" s="18"/>
      <c r="LIQ931" s="18"/>
      <c r="LIR931" s="18"/>
      <c r="LIS931" s="18"/>
      <c r="LIT931" s="18"/>
      <c r="LIU931" s="18"/>
      <c r="LIV931" s="18"/>
      <c r="LIW931" s="18"/>
      <c r="LIX931" s="18"/>
      <c r="LIY931" s="18"/>
      <c r="LIZ931" s="18"/>
      <c r="LJA931" s="18"/>
      <c r="LJB931" s="18"/>
      <c r="LJC931" s="18"/>
      <c r="LJD931" s="18"/>
      <c r="LJE931" s="18"/>
      <c r="LJF931" s="18"/>
      <c r="LJG931" s="18"/>
      <c r="LJH931" s="18"/>
      <c r="LJI931" s="18"/>
      <c r="LJJ931" s="18"/>
      <c r="LJK931" s="18"/>
      <c r="LJL931" s="18"/>
      <c r="LJM931" s="18"/>
      <c r="LJN931" s="18"/>
      <c r="LJO931" s="18"/>
      <c r="LJP931" s="18"/>
      <c r="LJQ931" s="18"/>
      <c r="LJR931" s="18"/>
      <c r="LJS931" s="18"/>
      <c r="LJT931" s="18"/>
      <c r="LJU931" s="18"/>
      <c r="LJV931" s="18"/>
      <c r="LJW931" s="18"/>
      <c r="LJX931" s="18"/>
      <c r="LJY931" s="18"/>
      <c r="LJZ931" s="18"/>
      <c r="LKA931" s="18"/>
      <c r="LKB931" s="18"/>
      <c r="LKC931" s="18"/>
      <c r="LKD931" s="18"/>
      <c r="LKE931" s="18"/>
      <c r="LKF931" s="18"/>
      <c r="LKG931" s="18"/>
      <c r="LKH931" s="18"/>
      <c r="LKI931" s="18"/>
      <c r="LKJ931" s="18"/>
      <c r="LKK931" s="18"/>
      <c r="LKL931" s="18"/>
      <c r="LKM931" s="18"/>
      <c r="LKN931" s="18"/>
      <c r="LKO931" s="18"/>
      <c r="LKP931" s="18"/>
      <c r="LKQ931" s="18"/>
      <c r="LKR931" s="18"/>
      <c r="LKS931" s="18"/>
      <c r="LKT931" s="18"/>
      <c r="LKU931" s="18"/>
      <c r="LKV931" s="18"/>
      <c r="LKW931" s="18"/>
      <c r="LKX931" s="18"/>
      <c r="LKY931" s="18"/>
      <c r="LKZ931" s="18"/>
      <c r="LLA931" s="18"/>
      <c r="LLB931" s="18"/>
      <c r="LLC931" s="18"/>
      <c r="LLD931" s="18"/>
      <c r="LLE931" s="18"/>
      <c r="LLF931" s="18"/>
      <c r="LLG931" s="18"/>
      <c r="LLH931" s="18"/>
      <c r="LLI931" s="18"/>
      <c r="LLJ931" s="18"/>
      <c r="LLK931" s="18"/>
      <c r="LLL931" s="18"/>
      <c r="LLM931" s="18"/>
      <c r="LLN931" s="18"/>
      <c r="LLO931" s="18"/>
      <c r="LLP931" s="18"/>
      <c r="LLQ931" s="18"/>
      <c r="LLR931" s="18"/>
      <c r="LLS931" s="18"/>
      <c r="LLT931" s="18"/>
      <c r="LLU931" s="18"/>
      <c r="LLV931" s="18"/>
      <c r="LLW931" s="18"/>
      <c r="LLX931" s="18"/>
      <c r="LLY931" s="18"/>
      <c r="LLZ931" s="18"/>
      <c r="LMA931" s="18"/>
      <c r="LMB931" s="18"/>
      <c r="LMC931" s="18"/>
      <c r="LMD931" s="18"/>
      <c r="LME931" s="18"/>
      <c r="LMF931" s="18"/>
      <c r="LMG931" s="18"/>
      <c r="LMH931" s="18"/>
      <c r="LMI931" s="18"/>
      <c r="LMJ931" s="18"/>
      <c r="LMK931" s="18"/>
      <c r="LML931" s="18"/>
      <c r="LMM931" s="18"/>
      <c r="LMN931" s="18"/>
      <c r="LMO931" s="18"/>
      <c r="LMP931" s="18"/>
      <c r="LMQ931" s="18"/>
      <c r="LMR931" s="18"/>
      <c r="LMS931" s="18"/>
      <c r="LMT931" s="18"/>
      <c r="LMU931" s="18"/>
      <c r="LMV931" s="18"/>
      <c r="LMW931" s="18"/>
      <c r="LMX931" s="18"/>
      <c r="LMY931" s="18"/>
      <c r="LMZ931" s="18"/>
      <c r="LNA931" s="18"/>
      <c r="LNB931" s="18"/>
      <c r="LNC931" s="18"/>
      <c r="LND931" s="18"/>
      <c r="LNE931" s="18"/>
      <c r="LNF931" s="18"/>
      <c r="LNG931" s="18"/>
      <c r="LNH931" s="18"/>
      <c r="LNI931" s="18"/>
      <c r="LNJ931" s="18"/>
      <c r="LNK931" s="18"/>
      <c r="LNL931" s="18"/>
      <c r="LNM931" s="18"/>
      <c r="LNN931" s="18"/>
      <c r="LNO931" s="18"/>
      <c r="LNP931" s="18"/>
      <c r="LNQ931" s="18"/>
      <c r="LNR931" s="18"/>
      <c r="LNS931" s="18"/>
      <c r="LNT931" s="18"/>
      <c r="LNU931" s="18"/>
      <c r="LNV931" s="18"/>
      <c r="LNW931" s="18"/>
      <c r="LNX931" s="18"/>
      <c r="LNY931" s="18"/>
      <c r="LNZ931" s="18"/>
      <c r="LOA931" s="18"/>
      <c r="LOB931" s="18"/>
      <c r="LOC931" s="18"/>
      <c r="LOD931" s="18"/>
      <c r="LOE931" s="18"/>
      <c r="LOF931" s="18"/>
      <c r="LOG931" s="18"/>
      <c r="LOH931" s="18"/>
      <c r="LOI931" s="18"/>
      <c r="LOJ931" s="18"/>
      <c r="LOK931" s="18"/>
      <c r="LOL931" s="18"/>
      <c r="LOM931" s="18"/>
      <c r="LON931" s="18"/>
      <c r="LOO931" s="18"/>
      <c r="LOP931" s="18"/>
      <c r="LOQ931" s="18"/>
      <c r="LOR931" s="18"/>
      <c r="LOS931" s="18"/>
      <c r="LOT931" s="18"/>
      <c r="LOU931" s="18"/>
      <c r="LOV931" s="18"/>
      <c r="LOW931" s="18"/>
      <c r="LOX931" s="18"/>
      <c r="LOY931" s="18"/>
      <c r="LOZ931" s="18"/>
      <c r="LPA931" s="18"/>
      <c r="LPB931" s="18"/>
      <c r="LPC931" s="18"/>
      <c r="LPD931" s="18"/>
      <c r="LPE931" s="18"/>
      <c r="LPF931" s="18"/>
      <c r="LPG931" s="18"/>
      <c r="LPH931" s="18"/>
      <c r="LPI931" s="18"/>
      <c r="LPJ931" s="18"/>
      <c r="LPK931" s="18"/>
      <c r="LPL931" s="18"/>
      <c r="LPM931" s="18"/>
      <c r="LPN931" s="18"/>
      <c r="LPO931" s="18"/>
      <c r="LPP931" s="18"/>
      <c r="LPQ931" s="18"/>
      <c r="LPR931" s="18"/>
      <c r="LPS931" s="18"/>
      <c r="LPT931" s="18"/>
      <c r="LPU931" s="18"/>
      <c r="LPV931" s="18"/>
      <c r="LPW931" s="18"/>
      <c r="LPX931" s="18"/>
      <c r="LPY931" s="18"/>
      <c r="LPZ931" s="18"/>
      <c r="LQA931" s="18"/>
      <c r="LQB931" s="18"/>
      <c r="LQC931" s="18"/>
      <c r="LQD931" s="18"/>
      <c r="LQE931" s="18"/>
      <c r="LQF931" s="18"/>
      <c r="LQG931" s="18"/>
      <c r="LQH931" s="18"/>
      <c r="LQI931" s="18"/>
      <c r="LQJ931" s="18"/>
      <c r="LQK931" s="18"/>
      <c r="LQL931" s="18"/>
      <c r="LQM931" s="18"/>
      <c r="LQN931" s="18"/>
      <c r="LQO931" s="18"/>
      <c r="LQP931" s="18"/>
      <c r="LQQ931" s="18"/>
      <c r="LQR931" s="18"/>
      <c r="LQS931" s="18"/>
      <c r="LQT931" s="18"/>
      <c r="LQU931" s="18"/>
      <c r="LQV931" s="18"/>
      <c r="LQW931" s="18"/>
      <c r="LQX931" s="18"/>
      <c r="LQY931" s="18"/>
      <c r="LQZ931" s="18"/>
      <c r="LRA931" s="18"/>
      <c r="LRB931" s="18"/>
      <c r="LRC931" s="18"/>
      <c r="LRD931" s="18"/>
      <c r="LRE931" s="18"/>
      <c r="LRF931" s="18"/>
      <c r="LRG931" s="18"/>
      <c r="LRH931" s="18"/>
      <c r="LRI931" s="18"/>
      <c r="LRJ931" s="18"/>
      <c r="LRK931" s="18"/>
      <c r="LRL931" s="18"/>
      <c r="LRM931" s="18"/>
      <c r="LRN931" s="18"/>
      <c r="LRO931" s="18"/>
      <c r="LRP931" s="18"/>
      <c r="LRQ931" s="18"/>
      <c r="LRR931" s="18"/>
      <c r="LRS931" s="18"/>
      <c r="LRT931" s="18"/>
      <c r="LRU931" s="18"/>
      <c r="LRV931" s="18"/>
      <c r="LRW931" s="18"/>
      <c r="LRX931" s="18"/>
      <c r="LRY931" s="18"/>
      <c r="LRZ931" s="18"/>
      <c r="LSA931" s="18"/>
      <c r="LSB931" s="18"/>
      <c r="LSC931" s="18"/>
      <c r="LSD931" s="18"/>
      <c r="LSE931" s="18"/>
      <c r="LSF931" s="18"/>
      <c r="LSG931" s="18"/>
      <c r="LSH931" s="18"/>
      <c r="LSI931" s="18"/>
      <c r="LSJ931" s="18"/>
      <c r="LSK931" s="18"/>
      <c r="LSL931" s="18"/>
      <c r="LSM931" s="18"/>
      <c r="LSN931" s="18"/>
      <c r="LSO931" s="18"/>
      <c r="LSP931" s="18"/>
      <c r="LSQ931" s="18"/>
      <c r="LSR931" s="18"/>
      <c r="LSS931" s="18"/>
      <c r="LST931" s="18"/>
      <c r="LSU931" s="18"/>
      <c r="LSV931" s="18"/>
      <c r="LSW931" s="18"/>
      <c r="LSX931" s="18"/>
      <c r="LSY931" s="18"/>
      <c r="LSZ931" s="18"/>
      <c r="LTA931" s="18"/>
      <c r="LTB931" s="18"/>
      <c r="LTC931" s="18"/>
      <c r="LTD931" s="18"/>
      <c r="LTE931" s="18"/>
      <c r="LTF931" s="18"/>
      <c r="LTG931" s="18"/>
      <c r="LTH931" s="18"/>
      <c r="LTI931" s="18"/>
      <c r="LTJ931" s="18"/>
      <c r="LTK931" s="18"/>
      <c r="LTL931" s="18"/>
      <c r="LTM931" s="18"/>
      <c r="LTN931" s="18"/>
      <c r="LTO931" s="18"/>
      <c r="LTP931" s="18"/>
      <c r="LTQ931" s="18"/>
      <c r="LTR931" s="18"/>
      <c r="LTS931" s="18"/>
      <c r="LTT931" s="18"/>
      <c r="LTU931" s="18"/>
      <c r="LTV931" s="18"/>
      <c r="LTW931" s="18"/>
      <c r="LTX931" s="18"/>
      <c r="LTY931" s="18"/>
      <c r="LTZ931" s="18"/>
      <c r="LUA931" s="18"/>
      <c r="LUB931" s="18"/>
      <c r="LUC931" s="18"/>
      <c r="LUD931" s="18"/>
      <c r="LUE931" s="18"/>
      <c r="LUF931" s="18"/>
      <c r="LUG931" s="18"/>
      <c r="LUH931" s="18"/>
      <c r="LUI931" s="18"/>
      <c r="LUJ931" s="18"/>
      <c r="LUK931" s="18"/>
      <c r="LUL931" s="18"/>
      <c r="LUM931" s="18"/>
      <c r="LUN931" s="18"/>
      <c r="LUO931" s="18"/>
      <c r="LUP931" s="18"/>
      <c r="LUQ931" s="18"/>
      <c r="LUR931" s="18"/>
      <c r="LUS931" s="18"/>
      <c r="LUT931" s="18"/>
      <c r="LUU931" s="18"/>
      <c r="LUV931" s="18"/>
      <c r="LUW931" s="18"/>
      <c r="LUX931" s="18"/>
      <c r="LUY931" s="18"/>
      <c r="LUZ931" s="18"/>
      <c r="LVA931" s="18"/>
      <c r="LVB931" s="18"/>
      <c r="LVC931" s="18"/>
      <c r="LVD931" s="18"/>
      <c r="LVE931" s="18"/>
      <c r="LVF931" s="18"/>
      <c r="LVG931" s="18"/>
      <c r="LVH931" s="18"/>
      <c r="LVI931" s="18"/>
      <c r="LVJ931" s="18"/>
      <c r="LVK931" s="18"/>
      <c r="LVL931" s="18"/>
      <c r="LVM931" s="18"/>
      <c r="LVN931" s="18"/>
      <c r="LVO931" s="18"/>
      <c r="LVP931" s="18"/>
      <c r="LVQ931" s="18"/>
      <c r="LVR931" s="18"/>
      <c r="LVS931" s="18"/>
      <c r="LVT931" s="18"/>
      <c r="LVU931" s="18"/>
      <c r="LVV931" s="18"/>
      <c r="LVW931" s="18"/>
      <c r="LVX931" s="18"/>
      <c r="LVY931" s="18"/>
      <c r="LVZ931" s="18"/>
      <c r="LWA931" s="18"/>
      <c r="LWB931" s="18"/>
      <c r="LWC931" s="18"/>
      <c r="LWD931" s="18"/>
      <c r="LWE931" s="18"/>
      <c r="LWF931" s="18"/>
      <c r="LWG931" s="18"/>
      <c r="LWH931" s="18"/>
      <c r="LWI931" s="18"/>
      <c r="LWJ931" s="18"/>
      <c r="LWK931" s="18"/>
      <c r="LWL931" s="18"/>
      <c r="LWM931" s="18"/>
      <c r="LWN931" s="18"/>
      <c r="LWO931" s="18"/>
      <c r="LWP931" s="18"/>
      <c r="LWQ931" s="18"/>
      <c r="LWR931" s="18"/>
      <c r="LWS931" s="18"/>
      <c r="LWT931" s="18"/>
      <c r="LWU931" s="18"/>
      <c r="LWV931" s="18"/>
      <c r="LWW931" s="18"/>
      <c r="LWX931" s="18"/>
      <c r="LWY931" s="18"/>
      <c r="LWZ931" s="18"/>
      <c r="LXA931" s="18"/>
      <c r="LXB931" s="18"/>
      <c r="LXC931" s="18"/>
      <c r="LXD931" s="18"/>
      <c r="LXE931" s="18"/>
      <c r="LXF931" s="18"/>
      <c r="LXG931" s="18"/>
      <c r="LXH931" s="18"/>
      <c r="LXI931" s="18"/>
      <c r="LXJ931" s="18"/>
      <c r="LXK931" s="18"/>
      <c r="LXL931" s="18"/>
      <c r="LXM931" s="18"/>
      <c r="LXN931" s="18"/>
      <c r="LXO931" s="18"/>
      <c r="LXP931" s="18"/>
      <c r="LXQ931" s="18"/>
      <c r="LXR931" s="18"/>
      <c r="LXS931" s="18"/>
      <c r="LXT931" s="18"/>
      <c r="LXU931" s="18"/>
      <c r="LXV931" s="18"/>
      <c r="LXW931" s="18"/>
      <c r="LXX931" s="18"/>
      <c r="LXY931" s="18"/>
      <c r="LXZ931" s="18"/>
      <c r="LYA931" s="18"/>
      <c r="LYB931" s="18"/>
      <c r="LYC931" s="18"/>
      <c r="LYD931" s="18"/>
      <c r="LYE931" s="18"/>
      <c r="LYF931" s="18"/>
      <c r="LYG931" s="18"/>
      <c r="LYH931" s="18"/>
      <c r="LYI931" s="18"/>
      <c r="LYJ931" s="18"/>
      <c r="LYK931" s="18"/>
      <c r="LYL931" s="18"/>
      <c r="LYM931" s="18"/>
      <c r="LYN931" s="18"/>
      <c r="LYO931" s="18"/>
      <c r="LYP931" s="18"/>
      <c r="LYQ931" s="18"/>
      <c r="LYR931" s="18"/>
      <c r="LYS931" s="18"/>
      <c r="LYT931" s="18"/>
      <c r="LYU931" s="18"/>
      <c r="LYV931" s="18"/>
      <c r="LYW931" s="18"/>
      <c r="LYX931" s="18"/>
      <c r="LYY931" s="18"/>
      <c r="LYZ931" s="18"/>
      <c r="LZA931" s="18"/>
      <c r="LZB931" s="18"/>
      <c r="LZC931" s="18"/>
      <c r="LZD931" s="18"/>
      <c r="LZE931" s="18"/>
      <c r="LZF931" s="18"/>
      <c r="LZG931" s="18"/>
      <c r="LZH931" s="18"/>
      <c r="LZI931" s="18"/>
      <c r="LZJ931" s="18"/>
      <c r="LZK931" s="18"/>
      <c r="LZL931" s="18"/>
      <c r="LZM931" s="18"/>
      <c r="LZN931" s="18"/>
      <c r="LZO931" s="18"/>
      <c r="LZP931" s="18"/>
      <c r="LZQ931" s="18"/>
      <c r="LZR931" s="18"/>
      <c r="LZS931" s="18"/>
      <c r="LZT931" s="18"/>
      <c r="LZU931" s="18"/>
      <c r="LZV931" s="18"/>
      <c r="LZW931" s="18"/>
      <c r="LZX931" s="18"/>
      <c r="LZY931" s="18"/>
      <c r="LZZ931" s="18"/>
      <c r="MAA931" s="18"/>
      <c r="MAB931" s="18"/>
      <c r="MAC931" s="18"/>
      <c r="MAD931" s="18"/>
      <c r="MAE931" s="18"/>
      <c r="MAF931" s="18"/>
      <c r="MAG931" s="18"/>
      <c r="MAH931" s="18"/>
      <c r="MAI931" s="18"/>
      <c r="MAJ931" s="18"/>
      <c r="MAK931" s="18"/>
      <c r="MAL931" s="18"/>
      <c r="MAM931" s="18"/>
      <c r="MAN931" s="18"/>
      <c r="MAO931" s="18"/>
      <c r="MAP931" s="18"/>
      <c r="MAQ931" s="18"/>
      <c r="MAR931" s="18"/>
      <c r="MAS931" s="18"/>
      <c r="MAT931" s="18"/>
      <c r="MAU931" s="18"/>
      <c r="MAV931" s="18"/>
      <c r="MAW931" s="18"/>
      <c r="MAX931" s="18"/>
      <c r="MAY931" s="18"/>
      <c r="MAZ931" s="18"/>
      <c r="MBA931" s="18"/>
      <c r="MBB931" s="18"/>
      <c r="MBC931" s="18"/>
      <c r="MBD931" s="18"/>
      <c r="MBE931" s="18"/>
      <c r="MBF931" s="18"/>
      <c r="MBG931" s="18"/>
      <c r="MBH931" s="18"/>
      <c r="MBI931" s="18"/>
      <c r="MBJ931" s="18"/>
      <c r="MBK931" s="18"/>
      <c r="MBL931" s="18"/>
      <c r="MBM931" s="18"/>
      <c r="MBN931" s="18"/>
      <c r="MBO931" s="18"/>
      <c r="MBP931" s="18"/>
      <c r="MBQ931" s="18"/>
      <c r="MBR931" s="18"/>
      <c r="MBS931" s="18"/>
      <c r="MBT931" s="18"/>
      <c r="MBU931" s="18"/>
      <c r="MBV931" s="18"/>
      <c r="MBW931" s="18"/>
      <c r="MBX931" s="18"/>
      <c r="MBY931" s="18"/>
      <c r="MBZ931" s="18"/>
      <c r="MCA931" s="18"/>
      <c r="MCB931" s="18"/>
      <c r="MCC931" s="18"/>
      <c r="MCD931" s="18"/>
      <c r="MCE931" s="18"/>
      <c r="MCF931" s="18"/>
      <c r="MCG931" s="18"/>
      <c r="MCH931" s="18"/>
      <c r="MCI931" s="18"/>
      <c r="MCJ931" s="18"/>
      <c r="MCK931" s="18"/>
      <c r="MCL931" s="18"/>
      <c r="MCM931" s="18"/>
      <c r="MCN931" s="18"/>
      <c r="MCO931" s="18"/>
      <c r="MCP931" s="18"/>
      <c r="MCQ931" s="18"/>
      <c r="MCR931" s="18"/>
      <c r="MCS931" s="18"/>
      <c r="MCT931" s="18"/>
      <c r="MCU931" s="18"/>
      <c r="MCV931" s="18"/>
      <c r="MCW931" s="18"/>
      <c r="MCX931" s="18"/>
      <c r="MCY931" s="18"/>
      <c r="MCZ931" s="18"/>
      <c r="MDA931" s="18"/>
      <c r="MDB931" s="18"/>
      <c r="MDC931" s="18"/>
      <c r="MDD931" s="18"/>
      <c r="MDE931" s="18"/>
      <c r="MDF931" s="18"/>
      <c r="MDG931" s="18"/>
      <c r="MDH931" s="18"/>
      <c r="MDI931" s="18"/>
      <c r="MDJ931" s="18"/>
      <c r="MDK931" s="18"/>
      <c r="MDL931" s="18"/>
      <c r="MDM931" s="18"/>
      <c r="MDN931" s="18"/>
      <c r="MDO931" s="18"/>
      <c r="MDP931" s="18"/>
      <c r="MDQ931" s="18"/>
      <c r="MDR931" s="18"/>
      <c r="MDS931" s="18"/>
      <c r="MDT931" s="18"/>
      <c r="MDU931" s="18"/>
      <c r="MDV931" s="18"/>
      <c r="MDW931" s="18"/>
      <c r="MDX931" s="18"/>
      <c r="MDY931" s="18"/>
      <c r="MDZ931" s="18"/>
      <c r="MEA931" s="18"/>
      <c r="MEB931" s="18"/>
      <c r="MEC931" s="18"/>
      <c r="MED931" s="18"/>
      <c r="MEE931" s="18"/>
      <c r="MEF931" s="18"/>
      <c r="MEG931" s="18"/>
      <c r="MEH931" s="18"/>
      <c r="MEI931" s="18"/>
      <c r="MEJ931" s="18"/>
      <c r="MEK931" s="18"/>
      <c r="MEL931" s="18"/>
      <c r="MEM931" s="18"/>
      <c r="MEN931" s="18"/>
      <c r="MEO931" s="18"/>
      <c r="MEP931" s="18"/>
      <c r="MEQ931" s="18"/>
      <c r="MER931" s="18"/>
      <c r="MES931" s="18"/>
      <c r="MET931" s="18"/>
      <c r="MEU931" s="18"/>
      <c r="MEV931" s="18"/>
      <c r="MEW931" s="18"/>
      <c r="MEX931" s="18"/>
      <c r="MEY931" s="18"/>
      <c r="MEZ931" s="18"/>
      <c r="MFA931" s="18"/>
      <c r="MFB931" s="18"/>
      <c r="MFC931" s="18"/>
      <c r="MFD931" s="18"/>
      <c r="MFE931" s="18"/>
      <c r="MFF931" s="18"/>
      <c r="MFG931" s="18"/>
      <c r="MFH931" s="18"/>
      <c r="MFI931" s="18"/>
      <c r="MFJ931" s="18"/>
      <c r="MFK931" s="18"/>
      <c r="MFL931" s="18"/>
      <c r="MFM931" s="18"/>
      <c r="MFN931" s="18"/>
      <c r="MFO931" s="18"/>
      <c r="MFP931" s="18"/>
      <c r="MFQ931" s="18"/>
      <c r="MFR931" s="18"/>
      <c r="MFS931" s="18"/>
      <c r="MFT931" s="18"/>
      <c r="MFU931" s="18"/>
      <c r="MFV931" s="18"/>
      <c r="MFW931" s="18"/>
      <c r="MFX931" s="18"/>
      <c r="MFY931" s="18"/>
      <c r="MFZ931" s="18"/>
      <c r="MGA931" s="18"/>
      <c r="MGB931" s="18"/>
      <c r="MGC931" s="18"/>
      <c r="MGD931" s="18"/>
      <c r="MGE931" s="18"/>
      <c r="MGF931" s="18"/>
      <c r="MGG931" s="18"/>
      <c r="MGH931" s="18"/>
      <c r="MGI931" s="18"/>
      <c r="MGJ931" s="18"/>
      <c r="MGK931" s="18"/>
      <c r="MGL931" s="18"/>
      <c r="MGM931" s="18"/>
      <c r="MGN931" s="18"/>
      <c r="MGO931" s="18"/>
      <c r="MGP931" s="18"/>
      <c r="MGQ931" s="18"/>
      <c r="MGR931" s="18"/>
      <c r="MGS931" s="18"/>
      <c r="MGT931" s="18"/>
      <c r="MGU931" s="18"/>
      <c r="MGV931" s="18"/>
      <c r="MGW931" s="18"/>
      <c r="MGX931" s="18"/>
      <c r="MGY931" s="18"/>
      <c r="MGZ931" s="18"/>
      <c r="MHA931" s="18"/>
      <c r="MHB931" s="18"/>
      <c r="MHC931" s="18"/>
      <c r="MHD931" s="18"/>
      <c r="MHE931" s="18"/>
      <c r="MHF931" s="18"/>
      <c r="MHG931" s="18"/>
      <c r="MHH931" s="18"/>
      <c r="MHI931" s="18"/>
      <c r="MHJ931" s="18"/>
      <c r="MHK931" s="18"/>
      <c r="MHL931" s="18"/>
      <c r="MHM931" s="18"/>
      <c r="MHN931" s="18"/>
      <c r="MHO931" s="18"/>
      <c r="MHP931" s="18"/>
      <c r="MHQ931" s="18"/>
      <c r="MHR931" s="18"/>
      <c r="MHS931" s="18"/>
      <c r="MHT931" s="18"/>
      <c r="MHU931" s="18"/>
      <c r="MHV931" s="18"/>
      <c r="MHW931" s="18"/>
      <c r="MHX931" s="18"/>
      <c r="MHY931" s="18"/>
      <c r="MHZ931" s="18"/>
      <c r="MIA931" s="18"/>
      <c r="MIB931" s="18"/>
      <c r="MIC931" s="18"/>
      <c r="MID931" s="18"/>
      <c r="MIE931" s="18"/>
      <c r="MIF931" s="18"/>
      <c r="MIG931" s="18"/>
      <c r="MIH931" s="18"/>
      <c r="MII931" s="18"/>
      <c r="MIJ931" s="18"/>
      <c r="MIK931" s="18"/>
      <c r="MIL931" s="18"/>
      <c r="MIM931" s="18"/>
      <c r="MIN931" s="18"/>
      <c r="MIO931" s="18"/>
      <c r="MIP931" s="18"/>
      <c r="MIQ931" s="18"/>
      <c r="MIR931" s="18"/>
      <c r="MIS931" s="18"/>
      <c r="MIT931" s="18"/>
      <c r="MIU931" s="18"/>
      <c r="MIV931" s="18"/>
      <c r="MIW931" s="18"/>
      <c r="MIX931" s="18"/>
      <c r="MIY931" s="18"/>
      <c r="MIZ931" s="18"/>
      <c r="MJA931" s="18"/>
      <c r="MJB931" s="18"/>
      <c r="MJC931" s="18"/>
      <c r="MJD931" s="18"/>
      <c r="MJE931" s="18"/>
      <c r="MJF931" s="18"/>
      <c r="MJG931" s="18"/>
      <c r="MJH931" s="18"/>
      <c r="MJI931" s="18"/>
      <c r="MJJ931" s="18"/>
      <c r="MJK931" s="18"/>
      <c r="MJL931" s="18"/>
      <c r="MJM931" s="18"/>
      <c r="MJN931" s="18"/>
      <c r="MJO931" s="18"/>
      <c r="MJP931" s="18"/>
      <c r="MJQ931" s="18"/>
      <c r="MJR931" s="18"/>
      <c r="MJS931" s="18"/>
      <c r="MJT931" s="18"/>
      <c r="MJU931" s="18"/>
      <c r="MJV931" s="18"/>
      <c r="MJW931" s="18"/>
      <c r="MJX931" s="18"/>
      <c r="MJY931" s="18"/>
      <c r="MJZ931" s="18"/>
      <c r="MKA931" s="18"/>
      <c r="MKB931" s="18"/>
      <c r="MKC931" s="18"/>
      <c r="MKD931" s="18"/>
      <c r="MKE931" s="18"/>
      <c r="MKF931" s="18"/>
      <c r="MKG931" s="18"/>
      <c r="MKH931" s="18"/>
      <c r="MKI931" s="18"/>
      <c r="MKJ931" s="18"/>
      <c r="MKK931" s="18"/>
      <c r="MKL931" s="18"/>
      <c r="MKM931" s="18"/>
      <c r="MKN931" s="18"/>
      <c r="MKO931" s="18"/>
      <c r="MKP931" s="18"/>
      <c r="MKQ931" s="18"/>
      <c r="MKR931" s="18"/>
      <c r="MKS931" s="18"/>
      <c r="MKT931" s="18"/>
      <c r="MKU931" s="18"/>
      <c r="MKV931" s="18"/>
      <c r="MKW931" s="18"/>
      <c r="MKX931" s="18"/>
      <c r="MKY931" s="18"/>
      <c r="MKZ931" s="18"/>
      <c r="MLA931" s="18"/>
      <c r="MLB931" s="18"/>
      <c r="MLC931" s="18"/>
      <c r="MLD931" s="18"/>
      <c r="MLE931" s="18"/>
      <c r="MLF931" s="18"/>
      <c r="MLG931" s="18"/>
      <c r="MLH931" s="18"/>
      <c r="MLI931" s="18"/>
      <c r="MLJ931" s="18"/>
      <c r="MLK931" s="18"/>
      <c r="MLL931" s="18"/>
      <c r="MLM931" s="18"/>
      <c r="MLN931" s="18"/>
      <c r="MLO931" s="18"/>
      <c r="MLP931" s="18"/>
      <c r="MLQ931" s="18"/>
      <c r="MLR931" s="18"/>
      <c r="MLS931" s="18"/>
      <c r="MLT931" s="18"/>
      <c r="MLU931" s="18"/>
      <c r="MLV931" s="18"/>
      <c r="MLW931" s="18"/>
      <c r="MLX931" s="18"/>
      <c r="MLY931" s="18"/>
      <c r="MLZ931" s="18"/>
      <c r="MMA931" s="18"/>
      <c r="MMB931" s="18"/>
      <c r="MMC931" s="18"/>
      <c r="MMD931" s="18"/>
      <c r="MME931" s="18"/>
      <c r="MMF931" s="18"/>
      <c r="MMG931" s="18"/>
      <c r="MMH931" s="18"/>
      <c r="MMI931" s="18"/>
      <c r="MMJ931" s="18"/>
      <c r="MMK931" s="18"/>
      <c r="MML931" s="18"/>
      <c r="MMM931" s="18"/>
      <c r="MMN931" s="18"/>
      <c r="MMO931" s="18"/>
      <c r="MMP931" s="18"/>
      <c r="MMQ931" s="18"/>
      <c r="MMR931" s="18"/>
      <c r="MMS931" s="18"/>
      <c r="MMT931" s="18"/>
      <c r="MMU931" s="18"/>
      <c r="MMV931" s="18"/>
      <c r="MMW931" s="18"/>
      <c r="MMX931" s="18"/>
      <c r="MMY931" s="18"/>
      <c r="MMZ931" s="18"/>
      <c r="MNA931" s="18"/>
      <c r="MNB931" s="18"/>
      <c r="MNC931" s="18"/>
      <c r="MND931" s="18"/>
      <c r="MNE931" s="18"/>
      <c r="MNF931" s="18"/>
      <c r="MNG931" s="18"/>
      <c r="MNH931" s="18"/>
      <c r="MNI931" s="18"/>
      <c r="MNJ931" s="18"/>
      <c r="MNK931" s="18"/>
      <c r="MNL931" s="18"/>
      <c r="MNM931" s="18"/>
      <c r="MNN931" s="18"/>
      <c r="MNO931" s="18"/>
      <c r="MNP931" s="18"/>
      <c r="MNQ931" s="18"/>
      <c r="MNR931" s="18"/>
      <c r="MNS931" s="18"/>
      <c r="MNT931" s="18"/>
      <c r="MNU931" s="18"/>
      <c r="MNV931" s="18"/>
      <c r="MNW931" s="18"/>
      <c r="MNX931" s="18"/>
      <c r="MNY931" s="18"/>
      <c r="MNZ931" s="18"/>
      <c r="MOA931" s="18"/>
      <c r="MOB931" s="18"/>
      <c r="MOC931" s="18"/>
      <c r="MOD931" s="18"/>
      <c r="MOE931" s="18"/>
      <c r="MOF931" s="18"/>
      <c r="MOG931" s="18"/>
      <c r="MOH931" s="18"/>
      <c r="MOI931" s="18"/>
      <c r="MOJ931" s="18"/>
      <c r="MOK931" s="18"/>
      <c r="MOL931" s="18"/>
      <c r="MOM931" s="18"/>
      <c r="MON931" s="18"/>
      <c r="MOO931" s="18"/>
      <c r="MOP931" s="18"/>
      <c r="MOQ931" s="18"/>
      <c r="MOR931" s="18"/>
      <c r="MOS931" s="18"/>
      <c r="MOT931" s="18"/>
      <c r="MOU931" s="18"/>
      <c r="MOV931" s="18"/>
      <c r="MOW931" s="18"/>
      <c r="MOX931" s="18"/>
      <c r="MOY931" s="18"/>
      <c r="MOZ931" s="18"/>
      <c r="MPA931" s="18"/>
      <c r="MPB931" s="18"/>
      <c r="MPC931" s="18"/>
      <c r="MPD931" s="18"/>
      <c r="MPE931" s="18"/>
      <c r="MPF931" s="18"/>
      <c r="MPG931" s="18"/>
      <c r="MPH931" s="18"/>
      <c r="MPI931" s="18"/>
      <c r="MPJ931" s="18"/>
      <c r="MPK931" s="18"/>
      <c r="MPL931" s="18"/>
      <c r="MPM931" s="18"/>
      <c r="MPN931" s="18"/>
      <c r="MPO931" s="18"/>
      <c r="MPP931" s="18"/>
      <c r="MPQ931" s="18"/>
      <c r="MPR931" s="18"/>
      <c r="MPS931" s="18"/>
      <c r="MPT931" s="18"/>
      <c r="MPU931" s="18"/>
      <c r="MPV931" s="18"/>
      <c r="MPW931" s="18"/>
      <c r="MPX931" s="18"/>
      <c r="MPY931" s="18"/>
      <c r="MPZ931" s="18"/>
      <c r="MQA931" s="18"/>
      <c r="MQB931" s="18"/>
      <c r="MQC931" s="18"/>
      <c r="MQD931" s="18"/>
      <c r="MQE931" s="18"/>
      <c r="MQF931" s="18"/>
      <c r="MQG931" s="18"/>
      <c r="MQH931" s="18"/>
      <c r="MQI931" s="18"/>
      <c r="MQJ931" s="18"/>
      <c r="MQK931" s="18"/>
      <c r="MQL931" s="18"/>
      <c r="MQM931" s="18"/>
      <c r="MQN931" s="18"/>
      <c r="MQO931" s="18"/>
      <c r="MQP931" s="18"/>
      <c r="MQQ931" s="18"/>
      <c r="MQR931" s="18"/>
      <c r="MQS931" s="18"/>
      <c r="MQT931" s="18"/>
      <c r="MQU931" s="18"/>
      <c r="MQV931" s="18"/>
      <c r="MQW931" s="18"/>
      <c r="MQX931" s="18"/>
      <c r="MQY931" s="18"/>
      <c r="MQZ931" s="18"/>
      <c r="MRA931" s="18"/>
      <c r="MRB931" s="18"/>
      <c r="MRC931" s="18"/>
      <c r="MRD931" s="18"/>
      <c r="MRE931" s="18"/>
      <c r="MRF931" s="18"/>
      <c r="MRG931" s="18"/>
      <c r="MRH931" s="18"/>
      <c r="MRI931" s="18"/>
      <c r="MRJ931" s="18"/>
      <c r="MRK931" s="18"/>
      <c r="MRL931" s="18"/>
      <c r="MRM931" s="18"/>
      <c r="MRN931" s="18"/>
      <c r="MRO931" s="18"/>
      <c r="MRP931" s="18"/>
      <c r="MRQ931" s="18"/>
      <c r="MRR931" s="18"/>
      <c r="MRS931" s="18"/>
      <c r="MRT931" s="18"/>
      <c r="MRU931" s="18"/>
      <c r="MRV931" s="18"/>
      <c r="MRW931" s="18"/>
      <c r="MRX931" s="18"/>
      <c r="MRY931" s="18"/>
      <c r="MRZ931" s="18"/>
      <c r="MSA931" s="18"/>
      <c r="MSB931" s="18"/>
      <c r="MSC931" s="18"/>
      <c r="MSD931" s="18"/>
      <c r="MSE931" s="18"/>
      <c r="MSF931" s="18"/>
      <c r="MSG931" s="18"/>
      <c r="MSH931" s="18"/>
      <c r="MSI931" s="18"/>
      <c r="MSJ931" s="18"/>
      <c r="MSK931" s="18"/>
      <c r="MSL931" s="18"/>
      <c r="MSM931" s="18"/>
      <c r="MSN931" s="18"/>
      <c r="MSO931" s="18"/>
      <c r="MSP931" s="18"/>
      <c r="MSQ931" s="18"/>
      <c r="MSR931" s="18"/>
      <c r="MSS931" s="18"/>
      <c r="MST931" s="18"/>
      <c r="MSU931" s="18"/>
      <c r="MSV931" s="18"/>
      <c r="MSW931" s="18"/>
      <c r="MSX931" s="18"/>
      <c r="MSY931" s="18"/>
      <c r="MSZ931" s="18"/>
      <c r="MTA931" s="18"/>
      <c r="MTB931" s="18"/>
      <c r="MTC931" s="18"/>
      <c r="MTD931" s="18"/>
      <c r="MTE931" s="18"/>
      <c r="MTF931" s="18"/>
      <c r="MTG931" s="18"/>
      <c r="MTH931" s="18"/>
      <c r="MTI931" s="18"/>
      <c r="MTJ931" s="18"/>
      <c r="MTK931" s="18"/>
      <c r="MTL931" s="18"/>
      <c r="MTM931" s="18"/>
      <c r="MTN931" s="18"/>
      <c r="MTO931" s="18"/>
      <c r="MTP931" s="18"/>
      <c r="MTQ931" s="18"/>
      <c r="MTR931" s="18"/>
      <c r="MTS931" s="18"/>
      <c r="MTT931" s="18"/>
      <c r="MTU931" s="18"/>
      <c r="MTV931" s="18"/>
      <c r="MTW931" s="18"/>
      <c r="MTX931" s="18"/>
      <c r="MTY931" s="18"/>
      <c r="MTZ931" s="18"/>
      <c r="MUA931" s="18"/>
      <c r="MUB931" s="18"/>
      <c r="MUC931" s="18"/>
      <c r="MUD931" s="18"/>
      <c r="MUE931" s="18"/>
      <c r="MUF931" s="18"/>
      <c r="MUG931" s="18"/>
      <c r="MUH931" s="18"/>
      <c r="MUI931" s="18"/>
      <c r="MUJ931" s="18"/>
      <c r="MUK931" s="18"/>
      <c r="MUL931" s="18"/>
      <c r="MUM931" s="18"/>
      <c r="MUN931" s="18"/>
      <c r="MUO931" s="18"/>
      <c r="MUP931" s="18"/>
      <c r="MUQ931" s="18"/>
      <c r="MUR931" s="18"/>
      <c r="MUS931" s="18"/>
      <c r="MUT931" s="18"/>
      <c r="MUU931" s="18"/>
      <c r="MUV931" s="18"/>
      <c r="MUW931" s="18"/>
      <c r="MUX931" s="18"/>
      <c r="MUY931" s="18"/>
      <c r="MUZ931" s="18"/>
      <c r="MVA931" s="18"/>
      <c r="MVB931" s="18"/>
      <c r="MVC931" s="18"/>
      <c r="MVD931" s="18"/>
      <c r="MVE931" s="18"/>
      <c r="MVF931" s="18"/>
      <c r="MVG931" s="18"/>
      <c r="MVH931" s="18"/>
      <c r="MVI931" s="18"/>
      <c r="MVJ931" s="18"/>
      <c r="MVK931" s="18"/>
      <c r="MVL931" s="18"/>
      <c r="MVM931" s="18"/>
      <c r="MVN931" s="18"/>
      <c r="MVO931" s="18"/>
      <c r="MVP931" s="18"/>
      <c r="MVQ931" s="18"/>
      <c r="MVR931" s="18"/>
      <c r="MVS931" s="18"/>
      <c r="MVT931" s="18"/>
      <c r="MVU931" s="18"/>
      <c r="MVV931" s="18"/>
      <c r="MVW931" s="18"/>
      <c r="MVX931" s="18"/>
      <c r="MVY931" s="18"/>
      <c r="MVZ931" s="18"/>
      <c r="MWA931" s="18"/>
      <c r="MWB931" s="18"/>
      <c r="MWC931" s="18"/>
      <c r="MWD931" s="18"/>
      <c r="MWE931" s="18"/>
      <c r="MWF931" s="18"/>
      <c r="MWG931" s="18"/>
      <c r="MWH931" s="18"/>
      <c r="MWI931" s="18"/>
      <c r="MWJ931" s="18"/>
      <c r="MWK931" s="18"/>
      <c r="MWL931" s="18"/>
      <c r="MWM931" s="18"/>
      <c r="MWN931" s="18"/>
      <c r="MWO931" s="18"/>
      <c r="MWP931" s="18"/>
      <c r="MWQ931" s="18"/>
      <c r="MWR931" s="18"/>
      <c r="MWS931" s="18"/>
      <c r="MWT931" s="18"/>
      <c r="MWU931" s="18"/>
      <c r="MWV931" s="18"/>
      <c r="MWW931" s="18"/>
      <c r="MWX931" s="18"/>
      <c r="MWY931" s="18"/>
      <c r="MWZ931" s="18"/>
      <c r="MXA931" s="18"/>
      <c r="MXB931" s="18"/>
      <c r="MXC931" s="18"/>
      <c r="MXD931" s="18"/>
      <c r="MXE931" s="18"/>
      <c r="MXF931" s="18"/>
      <c r="MXG931" s="18"/>
      <c r="MXH931" s="18"/>
      <c r="MXI931" s="18"/>
      <c r="MXJ931" s="18"/>
      <c r="MXK931" s="18"/>
      <c r="MXL931" s="18"/>
      <c r="MXM931" s="18"/>
      <c r="MXN931" s="18"/>
      <c r="MXO931" s="18"/>
      <c r="MXP931" s="18"/>
      <c r="MXQ931" s="18"/>
      <c r="MXR931" s="18"/>
      <c r="MXS931" s="18"/>
      <c r="MXT931" s="18"/>
      <c r="MXU931" s="18"/>
      <c r="MXV931" s="18"/>
      <c r="MXW931" s="18"/>
      <c r="MXX931" s="18"/>
      <c r="MXY931" s="18"/>
      <c r="MXZ931" s="18"/>
      <c r="MYA931" s="18"/>
      <c r="MYB931" s="18"/>
      <c r="MYC931" s="18"/>
      <c r="MYD931" s="18"/>
      <c r="MYE931" s="18"/>
      <c r="MYF931" s="18"/>
      <c r="MYG931" s="18"/>
      <c r="MYH931" s="18"/>
      <c r="MYI931" s="18"/>
      <c r="MYJ931" s="18"/>
      <c r="MYK931" s="18"/>
      <c r="MYL931" s="18"/>
      <c r="MYM931" s="18"/>
      <c r="MYN931" s="18"/>
      <c r="MYO931" s="18"/>
      <c r="MYP931" s="18"/>
      <c r="MYQ931" s="18"/>
      <c r="MYR931" s="18"/>
      <c r="MYS931" s="18"/>
      <c r="MYT931" s="18"/>
      <c r="MYU931" s="18"/>
      <c r="MYV931" s="18"/>
      <c r="MYW931" s="18"/>
      <c r="MYX931" s="18"/>
      <c r="MYY931" s="18"/>
      <c r="MYZ931" s="18"/>
      <c r="MZA931" s="18"/>
      <c r="MZB931" s="18"/>
      <c r="MZC931" s="18"/>
      <c r="MZD931" s="18"/>
      <c r="MZE931" s="18"/>
      <c r="MZF931" s="18"/>
      <c r="MZG931" s="18"/>
      <c r="MZH931" s="18"/>
      <c r="MZI931" s="18"/>
      <c r="MZJ931" s="18"/>
      <c r="MZK931" s="18"/>
      <c r="MZL931" s="18"/>
      <c r="MZM931" s="18"/>
      <c r="MZN931" s="18"/>
      <c r="MZO931" s="18"/>
      <c r="MZP931" s="18"/>
      <c r="MZQ931" s="18"/>
      <c r="MZR931" s="18"/>
      <c r="MZS931" s="18"/>
      <c r="MZT931" s="18"/>
      <c r="MZU931" s="18"/>
      <c r="MZV931" s="18"/>
      <c r="MZW931" s="18"/>
      <c r="MZX931" s="18"/>
      <c r="MZY931" s="18"/>
      <c r="MZZ931" s="18"/>
      <c r="NAA931" s="18"/>
      <c r="NAB931" s="18"/>
      <c r="NAC931" s="18"/>
      <c r="NAD931" s="18"/>
      <c r="NAE931" s="18"/>
      <c r="NAF931" s="18"/>
      <c r="NAG931" s="18"/>
      <c r="NAH931" s="18"/>
      <c r="NAI931" s="18"/>
      <c r="NAJ931" s="18"/>
      <c r="NAK931" s="18"/>
      <c r="NAL931" s="18"/>
      <c r="NAM931" s="18"/>
      <c r="NAN931" s="18"/>
      <c r="NAO931" s="18"/>
      <c r="NAP931" s="18"/>
      <c r="NAQ931" s="18"/>
      <c r="NAR931" s="18"/>
      <c r="NAS931" s="18"/>
      <c r="NAT931" s="18"/>
      <c r="NAU931" s="18"/>
      <c r="NAV931" s="18"/>
      <c r="NAW931" s="18"/>
      <c r="NAX931" s="18"/>
      <c r="NAY931" s="18"/>
      <c r="NAZ931" s="18"/>
      <c r="NBA931" s="18"/>
      <c r="NBB931" s="18"/>
      <c r="NBC931" s="18"/>
      <c r="NBD931" s="18"/>
      <c r="NBE931" s="18"/>
      <c r="NBF931" s="18"/>
      <c r="NBG931" s="18"/>
      <c r="NBH931" s="18"/>
      <c r="NBI931" s="18"/>
      <c r="NBJ931" s="18"/>
      <c r="NBK931" s="18"/>
      <c r="NBL931" s="18"/>
      <c r="NBM931" s="18"/>
      <c r="NBN931" s="18"/>
      <c r="NBO931" s="18"/>
      <c r="NBP931" s="18"/>
      <c r="NBQ931" s="18"/>
      <c r="NBR931" s="18"/>
      <c r="NBS931" s="18"/>
      <c r="NBT931" s="18"/>
      <c r="NBU931" s="18"/>
      <c r="NBV931" s="18"/>
      <c r="NBW931" s="18"/>
      <c r="NBX931" s="18"/>
      <c r="NBY931" s="18"/>
      <c r="NBZ931" s="18"/>
      <c r="NCA931" s="18"/>
      <c r="NCB931" s="18"/>
      <c r="NCC931" s="18"/>
      <c r="NCD931" s="18"/>
      <c r="NCE931" s="18"/>
      <c r="NCF931" s="18"/>
      <c r="NCG931" s="18"/>
      <c r="NCH931" s="18"/>
      <c r="NCI931" s="18"/>
      <c r="NCJ931" s="18"/>
      <c r="NCK931" s="18"/>
      <c r="NCL931" s="18"/>
      <c r="NCM931" s="18"/>
      <c r="NCN931" s="18"/>
      <c r="NCO931" s="18"/>
      <c r="NCP931" s="18"/>
      <c r="NCQ931" s="18"/>
      <c r="NCR931" s="18"/>
      <c r="NCS931" s="18"/>
      <c r="NCT931" s="18"/>
      <c r="NCU931" s="18"/>
      <c r="NCV931" s="18"/>
      <c r="NCW931" s="18"/>
      <c r="NCX931" s="18"/>
      <c r="NCY931" s="18"/>
      <c r="NCZ931" s="18"/>
      <c r="NDA931" s="18"/>
      <c r="NDB931" s="18"/>
      <c r="NDC931" s="18"/>
      <c r="NDD931" s="18"/>
      <c r="NDE931" s="18"/>
      <c r="NDF931" s="18"/>
      <c r="NDG931" s="18"/>
      <c r="NDH931" s="18"/>
      <c r="NDI931" s="18"/>
      <c r="NDJ931" s="18"/>
      <c r="NDK931" s="18"/>
      <c r="NDL931" s="18"/>
      <c r="NDM931" s="18"/>
      <c r="NDN931" s="18"/>
      <c r="NDO931" s="18"/>
      <c r="NDP931" s="18"/>
      <c r="NDQ931" s="18"/>
      <c r="NDR931" s="18"/>
      <c r="NDS931" s="18"/>
      <c r="NDT931" s="18"/>
      <c r="NDU931" s="18"/>
      <c r="NDV931" s="18"/>
      <c r="NDW931" s="18"/>
      <c r="NDX931" s="18"/>
      <c r="NDY931" s="18"/>
      <c r="NDZ931" s="18"/>
      <c r="NEA931" s="18"/>
      <c r="NEB931" s="18"/>
      <c r="NEC931" s="18"/>
      <c r="NED931" s="18"/>
      <c r="NEE931" s="18"/>
      <c r="NEF931" s="18"/>
      <c r="NEG931" s="18"/>
      <c r="NEH931" s="18"/>
      <c r="NEI931" s="18"/>
      <c r="NEJ931" s="18"/>
      <c r="NEK931" s="18"/>
      <c r="NEL931" s="18"/>
      <c r="NEM931" s="18"/>
      <c r="NEN931" s="18"/>
      <c r="NEO931" s="18"/>
      <c r="NEP931" s="18"/>
      <c r="NEQ931" s="18"/>
      <c r="NER931" s="18"/>
      <c r="NES931" s="18"/>
      <c r="NET931" s="18"/>
      <c r="NEU931" s="18"/>
      <c r="NEV931" s="18"/>
      <c r="NEW931" s="18"/>
      <c r="NEX931" s="18"/>
      <c r="NEY931" s="18"/>
      <c r="NEZ931" s="18"/>
      <c r="NFA931" s="18"/>
      <c r="NFB931" s="18"/>
      <c r="NFC931" s="18"/>
      <c r="NFD931" s="18"/>
      <c r="NFE931" s="18"/>
      <c r="NFF931" s="18"/>
      <c r="NFG931" s="18"/>
      <c r="NFH931" s="18"/>
      <c r="NFI931" s="18"/>
      <c r="NFJ931" s="18"/>
      <c r="NFK931" s="18"/>
      <c r="NFL931" s="18"/>
      <c r="NFM931" s="18"/>
      <c r="NFN931" s="18"/>
      <c r="NFO931" s="18"/>
      <c r="NFP931" s="18"/>
      <c r="NFQ931" s="18"/>
      <c r="NFR931" s="18"/>
      <c r="NFS931" s="18"/>
      <c r="NFT931" s="18"/>
      <c r="NFU931" s="18"/>
      <c r="NFV931" s="18"/>
      <c r="NFW931" s="18"/>
      <c r="NFX931" s="18"/>
      <c r="NFY931" s="18"/>
      <c r="NFZ931" s="18"/>
      <c r="NGA931" s="18"/>
      <c r="NGB931" s="18"/>
      <c r="NGC931" s="18"/>
      <c r="NGD931" s="18"/>
      <c r="NGE931" s="18"/>
      <c r="NGF931" s="18"/>
      <c r="NGG931" s="18"/>
      <c r="NGH931" s="18"/>
      <c r="NGI931" s="18"/>
      <c r="NGJ931" s="18"/>
      <c r="NGK931" s="18"/>
      <c r="NGL931" s="18"/>
      <c r="NGM931" s="18"/>
      <c r="NGN931" s="18"/>
      <c r="NGO931" s="18"/>
      <c r="NGP931" s="18"/>
      <c r="NGQ931" s="18"/>
      <c r="NGR931" s="18"/>
      <c r="NGS931" s="18"/>
      <c r="NGT931" s="18"/>
      <c r="NGU931" s="18"/>
      <c r="NGV931" s="18"/>
      <c r="NGW931" s="18"/>
      <c r="NGX931" s="18"/>
      <c r="NGY931" s="18"/>
      <c r="NGZ931" s="18"/>
      <c r="NHA931" s="18"/>
      <c r="NHB931" s="18"/>
      <c r="NHC931" s="18"/>
      <c r="NHD931" s="18"/>
      <c r="NHE931" s="18"/>
      <c r="NHF931" s="18"/>
      <c r="NHG931" s="18"/>
      <c r="NHH931" s="18"/>
      <c r="NHI931" s="18"/>
      <c r="NHJ931" s="18"/>
      <c r="NHK931" s="18"/>
      <c r="NHL931" s="18"/>
      <c r="NHM931" s="18"/>
      <c r="NHN931" s="18"/>
      <c r="NHO931" s="18"/>
      <c r="NHP931" s="18"/>
      <c r="NHQ931" s="18"/>
      <c r="NHR931" s="18"/>
      <c r="NHS931" s="18"/>
      <c r="NHT931" s="18"/>
      <c r="NHU931" s="18"/>
      <c r="NHV931" s="18"/>
      <c r="NHW931" s="18"/>
      <c r="NHX931" s="18"/>
      <c r="NHY931" s="18"/>
      <c r="NHZ931" s="18"/>
      <c r="NIA931" s="18"/>
      <c r="NIB931" s="18"/>
      <c r="NIC931" s="18"/>
      <c r="NID931" s="18"/>
      <c r="NIE931" s="18"/>
      <c r="NIF931" s="18"/>
      <c r="NIG931" s="18"/>
      <c r="NIH931" s="18"/>
      <c r="NII931" s="18"/>
      <c r="NIJ931" s="18"/>
      <c r="NIK931" s="18"/>
      <c r="NIL931" s="18"/>
      <c r="NIM931" s="18"/>
      <c r="NIN931" s="18"/>
      <c r="NIO931" s="18"/>
      <c r="NIP931" s="18"/>
      <c r="NIQ931" s="18"/>
      <c r="NIR931" s="18"/>
      <c r="NIS931" s="18"/>
      <c r="NIT931" s="18"/>
      <c r="NIU931" s="18"/>
      <c r="NIV931" s="18"/>
      <c r="NIW931" s="18"/>
      <c r="NIX931" s="18"/>
      <c r="NIY931" s="18"/>
      <c r="NIZ931" s="18"/>
      <c r="NJA931" s="18"/>
      <c r="NJB931" s="18"/>
      <c r="NJC931" s="18"/>
      <c r="NJD931" s="18"/>
      <c r="NJE931" s="18"/>
      <c r="NJF931" s="18"/>
      <c r="NJG931" s="18"/>
      <c r="NJH931" s="18"/>
      <c r="NJI931" s="18"/>
      <c r="NJJ931" s="18"/>
      <c r="NJK931" s="18"/>
      <c r="NJL931" s="18"/>
      <c r="NJM931" s="18"/>
      <c r="NJN931" s="18"/>
      <c r="NJO931" s="18"/>
      <c r="NJP931" s="18"/>
      <c r="NJQ931" s="18"/>
      <c r="NJR931" s="18"/>
      <c r="NJS931" s="18"/>
      <c r="NJT931" s="18"/>
      <c r="NJU931" s="18"/>
      <c r="NJV931" s="18"/>
      <c r="NJW931" s="18"/>
      <c r="NJX931" s="18"/>
      <c r="NJY931" s="18"/>
      <c r="NJZ931" s="18"/>
      <c r="NKA931" s="18"/>
      <c r="NKB931" s="18"/>
      <c r="NKC931" s="18"/>
      <c r="NKD931" s="18"/>
      <c r="NKE931" s="18"/>
      <c r="NKF931" s="18"/>
      <c r="NKG931" s="18"/>
      <c r="NKH931" s="18"/>
      <c r="NKI931" s="18"/>
      <c r="NKJ931" s="18"/>
      <c r="NKK931" s="18"/>
      <c r="NKL931" s="18"/>
      <c r="NKM931" s="18"/>
      <c r="NKN931" s="18"/>
      <c r="NKO931" s="18"/>
      <c r="NKP931" s="18"/>
      <c r="NKQ931" s="18"/>
      <c r="NKR931" s="18"/>
      <c r="NKS931" s="18"/>
      <c r="NKT931" s="18"/>
      <c r="NKU931" s="18"/>
      <c r="NKV931" s="18"/>
      <c r="NKW931" s="18"/>
      <c r="NKX931" s="18"/>
      <c r="NKY931" s="18"/>
      <c r="NKZ931" s="18"/>
      <c r="NLA931" s="18"/>
      <c r="NLB931" s="18"/>
      <c r="NLC931" s="18"/>
      <c r="NLD931" s="18"/>
      <c r="NLE931" s="18"/>
      <c r="NLF931" s="18"/>
      <c r="NLG931" s="18"/>
      <c r="NLH931" s="18"/>
      <c r="NLI931" s="18"/>
      <c r="NLJ931" s="18"/>
      <c r="NLK931" s="18"/>
      <c r="NLL931" s="18"/>
      <c r="NLM931" s="18"/>
      <c r="NLN931" s="18"/>
      <c r="NLO931" s="18"/>
      <c r="NLP931" s="18"/>
      <c r="NLQ931" s="18"/>
      <c r="NLR931" s="18"/>
      <c r="NLS931" s="18"/>
      <c r="NLT931" s="18"/>
      <c r="NLU931" s="18"/>
      <c r="NLV931" s="18"/>
      <c r="NLW931" s="18"/>
      <c r="NLX931" s="18"/>
      <c r="NLY931" s="18"/>
      <c r="NLZ931" s="18"/>
      <c r="NMA931" s="18"/>
      <c r="NMB931" s="18"/>
      <c r="NMC931" s="18"/>
      <c r="NMD931" s="18"/>
      <c r="NME931" s="18"/>
      <c r="NMF931" s="18"/>
      <c r="NMG931" s="18"/>
      <c r="NMH931" s="18"/>
      <c r="NMI931" s="18"/>
      <c r="NMJ931" s="18"/>
      <c r="NMK931" s="18"/>
      <c r="NML931" s="18"/>
      <c r="NMM931" s="18"/>
      <c r="NMN931" s="18"/>
      <c r="NMO931" s="18"/>
      <c r="NMP931" s="18"/>
      <c r="NMQ931" s="18"/>
      <c r="NMR931" s="18"/>
      <c r="NMS931" s="18"/>
      <c r="NMT931" s="18"/>
      <c r="NMU931" s="18"/>
      <c r="NMV931" s="18"/>
      <c r="NMW931" s="18"/>
      <c r="NMX931" s="18"/>
      <c r="NMY931" s="18"/>
      <c r="NMZ931" s="18"/>
      <c r="NNA931" s="18"/>
      <c r="NNB931" s="18"/>
      <c r="NNC931" s="18"/>
      <c r="NND931" s="18"/>
      <c r="NNE931" s="18"/>
      <c r="NNF931" s="18"/>
      <c r="NNG931" s="18"/>
      <c r="NNH931" s="18"/>
      <c r="NNI931" s="18"/>
      <c r="NNJ931" s="18"/>
      <c r="NNK931" s="18"/>
      <c r="NNL931" s="18"/>
      <c r="NNM931" s="18"/>
      <c r="NNN931" s="18"/>
      <c r="NNO931" s="18"/>
      <c r="NNP931" s="18"/>
      <c r="NNQ931" s="18"/>
      <c r="NNR931" s="18"/>
      <c r="NNS931" s="18"/>
      <c r="NNT931" s="18"/>
      <c r="NNU931" s="18"/>
      <c r="NNV931" s="18"/>
      <c r="NNW931" s="18"/>
      <c r="NNX931" s="18"/>
      <c r="NNY931" s="18"/>
      <c r="NNZ931" s="18"/>
      <c r="NOA931" s="18"/>
      <c r="NOB931" s="18"/>
      <c r="NOC931" s="18"/>
      <c r="NOD931" s="18"/>
      <c r="NOE931" s="18"/>
      <c r="NOF931" s="18"/>
      <c r="NOG931" s="18"/>
      <c r="NOH931" s="18"/>
      <c r="NOI931" s="18"/>
      <c r="NOJ931" s="18"/>
      <c r="NOK931" s="18"/>
      <c r="NOL931" s="18"/>
      <c r="NOM931" s="18"/>
      <c r="NON931" s="18"/>
      <c r="NOO931" s="18"/>
      <c r="NOP931" s="18"/>
      <c r="NOQ931" s="18"/>
      <c r="NOR931" s="18"/>
      <c r="NOS931" s="18"/>
      <c r="NOT931" s="18"/>
      <c r="NOU931" s="18"/>
      <c r="NOV931" s="18"/>
      <c r="NOW931" s="18"/>
      <c r="NOX931" s="18"/>
      <c r="NOY931" s="18"/>
      <c r="NOZ931" s="18"/>
      <c r="NPA931" s="18"/>
      <c r="NPB931" s="18"/>
      <c r="NPC931" s="18"/>
      <c r="NPD931" s="18"/>
      <c r="NPE931" s="18"/>
      <c r="NPF931" s="18"/>
      <c r="NPG931" s="18"/>
      <c r="NPH931" s="18"/>
      <c r="NPI931" s="18"/>
      <c r="NPJ931" s="18"/>
      <c r="NPK931" s="18"/>
      <c r="NPL931" s="18"/>
      <c r="NPM931" s="18"/>
      <c r="NPN931" s="18"/>
      <c r="NPO931" s="18"/>
      <c r="NPP931" s="18"/>
      <c r="NPQ931" s="18"/>
      <c r="NPR931" s="18"/>
      <c r="NPS931" s="18"/>
      <c r="NPT931" s="18"/>
      <c r="NPU931" s="18"/>
      <c r="NPV931" s="18"/>
      <c r="NPW931" s="18"/>
      <c r="NPX931" s="18"/>
      <c r="NPY931" s="18"/>
      <c r="NPZ931" s="18"/>
      <c r="NQA931" s="18"/>
      <c r="NQB931" s="18"/>
      <c r="NQC931" s="18"/>
      <c r="NQD931" s="18"/>
      <c r="NQE931" s="18"/>
      <c r="NQF931" s="18"/>
      <c r="NQG931" s="18"/>
      <c r="NQH931" s="18"/>
      <c r="NQI931" s="18"/>
      <c r="NQJ931" s="18"/>
      <c r="NQK931" s="18"/>
      <c r="NQL931" s="18"/>
      <c r="NQM931" s="18"/>
      <c r="NQN931" s="18"/>
      <c r="NQO931" s="18"/>
      <c r="NQP931" s="18"/>
      <c r="NQQ931" s="18"/>
      <c r="NQR931" s="18"/>
      <c r="NQS931" s="18"/>
      <c r="NQT931" s="18"/>
      <c r="NQU931" s="18"/>
      <c r="NQV931" s="18"/>
      <c r="NQW931" s="18"/>
      <c r="NQX931" s="18"/>
      <c r="NQY931" s="18"/>
      <c r="NQZ931" s="18"/>
      <c r="NRA931" s="18"/>
      <c r="NRB931" s="18"/>
      <c r="NRC931" s="18"/>
      <c r="NRD931" s="18"/>
      <c r="NRE931" s="18"/>
      <c r="NRF931" s="18"/>
      <c r="NRG931" s="18"/>
      <c r="NRH931" s="18"/>
      <c r="NRI931" s="18"/>
      <c r="NRJ931" s="18"/>
      <c r="NRK931" s="18"/>
      <c r="NRL931" s="18"/>
      <c r="NRM931" s="18"/>
      <c r="NRN931" s="18"/>
      <c r="NRO931" s="18"/>
      <c r="NRP931" s="18"/>
      <c r="NRQ931" s="18"/>
      <c r="NRR931" s="18"/>
      <c r="NRS931" s="18"/>
      <c r="NRT931" s="18"/>
      <c r="NRU931" s="18"/>
      <c r="NRV931" s="18"/>
      <c r="NRW931" s="18"/>
      <c r="NRX931" s="18"/>
      <c r="NRY931" s="18"/>
      <c r="NRZ931" s="18"/>
      <c r="NSA931" s="18"/>
      <c r="NSB931" s="18"/>
      <c r="NSC931" s="18"/>
      <c r="NSD931" s="18"/>
      <c r="NSE931" s="18"/>
      <c r="NSF931" s="18"/>
      <c r="NSG931" s="18"/>
      <c r="NSH931" s="18"/>
      <c r="NSI931" s="18"/>
      <c r="NSJ931" s="18"/>
      <c r="NSK931" s="18"/>
      <c r="NSL931" s="18"/>
      <c r="NSM931" s="18"/>
      <c r="NSN931" s="18"/>
      <c r="NSO931" s="18"/>
      <c r="NSP931" s="18"/>
      <c r="NSQ931" s="18"/>
      <c r="NSR931" s="18"/>
      <c r="NSS931" s="18"/>
      <c r="NST931" s="18"/>
      <c r="NSU931" s="18"/>
      <c r="NSV931" s="18"/>
      <c r="NSW931" s="18"/>
      <c r="NSX931" s="18"/>
      <c r="NSY931" s="18"/>
      <c r="NSZ931" s="18"/>
      <c r="NTA931" s="18"/>
      <c r="NTB931" s="18"/>
      <c r="NTC931" s="18"/>
      <c r="NTD931" s="18"/>
      <c r="NTE931" s="18"/>
      <c r="NTF931" s="18"/>
      <c r="NTG931" s="18"/>
      <c r="NTH931" s="18"/>
      <c r="NTI931" s="18"/>
      <c r="NTJ931" s="18"/>
      <c r="NTK931" s="18"/>
      <c r="NTL931" s="18"/>
      <c r="NTM931" s="18"/>
      <c r="NTN931" s="18"/>
      <c r="NTO931" s="18"/>
      <c r="NTP931" s="18"/>
      <c r="NTQ931" s="18"/>
      <c r="NTR931" s="18"/>
      <c r="NTS931" s="18"/>
      <c r="NTT931" s="18"/>
      <c r="NTU931" s="18"/>
      <c r="NTV931" s="18"/>
      <c r="NTW931" s="18"/>
      <c r="NTX931" s="18"/>
      <c r="NTY931" s="18"/>
      <c r="NTZ931" s="18"/>
      <c r="NUA931" s="18"/>
      <c r="NUB931" s="18"/>
      <c r="NUC931" s="18"/>
      <c r="NUD931" s="18"/>
      <c r="NUE931" s="18"/>
      <c r="NUF931" s="18"/>
      <c r="NUG931" s="18"/>
      <c r="NUH931" s="18"/>
      <c r="NUI931" s="18"/>
      <c r="NUJ931" s="18"/>
      <c r="NUK931" s="18"/>
      <c r="NUL931" s="18"/>
      <c r="NUM931" s="18"/>
      <c r="NUN931" s="18"/>
      <c r="NUO931" s="18"/>
      <c r="NUP931" s="18"/>
      <c r="NUQ931" s="18"/>
      <c r="NUR931" s="18"/>
      <c r="NUS931" s="18"/>
      <c r="NUT931" s="18"/>
      <c r="NUU931" s="18"/>
      <c r="NUV931" s="18"/>
      <c r="NUW931" s="18"/>
      <c r="NUX931" s="18"/>
      <c r="NUY931" s="18"/>
      <c r="NUZ931" s="18"/>
      <c r="NVA931" s="18"/>
      <c r="NVB931" s="18"/>
      <c r="NVC931" s="18"/>
      <c r="NVD931" s="18"/>
      <c r="NVE931" s="18"/>
      <c r="NVF931" s="18"/>
      <c r="NVG931" s="18"/>
      <c r="NVH931" s="18"/>
      <c r="NVI931" s="18"/>
      <c r="NVJ931" s="18"/>
      <c r="NVK931" s="18"/>
      <c r="NVL931" s="18"/>
      <c r="NVM931" s="18"/>
      <c r="NVN931" s="18"/>
      <c r="NVO931" s="18"/>
      <c r="NVP931" s="18"/>
      <c r="NVQ931" s="18"/>
      <c r="NVR931" s="18"/>
      <c r="NVS931" s="18"/>
      <c r="NVT931" s="18"/>
      <c r="NVU931" s="18"/>
      <c r="NVV931" s="18"/>
      <c r="NVW931" s="18"/>
      <c r="NVX931" s="18"/>
      <c r="NVY931" s="18"/>
      <c r="NVZ931" s="18"/>
      <c r="NWA931" s="18"/>
      <c r="NWB931" s="18"/>
      <c r="NWC931" s="18"/>
      <c r="NWD931" s="18"/>
      <c r="NWE931" s="18"/>
      <c r="NWF931" s="18"/>
      <c r="NWG931" s="18"/>
      <c r="NWH931" s="18"/>
      <c r="NWI931" s="18"/>
      <c r="NWJ931" s="18"/>
      <c r="NWK931" s="18"/>
      <c r="NWL931" s="18"/>
      <c r="NWM931" s="18"/>
      <c r="NWN931" s="18"/>
      <c r="NWO931" s="18"/>
      <c r="NWP931" s="18"/>
      <c r="NWQ931" s="18"/>
      <c r="NWR931" s="18"/>
      <c r="NWS931" s="18"/>
      <c r="NWT931" s="18"/>
      <c r="NWU931" s="18"/>
      <c r="NWV931" s="18"/>
      <c r="NWW931" s="18"/>
      <c r="NWX931" s="18"/>
      <c r="NWY931" s="18"/>
      <c r="NWZ931" s="18"/>
      <c r="NXA931" s="18"/>
      <c r="NXB931" s="18"/>
      <c r="NXC931" s="18"/>
      <c r="NXD931" s="18"/>
      <c r="NXE931" s="18"/>
      <c r="NXF931" s="18"/>
      <c r="NXG931" s="18"/>
      <c r="NXH931" s="18"/>
      <c r="NXI931" s="18"/>
      <c r="NXJ931" s="18"/>
      <c r="NXK931" s="18"/>
      <c r="NXL931" s="18"/>
      <c r="NXM931" s="18"/>
      <c r="NXN931" s="18"/>
      <c r="NXO931" s="18"/>
      <c r="NXP931" s="18"/>
      <c r="NXQ931" s="18"/>
      <c r="NXR931" s="18"/>
      <c r="NXS931" s="18"/>
      <c r="NXT931" s="18"/>
      <c r="NXU931" s="18"/>
      <c r="NXV931" s="18"/>
      <c r="NXW931" s="18"/>
      <c r="NXX931" s="18"/>
      <c r="NXY931" s="18"/>
      <c r="NXZ931" s="18"/>
      <c r="NYA931" s="18"/>
      <c r="NYB931" s="18"/>
      <c r="NYC931" s="18"/>
      <c r="NYD931" s="18"/>
      <c r="NYE931" s="18"/>
      <c r="NYF931" s="18"/>
      <c r="NYG931" s="18"/>
      <c r="NYH931" s="18"/>
      <c r="NYI931" s="18"/>
      <c r="NYJ931" s="18"/>
      <c r="NYK931" s="18"/>
      <c r="NYL931" s="18"/>
      <c r="NYM931" s="18"/>
      <c r="NYN931" s="18"/>
      <c r="NYO931" s="18"/>
      <c r="NYP931" s="18"/>
      <c r="NYQ931" s="18"/>
      <c r="NYR931" s="18"/>
      <c r="NYS931" s="18"/>
      <c r="NYT931" s="18"/>
      <c r="NYU931" s="18"/>
      <c r="NYV931" s="18"/>
      <c r="NYW931" s="18"/>
      <c r="NYX931" s="18"/>
      <c r="NYY931" s="18"/>
      <c r="NYZ931" s="18"/>
      <c r="NZA931" s="18"/>
      <c r="NZB931" s="18"/>
      <c r="NZC931" s="18"/>
      <c r="NZD931" s="18"/>
      <c r="NZE931" s="18"/>
      <c r="NZF931" s="18"/>
      <c r="NZG931" s="18"/>
      <c r="NZH931" s="18"/>
      <c r="NZI931" s="18"/>
      <c r="NZJ931" s="18"/>
      <c r="NZK931" s="18"/>
      <c r="NZL931" s="18"/>
      <c r="NZM931" s="18"/>
      <c r="NZN931" s="18"/>
      <c r="NZO931" s="18"/>
      <c r="NZP931" s="18"/>
      <c r="NZQ931" s="18"/>
      <c r="NZR931" s="18"/>
      <c r="NZS931" s="18"/>
      <c r="NZT931" s="18"/>
      <c r="NZU931" s="18"/>
      <c r="NZV931" s="18"/>
      <c r="NZW931" s="18"/>
      <c r="NZX931" s="18"/>
      <c r="NZY931" s="18"/>
      <c r="NZZ931" s="18"/>
      <c r="OAA931" s="18"/>
      <c r="OAB931" s="18"/>
      <c r="OAC931" s="18"/>
      <c r="OAD931" s="18"/>
      <c r="OAE931" s="18"/>
      <c r="OAF931" s="18"/>
      <c r="OAG931" s="18"/>
      <c r="OAH931" s="18"/>
      <c r="OAI931" s="18"/>
      <c r="OAJ931" s="18"/>
      <c r="OAK931" s="18"/>
      <c r="OAL931" s="18"/>
      <c r="OAM931" s="18"/>
      <c r="OAN931" s="18"/>
      <c r="OAO931" s="18"/>
      <c r="OAP931" s="18"/>
      <c r="OAQ931" s="18"/>
      <c r="OAR931" s="18"/>
      <c r="OAS931" s="18"/>
      <c r="OAT931" s="18"/>
      <c r="OAU931" s="18"/>
      <c r="OAV931" s="18"/>
      <c r="OAW931" s="18"/>
      <c r="OAX931" s="18"/>
      <c r="OAY931" s="18"/>
      <c r="OAZ931" s="18"/>
      <c r="OBA931" s="18"/>
      <c r="OBB931" s="18"/>
      <c r="OBC931" s="18"/>
      <c r="OBD931" s="18"/>
      <c r="OBE931" s="18"/>
      <c r="OBF931" s="18"/>
      <c r="OBG931" s="18"/>
      <c r="OBH931" s="18"/>
      <c r="OBI931" s="18"/>
      <c r="OBJ931" s="18"/>
      <c r="OBK931" s="18"/>
      <c r="OBL931" s="18"/>
      <c r="OBM931" s="18"/>
      <c r="OBN931" s="18"/>
      <c r="OBO931" s="18"/>
      <c r="OBP931" s="18"/>
      <c r="OBQ931" s="18"/>
      <c r="OBR931" s="18"/>
      <c r="OBS931" s="18"/>
      <c r="OBT931" s="18"/>
      <c r="OBU931" s="18"/>
      <c r="OBV931" s="18"/>
      <c r="OBW931" s="18"/>
      <c r="OBX931" s="18"/>
      <c r="OBY931" s="18"/>
      <c r="OBZ931" s="18"/>
      <c r="OCA931" s="18"/>
      <c r="OCB931" s="18"/>
      <c r="OCC931" s="18"/>
      <c r="OCD931" s="18"/>
      <c r="OCE931" s="18"/>
      <c r="OCF931" s="18"/>
      <c r="OCG931" s="18"/>
      <c r="OCH931" s="18"/>
      <c r="OCI931" s="18"/>
      <c r="OCJ931" s="18"/>
      <c r="OCK931" s="18"/>
      <c r="OCL931" s="18"/>
      <c r="OCM931" s="18"/>
      <c r="OCN931" s="18"/>
      <c r="OCO931" s="18"/>
      <c r="OCP931" s="18"/>
      <c r="OCQ931" s="18"/>
      <c r="OCR931" s="18"/>
      <c r="OCS931" s="18"/>
      <c r="OCT931" s="18"/>
      <c r="OCU931" s="18"/>
      <c r="OCV931" s="18"/>
      <c r="OCW931" s="18"/>
      <c r="OCX931" s="18"/>
      <c r="OCY931" s="18"/>
      <c r="OCZ931" s="18"/>
      <c r="ODA931" s="18"/>
      <c r="ODB931" s="18"/>
      <c r="ODC931" s="18"/>
      <c r="ODD931" s="18"/>
      <c r="ODE931" s="18"/>
      <c r="ODF931" s="18"/>
      <c r="ODG931" s="18"/>
      <c r="ODH931" s="18"/>
      <c r="ODI931" s="18"/>
      <c r="ODJ931" s="18"/>
      <c r="ODK931" s="18"/>
      <c r="ODL931" s="18"/>
      <c r="ODM931" s="18"/>
      <c r="ODN931" s="18"/>
      <c r="ODO931" s="18"/>
      <c r="ODP931" s="18"/>
      <c r="ODQ931" s="18"/>
      <c r="ODR931" s="18"/>
      <c r="ODS931" s="18"/>
      <c r="ODT931" s="18"/>
      <c r="ODU931" s="18"/>
      <c r="ODV931" s="18"/>
      <c r="ODW931" s="18"/>
      <c r="ODX931" s="18"/>
      <c r="ODY931" s="18"/>
      <c r="ODZ931" s="18"/>
      <c r="OEA931" s="18"/>
      <c r="OEB931" s="18"/>
      <c r="OEC931" s="18"/>
      <c r="OED931" s="18"/>
      <c r="OEE931" s="18"/>
      <c r="OEF931" s="18"/>
      <c r="OEG931" s="18"/>
      <c r="OEH931" s="18"/>
      <c r="OEI931" s="18"/>
      <c r="OEJ931" s="18"/>
      <c r="OEK931" s="18"/>
      <c r="OEL931" s="18"/>
      <c r="OEM931" s="18"/>
      <c r="OEN931" s="18"/>
      <c r="OEO931" s="18"/>
      <c r="OEP931" s="18"/>
      <c r="OEQ931" s="18"/>
      <c r="OER931" s="18"/>
      <c r="OES931" s="18"/>
      <c r="OET931" s="18"/>
      <c r="OEU931" s="18"/>
      <c r="OEV931" s="18"/>
      <c r="OEW931" s="18"/>
      <c r="OEX931" s="18"/>
      <c r="OEY931" s="18"/>
      <c r="OEZ931" s="18"/>
      <c r="OFA931" s="18"/>
      <c r="OFB931" s="18"/>
      <c r="OFC931" s="18"/>
      <c r="OFD931" s="18"/>
      <c r="OFE931" s="18"/>
      <c r="OFF931" s="18"/>
      <c r="OFG931" s="18"/>
      <c r="OFH931" s="18"/>
      <c r="OFI931" s="18"/>
      <c r="OFJ931" s="18"/>
      <c r="OFK931" s="18"/>
      <c r="OFL931" s="18"/>
      <c r="OFM931" s="18"/>
      <c r="OFN931" s="18"/>
      <c r="OFO931" s="18"/>
      <c r="OFP931" s="18"/>
      <c r="OFQ931" s="18"/>
      <c r="OFR931" s="18"/>
      <c r="OFS931" s="18"/>
      <c r="OFT931" s="18"/>
      <c r="OFU931" s="18"/>
      <c r="OFV931" s="18"/>
      <c r="OFW931" s="18"/>
      <c r="OFX931" s="18"/>
      <c r="OFY931" s="18"/>
      <c r="OFZ931" s="18"/>
      <c r="OGA931" s="18"/>
      <c r="OGB931" s="18"/>
      <c r="OGC931" s="18"/>
      <c r="OGD931" s="18"/>
      <c r="OGE931" s="18"/>
      <c r="OGF931" s="18"/>
      <c r="OGG931" s="18"/>
      <c r="OGH931" s="18"/>
      <c r="OGI931" s="18"/>
      <c r="OGJ931" s="18"/>
      <c r="OGK931" s="18"/>
      <c r="OGL931" s="18"/>
      <c r="OGM931" s="18"/>
      <c r="OGN931" s="18"/>
      <c r="OGO931" s="18"/>
      <c r="OGP931" s="18"/>
      <c r="OGQ931" s="18"/>
      <c r="OGR931" s="18"/>
      <c r="OGS931" s="18"/>
      <c r="OGT931" s="18"/>
      <c r="OGU931" s="18"/>
      <c r="OGV931" s="18"/>
      <c r="OGW931" s="18"/>
      <c r="OGX931" s="18"/>
      <c r="OGY931" s="18"/>
      <c r="OGZ931" s="18"/>
      <c r="OHA931" s="18"/>
      <c r="OHB931" s="18"/>
      <c r="OHC931" s="18"/>
      <c r="OHD931" s="18"/>
      <c r="OHE931" s="18"/>
      <c r="OHF931" s="18"/>
      <c r="OHG931" s="18"/>
      <c r="OHH931" s="18"/>
      <c r="OHI931" s="18"/>
      <c r="OHJ931" s="18"/>
      <c r="OHK931" s="18"/>
      <c r="OHL931" s="18"/>
      <c r="OHM931" s="18"/>
      <c r="OHN931" s="18"/>
      <c r="OHO931" s="18"/>
      <c r="OHP931" s="18"/>
      <c r="OHQ931" s="18"/>
      <c r="OHR931" s="18"/>
      <c r="OHS931" s="18"/>
      <c r="OHT931" s="18"/>
      <c r="OHU931" s="18"/>
      <c r="OHV931" s="18"/>
      <c r="OHW931" s="18"/>
      <c r="OHX931" s="18"/>
      <c r="OHY931" s="18"/>
      <c r="OHZ931" s="18"/>
      <c r="OIA931" s="18"/>
      <c r="OIB931" s="18"/>
      <c r="OIC931" s="18"/>
      <c r="OID931" s="18"/>
      <c r="OIE931" s="18"/>
      <c r="OIF931" s="18"/>
      <c r="OIG931" s="18"/>
      <c r="OIH931" s="18"/>
      <c r="OII931" s="18"/>
      <c r="OIJ931" s="18"/>
      <c r="OIK931" s="18"/>
      <c r="OIL931" s="18"/>
      <c r="OIM931" s="18"/>
      <c r="OIN931" s="18"/>
      <c r="OIO931" s="18"/>
      <c r="OIP931" s="18"/>
      <c r="OIQ931" s="18"/>
      <c r="OIR931" s="18"/>
      <c r="OIS931" s="18"/>
      <c r="OIT931" s="18"/>
      <c r="OIU931" s="18"/>
      <c r="OIV931" s="18"/>
      <c r="OIW931" s="18"/>
      <c r="OIX931" s="18"/>
      <c r="OIY931" s="18"/>
      <c r="OIZ931" s="18"/>
      <c r="OJA931" s="18"/>
      <c r="OJB931" s="18"/>
      <c r="OJC931" s="18"/>
      <c r="OJD931" s="18"/>
      <c r="OJE931" s="18"/>
      <c r="OJF931" s="18"/>
      <c r="OJG931" s="18"/>
      <c r="OJH931" s="18"/>
      <c r="OJI931" s="18"/>
      <c r="OJJ931" s="18"/>
      <c r="OJK931" s="18"/>
      <c r="OJL931" s="18"/>
      <c r="OJM931" s="18"/>
      <c r="OJN931" s="18"/>
      <c r="OJO931" s="18"/>
      <c r="OJP931" s="18"/>
      <c r="OJQ931" s="18"/>
      <c r="OJR931" s="18"/>
      <c r="OJS931" s="18"/>
      <c r="OJT931" s="18"/>
      <c r="OJU931" s="18"/>
      <c r="OJV931" s="18"/>
      <c r="OJW931" s="18"/>
      <c r="OJX931" s="18"/>
      <c r="OJY931" s="18"/>
      <c r="OJZ931" s="18"/>
      <c r="OKA931" s="18"/>
      <c r="OKB931" s="18"/>
      <c r="OKC931" s="18"/>
      <c r="OKD931" s="18"/>
      <c r="OKE931" s="18"/>
      <c r="OKF931" s="18"/>
      <c r="OKG931" s="18"/>
      <c r="OKH931" s="18"/>
      <c r="OKI931" s="18"/>
      <c r="OKJ931" s="18"/>
      <c r="OKK931" s="18"/>
      <c r="OKL931" s="18"/>
      <c r="OKM931" s="18"/>
      <c r="OKN931" s="18"/>
      <c r="OKO931" s="18"/>
      <c r="OKP931" s="18"/>
      <c r="OKQ931" s="18"/>
      <c r="OKR931" s="18"/>
      <c r="OKS931" s="18"/>
      <c r="OKT931" s="18"/>
      <c r="OKU931" s="18"/>
      <c r="OKV931" s="18"/>
      <c r="OKW931" s="18"/>
      <c r="OKX931" s="18"/>
      <c r="OKY931" s="18"/>
      <c r="OKZ931" s="18"/>
      <c r="OLA931" s="18"/>
      <c r="OLB931" s="18"/>
      <c r="OLC931" s="18"/>
      <c r="OLD931" s="18"/>
      <c r="OLE931" s="18"/>
      <c r="OLF931" s="18"/>
      <c r="OLG931" s="18"/>
      <c r="OLH931" s="18"/>
      <c r="OLI931" s="18"/>
      <c r="OLJ931" s="18"/>
      <c r="OLK931" s="18"/>
      <c r="OLL931" s="18"/>
      <c r="OLM931" s="18"/>
      <c r="OLN931" s="18"/>
      <c r="OLO931" s="18"/>
      <c r="OLP931" s="18"/>
      <c r="OLQ931" s="18"/>
      <c r="OLR931" s="18"/>
      <c r="OLS931" s="18"/>
      <c r="OLT931" s="18"/>
      <c r="OLU931" s="18"/>
      <c r="OLV931" s="18"/>
      <c r="OLW931" s="18"/>
      <c r="OLX931" s="18"/>
      <c r="OLY931" s="18"/>
      <c r="OLZ931" s="18"/>
      <c r="OMA931" s="18"/>
      <c r="OMB931" s="18"/>
      <c r="OMC931" s="18"/>
      <c r="OMD931" s="18"/>
      <c r="OME931" s="18"/>
      <c r="OMF931" s="18"/>
      <c r="OMG931" s="18"/>
      <c r="OMH931" s="18"/>
      <c r="OMI931" s="18"/>
      <c r="OMJ931" s="18"/>
      <c r="OMK931" s="18"/>
      <c r="OML931" s="18"/>
      <c r="OMM931" s="18"/>
      <c r="OMN931" s="18"/>
      <c r="OMO931" s="18"/>
      <c r="OMP931" s="18"/>
      <c r="OMQ931" s="18"/>
      <c r="OMR931" s="18"/>
      <c r="OMS931" s="18"/>
      <c r="OMT931" s="18"/>
      <c r="OMU931" s="18"/>
      <c r="OMV931" s="18"/>
      <c r="OMW931" s="18"/>
      <c r="OMX931" s="18"/>
      <c r="OMY931" s="18"/>
      <c r="OMZ931" s="18"/>
      <c r="ONA931" s="18"/>
      <c r="ONB931" s="18"/>
      <c r="ONC931" s="18"/>
      <c r="OND931" s="18"/>
      <c r="ONE931" s="18"/>
      <c r="ONF931" s="18"/>
      <c r="ONG931" s="18"/>
      <c r="ONH931" s="18"/>
      <c r="ONI931" s="18"/>
      <c r="ONJ931" s="18"/>
      <c r="ONK931" s="18"/>
      <c r="ONL931" s="18"/>
      <c r="ONM931" s="18"/>
      <c r="ONN931" s="18"/>
      <c r="ONO931" s="18"/>
      <c r="ONP931" s="18"/>
      <c r="ONQ931" s="18"/>
      <c r="ONR931" s="18"/>
      <c r="ONS931" s="18"/>
      <c r="ONT931" s="18"/>
      <c r="ONU931" s="18"/>
      <c r="ONV931" s="18"/>
      <c r="ONW931" s="18"/>
      <c r="ONX931" s="18"/>
      <c r="ONY931" s="18"/>
      <c r="ONZ931" s="18"/>
      <c r="OOA931" s="18"/>
      <c r="OOB931" s="18"/>
      <c r="OOC931" s="18"/>
      <c r="OOD931" s="18"/>
      <c r="OOE931" s="18"/>
      <c r="OOF931" s="18"/>
      <c r="OOG931" s="18"/>
      <c r="OOH931" s="18"/>
      <c r="OOI931" s="18"/>
      <c r="OOJ931" s="18"/>
      <c r="OOK931" s="18"/>
      <c r="OOL931" s="18"/>
      <c r="OOM931" s="18"/>
      <c r="OON931" s="18"/>
      <c r="OOO931" s="18"/>
      <c r="OOP931" s="18"/>
      <c r="OOQ931" s="18"/>
      <c r="OOR931" s="18"/>
      <c r="OOS931" s="18"/>
      <c r="OOT931" s="18"/>
      <c r="OOU931" s="18"/>
      <c r="OOV931" s="18"/>
      <c r="OOW931" s="18"/>
      <c r="OOX931" s="18"/>
      <c r="OOY931" s="18"/>
      <c r="OOZ931" s="18"/>
      <c r="OPA931" s="18"/>
      <c r="OPB931" s="18"/>
      <c r="OPC931" s="18"/>
      <c r="OPD931" s="18"/>
      <c r="OPE931" s="18"/>
      <c r="OPF931" s="18"/>
      <c r="OPG931" s="18"/>
      <c r="OPH931" s="18"/>
      <c r="OPI931" s="18"/>
      <c r="OPJ931" s="18"/>
      <c r="OPK931" s="18"/>
      <c r="OPL931" s="18"/>
      <c r="OPM931" s="18"/>
      <c r="OPN931" s="18"/>
      <c r="OPO931" s="18"/>
      <c r="OPP931" s="18"/>
      <c r="OPQ931" s="18"/>
      <c r="OPR931" s="18"/>
      <c r="OPS931" s="18"/>
      <c r="OPT931" s="18"/>
      <c r="OPU931" s="18"/>
      <c r="OPV931" s="18"/>
      <c r="OPW931" s="18"/>
      <c r="OPX931" s="18"/>
      <c r="OPY931" s="18"/>
      <c r="OPZ931" s="18"/>
      <c r="OQA931" s="18"/>
      <c r="OQB931" s="18"/>
      <c r="OQC931" s="18"/>
      <c r="OQD931" s="18"/>
      <c r="OQE931" s="18"/>
      <c r="OQF931" s="18"/>
      <c r="OQG931" s="18"/>
      <c r="OQH931" s="18"/>
      <c r="OQI931" s="18"/>
      <c r="OQJ931" s="18"/>
      <c r="OQK931" s="18"/>
      <c r="OQL931" s="18"/>
      <c r="OQM931" s="18"/>
      <c r="OQN931" s="18"/>
      <c r="OQO931" s="18"/>
      <c r="OQP931" s="18"/>
      <c r="OQQ931" s="18"/>
      <c r="OQR931" s="18"/>
      <c r="OQS931" s="18"/>
      <c r="OQT931" s="18"/>
      <c r="OQU931" s="18"/>
      <c r="OQV931" s="18"/>
      <c r="OQW931" s="18"/>
      <c r="OQX931" s="18"/>
      <c r="OQY931" s="18"/>
      <c r="OQZ931" s="18"/>
      <c r="ORA931" s="18"/>
      <c r="ORB931" s="18"/>
      <c r="ORC931" s="18"/>
      <c r="ORD931" s="18"/>
      <c r="ORE931" s="18"/>
      <c r="ORF931" s="18"/>
      <c r="ORG931" s="18"/>
      <c r="ORH931" s="18"/>
      <c r="ORI931" s="18"/>
      <c r="ORJ931" s="18"/>
      <c r="ORK931" s="18"/>
      <c r="ORL931" s="18"/>
      <c r="ORM931" s="18"/>
      <c r="ORN931" s="18"/>
      <c r="ORO931" s="18"/>
      <c r="ORP931" s="18"/>
      <c r="ORQ931" s="18"/>
      <c r="ORR931" s="18"/>
      <c r="ORS931" s="18"/>
      <c r="ORT931" s="18"/>
      <c r="ORU931" s="18"/>
      <c r="ORV931" s="18"/>
      <c r="ORW931" s="18"/>
      <c r="ORX931" s="18"/>
      <c r="ORY931" s="18"/>
      <c r="ORZ931" s="18"/>
      <c r="OSA931" s="18"/>
      <c r="OSB931" s="18"/>
      <c r="OSC931" s="18"/>
      <c r="OSD931" s="18"/>
      <c r="OSE931" s="18"/>
      <c r="OSF931" s="18"/>
      <c r="OSG931" s="18"/>
      <c r="OSH931" s="18"/>
      <c r="OSI931" s="18"/>
      <c r="OSJ931" s="18"/>
      <c r="OSK931" s="18"/>
      <c r="OSL931" s="18"/>
      <c r="OSM931" s="18"/>
      <c r="OSN931" s="18"/>
      <c r="OSO931" s="18"/>
      <c r="OSP931" s="18"/>
      <c r="OSQ931" s="18"/>
      <c r="OSR931" s="18"/>
      <c r="OSS931" s="18"/>
      <c r="OST931" s="18"/>
      <c r="OSU931" s="18"/>
      <c r="OSV931" s="18"/>
      <c r="OSW931" s="18"/>
      <c r="OSX931" s="18"/>
      <c r="OSY931" s="18"/>
      <c r="OSZ931" s="18"/>
      <c r="OTA931" s="18"/>
      <c r="OTB931" s="18"/>
      <c r="OTC931" s="18"/>
      <c r="OTD931" s="18"/>
      <c r="OTE931" s="18"/>
      <c r="OTF931" s="18"/>
      <c r="OTG931" s="18"/>
      <c r="OTH931" s="18"/>
      <c r="OTI931" s="18"/>
      <c r="OTJ931" s="18"/>
      <c r="OTK931" s="18"/>
      <c r="OTL931" s="18"/>
      <c r="OTM931" s="18"/>
      <c r="OTN931" s="18"/>
      <c r="OTO931" s="18"/>
      <c r="OTP931" s="18"/>
      <c r="OTQ931" s="18"/>
      <c r="OTR931" s="18"/>
      <c r="OTS931" s="18"/>
      <c r="OTT931" s="18"/>
      <c r="OTU931" s="18"/>
      <c r="OTV931" s="18"/>
      <c r="OTW931" s="18"/>
      <c r="OTX931" s="18"/>
      <c r="OTY931" s="18"/>
      <c r="OTZ931" s="18"/>
      <c r="OUA931" s="18"/>
      <c r="OUB931" s="18"/>
      <c r="OUC931" s="18"/>
      <c r="OUD931" s="18"/>
      <c r="OUE931" s="18"/>
      <c r="OUF931" s="18"/>
      <c r="OUG931" s="18"/>
      <c r="OUH931" s="18"/>
      <c r="OUI931" s="18"/>
      <c r="OUJ931" s="18"/>
      <c r="OUK931" s="18"/>
      <c r="OUL931" s="18"/>
      <c r="OUM931" s="18"/>
      <c r="OUN931" s="18"/>
      <c r="OUO931" s="18"/>
      <c r="OUP931" s="18"/>
      <c r="OUQ931" s="18"/>
      <c r="OUR931" s="18"/>
      <c r="OUS931" s="18"/>
      <c r="OUT931" s="18"/>
      <c r="OUU931" s="18"/>
      <c r="OUV931" s="18"/>
      <c r="OUW931" s="18"/>
      <c r="OUX931" s="18"/>
      <c r="OUY931" s="18"/>
      <c r="OUZ931" s="18"/>
      <c r="OVA931" s="18"/>
      <c r="OVB931" s="18"/>
      <c r="OVC931" s="18"/>
      <c r="OVD931" s="18"/>
      <c r="OVE931" s="18"/>
      <c r="OVF931" s="18"/>
      <c r="OVG931" s="18"/>
      <c r="OVH931" s="18"/>
      <c r="OVI931" s="18"/>
      <c r="OVJ931" s="18"/>
      <c r="OVK931" s="18"/>
      <c r="OVL931" s="18"/>
      <c r="OVM931" s="18"/>
      <c r="OVN931" s="18"/>
      <c r="OVO931" s="18"/>
      <c r="OVP931" s="18"/>
      <c r="OVQ931" s="18"/>
      <c r="OVR931" s="18"/>
      <c r="OVS931" s="18"/>
      <c r="OVT931" s="18"/>
      <c r="OVU931" s="18"/>
      <c r="OVV931" s="18"/>
      <c r="OVW931" s="18"/>
      <c r="OVX931" s="18"/>
      <c r="OVY931" s="18"/>
      <c r="OVZ931" s="18"/>
      <c r="OWA931" s="18"/>
      <c r="OWB931" s="18"/>
      <c r="OWC931" s="18"/>
      <c r="OWD931" s="18"/>
      <c r="OWE931" s="18"/>
      <c r="OWF931" s="18"/>
      <c r="OWG931" s="18"/>
      <c r="OWH931" s="18"/>
      <c r="OWI931" s="18"/>
      <c r="OWJ931" s="18"/>
      <c r="OWK931" s="18"/>
      <c r="OWL931" s="18"/>
      <c r="OWM931" s="18"/>
      <c r="OWN931" s="18"/>
      <c r="OWO931" s="18"/>
      <c r="OWP931" s="18"/>
      <c r="OWQ931" s="18"/>
      <c r="OWR931" s="18"/>
      <c r="OWS931" s="18"/>
      <c r="OWT931" s="18"/>
      <c r="OWU931" s="18"/>
      <c r="OWV931" s="18"/>
      <c r="OWW931" s="18"/>
      <c r="OWX931" s="18"/>
      <c r="OWY931" s="18"/>
      <c r="OWZ931" s="18"/>
      <c r="OXA931" s="18"/>
      <c r="OXB931" s="18"/>
      <c r="OXC931" s="18"/>
      <c r="OXD931" s="18"/>
      <c r="OXE931" s="18"/>
      <c r="OXF931" s="18"/>
      <c r="OXG931" s="18"/>
      <c r="OXH931" s="18"/>
      <c r="OXI931" s="18"/>
      <c r="OXJ931" s="18"/>
      <c r="OXK931" s="18"/>
      <c r="OXL931" s="18"/>
      <c r="OXM931" s="18"/>
      <c r="OXN931" s="18"/>
      <c r="OXO931" s="18"/>
      <c r="OXP931" s="18"/>
      <c r="OXQ931" s="18"/>
      <c r="OXR931" s="18"/>
      <c r="OXS931" s="18"/>
      <c r="OXT931" s="18"/>
      <c r="OXU931" s="18"/>
      <c r="OXV931" s="18"/>
      <c r="OXW931" s="18"/>
      <c r="OXX931" s="18"/>
      <c r="OXY931" s="18"/>
      <c r="OXZ931" s="18"/>
      <c r="OYA931" s="18"/>
      <c r="OYB931" s="18"/>
      <c r="OYC931" s="18"/>
      <c r="OYD931" s="18"/>
      <c r="OYE931" s="18"/>
      <c r="OYF931" s="18"/>
      <c r="OYG931" s="18"/>
      <c r="OYH931" s="18"/>
      <c r="OYI931" s="18"/>
      <c r="OYJ931" s="18"/>
      <c r="OYK931" s="18"/>
      <c r="OYL931" s="18"/>
      <c r="OYM931" s="18"/>
      <c r="OYN931" s="18"/>
      <c r="OYO931" s="18"/>
      <c r="OYP931" s="18"/>
      <c r="OYQ931" s="18"/>
      <c r="OYR931" s="18"/>
      <c r="OYS931" s="18"/>
      <c r="OYT931" s="18"/>
      <c r="OYU931" s="18"/>
      <c r="OYV931" s="18"/>
      <c r="OYW931" s="18"/>
      <c r="OYX931" s="18"/>
      <c r="OYY931" s="18"/>
      <c r="OYZ931" s="18"/>
      <c r="OZA931" s="18"/>
      <c r="OZB931" s="18"/>
      <c r="OZC931" s="18"/>
      <c r="OZD931" s="18"/>
      <c r="OZE931" s="18"/>
      <c r="OZF931" s="18"/>
      <c r="OZG931" s="18"/>
      <c r="OZH931" s="18"/>
      <c r="OZI931" s="18"/>
      <c r="OZJ931" s="18"/>
      <c r="OZK931" s="18"/>
      <c r="OZL931" s="18"/>
      <c r="OZM931" s="18"/>
      <c r="OZN931" s="18"/>
      <c r="OZO931" s="18"/>
      <c r="OZP931" s="18"/>
      <c r="OZQ931" s="18"/>
      <c r="OZR931" s="18"/>
      <c r="OZS931" s="18"/>
      <c r="OZT931" s="18"/>
      <c r="OZU931" s="18"/>
      <c r="OZV931" s="18"/>
      <c r="OZW931" s="18"/>
      <c r="OZX931" s="18"/>
      <c r="OZY931" s="18"/>
      <c r="OZZ931" s="18"/>
      <c r="PAA931" s="18"/>
      <c r="PAB931" s="18"/>
      <c r="PAC931" s="18"/>
      <c r="PAD931" s="18"/>
      <c r="PAE931" s="18"/>
      <c r="PAF931" s="18"/>
      <c r="PAG931" s="18"/>
      <c r="PAH931" s="18"/>
      <c r="PAI931" s="18"/>
      <c r="PAJ931" s="18"/>
      <c r="PAK931" s="18"/>
      <c r="PAL931" s="18"/>
      <c r="PAM931" s="18"/>
      <c r="PAN931" s="18"/>
      <c r="PAO931" s="18"/>
      <c r="PAP931" s="18"/>
      <c r="PAQ931" s="18"/>
      <c r="PAR931" s="18"/>
      <c r="PAS931" s="18"/>
      <c r="PAT931" s="18"/>
      <c r="PAU931" s="18"/>
      <c r="PAV931" s="18"/>
      <c r="PAW931" s="18"/>
      <c r="PAX931" s="18"/>
      <c r="PAY931" s="18"/>
      <c r="PAZ931" s="18"/>
      <c r="PBA931" s="18"/>
      <c r="PBB931" s="18"/>
      <c r="PBC931" s="18"/>
      <c r="PBD931" s="18"/>
      <c r="PBE931" s="18"/>
      <c r="PBF931" s="18"/>
      <c r="PBG931" s="18"/>
      <c r="PBH931" s="18"/>
      <c r="PBI931" s="18"/>
      <c r="PBJ931" s="18"/>
      <c r="PBK931" s="18"/>
      <c r="PBL931" s="18"/>
      <c r="PBM931" s="18"/>
      <c r="PBN931" s="18"/>
      <c r="PBO931" s="18"/>
      <c r="PBP931" s="18"/>
      <c r="PBQ931" s="18"/>
      <c r="PBR931" s="18"/>
      <c r="PBS931" s="18"/>
      <c r="PBT931" s="18"/>
      <c r="PBU931" s="18"/>
      <c r="PBV931" s="18"/>
      <c r="PBW931" s="18"/>
      <c r="PBX931" s="18"/>
      <c r="PBY931" s="18"/>
      <c r="PBZ931" s="18"/>
      <c r="PCA931" s="18"/>
      <c r="PCB931" s="18"/>
      <c r="PCC931" s="18"/>
      <c r="PCD931" s="18"/>
      <c r="PCE931" s="18"/>
      <c r="PCF931" s="18"/>
      <c r="PCG931" s="18"/>
      <c r="PCH931" s="18"/>
      <c r="PCI931" s="18"/>
      <c r="PCJ931" s="18"/>
      <c r="PCK931" s="18"/>
      <c r="PCL931" s="18"/>
      <c r="PCM931" s="18"/>
      <c r="PCN931" s="18"/>
      <c r="PCO931" s="18"/>
      <c r="PCP931" s="18"/>
      <c r="PCQ931" s="18"/>
      <c r="PCR931" s="18"/>
      <c r="PCS931" s="18"/>
      <c r="PCT931" s="18"/>
      <c r="PCU931" s="18"/>
      <c r="PCV931" s="18"/>
      <c r="PCW931" s="18"/>
      <c r="PCX931" s="18"/>
      <c r="PCY931" s="18"/>
      <c r="PCZ931" s="18"/>
      <c r="PDA931" s="18"/>
      <c r="PDB931" s="18"/>
      <c r="PDC931" s="18"/>
      <c r="PDD931" s="18"/>
      <c r="PDE931" s="18"/>
      <c r="PDF931" s="18"/>
      <c r="PDG931" s="18"/>
      <c r="PDH931" s="18"/>
      <c r="PDI931" s="18"/>
      <c r="PDJ931" s="18"/>
      <c r="PDK931" s="18"/>
      <c r="PDL931" s="18"/>
      <c r="PDM931" s="18"/>
      <c r="PDN931" s="18"/>
      <c r="PDO931" s="18"/>
      <c r="PDP931" s="18"/>
      <c r="PDQ931" s="18"/>
      <c r="PDR931" s="18"/>
      <c r="PDS931" s="18"/>
      <c r="PDT931" s="18"/>
      <c r="PDU931" s="18"/>
      <c r="PDV931" s="18"/>
      <c r="PDW931" s="18"/>
      <c r="PDX931" s="18"/>
      <c r="PDY931" s="18"/>
      <c r="PDZ931" s="18"/>
      <c r="PEA931" s="18"/>
      <c r="PEB931" s="18"/>
      <c r="PEC931" s="18"/>
      <c r="PED931" s="18"/>
      <c r="PEE931" s="18"/>
      <c r="PEF931" s="18"/>
      <c r="PEG931" s="18"/>
      <c r="PEH931" s="18"/>
      <c r="PEI931" s="18"/>
      <c r="PEJ931" s="18"/>
      <c r="PEK931" s="18"/>
      <c r="PEL931" s="18"/>
      <c r="PEM931" s="18"/>
      <c r="PEN931" s="18"/>
      <c r="PEO931" s="18"/>
      <c r="PEP931" s="18"/>
      <c r="PEQ931" s="18"/>
      <c r="PER931" s="18"/>
      <c r="PES931" s="18"/>
      <c r="PET931" s="18"/>
      <c r="PEU931" s="18"/>
      <c r="PEV931" s="18"/>
      <c r="PEW931" s="18"/>
      <c r="PEX931" s="18"/>
      <c r="PEY931" s="18"/>
      <c r="PEZ931" s="18"/>
      <c r="PFA931" s="18"/>
      <c r="PFB931" s="18"/>
      <c r="PFC931" s="18"/>
      <c r="PFD931" s="18"/>
      <c r="PFE931" s="18"/>
      <c r="PFF931" s="18"/>
      <c r="PFG931" s="18"/>
      <c r="PFH931" s="18"/>
      <c r="PFI931" s="18"/>
      <c r="PFJ931" s="18"/>
      <c r="PFK931" s="18"/>
      <c r="PFL931" s="18"/>
      <c r="PFM931" s="18"/>
      <c r="PFN931" s="18"/>
      <c r="PFO931" s="18"/>
      <c r="PFP931" s="18"/>
      <c r="PFQ931" s="18"/>
      <c r="PFR931" s="18"/>
      <c r="PFS931" s="18"/>
      <c r="PFT931" s="18"/>
      <c r="PFU931" s="18"/>
      <c r="PFV931" s="18"/>
      <c r="PFW931" s="18"/>
      <c r="PFX931" s="18"/>
      <c r="PFY931" s="18"/>
      <c r="PFZ931" s="18"/>
      <c r="PGA931" s="18"/>
      <c r="PGB931" s="18"/>
      <c r="PGC931" s="18"/>
      <c r="PGD931" s="18"/>
      <c r="PGE931" s="18"/>
      <c r="PGF931" s="18"/>
      <c r="PGG931" s="18"/>
      <c r="PGH931" s="18"/>
      <c r="PGI931" s="18"/>
      <c r="PGJ931" s="18"/>
      <c r="PGK931" s="18"/>
      <c r="PGL931" s="18"/>
      <c r="PGM931" s="18"/>
      <c r="PGN931" s="18"/>
      <c r="PGO931" s="18"/>
      <c r="PGP931" s="18"/>
      <c r="PGQ931" s="18"/>
      <c r="PGR931" s="18"/>
      <c r="PGS931" s="18"/>
      <c r="PGT931" s="18"/>
      <c r="PGU931" s="18"/>
      <c r="PGV931" s="18"/>
      <c r="PGW931" s="18"/>
      <c r="PGX931" s="18"/>
      <c r="PGY931" s="18"/>
      <c r="PGZ931" s="18"/>
      <c r="PHA931" s="18"/>
      <c r="PHB931" s="18"/>
      <c r="PHC931" s="18"/>
      <c r="PHD931" s="18"/>
      <c r="PHE931" s="18"/>
      <c r="PHF931" s="18"/>
      <c r="PHG931" s="18"/>
      <c r="PHH931" s="18"/>
      <c r="PHI931" s="18"/>
      <c r="PHJ931" s="18"/>
      <c r="PHK931" s="18"/>
      <c r="PHL931" s="18"/>
      <c r="PHM931" s="18"/>
      <c r="PHN931" s="18"/>
      <c r="PHO931" s="18"/>
      <c r="PHP931" s="18"/>
      <c r="PHQ931" s="18"/>
      <c r="PHR931" s="18"/>
      <c r="PHS931" s="18"/>
      <c r="PHT931" s="18"/>
      <c r="PHU931" s="18"/>
      <c r="PHV931" s="18"/>
      <c r="PHW931" s="18"/>
      <c r="PHX931" s="18"/>
      <c r="PHY931" s="18"/>
      <c r="PHZ931" s="18"/>
      <c r="PIA931" s="18"/>
      <c r="PIB931" s="18"/>
      <c r="PIC931" s="18"/>
      <c r="PID931" s="18"/>
      <c r="PIE931" s="18"/>
      <c r="PIF931" s="18"/>
      <c r="PIG931" s="18"/>
      <c r="PIH931" s="18"/>
      <c r="PII931" s="18"/>
      <c r="PIJ931" s="18"/>
      <c r="PIK931" s="18"/>
      <c r="PIL931" s="18"/>
      <c r="PIM931" s="18"/>
      <c r="PIN931" s="18"/>
      <c r="PIO931" s="18"/>
      <c r="PIP931" s="18"/>
      <c r="PIQ931" s="18"/>
      <c r="PIR931" s="18"/>
      <c r="PIS931" s="18"/>
      <c r="PIT931" s="18"/>
      <c r="PIU931" s="18"/>
      <c r="PIV931" s="18"/>
      <c r="PIW931" s="18"/>
      <c r="PIX931" s="18"/>
      <c r="PIY931" s="18"/>
      <c r="PIZ931" s="18"/>
      <c r="PJA931" s="18"/>
      <c r="PJB931" s="18"/>
      <c r="PJC931" s="18"/>
      <c r="PJD931" s="18"/>
      <c r="PJE931" s="18"/>
      <c r="PJF931" s="18"/>
      <c r="PJG931" s="18"/>
      <c r="PJH931" s="18"/>
      <c r="PJI931" s="18"/>
      <c r="PJJ931" s="18"/>
      <c r="PJK931" s="18"/>
      <c r="PJL931" s="18"/>
      <c r="PJM931" s="18"/>
      <c r="PJN931" s="18"/>
      <c r="PJO931" s="18"/>
      <c r="PJP931" s="18"/>
      <c r="PJQ931" s="18"/>
      <c r="PJR931" s="18"/>
      <c r="PJS931" s="18"/>
      <c r="PJT931" s="18"/>
      <c r="PJU931" s="18"/>
      <c r="PJV931" s="18"/>
      <c r="PJW931" s="18"/>
      <c r="PJX931" s="18"/>
      <c r="PJY931" s="18"/>
      <c r="PJZ931" s="18"/>
      <c r="PKA931" s="18"/>
      <c r="PKB931" s="18"/>
      <c r="PKC931" s="18"/>
      <c r="PKD931" s="18"/>
      <c r="PKE931" s="18"/>
      <c r="PKF931" s="18"/>
      <c r="PKG931" s="18"/>
      <c r="PKH931" s="18"/>
      <c r="PKI931" s="18"/>
      <c r="PKJ931" s="18"/>
      <c r="PKK931" s="18"/>
      <c r="PKL931" s="18"/>
      <c r="PKM931" s="18"/>
      <c r="PKN931" s="18"/>
      <c r="PKO931" s="18"/>
      <c r="PKP931" s="18"/>
      <c r="PKQ931" s="18"/>
      <c r="PKR931" s="18"/>
      <c r="PKS931" s="18"/>
      <c r="PKT931" s="18"/>
      <c r="PKU931" s="18"/>
      <c r="PKV931" s="18"/>
      <c r="PKW931" s="18"/>
      <c r="PKX931" s="18"/>
      <c r="PKY931" s="18"/>
      <c r="PKZ931" s="18"/>
      <c r="PLA931" s="18"/>
      <c r="PLB931" s="18"/>
      <c r="PLC931" s="18"/>
      <c r="PLD931" s="18"/>
      <c r="PLE931" s="18"/>
      <c r="PLF931" s="18"/>
      <c r="PLG931" s="18"/>
      <c r="PLH931" s="18"/>
      <c r="PLI931" s="18"/>
      <c r="PLJ931" s="18"/>
      <c r="PLK931" s="18"/>
      <c r="PLL931" s="18"/>
      <c r="PLM931" s="18"/>
      <c r="PLN931" s="18"/>
      <c r="PLO931" s="18"/>
      <c r="PLP931" s="18"/>
      <c r="PLQ931" s="18"/>
      <c r="PLR931" s="18"/>
      <c r="PLS931" s="18"/>
      <c r="PLT931" s="18"/>
      <c r="PLU931" s="18"/>
      <c r="PLV931" s="18"/>
      <c r="PLW931" s="18"/>
      <c r="PLX931" s="18"/>
      <c r="PLY931" s="18"/>
      <c r="PLZ931" s="18"/>
      <c r="PMA931" s="18"/>
      <c r="PMB931" s="18"/>
      <c r="PMC931" s="18"/>
      <c r="PMD931" s="18"/>
      <c r="PME931" s="18"/>
      <c r="PMF931" s="18"/>
      <c r="PMG931" s="18"/>
      <c r="PMH931" s="18"/>
      <c r="PMI931" s="18"/>
      <c r="PMJ931" s="18"/>
      <c r="PMK931" s="18"/>
      <c r="PML931" s="18"/>
      <c r="PMM931" s="18"/>
      <c r="PMN931" s="18"/>
      <c r="PMO931" s="18"/>
      <c r="PMP931" s="18"/>
      <c r="PMQ931" s="18"/>
      <c r="PMR931" s="18"/>
      <c r="PMS931" s="18"/>
      <c r="PMT931" s="18"/>
      <c r="PMU931" s="18"/>
      <c r="PMV931" s="18"/>
      <c r="PMW931" s="18"/>
      <c r="PMX931" s="18"/>
      <c r="PMY931" s="18"/>
      <c r="PMZ931" s="18"/>
      <c r="PNA931" s="18"/>
      <c r="PNB931" s="18"/>
      <c r="PNC931" s="18"/>
      <c r="PND931" s="18"/>
      <c r="PNE931" s="18"/>
      <c r="PNF931" s="18"/>
      <c r="PNG931" s="18"/>
      <c r="PNH931" s="18"/>
      <c r="PNI931" s="18"/>
      <c r="PNJ931" s="18"/>
      <c r="PNK931" s="18"/>
      <c r="PNL931" s="18"/>
      <c r="PNM931" s="18"/>
      <c r="PNN931" s="18"/>
      <c r="PNO931" s="18"/>
      <c r="PNP931" s="18"/>
      <c r="PNQ931" s="18"/>
      <c r="PNR931" s="18"/>
      <c r="PNS931" s="18"/>
      <c r="PNT931" s="18"/>
      <c r="PNU931" s="18"/>
      <c r="PNV931" s="18"/>
      <c r="PNW931" s="18"/>
      <c r="PNX931" s="18"/>
      <c r="PNY931" s="18"/>
      <c r="PNZ931" s="18"/>
      <c r="POA931" s="18"/>
      <c r="POB931" s="18"/>
      <c r="POC931" s="18"/>
      <c r="POD931" s="18"/>
      <c r="POE931" s="18"/>
      <c r="POF931" s="18"/>
      <c r="POG931" s="18"/>
      <c r="POH931" s="18"/>
      <c r="POI931" s="18"/>
      <c r="POJ931" s="18"/>
      <c r="POK931" s="18"/>
      <c r="POL931" s="18"/>
      <c r="POM931" s="18"/>
      <c r="PON931" s="18"/>
      <c r="POO931" s="18"/>
      <c r="POP931" s="18"/>
      <c r="POQ931" s="18"/>
      <c r="POR931" s="18"/>
      <c r="POS931" s="18"/>
      <c r="POT931" s="18"/>
      <c r="POU931" s="18"/>
      <c r="POV931" s="18"/>
      <c r="POW931" s="18"/>
      <c r="POX931" s="18"/>
      <c r="POY931" s="18"/>
      <c r="POZ931" s="18"/>
      <c r="PPA931" s="18"/>
      <c r="PPB931" s="18"/>
      <c r="PPC931" s="18"/>
      <c r="PPD931" s="18"/>
      <c r="PPE931" s="18"/>
      <c r="PPF931" s="18"/>
      <c r="PPG931" s="18"/>
      <c r="PPH931" s="18"/>
      <c r="PPI931" s="18"/>
      <c r="PPJ931" s="18"/>
      <c r="PPK931" s="18"/>
      <c r="PPL931" s="18"/>
      <c r="PPM931" s="18"/>
      <c r="PPN931" s="18"/>
      <c r="PPO931" s="18"/>
      <c r="PPP931" s="18"/>
      <c r="PPQ931" s="18"/>
      <c r="PPR931" s="18"/>
      <c r="PPS931" s="18"/>
      <c r="PPT931" s="18"/>
      <c r="PPU931" s="18"/>
      <c r="PPV931" s="18"/>
      <c r="PPW931" s="18"/>
      <c r="PPX931" s="18"/>
      <c r="PPY931" s="18"/>
      <c r="PPZ931" s="18"/>
      <c r="PQA931" s="18"/>
      <c r="PQB931" s="18"/>
      <c r="PQC931" s="18"/>
      <c r="PQD931" s="18"/>
      <c r="PQE931" s="18"/>
      <c r="PQF931" s="18"/>
      <c r="PQG931" s="18"/>
      <c r="PQH931" s="18"/>
      <c r="PQI931" s="18"/>
      <c r="PQJ931" s="18"/>
      <c r="PQK931" s="18"/>
      <c r="PQL931" s="18"/>
      <c r="PQM931" s="18"/>
      <c r="PQN931" s="18"/>
      <c r="PQO931" s="18"/>
      <c r="PQP931" s="18"/>
      <c r="PQQ931" s="18"/>
      <c r="PQR931" s="18"/>
      <c r="PQS931" s="18"/>
      <c r="PQT931" s="18"/>
      <c r="PQU931" s="18"/>
      <c r="PQV931" s="18"/>
      <c r="PQW931" s="18"/>
      <c r="PQX931" s="18"/>
      <c r="PQY931" s="18"/>
      <c r="PQZ931" s="18"/>
      <c r="PRA931" s="18"/>
      <c r="PRB931" s="18"/>
      <c r="PRC931" s="18"/>
      <c r="PRD931" s="18"/>
      <c r="PRE931" s="18"/>
      <c r="PRF931" s="18"/>
      <c r="PRG931" s="18"/>
      <c r="PRH931" s="18"/>
      <c r="PRI931" s="18"/>
      <c r="PRJ931" s="18"/>
      <c r="PRK931" s="18"/>
      <c r="PRL931" s="18"/>
      <c r="PRM931" s="18"/>
      <c r="PRN931" s="18"/>
      <c r="PRO931" s="18"/>
      <c r="PRP931" s="18"/>
      <c r="PRQ931" s="18"/>
      <c r="PRR931" s="18"/>
      <c r="PRS931" s="18"/>
      <c r="PRT931" s="18"/>
      <c r="PRU931" s="18"/>
      <c r="PRV931" s="18"/>
      <c r="PRW931" s="18"/>
      <c r="PRX931" s="18"/>
      <c r="PRY931" s="18"/>
      <c r="PRZ931" s="18"/>
      <c r="PSA931" s="18"/>
      <c r="PSB931" s="18"/>
      <c r="PSC931" s="18"/>
      <c r="PSD931" s="18"/>
      <c r="PSE931" s="18"/>
      <c r="PSF931" s="18"/>
      <c r="PSG931" s="18"/>
      <c r="PSH931" s="18"/>
      <c r="PSI931" s="18"/>
      <c r="PSJ931" s="18"/>
      <c r="PSK931" s="18"/>
      <c r="PSL931" s="18"/>
      <c r="PSM931" s="18"/>
      <c r="PSN931" s="18"/>
      <c r="PSO931" s="18"/>
      <c r="PSP931" s="18"/>
      <c r="PSQ931" s="18"/>
      <c r="PSR931" s="18"/>
      <c r="PSS931" s="18"/>
      <c r="PST931" s="18"/>
      <c r="PSU931" s="18"/>
      <c r="PSV931" s="18"/>
      <c r="PSW931" s="18"/>
      <c r="PSX931" s="18"/>
      <c r="PSY931" s="18"/>
      <c r="PSZ931" s="18"/>
      <c r="PTA931" s="18"/>
      <c r="PTB931" s="18"/>
      <c r="PTC931" s="18"/>
      <c r="PTD931" s="18"/>
      <c r="PTE931" s="18"/>
      <c r="PTF931" s="18"/>
      <c r="PTG931" s="18"/>
      <c r="PTH931" s="18"/>
      <c r="PTI931" s="18"/>
      <c r="PTJ931" s="18"/>
      <c r="PTK931" s="18"/>
      <c r="PTL931" s="18"/>
      <c r="PTM931" s="18"/>
      <c r="PTN931" s="18"/>
      <c r="PTO931" s="18"/>
      <c r="PTP931" s="18"/>
      <c r="PTQ931" s="18"/>
      <c r="PTR931" s="18"/>
      <c r="PTS931" s="18"/>
      <c r="PTT931" s="18"/>
      <c r="PTU931" s="18"/>
      <c r="PTV931" s="18"/>
      <c r="PTW931" s="18"/>
      <c r="PTX931" s="18"/>
      <c r="PTY931" s="18"/>
      <c r="PTZ931" s="18"/>
      <c r="PUA931" s="18"/>
      <c r="PUB931" s="18"/>
      <c r="PUC931" s="18"/>
      <c r="PUD931" s="18"/>
      <c r="PUE931" s="18"/>
      <c r="PUF931" s="18"/>
      <c r="PUG931" s="18"/>
      <c r="PUH931" s="18"/>
      <c r="PUI931" s="18"/>
      <c r="PUJ931" s="18"/>
      <c r="PUK931" s="18"/>
      <c r="PUL931" s="18"/>
      <c r="PUM931" s="18"/>
      <c r="PUN931" s="18"/>
      <c r="PUO931" s="18"/>
      <c r="PUP931" s="18"/>
      <c r="PUQ931" s="18"/>
      <c r="PUR931" s="18"/>
      <c r="PUS931" s="18"/>
      <c r="PUT931" s="18"/>
      <c r="PUU931" s="18"/>
      <c r="PUV931" s="18"/>
      <c r="PUW931" s="18"/>
      <c r="PUX931" s="18"/>
      <c r="PUY931" s="18"/>
      <c r="PUZ931" s="18"/>
      <c r="PVA931" s="18"/>
      <c r="PVB931" s="18"/>
      <c r="PVC931" s="18"/>
      <c r="PVD931" s="18"/>
      <c r="PVE931" s="18"/>
      <c r="PVF931" s="18"/>
      <c r="PVG931" s="18"/>
      <c r="PVH931" s="18"/>
      <c r="PVI931" s="18"/>
      <c r="PVJ931" s="18"/>
      <c r="PVK931" s="18"/>
      <c r="PVL931" s="18"/>
      <c r="PVM931" s="18"/>
      <c r="PVN931" s="18"/>
      <c r="PVO931" s="18"/>
      <c r="PVP931" s="18"/>
      <c r="PVQ931" s="18"/>
      <c r="PVR931" s="18"/>
      <c r="PVS931" s="18"/>
      <c r="PVT931" s="18"/>
      <c r="PVU931" s="18"/>
      <c r="PVV931" s="18"/>
      <c r="PVW931" s="18"/>
      <c r="PVX931" s="18"/>
      <c r="PVY931" s="18"/>
      <c r="PVZ931" s="18"/>
      <c r="PWA931" s="18"/>
      <c r="PWB931" s="18"/>
      <c r="PWC931" s="18"/>
      <c r="PWD931" s="18"/>
      <c r="PWE931" s="18"/>
      <c r="PWF931" s="18"/>
      <c r="PWG931" s="18"/>
      <c r="PWH931" s="18"/>
      <c r="PWI931" s="18"/>
      <c r="PWJ931" s="18"/>
      <c r="PWK931" s="18"/>
      <c r="PWL931" s="18"/>
      <c r="PWM931" s="18"/>
      <c r="PWN931" s="18"/>
      <c r="PWO931" s="18"/>
      <c r="PWP931" s="18"/>
      <c r="PWQ931" s="18"/>
      <c r="PWR931" s="18"/>
      <c r="PWS931" s="18"/>
      <c r="PWT931" s="18"/>
      <c r="PWU931" s="18"/>
      <c r="PWV931" s="18"/>
      <c r="PWW931" s="18"/>
      <c r="PWX931" s="18"/>
      <c r="PWY931" s="18"/>
      <c r="PWZ931" s="18"/>
      <c r="PXA931" s="18"/>
      <c r="PXB931" s="18"/>
      <c r="PXC931" s="18"/>
      <c r="PXD931" s="18"/>
      <c r="PXE931" s="18"/>
      <c r="PXF931" s="18"/>
      <c r="PXG931" s="18"/>
      <c r="PXH931" s="18"/>
      <c r="PXI931" s="18"/>
      <c r="PXJ931" s="18"/>
      <c r="PXK931" s="18"/>
      <c r="PXL931" s="18"/>
      <c r="PXM931" s="18"/>
      <c r="PXN931" s="18"/>
      <c r="PXO931" s="18"/>
      <c r="PXP931" s="18"/>
      <c r="PXQ931" s="18"/>
      <c r="PXR931" s="18"/>
      <c r="PXS931" s="18"/>
      <c r="PXT931" s="18"/>
      <c r="PXU931" s="18"/>
      <c r="PXV931" s="18"/>
      <c r="PXW931" s="18"/>
      <c r="PXX931" s="18"/>
      <c r="PXY931" s="18"/>
      <c r="PXZ931" s="18"/>
      <c r="PYA931" s="18"/>
      <c r="PYB931" s="18"/>
      <c r="PYC931" s="18"/>
      <c r="PYD931" s="18"/>
      <c r="PYE931" s="18"/>
      <c r="PYF931" s="18"/>
      <c r="PYG931" s="18"/>
      <c r="PYH931" s="18"/>
      <c r="PYI931" s="18"/>
      <c r="PYJ931" s="18"/>
      <c r="PYK931" s="18"/>
      <c r="PYL931" s="18"/>
      <c r="PYM931" s="18"/>
      <c r="PYN931" s="18"/>
      <c r="PYO931" s="18"/>
      <c r="PYP931" s="18"/>
      <c r="PYQ931" s="18"/>
      <c r="PYR931" s="18"/>
      <c r="PYS931" s="18"/>
      <c r="PYT931" s="18"/>
      <c r="PYU931" s="18"/>
      <c r="PYV931" s="18"/>
      <c r="PYW931" s="18"/>
      <c r="PYX931" s="18"/>
      <c r="PYY931" s="18"/>
      <c r="PYZ931" s="18"/>
      <c r="PZA931" s="18"/>
      <c r="PZB931" s="18"/>
      <c r="PZC931" s="18"/>
      <c r="PZD931" s="18"/>
      <c r="PZE931" s="18"/>
      <c r="PZF931" s="18"/>
      <c r="PZG931" s="18"/>
      <c r="PZH931" s="18"/>
      <c r="PZI931" s="18"/>
      <c r="PZJ931" s="18"/>
      <c r="PZK931" s="18"/>
      <c r="PZL931" s="18"/>
      <c r="PZM931" s="18"/>
      <c r="PZN931" s="18"/>
      <c r="PZO931" s="18"/>
      <c r="PZP931" s="18"/>
      <c r="PZQ931" s="18"/>
      <c r="PZR931" s="18"/>
      <c r="PZS931" s="18"/>
      <c r="PZT931" s="18"/>
      <c r="PZU931" s="18"/>
      <c r="PZV931" s="18"/>
      <c r="PZW931" s="18"/>
      <c r="PZX931" s="18"/>
      <c r="PZY931" s="18"/>
      <c r="PZZ931" s="18"/>
      <c r="QAA931" s="18"/>
      <c r="QAB931" s="18"/>
      <c r="QAC931" s="18"/>
      <c r="QAD931" s="18"/>
      <c r="QAE931" s="18"/>
      <c r="QAF931" s="18"/>
      <c r="QAG931" s="18"/>
      <c r="QAH931" s="18"/>
      <c r="QAI931" s="18"/>
      <c r="QAJ931" s="18"/>
      <c r="QAK931" s="18"/>
      <c r="QAL931" s="18"/>
      <c r="QAM931" s="18"/>
      <c r="QAN931" s="18"/>
      <c r="QAO931" s="18"/>
      <c r="QAP931" s="18"/>
      <c r="QAQ931" s="18"/>
      <c r="QAR931" s="18"/>
      <c r="QAS931" s="18"/>
      <c r="QAT931" s="18"/>
      <c r="QAU931" s="18"/>
      <c r="QAV931" s="18"/>
      <c r="QAW931" s="18"/>
      <c r="QAX931" s="18"/>
      <c r="QAY931" s="18"/>
      <c r="QAZ931" s="18"/>
      <c r="QBA931" s="18"/>
      <c r="QBB931" s="18"/>
      <c r="QBC931" s="18"/>
      <c r="QBD931" s="18"/>
      <c r="QBE931" s="18"/>
      <c r="QBF931" s="18"/>
      <c r="QBG931" s="18"/>
      <c r="QBH931" s="18"/>
      <c r="QBI931" s="18"/>
      <c r="QBJ931" s="18"/>
      <c r="QBK931" s="18"/>
      <c r="QBL931" s="18"/>
      <c r="QBM931" s="18"/>
      <c r="QBN931" s="18"/>
      <c r="QBO931" s="18"/>
      <c r="QBP931" s="18"/>
      <c r="QBQ931" s="18"/>
      <c r="QBR931" s="18"/>
      <c r="QBS931" s="18"/>
      <c r="QBT931" s="18"/>
      <c r="QBU931" s="18"/>
      <c r="QBV931" s="18"/>
      <c r="QBW931" s="18"/>
      <c r="QBX931" s="18"/>
      <c r="QBY931" s="18"/>
      <c r="QBZ931" s="18"/>
      <c r="QCA931" s="18"/>
      <c r="QCB931" s="18"/>
      <c r="QCC931" s="18"/>
      <c r="QCD931" s="18"/>
      <c r="QCE931" s="18"/>
      <c r="QCF931" s="18"/>
      <c r="QCG931" s="18"/>
      <c r="QCH931" s="18"/>
      <c r="QCI931" s="18"/>
      <c r="QCJ931" s="18"/>
      <c r="QCK931" s="18"/>
      <c r="QCL931" s="18"/>
      <c r="QCM931" s="18"/>
      <c r="QCN931" s="18"/>
      <c r="QCO931" s="18"/>
      <c r="QCP931" s="18"/>
      <c r="QCQ931" s="18"/>
      <c r="QCR931" s="18"/>
      <c r="QCS931" s="18"/>
      <c r="QCT931" s="18"/>
      <c r="QCU931" s="18"/>
      <c r="QCV931" s="18"/>
      <c r="QCW931" s="18"/>
      <c r="QCX931" s="18"/>
      <c r="QCY931" s="18"/>
      <c r="QCZ931" s="18"/>
      <c r="QDA931" s="18"/>
      <c r="QDB931" s="18"/>
      <c r="QDC931" s="18"/>
      <c r="QDD931" s="18"/>
      <c r="QDE931" s="18"/>
      <c r="QDF931" s="18"/>
      <c r="QDG931" s="18"/>
      <c r="QDH931" s="18"/>
      <c r="QDI931" s="18"/>
      <c r="QDJ931" s="18"/>
      <c r="QDK931" s="18"/>
      <c r="QDL931" s="18"/>
      <c r="QDM931" s="18"/>
      <c r="QDN931" s="18"/>
      <c r="QDO931" s="18"/>
      <c r="QDP931" s="18"/>
      <c r="QDQ931" s="18"/>
      <c r="QDR931" s="18"/>
      <c r="QDS931" s="18"/>
      <c r="QDT931" s="18"/>
      <c r="QDU931" s="18"/>
      <c r="QDV931" s="18"/>
      <c r="QDW931" s="18"/>
      <c r="QDX931" s="18"/>
      <c r="QDY931" s="18"/>
      <c r="QDZ931" s="18"/>
      <c r="QEA931" s="18"/>
      <c r="QEB931" s="18"/>
      <c r="QEC931" s="18"/>
      <c r="QED931" s="18"/>
      <c r="QEE931" s="18"/>
      <c r="QEF931" s="18"/>
      <c r="QEG931" s="18"/>
      <c r="QEH931" s="18"/>
      <c r="QEI931" s="18"/>
      <c r="QEJ931" s="18"/>
      <c r="QEK931" s="18"/>
      <c r="QEL931" s="18"/>
      <c r="QEM931" s="18"/>
      <c r="QEN931" s="18"/>
      <c r="QEO931" s="18"/>
      <c r="QEP931" s="18"/>
      <c r="QEQ931" s="18"/>
      <c r="QER931" s="18"/>
      <c r="QES931" s="18"/>
      <c r="QET931" s="18"/>
      <c r="QEU931" s="18"/>
      <c r="QEV931" s="18"/>
      <c r="QEW931" s="18"/>
      <c r="QEX931" s="18"/>
      <c r="QEY931" s="18"/>
      <c r="QEZ931" s="18"/>
      <c r="QFA931" s="18"/>
      <c r="QFB931" s="18"/>
      <c r="QFC931" s="18"/>
      <c r="QFD931" s="18"/>
      <c r="QFE931" s="18"/>
      <c r="QFF931" s="18"/>
      <c r="QFG931" s="18"/>
      <c r="QFH931" s="18"/>
      <c r="QFI931" s="18"/>
      <c r="QFJ931" s="18"/>
      <c r="QFK931" s="18"/>
      <c r="QFL931" s="18"/>
      <c r="QFM931" s="18"/>
      <c r="QFN931" s="18"/>
      <c r="QFO931" s="18"/>
      <c r="QFP931" s="18"/>
      <c r="QFQ931" s="18"/>
      <c r="QFR931" s="18"/>
      <c r="QFS931" s="18"/>
      <c r="QFT931" s="18"/>
      <c r="QFU931" s="18"/>
      <c r="QFV931" s="18"/>
      <c r="QFW931" s="18"/>
      <c r="QFX931" s="18"/>
      <c r="QFY931" s="18"/>
      <c r="QFZ931" s="18"/>
      <c r="QGA931" s="18"/>
      <c r="QGB931" s="18"/>
      <c r="QGC931" s="18"/>
      <c r="QGD931" s="18"/>
      <c r="QGE931" s="18"/>
      <c r="QGF931" s="18"/>
      <c r="QGG931" s="18"/>
      <c r="QGH931" s="18"/>
      <c r="QGI931" s="18"/>
      <c r="QGJ931" s="18"/>
      <c r="QGK931" s="18"/>
      <c r="QGL931" s="18"/>
      <c r="QGM931" s="18"/>
      <c r="QGN931" s="18"/>
      <c r="QGO931" s="18"/>
      <c r="QGP931" s="18"/>
      <c r="QGQ931" s="18"/>
      <c r="QGR931" s="18"/>
      <c r="QGS931" s="18"/>
      <c r="QGT931" s="18"/>
      <c r="QGU931" s="18"/>
      <c r="QGV931" s="18"/>
      <c r="QGW931" s="18"/>
      <c r="QGX931" s="18"/>
      <c r="QGY931" s="18"/>
      <c r="QGZ931" s="18"/>
      <c r="QHA931" s="18"/>
      <c r="QHB931" s="18"/>
      <c r="QHC931" s="18"/>
      <c r="QHD931" s="18"/>
      <c r="QHE931" s="18"/>
      <c r="QHF931" s="18"/>
      <c r="QHG931" s="18"/>
      <c r="QHH931" s="18"/>
      <c r="QHI931" s="18"/>
      <c r="QHJ931" s="18"/>
      <c r="QHK931" s="18"/>
      <c r="QHL931" s="18"/>
      <c r="QHM931" s="18"/>
      <c r="QHN931" s="18"/>
      <c r="QHO931" s="18"/>
      <c r="QHP931" s="18"/>
      <c r="QHQ931" s="18"/>
      <c r="QHR931" s="18"/>
      <c r="QHS931" s="18"/>
      <c r="QHT931" s="18"/>
      <c r="QHU931" s="18"/>
      <c r="QHV931" s="18"/>
      <c r="QHW931" s="18"/>
      <c r="QHX931" s="18"/>
      <c r="QHY931" s="18"/>
      <c r="QHZ931" s="18"/>
      <c r="QIA931" s="18"/>
      <c r="QIB931" s="18"/>
      <c r="QIC931" s="18"/>
      <c r="QID931" s="18"/>
      <c r="QIE931" s="18"/>
      <c r="QIF931" s="18"/>
      <c r="QIG931" s="18"/>
      <c r="QIH931" s="18"/>
      <c r="QII931" s="18"/>
      <c r="QIJ931" s="18"/>
      <c r="QIK931" s="18"/>
      <c r="QIL931" s="18"/>
      <c r="QIM931" s="18"/>
      <c r="QIN931" s="18"/>
      <c r="QIO931" s="18"/>
      <c r="QIP931" s="18"/>
      <c r="QIQ931" s="18"/>
      <c r="QIR931" s="18"/>
      <c r="QIS931" s="18"/>
      <c r="QIT931" s="18"/>
      <c r="QIU931" s="18"/>
      <c r="QIV931" s="18"/>
      <c r="QIW931" s="18"/>
      <c r="QIX931" s="18"/>
      <c r="QIY931" s="18"/>
      <c r="QIZ931" s="18"/>
      <c r="QJA931" s="18"/>
      <c r="QJB931" s="18"/>
      <c r="QJC931" s="18"/>
      <c r="QJD931" s="18"/>
      <c r="QJE931" s="18"/>
      <c r="QJF931" s="18"/>
      <c r="QJG931" s="18"/>
      <c r="QJH931" s="18"/>
      <c r="QJI931" s="18"/>
      <c r="QJJ931" s="18"/>
      <c r="QJK931" s="18"/>
      <c r="QJL931" s="18"/>
      <c r="QJM931" s="18"/>
      <c r="QJN931" s="18"/>
      <c r="QJO931" s="18"/>
      <c r="QJP931" s="18"/>
      <c r="QJQ931" s="18"/>
      <c r="QJR931" s="18"/>
      <c r="QJS931" s="18"/>
      <c r="QJT931" s="18"/>
      <c r="QJU931" s="18"/>
      <c r="QJV931" s="18"/>
      <c r="QJW931" s="18"/>
      <c r="QJX931" s="18"/>
      <c r="QJY931" s="18"/>
      <c r="QJZ931" s="18"/>
      <c r="QKA931" s="18"/>
      <c r="QKB931" s="18"/>
      <c r="QKC931" s="18"/>
      <c r="QKD931" s="18"/>
      <c r="QKE931" s="18"/>
      <c r="QKF931" s="18"/>
      <c r="QKG931" s="18"/>
      <c r="QKH931" s="18"/>
      <c r="QKI931" s="18"/>
      <c r="QKJ931" s="18"/>
      <c r="QKK931" s="18"/>
      <c r="QKL931" s="18"/>
      <c r="QKM931" s="18"/>
      <c r="QKN931" s="18"/>
      <c r="QKO931" s="18"/>
      <c r="QKP931" s="18"/>
      <c r="QKQ931" s="18"/>
      <c r="QKR931" s="18"/>
      <c r="QKS931" s="18"/>
      <c r="QKT931" s="18"/>
      <c r="QKU931" s="18"/>
      <c r="QKV931" s="18"/>
      <c r="QKW931" s="18"/>
      <c r="QKX931" s="18"/>
      <c r="QKY931" s="18"/>
      <c r="QKZ931" s="18"/>
      <c r="QLA931" s="18"/>
      <c r="QLB931" s="18"/>
      <c r="QLC931" s="18"/>
      <c r="QLD931" s="18"/>
      <c r="QLE931" s="18"/>
      <c r="QLF931" s="18"/>
      <c r="QLG931" s="18"/>
      <c r="QLH931" s="18"/>
      <c r="QLI931" s="18"/>
      <c r="QLJ931" s="18"/>
      <c r="QLK931" s="18"/>
      <c r="QLL931" s="18"/>
      <c r="QLM931" s="18"/>
      <c r="QLN931" s="18"/>
      <c r="QLO931" s="18"/>
      <c r="QLP931" s="18"/>
      <c r="QLQ931" s="18"/>
      <c r="QLR931" s="18"/>
      <c r="QLS931" s="18"/>
      <c r="QLT931" s="18"/>
      <c r="QLU931" s="18"/>
      <c r="QLV931" s="18"/>
      <c r="QLW931" s="18"/>
      <c r="QLX931" s="18"/>
      <c r="QLY931" s="18"/>
      <c r="QLZ931" s="18"/>
      <c r="QMA931" s="18"/>
      <c r="QMB931" s="18"/>
      <c r="QMC931" s="18"/>
      <c r="QMD931" s="18"/>
      <c r="QME931" s="18"/>
      <c r="QMF931" s="18"/>
      <c r="QMG931" s="18"/>
      <c r="QMH931" s="18"/>
      <c r="QMI931" s="18"/>
      <c r="QMJ931" s="18"/>
      <c r="QMK931" s="18"/>
      <c r="QML931" s="18"/>
      <c r="QMM931" s="18"/>
      <c r="QMN931" s="18"/>
      <c r="QMO931" s="18"/>
      <c r="QMP931" s="18"/>
      <c r="QMQ931" s="18"/>
      <c r="QMR931" s="18"/>
      <c r="QMS931" s="18"/>
      <c r="QMT931" s="18"/>
      <c r="QMU931" s="18"/>
      <c r="QMV931" s="18"/>
      <c r="QMW931" s="18"/>
      <c r="QMX931" s="18"/>
      <c r="QMY931" s="18"/>
      <c r="QMZ931" s="18"/>
      <c r="QNA931" s="18"/>
      <c r="QNB931" s="18"/>
      <c r="QNC931" s="18"/>
      <c r="QND931" s="18"/>
      <c r="QNE931" s="18"/>
      <c r="QNF931" s="18"/>
      <c r="QNG931" s="18"/>
      <c r="QNH931" s="18"/>
      <c r="QNI931" s="18"/>
      <c r="QNJ931" s="18"/>
      <c r="QNK931" s="18"/>
      <c r="QNL931" s="18"/>
      <c r="QNM931" s="18"/>
      <c r="QNN931" s="18"/>
      <c r="QNO931" s="18"/>
      <c r="QNP931" s="18"/>
      <c r="QNQ931" s="18"/>
      <c r="QNR931" s="18"/>
      <c r="QNS931" s="18"/>
      <c r="QNT931" s="18"/>
      <c r="QNU931" s="18"/>
      <c r="QNV931" s="18"/>
      <c r="QNW931" s="18"/>
      <c r="QNX931" s="18"/>
      <c r="QNY931" s="18"/>
      <c r="QNZ931" s="18"/>
      <c r="QOA931" s="18"/>
      <c r="QOB931" s="18"/>
      <c r="QOC931" s="18"/>
      <c r="QOD931" s="18"/>
      <c r="QOE931" s="18"/>
      <c r="QOF931" s="18"/>
      <c r="QOG931" s="18"/>
      <c r="QOH931" s="18"/>
      <c r="QOI931" s="18"/>
      <c r="QOJ931" s="18"/>
      <c r="QOK931" s="18"/>
      <c r="QOL931" s="18"/>
      <c r="QOM931" s="18"/>
      <c r="QON931" s="18"/>
      <c r="QOO931" s="18"/>
      <c r="QOP931" s="18"/>
      <c r="QOQ931" s="18"/>
      <c r="QOR931" s="18"/>
      <c r="QOS931" s="18"/>
      <c r="QOT931" s="18"/>
      <c r="QOU931" s="18"/>
      <c r="QOV931" s="18"/>
      <c r="QOW931" s="18"/>
      <c r="QOX931" s="18"/>
      <c r="QOY931" s="18"/>
      <c r="QOZ931" s="18"/>
      <c r="QPA931" s="18"/>
      <c r="QPB931" s="18"/>
      <c r="QPC931" s="18"/>
      <c r="QPD931" s="18"/>
      <c r="QPE931" s="18"/>
      <c r="QPF931" s="18"/>
      <c r="QPG931" s="18"/>
      <c r="QPH931" s="18"/>
      <c r="QPI931" s="18"/>
      <c r="QPJ931" s="18"/>
      <c r="QPK931" s="18"/>
      <c r="QPL931" s="18"/>
      <c r="QPM931" s="18"/>
      <c r="QPN931" s="18"/>
      <c r="QPO931" s="18"/>
      <c r="QPP931" s="18"/>
      <c r="QPQ931" s="18"/>
      <c r="QPR931" s="18"/>
      <c r="QPS931" s="18"/>
      <c r="QPT931" s="18"/>
      <c r="QPU931" s="18"/>
      <c r="QPV931" s="18"/>
      <c r="QPW931" s="18"/>
      <c r="QPX931" s="18"/>
      <c r="QPY931" s="18"/>
      <c r="QPZ931" s="18"/>
      <c r="QQA931" s="18"/>
      <c r="QQB931" s="18"/>
      <c r="QQC931" s="18"/>
      <c r="QQD931" s="18"/>
      <c r="QQE931" s="18"/>
      <c r="QQF931" s="18"/>
      <c r="QQG931" s="18"/>
      <c r="QQH931" s="18"/>
      <c r="QQI931" s="18"/>
      <c r="QQJ931" s="18"/>
      <c r="QQK931" s="18"/>
      <c r="QQL931" s="18"/>
      <c r="QQM931" s="18"/>
      <c r="QQN931" s="18"/>
      <c r="QQO931" s="18"/>
      <c r="QQP931" s="18"/>
      <c r="QQQ931" s="18"/>
      <c r="QQR931" s="18"/>
      <c r="QQS931" s="18"/>
      <c r="QQT931" s="18"/>
      <c r="QQU931" s="18"/>
      <c r="QQV931" s="18"/>
      <c r="QQW931" s="18"/>
      <c r="QQX931" s="18"/>
      <c r="QQY931" s="18"/>
      <c r="QQZ931" s="18"/>
      <c r="QRA931" s="18"/>
      <c r="QRB931" s="18"/>
      <c r="QRC931" s="18"/>
      <c r="QRD931" s="18"/>
      <c r="QRE931" s="18"/>
      <c r="QRF931" s="18"/>
      <c r="QRG931" s="18"/>
      <c r="QRH931" s="18"/>
      <c r="QRI931" s="18"/>
      <c r="QRJ931" s="18"/>
      <c r="QRK931" s="18"/>
      <c r="QRL931" s="18"/>
      <c r="QRM931" s="18"/>
      <c r="QRN931" s="18"/>
      <c r="QRO931" s="18"/>
      <c r="QRP931" s="18"/>
      <c r="QRQ931" s="18"/>
      <c r="QRR931" s="18"/>
      <c r="QRS931" s="18"/>
      <c r="QRT931" s="18"/>
      <c r="QRU931" s="18"/>
      <c r="QRV931" s="18"/>
      <c r="QRW931" s="18"/>
      <c r="QRX931" s="18"/>
      <c r="QRY931" s="18"/>
      <c r="QRZ931" s="18"/>
      <c r="QSA931" s="18"/>
      <c r="QSB931" s="18"/>
      <c r="QSC931" s="18"/>
      <c r="QSD931" s="18"/>
      <c r="QSE931" s="18"/>
      <c r="QSF931" s="18"/>
      <c r="QSG931" s="18"/>
      <c r="QSH931" s="18"/>
      <c r="QSI931" s="18"/>
      <c r="QSJ931" s="18"/>
      <c r="QSK931" s="18"/>
      <c r="QSL931" s="18"/>
      <c r="QSM931" s="18"/>
      <c r="QSN931" s="18"/>
      <c r="QSO931" s="18"/>
      <c r="QSP931" s="18"/>
      <c r="QSQ931" s="18"/>
      <c r="QSR931" s="18"/>
      <c r="QSS931" s="18"/>
      <c r="QST931" s="18"/>
      <c r="QSU931" s="18"/>
      <c r="QSV931" s="18"/>
      <c r="QSW931" s="18"/>
      <c r="QSX931" s="18"/>
      <c r="QSY931" s="18"/>
      <c r="QSZ931" s="18"/>
      <c r="QTA931" s="18"/>
      <c r="QTB931" s="18"/>
      <c r="QTC931" s="18"/>
      <c r="QTD931" s="18"/>
      <c r="QTE931" s="18"/>
      <c r="QTF931" s="18"/>
      <c r="QTG931" s="18"/>
      <c r="QTH931" s="18"/>
      <c r="QTI931" s="18"/>
      <c r="QTJ931" s="18"/>
      <c r="QTK931" s="18"/>
      <c r="QTL931" s="18"/>
      <c r="QTM931" s="18"/>
      <c r="QTN931" s="18"/>
      <c r="QTO931" s="18"/>
      <c r="QTP931" s="18"/>
      <c r="QTQ931" s="18"/>
      <c r="QTR931" s="18"/>
      <c r="QTS931" s="18"/>
      <c r="QTT931" s="18"/>
      <c r="QTU931" s="18"/>
      <c r="QTV931" s="18"/>
      <c r="QTW931" s="18"/>
      <c r="QTX931" s="18"/>
      <c r="QTY931" s="18"/>
      <c r="QTZ931" s="18"/>
      <c r="QUA931" s="18"/>
      <c r="QUB931" s="18"/>
      <c r="QUC931" s="18"/>
      <c r="QUD931" s="18"/>
      <c r="QUE931" s="18"/>
      <c r="QUF931" s="18"/>
      <c r="QUG931" s="18"/>
      <c r="QUH931" s="18"/>
      <c r="QUI931" s="18"/>
      <c r="QUJ931" s="18"/>
      <c r="QUK931" s="18"/>
      <c r="QUL931" s="18"/>
      <c r="QUM931" s="18"/>
      <c r="QUN931" s="18"/>
      <c r="QUO931" s="18"/>
      <c r="QUP931" s="18"/>
      <c r="QUQ931" s="18"/>
      <c r="QUR931" s="18"/>
      <c r="QUS931" s="18"/>
      <c r="QUT931" s="18"/>
      <c r="QUU931" s="18"/>
      <c r="QUV931" s="18"/>
      <c r="QUW931" s="18"/>
      <c r="QUX931" s="18"/>
      <c r="QUY931" s="18"/>
      <c r="QUZ931" s="18"/>
      <c r="QVA931" s="18"/>
      <c r="QVB931" s="18"/>
      <c r="QVC931" s="18"/>
      <c r="QVD931" s="18"/>
      <c r="QVE931" s="18"/>
      <c r="QVF931" s="18"/>
      <c r="QVG931" s="18"/>
      <c r="QVH931" s="18"/>
      <c r="QVI931" s="18"/>
      <c r="QVJ931" s="18"/>
      <c r="QVK931" s="18"/>
      <c r="QVL931" s="18"/>
      <c r="QVM931" s="18"/>
      <c r="QVN931" s="18"/>
      <c r="QVO931" s="18"/>
      <c r="QVP931" s="18"/>
      <c r="QVQ931" s="18"/>
      <c r="QVR931" s="18"/>
      <c r="QVS931" s="18"/>
      <c r="QVT931" s="18"/>
      <c r="QVU931" s="18"/>
      <c r="QVV931" s="18"/>
      <c r="QVW931" s="18"/>
      <c r="QVX931" s="18"/>
      <c r="QVY931" s="18"/>
      <c r="QVZ931" s="18"/>
      <c r="QWA931" s="18"/>
      <c r="QWB931" s="18"/>
      <c r="QWC931" s="18"/>
      <c r="QWD931" s="18"/>
      <c r="QWE931" s="18"/>
      <c r="QWF931" s="18"/>
      <c r="QWG931" s="18"/>
      <c r="QWH931" s="18"/>
      <c r="QWI931" s="18"/>
      <c r="QWJ931" s="18"/>
      <c r="QWK931" s="18"/>
      <c r="QWL931" s="18"/>
      <c r="QWM931" s="18"/>
      <c r="QWN931" s="18"/>
      <c r="QWO931" s="18"/>
      <c r="QWP931" s="18"/>
      <c r="QWQ931" s="18"/>
      <c r="QWR931" s="18"/>
      <c r="QWS931" s="18"/>
      <c r="QWT931" s="18"/>
      <c r="QWU931" s="18"/>
      <c r="QWV931" s="18"/>
      <c r="QWW931" s="18"/>
      <c r="QWX931" s="18"/>
      <c r="QWY931" s="18"/>
      <c r="QWZ931" s="18"/>
      <c r="QXA931" s="18"/>
      <c r="QXB931" s="18"/>
      <c r="QXC931" s="18"/>
      <c r="QXD931" s="18"/>
      <c r="QXE931" s="18"/>
      <c r="QXF931" s="18"/>
      <c r="QXG931" s="18"/>
      <c r="QXH931" s="18"/>
      <c r="QXI931" s="18"/>
      <c r="QXJ931" s="18"/>
      <c r="QXK931" s="18"/>
      <c r="QXL931" s="18"/>
      <c r="QXM931" s="18"/>
      <c r="QXN931" s="18"/>
      <c r="QXO931" s="18"/>
      <c r="QXP931" s="18"/>
      <c r="QXQ931" s="18"/>
      <c r="QXR931" s="18"/>
      <c r="QXS931" s="18"/>
      <c r="QXT931" s="18"/>
      <c r="QXU931" s="18"/>
      <c r="QXV931" s="18"/>
      <c r="QXW931" s="18"/>
      <c r="QXX931" s="18"/>
      <c r="QXY931" s="18"/>
      <c r="QXZ931" s="18"/>
      <c r="QYA931" s="18"/>
      <c r="QYB931" s="18"/>
      <c r="QYC931" s="18"/>
      <c r="QYD931" s="18"/>
      <c r="QYE931" s="18"/>
      <c r="QYF931" s="18"/>
      <c r="QYG931" s="18"/>
      <c r="QYH931" s="18"/>
      <c r="QYI931" s="18"/>
      <c r="QYJ931" s="18"/>
      <c r="QYK931" s="18"/>
      <c r="QYL931" s="18"/>
      <c r="QYM931" s="18"/>
      <c r="QYN931" s="18"/>
      <c r="QYO931" s="18"/>
      <c r="QYP931" s="18"/>
      <c r="QYQ931" s="18"/>
      <c r="QYR931" s="18"/>
      <c r="QYS931" s="18"/>
      <c r="QYT931" s="18"/>
      <c r="QYU931" s="18"/>
      <c r="QYV931" s="18"/>
      <c r="QYW931" s="18"/>
      <c r="QYX931" s="18"/>
      <c r="QYY931" s="18"/>
      <c r="QYZ931" s="18"/>
      <c r="QZA931" s="18"/>
      <c r="QZB931" s="18"/>
      <c r="QZC931" s="18"/>
      <c r="QZD931" s="18"/>
      <c r="QZE931" s="18"/>
      <c r="QZF931" s="18"/>
      <c r="QZG931" s="18"/>
      <c r="QZH931" s="18"/>
      <c r="QZI931" s="18"/>
      <c r="QZJ931" s="18"/>
      <c r="QZK931" s="18"/>
      <c r="QZL931" s="18"/>
      <c r="QZM931" s="18"/>
      <c r="QZN931" s="18"/>
      <c r="QZO931" s="18"/>
      <c r="QZP931" s="18"/>
      <c r="QZQ931" s="18"/>
      <c r="QZR931" s="18"/>
      <c r="QZS931" s="18"/>
      <c r="QZT931" s="18"/>
      <c r="QZU931" s="18"/>
      <c r="QZV931" s="18"/>
      <c r="QZW931" s="18"/>
      <c r="QZX931" s="18"/>
      <c r="QZY931" s="18"/>
      <c r="QZZ931" s="18"/>
      <c r="RAA931" s="18"/>
      <c r="RAB931" s="18"/>
      <c r="RAC931" s="18"/>
      <c r="RAD931" s="18"/>
      <c r="RAE931" s="18"/>
      <c r="RAF931" s="18"/>
      <c r="RAG931" s="18"/>
      <c r="RAH931" s="18"/>
      <c r="RAI931" s="18"/>
      <c r="RAJ931" s="18"/>
      <c r="RAK931" s="18"/>
      <c r="RAL931" s="18"/>
      <c r="RAM931" s="18"/>
      <c r="RAN931" s="18"/>
      <c r="RAO931" s="18"/>
      <c r="RAP931" s="18"/>
      <c r="RAQ931" s="18"/>
      <c r="RAR931" s="18"/>
      <c r="RAS931" s="18"/>
      <c r="RAT931" s="18"/>
      <c r="RAU931" s="18"/>
      <c r="RAV931" s="18"/>
      <c r="RAW931" s="18"/>
      <c r="RAX931" s="18"/>
      <c r="RAY931" s="18"/>
      <c r="RAZ931" s="18"/>
      <c r="RBA931" s="18"/>
      <c r="RBB931" s="18"/>
      <c r="RBC931" s="18"/>
      <c r="RBD931" s="18"/>
      <c r="RBE931" s="18"/>
      <c r="RBF931" s="18"/>
      <c r="RBG931" s="18"/>
      <c r="RBH931" s="18"/>
      <c r="RBI931" s="18"/>
      <c r="RBJ931" s="18"/>
      <c r="RBK931" s="18"/>
      <c r="RBL931" s="18"/>
      <c r="RBM931" s="18"/>
      <c r="RBN931" s="18"/>
      <c r="RBO931" s="18"/>
      <c r="RBP931" s="18"/>
      <c r="RBQ931" s="18"/>
      <c r="RBR931" s="18"/>
      <c r="RBS931" s="18"/>
      <c r="RBT931" s="18"/>
      <c r="RBU931" s="18"/>
      <c r="RBV931" s="18"/>
      <c r="RBW931" s="18"/>
      <c r="RBX931" s="18"/>
      <c r="RBY931" s="18"/>
      <c r="RBZ931" s="18"/>
      <c r="RCA931" s="18"/>
      <c r="RCB931" s="18"/>
      <c r="RCC931" s="18"/>
      <c r="RCD931" s="18"/>
      <c r="RCE931" s="18"/>
      <c r="RCF931" s="18"/>
      <c r="RCG931" s="18"/>
      <c r="RCH931" s="18"/>
      <c r="RCI931" s="18"/>
      <c r="RCJ931" s="18"/>
      <c r="RCK931" s="18"/>
      <c r="RCL931" s="18"/>
      <c r="RCM931" s="18"/>
      <c r="RCN931" s="18"/>
      <c r="RCO931" s="18"/>
      <c r="RCP931" s="18"/>
      <c r="RCQ931" s="18"/>
      <c r="RCR931" s="18"/>
      <c r="RCS931" s="18"/>
      <c r="RCT931" s="18"/>
      <c r="RCU931" s="18"/>
      <c r="RCV931" s="18"/>
      <c r="RCW931" s="18"/>
      <c r="RCX931" s="18"/>
      <c r="RCY931" s="18"/>
      <c r="RCZ931" s="18"/>
      <c r="RDA931" s="18"/>
      <c r="RDB931" s="18"/>
      <c r="RDC931" s="18"/>
      <c r="RDD931" s="18"/>
      <c r="RDE931" s="18"/>
      <c r="RDF931" s="18"/>
      <c r="RDG931" s="18"/>
      <c r="RDH931" s="18"/>
      <c r="RDI931" s="18"/>
      <c r="RDJ931" s="18"/>
      <c r="RDK931" s="18"/>
      <c r="RDL931" s="18"/>
      <c r="RDM931" s="18"/>
      <c r="RDN931" s="18"/>
      <c r="RDO931" s="18"/>
      <c r="RDP931" s="18"/>
      <c r="RDQ931" s="18"/>
      <c r="RDR931" s="18"/>
      <c r="RDS931" s="18"/>
      <c r="RDT931" s="18"/>
      <c r="RDU931" s="18"/>
      <c r="RDV931" s="18"/>
      <c r="RDW931" s="18"/>
      <c r="RDX931" s="18"/>
      <c r="RDY931" s="18"/>
      <c r="RDZ931" s="18"/>
      <c r="REA931" s="18"/>
      <c r="REB931" s="18"/>
      <c r="REC931" s="18"/>
      <c r="RED931" s="18"/>
      <c r="REE931" s="18"/>
      <c r="REF931" s="18"/>
      <c r="REG931" s="18"/>
      <c r="REH931" s="18"/>
      <c r="REI931" s="18"/>
      <c r="REJ931" s="18"/>
      <c r="REK931" s="18"/>
      <c r="REL931" s="18"/>
      <c r="REM931" s="18"/>
      <c r="REN931" s="18"/>
      <c r="REO931" s="18"/>
      <c r="REP931" s="18"/>
      <c r="REQ931" s="18"/>
      <c r="RER931" s="18"/>
      <c r="RES931" s="18"/>
      <c r="RET931" s="18"/>
      <c r="REU931" s="18"/>
      <c r="REV931" s="18"/>
      <c r="REW931" s="18"/>
      <c r="REX931" s="18"/>
      <c r="REY931" s="18"/>
      <c r="REZ931" s="18"/>
      <c r="RFA931" s="18"/>
      <c r="RFB931" s="18"/>
      <c r="RFC931" s="18"/>
      <c r="RFD931" s="18"/>
      <c r="RFE931" s="18"/>
      <c r="RFF931" s="18"/>
      <c r="RFG931" s="18"/>
      <c r="RFH931" s="18"/>
      <c r="RFI931" s="18"/>
      <c r="RFJ931" s="18"/>
      <c r="RFK931" s="18"/>
      <c r="RFL931" s="18"/>
      <c r="RFM931" s="18"/>
      <c r="RFN931" s="18"/>
      <c r="RFO931" s="18"/>
      <c r="RFP931" s="18"/>
      <c r="RFQ931" s="18"/>
      <c r="RFR931" s="18"/>
      <c r="RFS931" s="18"/>
      <c r="RFT931" s="18"/>
      <c r="RFU931" s="18"/>
      <c r="RFV931" s="18"/>
      <c r="RFW931" s="18"/>
      <c r="RFX931" s="18"/>
      <c r="RFY931" s="18"/>
      <c r="RFZ931" s="18"/>
      <c r="RGA931" s="18"/>
      <c r="RGB931" s="18"/>
      <c r="RGC931" s="18"/>
      <c r="RGD931" s="18"/>
      <c r="RGE931" s="18"/>
      <c r="RGF931" s="18"/>
      <c r="RGG931" s="18"/>
      <c r="RGH931" s="18"/>
      <c r="RGI931" s="18"/>
      <c r="RGJ931" s="18"/>
      <c r="RGK931" s="18"/>
      <c r="RGL931" s="18"/>
      <c r="RGM931" s="18"/>
      <c r="RGN931" s="18"/>
      <c r="RGO931" s="18"/>
      <c r="RGP931" s="18"/>
      <c r="RGQ931" s="18"/>
      <c r="RGR931" s="18"/>
      <c r="RGS931" s="18"/>
      <c r="RGT931" s="18"/>
      <c r="RGU931" s="18"/>
      <c r="RGV931" s="18"/>
      <c r="RGW931" s="18"/>
      <c r="RGX931" s="18"/>
      <c r="RGY931" s="18"/>
      <c r="RGZ931" s="18"/>
      <c r="RHA931" s="18"/>
      <c r="RHB931" s="18"/>
      <c r="RHC931" s="18"/>
      <c r="RHD931" s="18"/>
      <c r="RHE931" s="18"/>
      <c r="RHF931" s="18"/>
      <c r="RHG931" s="18"/>
      <c r="RHH931" s="18"/>
      <c r="RHI931" s="18"/>
      <c r="RHJ931" s="18"/>
      <c r="RHK931" s="18"/>
      <c r="RHL931" s="18"/>
      <c r="RHM931" s="18"/>
      <c r="RHN931" s="18"/>
      <c r="RHO931" s="18"/>
      <c r="RHP931" s="18"/>
      <c r="RHQ931" s="18"/>
      <c r="RHR931" s="18"/>
      <c r="RHS931" s="18"/>
      <c r="RHT931" s="18"/>
      <c r="RHU931" s="18"/>
      <c r="RHV931" s="18"/>
      <c r="RHW931" s="18"/>
      <c r="RHX931" s="18"/>
      <c r="RHY931" s="18"/>
      <c r="RHZ931" s="18"/>
      <c r="RIA931" s="18"/>
      <c r="RIB931" s="18"/>
      <c r="RIC931" s="18"/>
      <c r="RID931" s="18"/>
      <c r="RIE931" s="18"/>
      <c r="RIF931" s="18"/>
      <c r="RIG931" s="18"/>
      <c r="RIH931" s="18"/>
      <c r="RII931" s="18"/>
      <c r="RIJ931" s="18"/>
      <c r="RIK931" s="18"/>
      <c r="RIL931" s="18"/>
      <c r="RIM931" s="18"/>
      <c r="RIN931" s="18"/>
      <c r="RIO931" s="18"/>
      <c r="RIP931" s="18"/>
      <c r="RIQ931" s="18"/>
      <c r="RIR931" s="18"/>
      <c r="RIS931" s="18"/>
      <c r="RIT931" s="18"/>
      <c r="RIU931" s="18"/>
      <c r="RIV931" s="18"/>
      <c r="RIW931" s="18"/>
      <c r="RIX931" s="18"/>
      <c r="RIY931" s="18"/>
      <c r="RIZ931" s="18"/>
      <c r="RJA931" s="18"/>
      <c r="RJB931" s="18"/>
      <c r="RJC931" s="18"/>
      <c r="RJD931" s="18"/>
      <c r="RJE931" s="18"/>
      <c r="RJF931" s="18"/>
      <c r="RJG931" s="18"/>
      <c r="RJH931" s="18"/>
      <c r="RJI931" s="18"/>
      <c r="RJJ931" s="18"/>
      <c r="RJK931" s="18"/>
      <c r="RJL931" s="18"/>
      <c r="RJM931" s="18"/>
      <c r="RJN931" s="18"/>
      <c r="RJO931" s="18"/>
      <c r="RJP931" s="18"/>
      <c r="RJQ931" s="18"/>
      <c r="RJR931" s="18"/>
      <c r="RJS931" s="18"/>
      <c r="RJT931" s="18"/>
      <c r="RJU931" s="18"/>
      <c r="RJV931" s="18"/>
      <c r="RJW931" s="18"/>
      <c r="RJX931" s="18"/>
      <c r="RJY931" s="18"/>
      <c r="RJZ931" s="18"/>
      <c r="RKA931" s="18"/>
      <c r="RKB931" s="18"/>
      <c r="RKC931" s="18"/>
      <c r="RKD931" s="18"/>
      <c r="RKE931" s="18"/>
      <c r="RKF931" s="18"/>
      <c r="RKG931" s="18"/>
      <c r="RKH931" s="18"/>
      <c r="RKI931" s="18"/>
      <c r="RKJ931" s="18"/>
      <c r="RKK931" s="18"/>
      <c r="RKL931" s="18"/>
      <c r="RKM931" s="18"/>
      <c r="RKN931" s="18"/>
      <c r="RKO931" s="18"/>
      <c r="RKP931" s="18"/>
      <c r="RKQ931" s="18"/>
      <c r="RKR931" s="18"/>
      <c r="RKS931" s="18"/>
      <c r="RKT931" s="18"/>
      <c r="RKU931" s="18"/>
      <c r="RKV931" s="18"/>
      <c r="RKW931" s="18"/>
      <c r="RKX931" s="18"/>
      <c r="RKY931" s="18"/>
      <c r="RKZ931" s="18"/>
      <c r="RLA931" s="18"/>
      <c r="RLB931" s="18"/>
      <c r="RLC931" s="18"/>
      <c r="RLD931" s="18"/>
      <c r="RLE931" s="18"/>
      <c r="RLF931" s="18"/>
      <c r="RLG931" s="18"/>
      <c r="RLH931" s="18"/>
      <c r="RLI931" s="18"/>
      <c r="RLJ931" s="18"/>
      <c r="RLK931" s="18"/>
      <c r="RLL931" s="18"/>
      <c r="RLM931" s="18"/>
      <c r="RLN931" s="18"/>
      <c r="RLO931" s="18"/>
      <c r="RLP931" s="18"/>
      <c r="RLQ931" s="18"/>
      <c r="RLR931" s="18"/>
      <c r="RLS931" s="18"/>
      <c r="RLT931" s="18"/>
      <c r="RLU931" s="18"/>
      <c r="RLV931" s="18"/>
      <c r="RLW931" s="18"/>
      <c r="RLX931" s="18"/>
      <c r="RLY931" s="18"/>
      <c r="RLZ931" s="18"/>
      <c r="RMA931" s="18"/>
      <c r="RMB931" s="18"/>
      <c r="RMC931" s="18"/>
      <c r="RMD931" s="18"/>
      <c r="RME931" s="18"/>
      <c r="RMF931" s="18"/>
      <c r="RMG931" s="18"/>
      <c r="RMH931" s="18"/>
      <c r="RMI931" s="18"/>
      <c r="RMJ931" s="18"/>
      <c r="RMK931" s="18"/>
      <c r="RML931" s="18"/>
      <c r="RMM931" s="18"/>
      <c r="RMN931" s="18"/>
      <c r="RMO931" s="18"/>
      <c r="RMP931" s="18"/>
      <c r="RMQ931" s="18"/>
      <c r="RMR931" s="18"/>
      <c r="RMS931" s="18"/>
      <c r="RMT931" s="18"/>
      <c r="RMU931" s="18"/>
      <c r="RMV931" s="18"/>
      <c r="RMW931" s="18"/>
      <c r="RMX931" s="18"/>
      <c r="RMY931" s="18"/>
      <c r="RMZ931" s="18"/>
      <c r="RNA931" s="18"/>
      <c r="RNB931" s="18"/>
      <c r="RNC931" s="18"/>
      <c r="RND931" s="18"/>
      <c r="RNE931" s="18"/>
      <c r="RNF931" s="18"/>
      <c r="RNG931" s="18"/>
      <c r="RNH931" s="18"/>
      <c r="RNI931" s="18"/>
      <c r="RNJ931" s="18"/>
      <c r="RNK931" s="18"/>
      <c r="RNL931" s="18"/>
      <c r="RNM931" s="18"/>
      <c r="RNN931" s="18"/>
      <c r="RNO931" s="18"/>
      <c r="RNP931" s="18"/>
      <c r="RNQ931" s="18"/>
      <c r="RNR931" s="18"/>
      <c r="RNS931" s="18"/>
      <c r="RNT931" s="18"/>
      <c r="RNU931" s="18"/>
      <c r="RNV931" s="18"/>
      <c r="RNW931" s="18"/>
      <c r="RNX931" s="18"/>
      <c r="RNY931" s="18"/>
      <c r="RNZ931" s="18"/>
      <c r="ROA931" s="18"/>
      <c r="ROB931" s="18"/>
      <c r="ROC931" s="18"/>
      <c r="ROD931" s="18"/>
      <c r="ROE931" s="18"/>
      <c r="ROF931" s="18"/>
      <c r="ROG931" s="18"/>
      <c r="ROH931" s="18"/>
      <c r="ROI931" s="18"/>
      <c r="ROJ931" s="18"/>
      <c r="ROK931" s="18"/>
      <c r="ROL931" s="18"/>
      <c r="ROM931" s="18"/>
      <c r="RON931" s="18"/>
      <c r="ROO931" s="18"/>
      <c r="ROP931" s="18"/>
      <c r="ROQ931" s="18"/>
      <c r="ROR931" s="18"/>
      <c r="ROS931" s="18"/>
      <c r="ROT931" s="18"/>
      <c r="ROU931" s="18"/>
      <c r="ROV931" s="18"/>
      <c r="ROW931" s="18"/>
      <c r="ROX931" s="18"/>
      <c r="ROY931" s="18"/>
      <c r="ROZ931" s="18"/>
      <c r="RPA931" s="18"/>
      <c r="RPB931" s="18"/>
      <c r="RPC931" s="18"/>
      <c r="RPD931" s="18"/>
      <c r="RPE931" s="18"/>
      <c r="RPF931" s="18"/>
      <c r="RPG931" s="18"/>
      <c r="RPH931" s="18"/>
      <c r="RPI931" s="18"/>
      <c r="RPJ931" s="18"/>
      <c r="RPK931" s="18"/>
      <c r="RPL931" s="18"/>
      <c r="RPM931" s="18"/>
      <c r="RPN931" s="18"/>
      <c r="RPO931" s="18"/>
      <c r="RPP931" s="18"/>
      <c r="RPQ931" s="18"/>
      <c r="RPR931" s="18"/>
      <c r="RPS931" s="18"/>
      <c r="RPT931" s="18"/>
      <c r="RPU931" s="18"/>
      <c r="RPV931" s="18"/>
      <c r="RPW931" s="18"/>
      <c r="RPX931" s="18"/>
      <c r="RPY931" s="18"/>
      <c r="RPZ931" s="18"/>
      <c r="RQA931" s="18"/>
      <c r="RQB931" s="18"/>
      <c r="RQC931" s="18"/>
      <c r="RQD931" s="18"/>
      <c r="RQE931" s="18"/>
      <c r="RQF931" s="18"/>
      <c r="RQG931" s="18"/>
      <c r="RQH931" s="18"/>
      <c r="RQI931" s="18"/>
      <c r="RQJ931" s="18"/>
      <c r="RQK931" s="18"/>
      <c r="RQL931" s="18"/>
      <c r="RQM931" s="18"/>
      <c r="RQN931" s="18"/>
      <c r="RQO931" s="18"/>
      <c r="RQP931" s="18"/>
      <c r="RQQ931" s="18"/>
      <c r="RQR931" s="18"/>
      <c r="RQS931" s="18"/>
      <c r="RQT931" s="18"/>
      <c r="RQU931" s="18"/>
      <c r="RQV931" s="18"/>
      <c r="RQW931" s="18"/>
      <c r="RQX931" s="18"/>
      <c r="RQY931" s="18"/>
      <c r="RQZ931" s="18"/>
      <c r="RRA931" s="18"/>
      <c r="RRB931" s="18"/>
      <c r="RRC931" s="18"/>
      <c r="RRD931" s="18"/>
      <c r="RRE931" s="18"/>
      <c r="RRF931" s="18"/>
      <c r="RRG931" s="18"/>
      <c r="RRH931" s="18"/>
      <c r="RRI931" s="18"/>
      <c r="RRJ931" s="18"/>
      <c r="RRK931" s="18"/>
      <c r="RRL931" s="18"/>
      <c r="RRM931" s="18"/>
      <c r="RRN931" s="18"/>
      <c r="RRO931" s="18"/>
      <c r="RRP931" s="18"/>
      <c r="RRQ931" s="18"/>
      <c r="RRR931" s="18"/>
      <c r="RRS931" s="18"/>
      <c r="RRT931" s="18"/>
      <c r="RRU931" s="18"/>
      <c r="RRV931" s="18"/>
      <c r="RRW931" s="18"/>
      <c r="RRX931" s="18"/>
      <c r="RRY931" s="18"/>
      <c r="RRZ931" s="18"/>
      <c r="RSA931" s="18"/>
      <c r="RSB931" s="18"/>
      <c r="RSC931" s="18"/>
      <c r="RSD931" s="18"/>
      <c r="RSE931" s="18"/>
      <c r="RSF931" s="18"/>
      <c r="RSG931" s="18"/>
      <c r="RSH931" s="18"/>
      <c r="RSI931" s="18"/>
      <c r="RSJ931" s="18"/>
      <c r="RSK931" s="18"/>
      <c r="RSL931" s="18"/>
      <c r="RSM931" s="18"/>
      <c r="RSN931" s="18"/>
      <c r="RSO931" s="18"/>
      <c r="RSP931" s="18"/>
      <c r="RSQ931" s="18"/>
      <c r="RSR931" s="18"/>
      <c r="RSS931" s="18"/>
      <c r="RST931" s="18"/>
      <c r="RSU931" s="18"/>
      <c r="RSV931" s="18"/>
      <c r="RSW931" s="18"/>
      <c r="RSX931" s="18"/>
      <c r="RSY931" s="18"/>
      <c r="RSZ931" s="18"/>
      <c r="RTA931" s="18"/>
      <c r="RTB931" s="18"/>
      <c r="RTC931" s="18"/>
      <c r="RTD931" s="18"/>
      <c r="RTE931" s="18"/>
      <c r="RTF931" s="18"/>
      <c r="RTG931" s="18"/>
      <c r="RTH931" s="18"/>
      <c r="RTI931" s="18"/>
      <c r="RTJ931" s="18"/>
      <c r="RTK931" s="18"/>
      <c r="RTL931" s="18"/>
      <c r="RTM931" s="18"/>
      <c r="RTN931" s="18"/>
      <c r="RTO931" s="18"/>
      <c r="RTP931" s="18"/>
      <c r="RTQ931" s="18"/>
      <c r="RTR931" s="18"/>
      <c r="RTS931" s="18"/>
      <c r="RTT931" s="18"/>
      <c r="RTU931" s="18"/>
      <c r="RTV931" s="18"/>
      <c r="RTW931" s="18"/>
      <c r="RTX931" s="18"/>
      <c r="RTY931" s="18"/>
      <c r="RTZ931" s="18"/>
      <c r="RUA931" s="18"/>
      <c r="RUB931" s="18"/>
      <c r="RUC931" s="18"/>
      <c r="RUD931" s="18"/>
      <c r="RUE931" s="18"/>
      <c r="RUF931" s="18"/>
      <c r="RUG931" s="18"/>
      <c r="RUH931" s="18"/>
      <c r="RUI931" s="18"/>
      <c r="RUJ931" s="18"/>
      <c r="RUK931" s="18"/>
      <c r="RUL931" s="18"/>
      <c r="RUM931" s="18"/>
      <c r="RUN931" s="18"/>
      <c r="RUO931" s="18"/>
      <c r="RUP931" s="18"/>
      <c r="RUQ931" s="18"/>
      <c r="RUR931" s="18"/>
      <c r="RUS931" s="18"/>
      <c r="RUT931" s="18"/>
      <c r="RUU931" s="18"/>
      <c r="RUV931" s="18"/>
      <c r="RUW931" s="18"/>
      <c r="RUX931" s="18"/>
      <c r="RUY931" s="18"/>
      <c r="RUZ931" s="18"/>
      <c r="RVA931" s="18"/>
      <c r="RVB931" s="18"/>
      <c r="RVC931" s="18"/>
      <c r="RVD931" s="18"/>
      <c r="RVE931" s="18"/>
      <c r="RVF931" s="18"/>
      <c r="RVG931" s="18"/>
      <c r="RVH931" s="18"/>
      <c r="RVI931" s="18"/>
      <c r="RVJ931" s="18"/>
      <c r="RVK931" s="18"/>
      <c r="RVL931" s="18"/>
      <c r="RVM931" s="18"/>
      <c r="RVN931" s="18"/>
      <c r="RVO931" s="18"/>
      <c r="RVP931" s="18"/>
      <c r="RVQ931" s="18"/>
      <c r="RVR931" s="18"/>
      <c r="RVS931" s="18"/>
      <c r="RVT931" s="18"/>
      <c r="RVU931" s="18"/>
      <c r="RVV931" s="18"/>
      <c r="RVW931" s="18"/>
      <c r="RVX931" s="18"/>
      <c r="RVY931" s="18"/>
      <c r="RVZ931" s="18"/>
      <c r="RWA931" s="18"/>
      <c r="RWB931" s="18"/>
      <c r="RWC931" s="18"/>
      <c r="RWD931" s="18"/>
      <c r="RWE931" s="18"/>
      <c r="RWF931" s="18"/>
      <c r="RWG931" s="18"/>
      <c r="RWH931" s="18"/>
      <c r="RWI931" s="18"/>
      <c r="RWJ931" s="18"/>
      <c r="RWK931" s="18"/>
      <c r="RWL931" s="18"/>
      <c r="RWM931" s="18"/>
      <c r="RWN931" s="18"/>
      <c r="RWO931" s="18"/>
      <c r="RWP931" s="18"/>
      <c r="RWQ931" s="18"/>
      <c r="RWR931" s="18"/>
      <c r="RWS931" s="18"/>
      <c r="RWT931" s="18"/>
      <c r="RWU931" s="18"/>
      <c r="RWV931" s="18"/>
      <c r="RWW931" s="18"/>
      <c r="RWX931" s="18"/>
      <c r="RWY931" s="18"/>
      <c r="RWZ931" s="18"/>
      <c r="RXA931" s="18"/>
      <c r="RXB931" s="18"/>
      <c r="RXC931" s="18"/>
      <c r="RXD931" s="18"/>
      <c r="RXE931" s="18"/>
      <c r="RXF931" s="18"/>
      <c r="RXG931" s="18"/>
      <c r="RXH931" s="18"/>
      <c r="RXI931" s="18"/>
      <c r="RXJ931" s="18"/>
      <c r="RXK931" s="18"/>
      <c r="RXL931" s="18"/>
      <c r="RXM931" s="18"/>
      <c r="RXN931" s="18"/>
      <c r="RXO931" s="18"/>
      <c r="RXP931" s="18"/>
      <c r="RXQ931" s="18"/>
      <c r="RXR931" s="18"/>
      <c r="RXS931" s="18"/>
      <c r="RXT931" s="18"/>
      <c r="RXU931" s="18"/>
      <c r="RXV931" s="18"/>
      <c r="RXW931" s="18"/>
      <c r="RXX931" s="18"/>
      <c r="RXY931" s="18"/>
      <c r="RXZ931" s="18"/>
      <c r="RYA931" s="18"/>
      <c r="RYB931" s="18"/>
      <c r="RYC931" s="18"/>
      <c r="RYD931" s="18"/>
      <c r="RYE931" s="18"/>
      <c r="RYF931" s="18"/>
      <c r="RYG931" s="18"/>
      <c r="RYH931" s="18"/>
      <c r="RYI931" s="18"/>
      <c r="RYJ931" s="18"/>
      <c r="RYK931" s="18"/>
      <c r="RYL931" s="18"/>
      <c r="RYM931" s="18"/>
      <c r="RYN931" s="18"/>
      <c r="RYO931" s="18"/>
      <c r="RYP931" s="18"/>
      <c r="RYQ931" s="18"/>
      <c r="RYR931" s="18"/>
      <c r="RYS931" s="18"/>
      <c r="RYT931" s="18"/>
      <c r="RYU931" s="18"/>
      <c r="RYV931" s="18"/>
      <c r="RYW931" s="18"/>
      <c r="RYX931" s="18"/>
      <c r="RYY931" s="18"/>
      <c r="RYZ931" s="18"/>
      <c r="RZA931" s="18"/>
      <c r="RZB931" s="18"/>
      <c r="RZC931" s="18"/>
      <c r="RZD931" s="18"/>
      <c r="RZE931" s="18"/>
      <c r="RZF931" s="18"/>
      <c r="RZG931" s="18"/>
      <c r="RZH931" s="18"/>
      <c r="RZI931" s="18"/>
      <c r="RZJ931" s="18"/>
      <c r="RZK931" s="18"/>
      <c r="RZL931" s="18"/>
      <c r="RZM931" s="18"/>
      <c r="RZN931" s="18"/>
      <c r="RZO931" s="18"/>
      <c r="RZP931" s="18"/>
      <c r="RZQ931" s="18"/>
      <c r="RZR931" s="18"/>
      <c r="RZS931" s="18"/>
      <c r="RZT931" s="18"/>
      <c r="RZU931" s="18"/>
      <c r="RZV931" s="18"/>
      <c r="RZW931" s="18"/>
      <c r="RZX931" s="18"/>
      <c r="RZY931" s="18"/>
      <c r="RZZ931" s="18"/>
      <c r="SAA931" s="18"/>
      <c r="SAB931" s="18"/>
      <c r="SAC931" s="18"/>
      <c r="SAD931" s="18"/>
      <c r="SAE931" s="18"/>
      <c r="SAF931" s="18"/>
      <c r="SAG931" s="18"/>
      <c r="SAH931" s="18"/>
      <c r="SAI931" s="18"/>
      <c r="SAJ931" s="18"/>
      <c r="SAK931" s="18"/>
      <c r="SAL931" s="18"/>
      <c r="SAM931" s="18"/>
      <c r="SAN931" s="18"/>
      <c r="SAO931" s="18"/>
      <c r="SAP931" s="18"/>
      <c r="SAQ931" s="18"/>
      <c r="SAR931" s="18"/>
      <c r="SAS931" s="18"/>
      <c r="SAT931" s="18"/>
      <c r="SAU931" s="18"/>
      <c r="SAV931" s="18"/>
      <c r="SAW931" s="18"/>
      <c r="SAX931" s="18"/>
      <c r="SAY931" s="18"/>
      <c r="SAZ931" s="18"/>
      <c r="SBA931" s="18"/>
      <c r="SBB931" s="18"/>
      <c r="SBC931" s="18"/>
      <c r="SBD931" s="18"/>
      <c r="SBE931" s="18"/>
      <c r="SBF931" s="18"/>
      <c r="SBG931" s="18"/>
      <c r="SBH931" s="18"/>
      <c r="SBI931" s="18"/>
      <c r="SBJ931" s="18"/>
      <c r="SBK931" s="18"/>
      <c r="SBL931" s="18"/>
      <c r="SBM931" s="18"/>
      <c r="SBN931" s="18"/>
      <c r="SBO931" s="18"/>
      <c r="SBP931" s="18"/>
      <c r="SBQ931" s="18"/>
      <c r="SBR931" s="18"/>
      <c r="SBS931" s="18"/>
      <c r="SBT931" s="18"/>
      <c r="SBU931" s="18"/>
      <c r="SBV931" s="18"/>
      <c r="SBW931" s="18"/>
      <c r="SBX931" s="18"/>
      <c r="SBY931" s="18"/>
      <c r="SBZ931" s="18"/>
      <c r="SCA931" s="18"/>
      <c r="SCB931" s="18"/>
      <c r="SCC931" s="18"/>
      <c r="SCD931" s="18"/>
      <c r="SCE931" s="18"/>
      <c r="SCF931" s="18"/>
      <c r="SCG931" s="18"/>
      <c r="SCH931" s="18"/>
      <c r="SCI931" s="18"/>
      <c r="SCJ931" s="18"/>
      <c r="SCK931" s="18"/>
      <c r="SCL931" s="18"/>
      <c r="SCM931" s="18"/>
      <c r="SCN931" s="18"/>
      <c r="SCO931" s="18"/>
      <c r="SCP931" s="18"/>
      <c r="SCQ931" s="18"/>
      <c r="SCR931" s="18"/>
      <c r="SCS931" s="18"/>
      <c r="SCT931" s="18"/>
      <c r="SCU931" s="18"/>
      <c r="SCV931" s="18"/>
      <c r="SCW931" s="18"/>
      <c r="SCX931" s="18"/>
      <c r="SCY931" s="18"/>
      <c r="SCZ931" s="18"/>
      <c r="SDA931" s="18"/>
      <c r="SDB931" s="18"/>
      <c r="SDC931" s="18"/>
      <c r="SDD931" s="18"/>
      <c r="SDE931" s="18"/>
      <c r="SDF931" s="18"/>
      <c r="SDG931" s="18"/>
      <c r="SDH931" s="18"/>
      <c r="SDI931" s="18"/>
      <c r="SDJ931" s="18"/>
      <c r="SDK931" s="18"/>
      <c r="SDL931" s="18"/>
      <c r="SDM931" s="18"/>
      <c r="SDN931" s="18"/>
      <c r="SDO931" s="18"/>
      <c r="SDP931" s="18"/>
      <c r="SDQ931" s="18"/>
      <c r="SDR931" s="18"/>
      <c r="SDS931" s="18"/>
      <c r="SDT931" s="18"/>
      <c r="SDU931" s="18"/>
      <c r="SDV931" s="18"/>
      <c r="SDW931" s="18"/>
      <c r="SDX931" s="18"/>
      <c r="SDY931" s="18"/>
      <c r="SDZ931" s="18"/>
      <c r="SEA931" s="18"/>
      <c r="SEB931" s="18"/>
      <c r="SEC931" s="18"/>
      <c r="SED931" s="18"/>
      <c r="SEE931" s="18"/>
      <c r="SEF931" s="18"/>
      <c r="SEG931" s="18"/>
      <c r="SEH931" s="18"/>
      <c r="SEI931" s="18"/>
      <c r="SEJ931" s="18"/>
      <c r="SEK931" s="18"/>
      <c r="SEL931" s="18"/>
      <c r="SEM931" s="18"/>
      <c r="SEN931" s="18"/>
      <c r="SEO931" s="18"/>
      <c r="SEP931" s="18"/>
      <c r="SEQ931" s="18"/>
      <c r="SER931" s="18"/>
      <c r="SES931" s="18"/>
      <c r="SET931" s="18"/>
      <c r="SEU931" s="18"/>
      <c r="SEV931" s="18"/>
      <c r="SEW931" s="18"/>
      <c r="SEX931" s="18"/>
      <c r="SEY931" s="18"/>
      <c r="SEZ931" s="18"/>
      <c r="SFA931" s="18"/>
      <c r="SFB931" s="18"/>
      <c r="SFC931" s="18"/>
      <c r="SFD931" s="18"/>
      <c r="SFE931" s="18"/>
      <c r="SFF931" s="18"/>
      <c r="SFG931" s="18"/>
      <c r="SFH931" s="18"/>
      <c r="SFI931" s="18"/>
      <c r="SFJ931" s="18"/>
      <c r="SFK931" s="18"/>
      <c r="SFL931" s="18"/>
      <c r="SFM931" s="18"/>
      <c r="SFN931" s="18"/>
      <c r="SFO931" s="18"/>
      <c r="SFP931" s="18"/>
      <c r="SFQ931" s="18"/>
      <c r="SFR931" s="18"/>
      <c r="SFS931" s="18"/>
      <c r="SFT931" s="18"/>
      <c r="SFU931" s="18"/>
      <c r="SFV931" s="18"/>
      <c r="SFW931" s="18"/>
      <c r="SFX931" s="18"/>
      <c r="SFY931" s="18"/>
      <c r="SFZ931" s="18"/>
      <c r="SGA931" s="18"/>
      <c r="SGB931" s="18"/>
      <c r="SGC931" s="18"/>
      <c r="SGD931" s="18"/>
      <c r="SGE931" s="18"/>
      <c r="SGF931" s="18"/>
      <c r="SGG931" s="18"/>
      <c r="SGH931" s="18"/>
      <c r="SGI931" s="18"/>
      <c r="SGJ931" s="18"/>
      <c r="SGK931" s="18"/>
      <c r="SGL931" s="18"/>
      <c r="SGM931" s="18"/>
      <c r="SGN931" s="18"/>
      <c r="SGO931" s="18"/>
      <c r="SGP931" s="18"/>
      <c r="SGQ931" s="18"/>
      <c r="SGR931" s="18"/>
      <c r="SGS931" s="18"/>
      <c r="SGT931" s="18"/>
      <c r="SGU931" s="18"/>
      <c r="SGV931" s="18"/>
      <c r="SGW931" s="18"/>
      <c r="SGX931" s="18"/>
      <c r="SGY931" s="18"/>
      <c r="SGZ931" s="18"/>
      <c r="SHA931" s="18"/>
      <c r="SHB931" s="18"/>
      <c r="SHC931" s="18"/>
      <c r="SHD931" s="18"/>
      <c r="SHE931" s="18"/>
      <c r="SHF931" s="18"/>
      <c r="SHG931" s="18"/>
      <c r="SHH931" s="18"/>
      <c r="SHI931" s="18"/>
      <c r="SHJ931" s="18"/>
      <c r="SHK931" s="18"/>
      <c r="SHL931" s="18"/>
      <c r="SHM931" s="18"/>
      <c r="SHN931" s="18"/>
      <c r="SHO931" s="18"/>
      <c r="SHP931" s="18"/>
      <c r="SHQ931" s="18"/>
      <c r="SHR931" s="18"/>
      <c r="SHS931" s="18"/>
      <c r="SHT931" s="18"/>
      <c r="SHU931" s="18"/>
      <c r="SHV931" s="18"/>
      <c r="SHW931" s="18"/>
      <c r="SHX931" s="18"/>
      <c r="SHY931" s="18"/>
      <c r="SHZ931" s="18"/>
      <c r="SIA931" s="18"/>
      <c r="SIB931" s="18"/>
      <c r="SIC931" s="18"/>
      <c r="SID931" s="18"/>
      <c r="SIE931" s="18"/>
      <c r="SIF931" s="18"/>
      <c r="SIG931" s="18"/>
      <c r="SIH931" s="18"/>
      <c r="SII931" s="18"/>
      <c r="SIJ931" s="18"/>
      <c r="SIK931" s="18"/>
      <c r="SIL931" s="18"/>
      <c r="SIM931" s="18"/>
      <c r="SIN931" s="18"/>
      <c r="SIO931" s="18"/>
      <c r="SIP931" s="18"/>
      <c r="SIQ931" s="18"/>
      <c r="SIR931" s="18"/>
      <c r="SIS931" s="18"/>
      <c r="SIT931" s="18"/>
      <c r="SIU931" s="18"/>
      <c r="SIV931" s="18"/>
      <c r="SIW931" s="18"/>
      <c r="SIX931" s="18"/>
      <c r="SIY931" s="18"/>
      <c r="SIZ931" s="18"/>
      <c r="SJA931" s="18"/>
      <c r="SJB931" s="18"/>
      <c r="SJC931" s="18"/>
      <c r="SJD931" s="18"/>
      <c r="SJE931" s="18"/>
      <c r="SJF931" s="18"/>
      <c r="SJG931" s="18"/>
      <c r="SJH931" s="18"/>
      <c r="SJI931" s="18"/>
      <c r="SJJ931" s="18"/>
      <c r="SJK931" s="18"/>
      <c r="SJL931" s="18"/>
      <c r="SJM931" s="18"/>
      <c r="SJN931" s="18"/>
      <c r="SJO931" s="18"/>
      <c r="SJP931" s="18"/>
      <c r="SJQ931" s="18"/>
      <c r="SJR931" s="18"/>
      <c r="SJS931" s="18"/>
      <c r="SJT931" s="18"/>
      <c r="SJU931" s="18"/>
      <c r="SJV931" s="18"/>
      <c r="SJW931" s="18"/>
      <c r="SJX931" s="18"/>
      <c r="SJY931" s="18"/>
      <c r="SJZ931" s="18"/>
      <c r="SKA931" s="18"/>
      <c r="SKB931" s="18"/>
      <c r="SKC931" s="18"/>
      <c r="SKD931" s="18"/>
      <c r="SKE931" s="18"/>
      <c r="SKF931" s="18"/>
      <c r="SKG931" s="18"/>
      <c r="SKH931" s="18"/>
      <c r="SKI931" s="18"/>
      <c r="SKJ931" s="18"/>
      <c r="SKK931" s="18"/>
      <c r="SKL931" s="18"/>
      <c r="SKM931" s="18"/>
      <c r="SKN931" s="18"/>
      <c r="SKO931" s="18"/>
      <c r="SKP931" s="18"/>
      <c r="SKQ931" s="18"/>
      <c r="SKR931" s="18"/>
      <c r="SKS931" s="18"/>
      <c r="SKT931" s="18"/>
      <c r="SKU931" s="18"/>
      <c r="SKV931" s="18"/>
      <c r="SKW931" s="18"/>
      <c r="SKX931" s="18"/>
      <c r="SKY931" s="18"/>
      <c r="SKZ931" s="18"/>
      <c r="SLA931" s="18"/>
      <c r="SLB931" s="18"/>
      <c r="SLC931" s="18"/>
      <c r="SLD931" s="18"/>
      <c r="SLE931" s="18"/>
      <c r="SLF931" s="18"/>
      <c r="SLG931" s="18"/>
      <c r="SLH931" s="18"/>
      <c r="SLI931" s="18"/>
      <c r="SLJ931" s="18"/>
      <c r="SLK931" s="18"/>
      <c r="SLL931" s="18"/>
      <c r="SLM931" s="18"/>
      <c r="SLN931" s="18"/>
      <c r="SLO931" s="18"/>
      <c r="SLP931" s="18"/>
      <c r="SLQ931" s="18"/>
      <c r="SLR931" s="18"/>
      <c r="SLS931" s="18"/>
      <c r="SLT931" s="18"/>
      <c r="SLU931" s="18"/>
      <c r="SLV931" s="18"/>
      <c r="SLW931" s="18"/>
      <c r="SLX931" s="18"/>
      <c r="SLY931" s="18"/>
      <c r="SLZ931" s="18"/>
      <c r="SMA931" s="18"/>
      <c r="SMB931" s="18"/>
      <c r="SMC931" s="18"/>
      <c r="SMD931" s="18"/>
      <c r="SME931" s="18"/>
      <c r="SMF931" s="18"/>
      <c r="SMG931" s="18"/>
      <c r="SMH931" s="18"/>
      <c r="SMI931" s="18"/>
      <c r="SMJ931" s="18"/>
      <c r="SMK931" s="18"/>
      <c r="SML931" s="18"/>
      <c r="SMM931" s="18"/>
      <c r="SMN931" s="18"/>
      <c r="SMO931" s="18"/>
      <c r="SMP931" s="18"/>
      <c r="SMQ931" s="18"/>
      <c r="SMR931" s="18"/>
      <c r="SMS931" s="18"/>
      <c r="SMT931" s="18"/>
      <c r="SMU931" s="18"/>
      <c r="SMV931" s="18"/>
      <c r="SMW931" s="18"/>
      <c r="SMX931" s="18"/>
      <c r="SMY931" s="18"/>
      <c r="SMZ931" s="18"/>
      <c r="SNA931" s="18"/>
      <c r="SNB931" s="18"/>
      <c r="SNC931" s="18"/>
      <c r="SND931" s="18"/>
      <c r="SNE931" s="18"/>
      <c r="SNF931" s="18"/>
      <c r="SNG931" s="18"/>
      <c r="SNH931" s="18"/>
      <c r="SNI931" s="18"/>
      <c r="SNJ931" s="18"/>
      <c r="SNK931" s="18"/>
      <c r="SNL931" s="18"/>
      <c r="SNM931" s="18"/>
      <c r="SNN931" s="18"/>
      <c r="SNO931" s="18"/>
      <c r="SNP931" s="18"/>
      <c r="SNQ931" s="18"/>
      <c r="SNR931" s="18"/>
      <c r="SNS931" s="18"/>
      <c r="SNT931" s="18"/>
      <c r="SNU931" s="18"/>
      <c r="SNV931" s="18"/>
      <c r="SNW931" s="18"/>
      <c r="SNX931" s="18"/>
      <c r="SNY931" s="18"/>
      <c r="SNZ931" s="18"/>
      <c r="SOA931" s="18"/>
      <c r="SOB931" s="18"/>
      <c r="SOC931" s="18"/>
      <c r="SOD931" s="18"/>
      <c r="SOE931" s="18"/>
      <c r="SOF931" s="18"/>
      <c r="SOG931" s="18"/>
      <c r="SOH931" s="18"/>
      <c r="SOI931" s="18"/>
      <c r="SOJ931" s="18"/>
      <c r="SOK931" s="18"/>
      <c r="SOL931" s="18"/>
      <c r="SOM931" s="18"/>
      <c r="SON931" s="18"/>
      <c r="SOO931" s="18"/>
      <c r="SOP931" s="18"/>
      <c r="SOQ931" s="18"/>
      <c r="SOR931" s="18"/>
      <c r="SOS931" s="18"/>
      <c r="SOT931" s="18"/>
      <c r="SOU931" s="18"/>
      <c r="SOV931" s="18"/>
      <c r="SOW931" s="18"/>
      <c r="SOX931" s="18"/>
      <c r="SOY931" s="18"/>
      <c r="SOZ931" s="18"/>
      <c r="SPA931" s="18"/>
      <c r="SPB931" s="18"/>
      <c r="SPC931" s="18"/>
      <c r="SPD931" s="18"/>
      <c r="SPE931" s="18"/>
      <c r="SPF931" s="18"/>
      <c r="SPG931" s="18"/>
      <c r="SPH931" s="18"/>
      <c r="SPI931" s="18"/>
      <c r="SPJ931" s="18"/>
      <c r="SPK931" s="18"/>
      <c r="SPL931" s="18"/>
      <c r="SPM931" s="18"/>
      <c r="SPN931" s="18"/>
      <c r="SPO931" s="18"/>
      <c r="SPP931" s="18"/>
      <c r="SPQ931" s="18"/>
      <c r="SPR931" s="18"/>
      <c r="SPS931" s="18"/>
      <c r="SPT931" s="18"/>
      <c r="SPU931" s="18"/>
      <c r="SPV931" s="18"/>
      <c r="SPW931" s="18"/>
      <c r="SPX931" s="18"/>
      <c r="SPY931" s="18"/>
      <c r="SPZ931" s="18"/>
      <c r="SQA931" s="18"/>
      <c r="SQB931" s="18"/>
      <c r="SQC931" s="18"/>
      <c r="SQD931" s="18"/>
      <c r="SQE931" s="18"/>
      <c r="SQF931" s="18"/>
      <c r="SQG931" s="18"/>
      <c r="SQH931" s="18"/>
      <c r="SQI931" s="18"/>
      <c r="SQJ931" s="18"/>
      <c r="SQK931" s="18"/>
      <c r="SQL931" s="18"/>
      <c r="SQM931" s="18"/>
      <c r="SQN931" s="18"/>
      <c r="SQO931" s="18"/>
      <c r="SQP931" s="18"/>
      <c r="SQQ931" s="18"/>
      <c r="SQR931" s="18"/>
      <c r="SQS931" s="18"/>
      <c r="SQT931" s="18"/>
      <c r="SQU931" s="18"/>
      <c r="SQV931" s="18"/>
      <c r="SQW931" s="18"/>
      <c r="SQX931" s="18"/>
      <c r="SQY931" s="18"/>
      <c r="SQZ931" s="18"/>
      <c r="SRA931" s="18"/>
      <c r="SRB931" s="18"/>
      <c r="SRC931" s="18"/>
      <c r="SRD931" s="18"/>
      <c r="SRE931" s="18"/>
      <c r="SRF931" s="18"/>
      <c r="SRG931" s="18"/>
      <c r="SRH931" s="18"/>
      <c r="SRI931" s="18"/>
      <c r="SRJ931" s="18"/>
      <c r="SRK931" s="18"/>
      <c r="SRL931" s="18"/>
      <c r="SRM931" s="18"/>
      <c r="SRN931" s="18"/>
      <c r="SRO931" s="18"/>
      <c r="SRP931" s="18"/>
      <c r="SRQ931" s="18"/>
      <c r="SRR931" s="18"/>
      <c r="SRS931" s="18"/>
      <c r="SRT931" s="18"/>
      <c r="SRU931" s="18"/>
      <c r="SRV931" s="18"/>
      <c r="SRW931" s="18"/>
      <c r="SRX931" s="18"/>
      <c r="SRY931" s="18"/>
      <c r="SRZ931" s="18"/>
      <c r="SSA931" s="18"/>
      <c r="SSB931" s="18"/>
      <c r="SSC931" s="18"/>
      <c r="SSD931" s="18"/>
      <c r="SSE931" s="18"/>
      <c r="SSF931" s="18"/>
      <c r="SSG931" s="18"/>
      <c r="SSH931" s="18"/>
      <c r="SSI931" s="18"/>
      <c r="SSJ931" s="18"/>
      <c r="SSK931" s="18"/>
      <c r="SSL931" s="18"/>
      <c r="SSM931" s="18"/>
      <c r="SSN931" s="18"/>
      <c r="SSO931" s="18"/>
      <c r="SSP931" s="18"/>
      <c r="SSQ931" s="18"/>
      <c r="SSR931" s="18"/>
      <c r="SSS931" s="18"/>
      <c r="SST931" s="18"/>
      <c r="SSU931" s="18"/>
      <c r="SSV931" s="18"/>
      <c r="SSW931" s="18"/>
      <c r="SSX931" s="18"/>
      <c r="SSY931" s="18"/>
      <c r="SSZ931" s="18"/>
      <c r="STA931" s="18"/>
      <c r="STB931" s="18"/>
      <c r="STC931" s="18"/>
      <c r="STD931" s="18"/>
      <c r="STE931" s="18"/>
      <c r="STF931" s="18"/>
      <c r="STG931" s="18"/>
      <c r="STH931" s="18"/>
      <c r="STI931" s="18"/>
      <c r="STJ931" s="18"/>
      <c r="STK931" s="18"/>
      <c r="STL931" s="18"/>
      <c r="STM931" s="18"/>
      <c r="STN931" s="18"/>
      <c r="STO931" s="18"/>
      <c r="STP931" s="18"/>
      <c r="STQ931" s="18"/>
      <c r="STR931" s="18"/>
      <c r="STS931" s="18"/>
      <c r="STT931" s="18"/>
      <c r="STU931" s="18"/>
      <c r="STV931" s="18"/>
      <c r="STW931" s="18"/>
      <c r="STX931" s="18"/>
      <c r="STY931" s="18"/>
      <c r="STZ931" s="18"/>
      <c r="SUA931" s="18"/>
      <c r="SUB931" s="18"/>
      <c r="SUC931" s="18"/>
      <c r="SUD931" s="18"/>
      <c r="SUE931" s="18"/>
      <c r="SUF931" s="18"/>
      <c r="SUG931" s="18"/>
      <c r="SUH931" s="18"/>
      <c r="SUI931" s="18"/>
      <c r="SUJ931" s="18"/>
      <c r="SUK931" s="18"/>
      <c r="SUL931" s="18"/>
      <c r="SUM931" s="18"/>
      <c r="SUN931" s="18"/>
      <c r="SUO931" s="18"/>
      <c r="SUP931" s="18"/>
      <c r="SUQ931" s="18"/>
      <c r="SUR931" s="18"/>
      <c r="SUS931" s="18"/>
      <c r="SUT931" s="18"/>
      <c r="SUU931" s="18"/>
      <c r="SUV931" s="18"/>
      <c r="SUW931" s="18"/>
      <c r="SUX931" s="18"/>
      <c r="SUY931" s="18"/>
      <c r="SUZ931" s="18"/>
      <c r="SVA931" s="18"/>
      <c r="SVB931" s="18"/>
      <c r="SVC931" s="18"/>
      <c r="SVD931" s="18"/>
      <c r="SVE931" s="18"/>
      <c r="SVF931" s="18"/>
      <c r="SVG931" s="18"/>
      <c r="SVH931" s="18"/>
      <c r="SVI931" s="18"/>
      <c r="SVJ931" s="18"/>
      <c r="SVK931" s="18"/>
      <c r="SVL931" s="18"/>
      <c r="SVM931" s="18"/>
      <c r="SVN931" s="18"/>
      <c r="SVO931" s="18"/>
      <c r="SVP931" s="18"/>
      <c r="SVQ931" s="18"/>
      <c r="SVR931" s="18"/>
      <c r="SVS931" s="18"/>
      <c r="SVT931" s="18"/>
      <c r="SVU931" s="18"/>
      <c r="SVV931" s="18"/>
      <c r="SVW931" s="18"/>
      <c r="SVX931" s="18"/>
      <c r="SVY931" s="18"/>
      <c r="SVZ931" s="18"/>
      <c r="SWA931" s="18"/>
      <c r="SWB931" s="18"/>
      <c r="SWC931" s="18"/>
      <c r="SWD931" s="18"/>
      <c r="SWE931" s="18"/>
      <c r="SWF931" s="18"/>
      <c r="SWG931" s="18"/>
      <c r="SWH931" s="18"/>
      <c r="SWI931" s="18"/>
      <c r="SWJ931" s="18"/>
      <c r="SWK931" s="18"/>
      <c r="SWL931" s="18"/>
      <c r="SWM931" s="18"/>
      <c r="SWN931" s="18"/>
      <c r="SWO931" s="18"/>
      <c r="SWP931" s="18"/>
      <c r="SWQ931" s="18"/>
      <c r="SWR931" s="18"/>
      <c r="SWS931" s="18"/>
      <c r="SWT931" s="18"/>
      <c r="SWU931" s="18"/>
      <c r="SWV931" s="18"/>
      <c r="SWW931" s="18"/>
      <c r="SWX931" s="18"/>
      <c r="SWY931" s="18"/>
      <c r="SWZ931" s="18"/>
      <c r="SXA931" s="18"/>
      <c r="SXB931" s="18"/>
      <c r="SXC931" s="18"/>
      <c r="SXD931" s="18"/>
      <c r="SXE931" s="18"/>
      <c r="SXF931" s="18"/>
      <c r="SXG931" s="18"/>
      <c r="SXH931" s="18"/>
      <c r="SXI931" s="18"/>
      <c r="SXJ931" s="18"/>
      <c r="SXK931" s="18"/>
      <c r="SXL931" s="18"/>
      <c r="SXM931" s="18"/>
      <c r="SXN931" s="18"/>
      <c r="SXO931" s="18"/>
      <c r="SXP931" s="18"/>
      <c r="SXQ931" s="18"/>
      <c r="SXR931" s="18"/>
      <c r="SXS931" s="18"/>
      <c r="SXT931" s="18"/>
      <c r="SXU931" s="18"/>
      <c r="SXV931" s="18"/>
      <c r="SXW931" s="18"/>
      <c r="SXX931" s="18"/>
      <c r="SXY931" s="18"/>
      <c r="SXZ931" s="18"/>
      <c r="SYA931" s="18"/>
      <c r="SYB931" s="18"/>
      <c r="SYC931" s="18"/>
      <c r="SYD931" s="18"/>
      <c r="SYE931" s="18"/>
      <c r="SYF931" s="18"/>
      <c r="SYG931" s="18"/>
      <c r="SYH931" s="18"/>
      <c r="SYI931" s="18"/>
      <c r="SYJ931" s="18"/>
      <c r="SYK931" s="18"/>
      <c r="SYL931" s="18"/>
      <c r="SYM931" s="18"/>
      <c r="SYN931" s="18"/>
      <c r="SYO931" s="18"/>
      <c r="SYP931" s="18"/>
      <c r="SYQ931" s="18"/>
      <c r="SYR931" s="18"/>
      <c r="SYS931" s="18"/>
      <c r="SYT931" s="18"/>
      <c r="SYU931" s="18"/>
      <c r="SYV931" s="18"/>
      <c r="SYW931" s="18"/>
      <c r="SYX931" s="18"/>
      <c r="SYY931" s="18"/>
      <c r="SYZ931" s="18"/>
      <c r="SZA931" s="18"/>
      <c r="SZB931" s="18"/>
      <c r="SZC931" s="18"/>
      <c r="SZD931" s="18"/>
      <c r="SZE931" s="18"/>
      <c r="SZF931" s="18"/>
      <c r="SZG931" s="18"/>
      <c r="SZH931" s="18"/>
      <c r="SZI931" s="18"/>
      <c r="SZJ931" s="18"/>
      <c r="SZK931" s="18"/>
      <c r="SZL931" s="18"/>
      <c r="SZM931" s="18"/>
      <c r="SZN931" s="18"/>
      <c r="SZO931" s="18"/>
      <c r="SZP931" s="18"/>
      <c r="SZQ931" s="18"/>
      <c r="SZR931" s="18"/>
      <c r="SZS931" s="18"/>
      <c r="SZT931" s="18"/>
      <c r="SZU931" s="18"/>
      <c r="SZV931" s="18"/>
      <c r="SZW931" s="18"/>
      <c r="SZX931" s="18"/>
      <c r="SZY931" s="18"/>
      <c r="SZZ931" s="18"/>
      <c r="TAA931" s="18"/>
      <c r="TAB931" s="18"/>
      <c r="TAC931" s="18"/>
      <c r="TAD931" s="18"/>
      <c r="TAE931" s="18"/>
      <c r="TAF931" s="18"/>
      <c r="TAG931" s="18"/>
      <c r="TAH931" s="18"/>
      <c r="TAI931" s="18"/>
      <c r="TAJ931" s="18"/>
      <c r="TAK931" s="18"/>
      <c r="TAL931" s="18"/>
      <c r="TAM931" s="18"/>
      <c r="TAN931" s="18"/>
      <c r="TAO931" s="18"/>
      <c r="TAP931" s="18"/>
      <c r="TAQ931" s="18"/>
      <c r="TAR931" s="18"/>
      <c r="TAS931" s="18"/>
      <c r="TAT931" s="18"/>
      <c r="TAU931" s="18"/>
      <c r="TAV931" s="18"/>
      <c r="TAW931" s="18"/>
      <c r="TAX931" s="18"/>
      <c r="TAY931" s="18"/>
      <c r="TAZ931" s="18"/>
      <c r="TBA931" s="18"/>
      <c r="TBB931" s="18"/>
      <c r="TBC931" s="18"/>
      <c r="TBD931" s="18"/>
      <c r="TBE931" s="18"/>
      <c r="TBF931" s="18"/>
      <c r="TBG931" s="18"/>
      <c r="TBH931" s="18"/>
      <c r="TBI931" s="18"/>
      <c r="TBJ931" s="18"/>
      <c r="TBK931" s="18"/>
      <c r="TBL931" s="18"/>
      <c r="TBM931" s="18"/>
      <c r="TBN931" s="18"/>
      <c r="TBO931" s="18"/>
      <c r="TBP931" s="18"/>
      <c r="TBQ931" s="18"/>
      <c r="TBR931" s="18"/>
      <c r="TBS931" s="18"/>
      <c r="TBT931" s="18"/>
      <c r="TBU931" s="18"/>
      <c r="TBV931" s="18"/>
      <c r="TBW931" s="18"/>
      <c r="TBX931" s="18"/>
      <c r="TBY931" s="18"/>
      <c r="TBZ931" s="18"/>
      <c r="TCA931" s="18"/>
      <c r="TCB931" s="18"/>
      <c r="TCC931" s="18"/>
      <c r="TCD931" s="18"/>
      <c r="TCE931" s="18"/>
      <c r="TCF931" s="18"/>
      <c r="TCG931" s="18"/>
      <c r="TCH931" s="18"/>
      <c r="TCI931" s="18"/>
      <c r="TCJ931" s="18"/>
      <c r="TCK931" s="18"/>
      <c r="TCL931" s="18"/>
      <c r="TCM931" s="18"/>
      <c r="TCN931" s="18"/>
      <c r="TCO931" s="18"/>
      <c r="TCP931" s="18"/>
      <c r="TCQ931" s="18"/>
      <c r="TCR931" s="18"/>
      <c r="TCS931" s="18"/>
      <c r="TCT931" s="18"/>
      <c r="TCU931" s="18"/>
      <c r="TCV931" s="18"/>
      <c r="TCW931" s="18"/>
      <c r="TCX931" s="18"/>
      <c r="TCY931" s="18"/>
      <c r="TCZ931" s="18"/>
      <c r="TDA931" s="18"/>
      <c r="TDB931" s="18"/>
      <c r="TDC931" s="18"/>
      <c r="TDD931" s="18"/>
      <c r="TDE931" s="18"/>
      <c r="TDF931" s="18"/>
      <c r="TDG931" s="18"/>
      <c r="TDH931" s="18"/>
      <c r="TDI931" s="18"/>
      <c r="TDJ931" s="18"/>
      <c r="TDK931" s="18"/>
      <c r="TDL931" s="18"/>
      <c r="TDM931" s="18"/>
      <c r="TDN931" s="18"/>
      <c r="TDO931" s="18"/>
      <c r="TDP931" s="18"/>
      <c r="TDQ931" s="18"/>
      <c r="TDR931" s="18"/>
      <c r="TDS931" s="18"/>
      <c r="TDT931" s="18"/>
      <c r="TDU931" s="18"/>
      <c r="TDV931" s="18"/>
      <c r="TDW931" s="18"/>
      <c r="TDX931" s="18"/>
      <c r="TDY931" s="18"/>
      <c r="TDZ931" s="18"/>
      <c r="TEA931" s="18"/>
      <c r="TEB931" s="18"/>
      <c r="TEC931" s="18"/>
      <c r="TED931" s="18"/>
      <c r="TEE931" s="18"/>
      <c r="TEF931" s="18"/>
      <c r="TEG931" s="18"/>
      <c r="TEH931" s="18"/>
      <c r="TEI931" s="18"/>
      <c r="TEJ931" s="18"/>
      <c r="TEK931" s="18"/>
      <c r="TEL931" s="18"/>
      <c r="TEM931" s="18"/>
      <c r="TEN931" s="18"/>
      <c r="TEO931" s="18"/>
      <c r="TEP931" s="18"/>
      <c r="TEQ931" s="18"/>
      <c r="TER931" s="18"/>
      <c r="TES931" s="18"/>
      <c r="TET931" s="18"/>
      <c r="TEU931" s="18"/>
      <c r="TEV931" s="18"/>
      <c r="TEW931" s="18"/>
      <c r="TEX931" s="18"/>
      <c r="TEY931" s="18"/>
      <c r="TEZ931" s="18"/>
      <c r="TFA931" s="18"/>
      <c r="TFB931" s="18"/>
      <c r="TFC931" s="18"/>
      <c r="TFD931" s="18"/>
      <c r="TFE931" s="18"/>
      <c r="TFF931" s="18"/>
      <c r="TFG931" s="18"/>
      <c r="TFH931" s="18"/>
      <c r="TFI931" s="18"/>
      <c r="TFJ931" s="18"/>
      <c r="TFK931" s="18"/>
      <c r="TFL931" s="18"/>
      <c r="TFM931" s="18"/>
      <c r="TFN931" s="18"/>
      <c r="TFO931" s="18"/>
      <c r="TFP931" s="18"/>
      <c r="TFQ931" s="18"/>
      <c r="TFR931" s="18"/>
      <c r="TFS931" s="18"/>
      <c r="TFT931" s="18"/>
      <c r="TFU931" s="18"/>
      <c r="TFV931" s="18"/>
      <c r="TFW931" s="18"/>
      <c r="TFX931" s="18"/>
      <c r="TFY931" s="18"/>
      <c r="TFZ931" s="18"/>
      <c r="TGA931" s="18"/>
      <c r="TGB931" s="18"/>
      <c r="TGC931" s="18"/>
      <c r="TGD931" s="18"/>
      <c r="TGE931" s="18"/>
      <c r="TGF931" s="18"/>
      <c r="TGG931" s="18"/>
      <c r="TGH931" s="18"/>
      <c r="TGI931" s="18"/>
      <c r="TGJ931" s="18"/>
      <c r="TGK931" s="18"/>
      <c r="TGL931" s="18"/>
      <c r="TGM931" s="18"/>
      <c r="TGN931" s="18"/>
      <c r="TGO931" s="18"/>
      <c r="TGP931" s="18"/>
      <c r="TGQ931" s="18"/>
      <c r="TGR931" s="18"/>
      <c r="TGS931" s="18"/>
      <c r="TGT931" s="18"/>
      <c r="TGU931" s="18"/>
      <c r="TGV931" s="18"/>
      <c r="TGW931" s="18"/>
      <c r="TGX931" s="18"/>
      <c r="TGY931" s="18"/>
      <c r="TGZ931" s="18"/>
      <c r="THA931" s="18"/>
      <c r="THB931" s="18"/>
      <c r="THC931" s="18"/>
      <c r="THD931" s="18"/>
      <c r="THE931" s="18"/>
      <c r="THF931" s="18"/>
      <c r="THG931" s="18"/>
      <c r="THH931" s="18"/>
      <c r="THI931" s="18"/>
      <c r="THJ931" s="18"/>
      <c r="THK931" s="18"/>
      <c r="THL931" s="18"/>
      <c r="THM931" s="18"/>
      <c r="THN931" s="18"/>
      <c r="THO931" s="18"/>
      <c r="THP931" s="18"/>
      <c r="THQ931" s="18"/>
      <c r="THR931" s="18"/>
      <c r="THS931" s="18"/>
      <c r="THT931" s="18"/>
      <c r="THU931" s="18"/>
      <c r="THV931" s="18"/>
      <c r="THW931" s="18"/>
      <c r="THX931" s="18"/>
      <c r="THY931" s="18"/>
      <c r="THZ931" s="18"/>
      <c r="TIA931" s="18"/>
      <c r="TIB931" s="18"/>
      <c r="TIC931" s="18"/>
      <c r="TID931" s="18"/>
      <c r="TIE931" s="18"/>
      <c r="TIF931" s="18"/>
      <c r="TIG931" s="18"/>
      <c r="TIH931" s="18"/>
      <c r="TII931" s="18"/>
      <c r="TIJ931" s="18"/>
      <c r="TIK931" s="18"/>
      <c r="TIL931" s="18"/>
      <c r="TIM931" s="18"/>
      <c r="TIN931" s="18"/>
      <c r="TIO931" s="18"/>
      <c r="TIP931" s="18"/>
      <c r="TIQ931" s="18"/>
      <c r="TIR931" s="18"/>
      <c r="TIS931" s="18"/>
      <c r="TIT931" s="18"/>
      <c r="TIU931" s="18"/>
      <c r="TIV931" s="18"/>
      <c r="TIW931" s="18"/>
      <c r="TIX931" s="18"/>
      <c r="TIY931" s="18"/>
      <c r="TIZ931" s="18"/>
      <c r="TJA931" s="18"/>
      <c r="TJB931" s="18"/>
      <c r="TJC931" s="18"/>
      <c r="TJD931" s="18"/>
      <c r="TJE931" s="18"/>
      <c r="TJF931" s="18"/>
      <c r="TJG931" s="18"/>
      <c r="TJH931" s="18"/>
      <c r="TJI931" s="18"/>
      <c r="TJJ931" s="18"/>
      <c r="TJK931" s="18"/>
      <c r="TJL931" s="18"/>
      <c r="TJM931" s="18"/>
      <c r="TJN931" s="18"/>
      <c r="TJO931" s="18"/>
      <c r="TJP931" s="18"/>
      <c r="TJQ931" s="18"/>
      <c r="TJR931" s="18"/>
      <c r="TJS931" s="18"/>
      <c r="TJT931" s="18"/>
      <c r="TJU931" s="18"/>
      <c r="TJV931" s="18"/>
      <c r="TJW931" s="18"/>
      <c r="TJX931" s="18"/>
      <c r="TJY931" s="18"/>
      <c r="TJZ931" s="18"/>
      <c r="TKA931" s="18"/>
      <c r="TKB931" s="18"/>
      <c r="TKC931" s="18"/>
      <c r="TKD931" s="18"/>
      <c r="TKE931" s="18"/>
      <c r="TKF931" s="18"/>
      <c r="TKG931" s="18"/>
      <c r="TKH931" s="18"/>
      <c r="TKI931" s="18"/>
      <c r="TKJ931" s="18"/>
      <c r="TKK931" s="18"/>
      <c r="TKL931" s="18"/>
      <c r="TKM931" s="18"/>
      <c r="TKN931" s="18"/>
      <c r="TKO931" s="18"/>
      <c r="TKP931" s="18"/>
      <c r="TKQ931" s="18"/>
      <c r="TKR931" s="18"/>
      <c r="TKS931" s="18"/>
      <c r="TKT931" s="18"/>
      <c r="TKU931" s="18"/>
      <c r="TKV931" s="18"/>
      <c r="TKW931" s="18"/>
      <c r="TKX931" s="18"/>
      <c r="TKY931" s="18"/>
      <c r="TKZ931" s="18"/>
      <c r="TLA931" s="18"/>
      <c r="TLB931" s="18"/>
      <c r="TLC931" s="18"/>
      <c r="TLD931" s="18"/>
      <c r="TLE931" s="18"/>
      <c r="TLF931" s="18"/>
      <c r="TLG931" s="18"/>
      <c r="TLH931" s="18"/>
      <c r="TLI931" s="18"/>
      <c r="TLJ931" s="18"/>
      <c r="TLK931" s="18"/>
      <c r="TLL931" s="18"/>
      <c r="TLM931" s="18"/>
      <c r="TLN931" s="18"/>
      <c r="TLO931" s="18"/>
      <c r="TLP931" s="18"/>
      <c r="TLQ931" s="18"/>
      <c r="TLR931" s="18"/>
      <c r="TLS931" s="18"/>
      <c r="TLT931" s="18"/>
      <c r="TLU931" s="18"/>
      <c r="TLV931" s="18"/>
      <c r="TLW931" s="18"/>
      <c r="TLX931" s="18"/>
      <c r="TLY931" s="18"/>
      <c r="TLZ931" s="18"/>
      <c r="TMA931" s="18"/>
      <c r="TMB931" s="18"/>
      <c r="TMC931" s="18"/>
      <c r="TMD931" s="18"/>
      <c r="TME931" s="18"/>
      <c r="TMF931" s="18"/>
      <c r="TMG931" s="18"/>
      <c r="TMH931" s="18"/>
      <c r="TMI931" s="18"/>
      <c r="TMJ931" s="18"/>
      <c r="TMK931" s="18"/>
      <c r="TML931" s="18"/>
      <c r="TMM931" s="18"/>
      <c r="TMN931" s="18"/>
      <c r="TMO931" s="18"/>
      <c r="TMP931" s="18"/>
      <c r="TMQ931" s="18"/>
      <c r="TMR931" s="18"/>
      <c r="TMS931" s="18"/>
      <c r="TMT931" s="18"/>
      <c r="TMU931" s="18"/>
      <c r="TMV931" s="18"/>
      <c r="TMW931" s="18"/>
      <c r="TMX931" s="18"/>
      <c r="TMY931" s="18"/>
      <c r="TMZ931" s="18"/>
      <c r="TNA931" s="18"/>
      <c r="TNB931" s="18"/>
      <c r="TNC931" s="18"/>
      <c r="TND931" s="18"/>
      <c r="TNE931" s="18"/>
      <c r="TNF931" s="18"/>
      <c r="TNG931" s="18"/>
      <c r="TNH931" s="18"/>
      <c r="TNI931" s="18"/>
      <c r="TNJ931" s="18"/>
      <c r="TNK931" s="18"/>
      <c r="TNL931" s="18"/>
      <c r="TNM931" s="18"/>
      <c r="TNN931" s="18"/>
      <c r="TNO931" s="18"/>
      <c r="TNP931" s="18"/>
      <c r="TNQ931" s="18"/>
      <c r="TNR931" s="18"/>
      <c r="TNS931" s="18"/>
      <c r="TNT931" s="18"/>
      <c r="TNU931" s="18"/>
      <c r="TNV931" s="18"/>
      <c r="TNW931" s="18"/>
      <c r="TNX931" s="18"/>
      <c r="TNY931" s="18"/>
      <c r="TNZ931" s="18"/>
      <c r="TOA931" s="18"/>
      <c r="TOB931" s="18"/>
      <c r="TOC931" s="18"/>
      <c r="TOD931" s="18"/>
      <c r="TOE931" s="18"/>
      <c r="TOF931" s="18"/>
      <c r="TOG931" s="18"/>
      <c r="TOH931" s="18"/>
      <c r="TOI931" s="18"/>
      <c r="TOJ931" s="18"/>
      <c r="TOK931" s="18"/>
      <c r="TOL931" s="18"/>
      <c r="TOM931" s="18"/>
      <c r="TON931" s="18"/>
      <c r="TOO931" s="18"/>
      <c r="TOP931" s="18"/>
      <c r="TOQ931" s="18"/>
      <c r="TOR931" s="18"/>
      <c r="TOS931" s="18"/>
      <c r="TOT931" s="18"/>
      <c r="TOU931" s="18"/>
      <c r="TOV931" s="18"/>
      <c r="TOW931" s="18"/>
      <c r="TOX931" s="18"/>
      <c r="TOY931" s="18"/>
      <c r="TOZ931" s="18"/>
      <c r="TPA931" s="18"/>
      <c r="TPB931" s="18"/>
      <c r="TPC931" s="18"/>
      <c r="TPD931" s="18"/>
      <c r="TPE931" s="18"/>
      <c r="TPF931" s="18"/>
      <c r="TPG931" s="18"/>
      <c r="TPH931" s="18"/>
      <c r="TPI931" s="18"/>
      <c r="TPJ931" s="18"/>
      <c r="TPK931" s="18"/>
      <c r="TPL931" s="18"/>
      <c r="TPM931" s="18"/>
      <c r="TPN931" s="18"/>
      <c r="TPO931" s="18"/>
      <c r="TPP931" s="18"/>
      <c r="TPQ931" s="18"/>
      <c r="TPR931" s="18"/>
      <c r="TPS931" s="18"/>
      <c r="TPT931" s="18"/>
      <c r="TPU931" s="18"/>
      <c r="TPV931" s="18"/>
      <c r="TPW931" s="18"/>
      <c r="TPX931" s="18"/>
      <c r="TPY931" s="18"/>
      <c r="TPZ931" s="18"/>
      <c r="TQA931" s="18"/>
      <c r="TQB931" s="18"/>
      <c r="TQC931" s="18"/>
      <c r="TQD931" s="18"/>
      <c r="TQE931" s="18"/>
      <c r="TQF931" s="18"/>
      <c r="TQG931" s="18"/>
      <c r="TQH931" s="18"/>
      <c r="TQI931" s="18"/>
      <c r="TQJ931" s="18"/>
      <c r="TQK931" s="18"/>
      <c r="TQL931" s="18"/>
      <c r="TQM931" s="18"/>
      <c r="TQN931" s="18"/>
      <c r="TQO931" s="18"/>
      <c r="TQP931" s="18"/>
      <c r="TQQ931" s="18"/>
      <c r="TQR931" s="18"/>
      <c r="TQS931" s="18"/>
      <c r="TQT931" s="18"/>
      <c r="TQU931" s="18"/>
      <c r="TQV931" s="18"/>
      <c r="TQW931" s="18"/>
      <c r="TQX931" s="18"/>
      <c r="TQY931" s="18"/>
      <c r="TQZ931" s="18"/>
      <c r="TRA931" s="18"/>
      <c r="TRB931" s="18"/>
      <c r="TRC931" s="18"/>
      <c r="TRD931" s="18"/>
      <c r="TRE931" s="18"/>
      <c r="TRF931" s="18"/>
      <c r="TRG931" s="18"/>
      <c r="TRH931" s="18"/>
      <c r="TRI931" s="18"/>
      <c r="TRJ931" s="18"/>
      <c r="TRK931" s="18"/>
      <c r="TRL931" s="18"/>
      <c r="TRM931" s="18"/>
      <c r="TRN931" s="18"/>
      <c r="TRO931" s="18"/>
      <c r="TRP931" s="18"/>
      <c r="TRQ931" s="18"/>
      <c r="TRR931" s="18"/>
      <c r="TRS931" s="18"/>
      <c r="TRT931" s="18"/>
      <c r="TRU931" s="18"/>
      <c r="TRV931" s="18"/>
      <c r="TRW931" s="18"/>
      <c r="TRX931" s="18"/>
      <c r="TRY931" s="18"/>
      <c r="TRZ931" s="18"/>
      <c r="TSA931" s="18"/>
      <c r="TSB931" s="18"/>
      <c r="TSC931" s="18"/>
      <c r="TSD931" s="18"/>
      <c r="TSE931" s="18"/>
      <c r="TSF931" s="18"/>
      <c r="TSG931" s="18"/>
      <c r="TSH931" s="18"/>
      <c r="TSI931" s="18"/>
      <c r="TSJ931" s="18"/>
      <c r="TSK931" s="18"/>
      <c r="TSL931" s="18"/>
      <c r="TSM931" s="18"/>
      <c r="TSN931" s="18"/>
      <c r="TSO931" s="18"/>
      <c r="TSP931" s="18"/>
      <c r="TSQ931" s="18"/>
      <c r="TSR931" s="18"/>
      <c r="TSS931" s="18"/>
      <c r="TST931" s="18"/>
      <c r="TSU931" s="18"/>
      <c r="TSV931" s="18"/>
      <c r="TSW931" s="18"/>
      <c r="TSX931" s="18"/>
      <c r="TSY931" s="18"/>
      <c r="TSZ931" s="18"/>
      <c r="TTA931" s="18"/>
      <c r="TTB931" s="18"/>
      <c r="TTC931" s="18"/>
      <c r="TTD931" s="18"/>
      <c r="TTE931" s="18"/>
      <c r="TTF931" s="18"/>
      <c r="TTG931" s="18"/>
      <c r="TTH931" s="18"/>
      <c r="TTI931" s="18"/>
      <c r="TTJ931" s="18"/>
      <c r="TTK931" s="18"/>
      <c r="TTL931" s="18"/>
      <c r="TTM931" s="18"/>
      <c r="TTN931" s="18"/>
      <c r="TTO931" s="18"/>
      <c r="TTP931" s="18"/>
      <c r="TTQ931" s="18"/>
      <c r="TTR931" s="18"/>
      <c r="TTS931" s="18"/>
      <c r="TTT931" s="18"/>
      <c r="TTU931" s="18"/>
      <c r="TTV931" s="18"/>
      <c r="TTW931" s="18"/>
      <c r="TTX931" s="18"/>
      <c r="TTY931" s="18"/>
      <c r="TTZ931" s="18"/>
      <c r="TUA931" s="18"/>
      <c r="TUB931" s="18"/>
      <c r="TUC931" s="18"/>
      <c r="TUD931" s="18"/>
      <c r="TUE931" s="18"/>
      <c r="TUF931" s="18"/>
      <c r="TUG931" s="18"/>
      <c r="TUH931" s="18"/>
      <c r="TUI931" s="18"/>
      <c r="TUJ931" s="18"/>
      <c r="TUK931" s="18"/>
      <c r="TUL931" s="18"/>
      <c r="TUM931" s="18"/>
      <c r="TUN931" s="18"/>
      <c r="TUO931" s="18"/>
      <c r="TUP931" s="18"/>
      <c r="TUQ931" s="18"/>
      <c r="TUR931" s="18"/>
      <c r="TUS931" s="18"/>
      <c r="TUT931" s="18"/>
      <c r="TUU931" s="18"/>
      <c r="TUV931" s="18"/>
      <c r="TUW931" s="18"/>
      <c r="TUX931" s="18"/>
      <c r="TUY931" s="18"/>
      <c r="TUZ931" s="18"/>
      <c r="TVA931" s="18"/>
      <c r="TVB931" s="18"/>
      <c r="TVC931" s="18"/>
      <c r="TVD931" s="18"/>
      <c r="TVE931" s="18"/>
      <c r="TVF931" s="18"/>
      <c r="TVG931" s="18"/>
      <c r="TVH931" s="18"/>
      <c r="TVI931" s="18"/>
      <c r="TVJ931" s="18"/>
      <c r="TVK931" s="18"/>
      <c r="TVL931" s="18"/>
      <c r="TVM931" s="18"/>
      <c r="TVN931" s="18"/>
      <c r="TVO931" s="18"/>
      <c r="TVP931" s="18"/>
      <c r="TVQ931" s="18"/>
      <c r="TVR931" s="18"/>
      <c r="TVS931" s="18"/>
      <c r="TVT931" s="18"/>
      <c r="TVU931" s="18"/>
      <c r="TVV931" s="18"/>
      <c r="TVW931" s="18"/>
      <c r="TVX931" s="18"/>
      <c r="TVY931" s="18"/>
      <c r="TVZ931" s="18"/>
      <c r="TWA931" s="18"/>
      <c r="TWB931" s="18"/>
      <c r="TWC931" s="18"/>
      <c r="TWD931" s="18"/>
      <c r="TWE931" s="18"/>
      <c r="TWF931" s="18"/>
      <c r="TWG931" s="18"/>
      <c r="TWH931" s="18"/>
      <c r="TWI931" s="18"/>
      <c r="TWJ931" s="18"/>
      <c r="TWK931" s="18"/>
      <c r="TWL931" s="18"/>
      <c r="TWM931" s="18"/>
      <c r="TWN931" s="18"/>
      <c r="TWO931" s="18"/>
      <c r="TWP931" s="18"/>
      <c r="TWQ931" s="18"/>
      <c r="TWR931" s="18"/>
      <c r="TWS931" s="18"/>
      <c r="TWT931" s="18"/>
      <c r="TWU931" s="18"/>
      <c r="TWV931" s="18"/>
      <c r="TWW931" s="18"/>
      <c r="TWX931" s="18"/>
      <c r="TWY931" s="18"/>
      <c r="TWZ931" s="18"/>
      <c r="TXA931" s="18"/>
      <c r="TXB931" s="18"/>
      <c r="TXC931" s="18"/>
      <c r="TXD931" s="18"/>
      <c r="TXE931" s="18"/>
      <c r="TXF931" s="18"/>
      <c r="TXG931" s="18"/>
      <c r="TXH931" s="18"/>
      <c r="TXI931" s="18"/>
      <c r="TXJ931" s="18"/>
      <c r="TXK931" s="18"/>
      <c r="TXL931" s="18"/>
      <c r="TXM931" s="18"/>
      <c r="TXN931" s="18"/>
      <c r="TXO931" s="18"/>
      <c r="TXP931" s="18"/>
      <c r="TXQ931" s="18"/>
      <c r="TXR931" s="18"/>
      <c r="TXS931" s="18"/>
      <c r="TXT931" s="18"/>
      <c r="TXU931" s="18"/>
      <c r="TXV931" s="18"/>
      <c r="TXW931" s="18"/>
      <c r="TXX931" s="18"/>
      <c r="TXY931" s="18"/>
      <c r="TXZ931" s="18"/>
      <c r="TYA931" s="18"/>
      <c r="TYB931" s="18"/>
      <c r="TYC931" s="18"/>
      <c r="TYD931" s="18"/>
      <c r="TYE931" s="18"/>
      <c r="TYF931" s="18"/>
      <c r="TYG931" s="18"/>
      <c r="TYH931" s="18"/>
      <c r="TYI931" s="18"/>
      <c r="TYJ931" s="18"/>
      <c r="TYK931" s="18"/>
      <c r="TYL931" s="18"/>
      <c r="TYM931" s="18"/>
      <c r="TYN931" s="18"/>
      <c r="TYO931" s="18"/>
      <c r="TYP931" s="18"/>
      <c r="TYQ931" s="18"/>
      <c r="TYR931" s="18"/>
      <c r="TYS931" s="18"/>
      <c r="TYT931" s="18"/>
      <c r="TYU931" s="18"/>
      <c r="TYV931" s="18"/>
      <c r="TYW931" s="18"/>
      <c r="TYX931" s="18"/>
      <c r="TYY931" s="18"/>
      <c r="TYZ931" s="18"/>
      <c r="TZA931" s="18"/>
      <c r="TZB931" s="18"/>
      <c r="TZC931" s="18"/>
      <c r="TZD931" s="18"/>
      <c r="TZE931" s="18"/>
      <c r="TZF931" s="18"/>
      <c r="TZG931" s="18"/>
      <c r="TZH931" s="18"/>
      <c r="TZI931" s="18"/>
      <c r="TZJ931" s="18"/>
      <c r="TZK931" s="18"/>
      <c r="TZL931" s="18"/>
      <c r="TZM931" s="18"/>
      <c r="TZN931" s="18"/>
      <c r="TZO931" s="18"/>
      <c r="TZP931" s="18"/>
      <c r="TZQ931" s="18"/>
      <c r="TZR931" s="18"/>
      <c r="TZS931" s="18"/>
      <c r="TZT931" s="18"/>
      <c r="TZU931" s="18"/>
      <c r="TZV931" s="18"/>
      <c r="TZW931" s="18"/>
      <c r="TZX931" s="18"/>
      <c r="TZY931" s="18"/>
      <c r="TZZ931" s="18"/>
      <c r="UAA931" s="18"/>
      <c r="UAB931" s="18"/>
      <c r="UAC931" s="18"/>
      <c r="UAD931" s="18"/>
      <c r="UAE931" s="18"/>
      <c r="UAF931" s="18"/>
      <c r="UAG931" s="18"/>
      <c r="UAH931" s="18"/>
      <c r="UAI931" s="18"/>
      <c r="UAJ931" s="18"/>
      <c r="UAK931" s="18"/>
      <c r="UAL931" s="18"/>
      <c r="UAM931" s="18"/>
      <c r="UAN931" s="18"/>
      <c r="UAO931" s="18"/>
      <c r="UAP931" s="18"/>
      <c r="UAQ931" s="18"/>
      <c r="UAR931" s="18"/>
      <c r="UAS931" s="18"/>
      <c r="UAT931" s="18"/>
      <c r="UAU931" s="18"/>
      <c r="UAV931" s="18"/>
      <c r="UAW931" s="18"/>
      <c r="UAX931" s="18"/>
      <c r="UAY931" s="18"/>
      <c r="UAZ931" s="18"/>
      <c r="UBA931" s="18"/>
      <c r="UBB931" s="18"/>
      <c r="UBC931" s="18"/>
      <c r="UBD931" s="18"/>
      <c r="UBE931" s="18"/>
      <c r="UBF931" s="18"/>
      <c r="UBG931" s="18"/>
      <c r="UBH931" s="18"/>
      <c r="UBI931" s="18"/>
      <c r="UBJ931" s="18"/>
      <c r="UBK931" s="18"/>
      <c r="UBL931" s="18"/>
      <c r="UBM931" s="18"/>
      <c r="UBN931" s="18"/>
      <c r="UBO931" s="18"/>
      <c r="UBP931" s="18"/>
      <c r="UBQ931" s="18"/>
      <c r="UBR931" s="18"/>
      <c r="UBS931" s="18"/>
      <c r="UBT931" s="18"/>
      <c r="UBU931" s="18"/>
      <c r="UBV931" s="18"/>
      <c r="UBW931" s="18"/>
      <c r="UBX931" s="18"/>
      <c r="UBY931" s="18"/>
      <c r="UBZ931" s="18"/>
      <c r="UCA931" s="18"/>
      <c r="UCB931" s="18"/>
      <c r="UCC931" s="18"/>
      <c r="UCD931" s="18"/>
      <c r="UCE931" s="18"/>
      <c r="UCF931" s="18"/>
      <c r="UCG931" s="18"/>
      <c r="UCH931" s="18"/>
      <c r="UCI931" s="18"/>
      <c r="UCJ931" s="18"/>
      <c r="UCK931" s="18"/>
      <c r="UCL931" s="18"/>
      <c r="UCM931" s="18"/>
      <c r="UCN931" s="18"/>
      <c r="UCO931" s="18"/>
      <c r="UCP931" s="18"/>
      <c r="UCQ931" s="18"/>
      <c r="UCR931" s="18"/>
      <c r="UCS931" s="18"/>
      <c r="UCT931" s="18"/>
      <c r="UCU931" s="18"/>
      <c r="UCV931" s="18"/>
      <c r="UCW931" s="18"/>
      <c r="UCX931" s="18"/>
      <c r="UCY931" s="18"/>
      <c r="UCZ931" s="18"/>
      <c r="UDA931" s="18"/>
      <c r="UDB931" s="18"/>
      <c r="UDC931" s="18"/>
      <c r="UDD931" s="18"/>
      <c r="UDE931" s="18"/>
      <c r="UDF931" s="18"/>
      <c r="UDG931" s="18"/>
      <c r="UDH931" s="18"/>
      <c r="UDI931" s="18"/>
      <c r="UDJ931" s="18"/>
      <c r="UDK931" s="18"/>
      <c r="UDL931" s="18"/>
      <c r="UDM931" s="18"/>
      <c r="UDN931" s="18"/>
      <c r="UDO931" s="18"/>
      <c r="UDP931" s="18"/>
      <c r="UDQ931" s="18"/>
      <c r="UDR931" s="18"/>
      <c r="UDS931" s="18"/>
      <c r="UDT931" s="18"/>
      <c r="UDU931" s="18"/>
      <c r="UDV931" s="18"/>
      <c r="UDW931" s="18"/>
      <c r="UDX931" s="18"/>
      <c r="UDY931" s="18"/>
      <c r="UDZ931" s="18"/>
      <c r="UEA931" s="18"/>
      <c r="UEB931" s="18"/>
      <c r="UEC931" s="18"/>
      <c r="UED931" s="18"/>
      <c r="UEE931" s="18"/>
      <c r="UEF931" s="18"/>
      <c r="UEG931" s="18"/>
      <c r="UEH931" s="18"/>
      <c r="UEI931" s="18"/>
      <c r="UEJ931" s="18"/>
      <c r="UEK931" s="18"/>
      <c r="UEL931" s="18"/>
      <c r="UEM931" s="18"/>
      <c r="UEN931" s="18"/>
      <c r="UEO931" s="18"/>
      <c r="UEP931" s="18"/>
      <c r="UEQ931" s="18"/>
      <c r="UER931" s="18"/>
      <c r="UES931" s="18"/>
      <c r="UET931" s="18"/>
      <c r="UEU931" s="18"/>
      <c r="UEV931" s="18"/>
      <c r="UEW931" s="18"/>
      <c r="UEX931" s="18"/>
      <c r="UEY931" s="18"/>
      <c r="UEZ931" s="18"/>
      <c r="UFA931" s="18"/>
      <c r="UFB931" s="18"/>
      <c r="UFC931" s="18"/>
      <c r="UFD931" s="18"/>
      <c r="UFE931" s="18"/>
      <c r="UFF931" s="18"/>
      <c r="UFG931" s="18"/>
      <c r="UFH931" s="18"/>
      <c r="UFI931" s="18"/>
      <c r="UFJ931" s="18"/>
      <c r="UFK931" s="18"/>
      <c r="UFL931" s="18"/>
      <c r="UFM931" s="18"/>
      <c r="UFN931" s="18"/>
      <c r="UFO931" s="18"/>
      <c r="UFP931" s="18"/>
      <c r="UFQ931" s="18"/>
      <c r="UFR931" s="18"/>
      <c r="UFS931" s="18"/>
      <c r="UFT931" s="18"/>
      <c r="UFU931" s="18"/>
      <c r="UFV931" s="18"/>
      <c r="UFW931" s="18"/>
      <c r="UFX931" s="18"/>
      <c r="UFY931" s="18"/>
      <c r="UFZ931" s="18"/>
      <c r="UGA931" s="18"/>
      <c r="UGB931" s="18"/>
      <c r="UGC931" s="18"/>
      <c r="UGD931" s="18"/>
      <c r="UGE931" s="18"/>
      <c r="UGF931" s="18"/>
      <c r="UGG931" s="18"/>
      <c r="UGH931" s="18"/>
      <c r="UGI931" s="18"/>
      <c r="UGJ931" s="18"/>
      <c r="UGK931" s="18"/>
      <c r="UGL931" s="18"/>
      <c r="UGM931" s="18"/>
      <c r="UGN931" s="18"/>
      <c r="UGO931" s="18"/>
      <c r="UGP931" s="18"/>
      <c r="UGQ931" s="18"/>
      <c r="UGR931" s="18"/>
      <c r="UGS931" s="18"/>
      <c r="UGT931" s="18"/>
      <c r="UGU931" s="18"/>
      <c r="UGV931" s="18"/>
      <c r="UGW931" s="18"/>
      <c r="UGX931" s="18"/>
      <c r="UGY931" s="18"/>
      <c r="UGZ931" s="18"/>
      <c r="UHA931" s="18"/>
      <c r="UHB931" s="18"/>
      <c r="UHC931" s="18"/>
      <c r="UHD931" s="18"/>
      <c r="UHE931" s="18"/>
      <c r="UHF931" s="18"/>
      <c r="UHG931" s="18"/>
      <c r="UHH931" s="18"/>
      <c r="UHI931" s="18"/>
      <c r="UHJ931" s="18"/>
      <c r="UHK931" s="18"/>
      <c r="UHL931" s="18"/>
      <c r="UHM931" s="18"/>
      <c r="UHN931" s="18"/>
      <c r="UHO931" s="18"/>
      <c r="UHP931" s="18"/>
      <c r="UHQ931" s="18"/>
      <c r="UHR931" s="18"/>
      <c r="UHS931" s="18"/>
      <c r="UHT931" s="18"/>
      <c r="UHU931" s="18"/>
      <c r="UHV931" s="18"/>
      <c r="UHW931" s="18"/>
      <c r="UHX931" s="18"/>
      <c r="UHY931" s="18"/>
      <c r="UHZ931" s="18"/>
      <c r="UIA931" s="18"/>
      <c r="UIB931" s="18"/>
      <c r="UIC931" s="18"/>
      <c r="UID931" s="18"/>
      <c r="UIE931" s="18"/>
      <c r="UIF931" s="18"/>
      <c r="UIG931" s="18"/>
      <c r="UIH931" s="18"/>
      <c r="UII931" s="18"/>
      <c r="UIJ931" s="18"/>
      <c r="UIK931" s="18"/>
      <c r="UIL931" s="18"/>
      <c r="UIM931" s="18"/>
      <c r="UIN931" s="18"/>
      <c r="UIO931" s="18"/>
      <c r="UIP931" s="18"/>
      <c r="UIQ931" s="18"/>
      <c r="UIR931" s="18"/>
      <c r="UIS931" s="18"/>
      <c r="UIT931" s="18"/>
      <c r="UIU931" s="18"/>
      <c r="UIV931" s="18"/>
      <c r="UIW931" s="18"/>
      <c r="UIX931" s="18"/>
      <c r="UIY931" s="18"/>
      <c r="UIZ931" s="18"/>
      <c r="UJA931" s="18"/>
      <c r="UJB931" s="18"/>
      <c r="UJC931" s="18"/>
      <c r="UJD931" s="18"/>
      <c r="UJE931" s="18"/>
      <c r="UJF931" s="18"/>
      <c r="UJG931" s="18"/>
      <c r="UJH931" s="18"/>
      <c r="UJI931" s="18"/>
      <c r="UJJ931" s="18"/>
      <c r="UJK931" s="18"/>
      <c r="UJL931" s="18"/>
      <c r="UJM931" s="18"/>
      <c r="UJN931" s="18"/>
      <c r="UJO931" s="18"/>
      <c r="UJP931" s="18"/>
      <c r="UJQ931" s="18"/>
      <c r="UJR931" s="18"/>
      <c r="UJS931" s="18"/>
      <c r="UJT931" s="18"/>
      <c r="UJU931" s="18"/>
      <c r="UJV931" s="18"/>
      <c r="UJW931" s="18"/>
      <c r="UJX931" s="18"/>
      <c r="UJY931" s="18"/>
      <c r="UJZ931" s="18"/>
      <c r="UKA931" s="18"/>
      <c r="UKB931" s="18"/>
      <c r="UKC931" s="18"/>
      <c r="UKD931" s="18"/>
      <c r="UKE931" s="18"/>
      <c r="UKF931" s="18"/>
      <c r="UKG931" s="18"/>
      <c r="UKH931" s="18"/>
      <c r="UKI931" s="18"/>
      <c r="UKJ931" s="18"/>
      <c r="UKK931" s="18"/>
      <c r="UKL931" s="18"/>
      <c r="UKM931" s="18"/>
      <c r="UKN931" s="18"/>
      <c r="UKO931" s="18"/>
      <c r="UKP931" s="18"/>
      <c r="UKQ931" s="18"/>
      <c r="UKR931" s="18"/>
      <c r="UKS931" s="18"/>
      <c r="UKT931" s="18"/>
      <c r="UKU931" s="18"/>
      <c r="UKV931" s="18"/>
      <c r="UKW931" s="18"/>
      <c r="UKX931" s="18"/>
      <c r="UKY931" s="18"/>
      <c r="UKZ931" s="18"/>
      <c r="ULA931" s="18"/>
      <c r="ULB931" s="18"/>
      <c r="ULC931" s="18"/>
      <c r="ULD931" s="18"/>
      <c r="ULE931" s="18"/>
      <c r="ULF931" s="18"/>
      <c r="ULG931" s="18"/>
      <c r="ULH931" s="18"/>
      <c r="ULI931" s="18"/>
      <c r="ULJ931" s="18"/>
      <c r="ULK931" s="18"/>
      <c r="ULL931" s="18"/>
      <c r="ULM931" s="18"/>
      <c r="ULN931" s="18"/>
      <c r="ULO931" s="18"/>
      <c r="ULP931" s="18"/>
      <c r="ULQ931" s="18"/>
      <c r="ULR931" s="18"/>
      <c r="ULS931" s="18"/>
      <c r="ULT931" s="18"/>
      <c r="ULU931" s="18"/>
      <c r="ULV931" s="18"/>
      <c r="ULW931" s="18"/>
      <c r="ULX931" s="18"/>
      <c r="ULY931" s="18"/>
      <c r="ULZ931" s="18"/>
      <c r="UMA931" s="18"/>
      <c r="UMB931" s="18"/>
      <c r="UMC931" s="18"/>
      <c r="UMD931" s="18"/>
      <c r="UME931" s="18"/>
      <c r="UMF931" s="18"/>
      <c r="UMG931" s="18"/>
      <c r="UMH931" s="18"/>
      <c r="UMI931" s="18"/>
      <c r="UMJ931" s="18"/>
      <c r="UMK931" s="18"/>
      <c r="UML931" s="18"/>
      <c r="UMM931" s="18"/>
      <c r="UMN931" s="18"/>
      <c r="UMO931" s="18"/>
      <c r="UMP931" s="18"/>
      <c r="UMQ931" s="18"/>
      <c r="UMR931" s="18"/>
      <c r="UMS931" s="18"/>
      <c r="UMT931" s="18"/>
      <c r="UMU931" s="18"/>
      <c r="UMV931" s="18"/>
      <c r="UMW931" s="18"/>
      <c r="UMX931" s="18"/>
      <c r="UMY931" s="18"/>
      <c r="UMZ931" s="18"/>
      <c r="UNA931" s="18"/>
      <c r="UNB931" s="18"/>
      <c r="UNC931" s="18"/>
      <c r="UND931" s="18"/>
      <c r="UNE931" s="18"/>
      <c r="UNF931" s="18"/>
      <c r="UNG931" s="18"/>
      <c r="UNH931" s="18"/>
      <c r="UNI931" s="18"/>
      <c r="UNJ931" s="18"/>
      <c r="UNK931" s="18"/>
      <c r="UNL931" s="18"/>
      <c r="UNM931" s="18"/>
      <c r="UNN931" s="18"/>
      <c r="UNO931" s="18"/>
      <c r="UNP931" s="18"/>
      <c r="UNQ931" s="18"/>
      <c r="UNR931" s="18"/>
      <c r="UNS931" s="18"/>
      <c r="UNT931" s="18"/>
      <c r="UNU931" s="18"/>
      <c r="UNV931" s="18"/>
      <c r="UNW931" s="18"/>
      <c r="UNX931" s="18"/>
      <c r="UNY931" s="18"/>
      <c r="UNZ931" s="18"/>
      <c r="UOA931" s="18"/>
      <c r="UOB931" s="18"/>
      <c r="UOC931" s="18"/>
      <c r="UOD931" s="18"/>
      <c r="UOE931" s="18"/>
      <c r="UOF931" s="18"/>
      <c r="UOG931" s="18"/>
      <c r="UOH931" s="18"/>
      <c r="UOI931" s="18"/>
      <c r="UOJ931" s="18"/>
      <c r="UOK931" s="18"/>
      <c r="UOL931" s="18"/>
      <c r="UOM931" s="18"/>
      <c r="UON931" s="18"/>
      <c r="UOO931" s="18"/>
      <c r="UOP931" s="18"/>
      <c r="UOQ931" s="18"/>
      <c r="UOR931" s="18"/>
      <c r="UOS931" s="18"/>
      <c r="UOT931" s="18"/>
      <c r="UOU931" s="18"/>
      <c r="UOV931" s="18"/>
      <c r="UOW931" s="18"/>
      <c r="UOX931" s="18"/>
      <c r="UOY931" s="18"/>
      <c r="UOZ931" s="18"/>
      <c r="UPA931" s="18"/>
      <c r="UPB931" s="18"/>
      <c r="UPC931" s="18"/>
      <c r="UPD931" s="18"/>
      <c r="UPE931" s="18"/>
      <c r="UPF931" s="18"/>
      <c r="UPG931" s="18"/>
      <c r="UPH931" s="18"/>
      <c r="UPI931" s="18"/>
      <c r="UPJ931" s="18"/>
      <c r="UPK931" s="18"/>
      <c r="UPL931" s="18"/>
      <c r="UPM931" s="18"/>
      <c r="UPN931" s="18"/>
      <c r="UPO931" s="18"/>
      <c r="UPP931" s="18"/>
      <c r="UPQ931" s="18"/>
      <c r="UPR931" s="18"/>
      <c r="UPS931" s="18"/>
      <c r="UPT931" s="18"/>
      <c r="UPU931" s="18"/>
      <c r="UPV931" s="18"/>
      <c r="UPW931" s="18"/>
      <c r="UPX931" s="18"/>
      <c r="UPY931" s="18"/>
      <c r="UPZ931" s="18"/>
      <c r="UQA931" s="18"/>
      <c r="UQB931" s="18"/>
      <c r="UQC931" s="18"/>
      <c r="UQD931" s="18"/>
      <c r="UQE931" s="18"/>
      <c r="UQF931" s="18"/>
      <c r="UQG931" s="18"/>
      <c r="UQH931" s="18"/>
      <c r="UQI931" s="18"/>
      <c r="UQJ931" s="18"/>
      <c r="UQK931" s="18"/>
      <c r="UQL931" s="18"/>
      <c r="UQM931" s="18"/>
      <c r="UQN931" s="18"/>
      <c r="UQO931" s="18"/>
      <c r="UQP931" s="18"/>
      <c r="UQQ931" s="18"/>
      <c r="UQR931" s="18"/>
      <c r="UQS931" s="18"/>
      <c r="UQT931" s="18"/>
      <c r="UQU931" s="18"/>
      <c r="UQV931" s="18"/>
      <c r="UQW931" s="18"/>
      <c r="UQX931" s="18"/>
      <c r="UQY931" s="18"/>
      <c r="UQZ931" s="18"/>
      <c r="URA931" s="18"/>
      <c r="URB931" s="18"/>
      <c r="URC931" s="18"/>
      <c r="URD931" s="18"/>
      <c r="URE931" s="18"/>
      <c r="URF931" s="18"/>
      <c r="URG931" s="18"/>
      <c r="URH931" s="18"/>
      <c r="URI931" s="18"/>
      <c r="URJ931" s="18"/>
      <c r="URK931" s="18"/>
      <c r="URL931" s="18"/>
      <c r="URM931" s="18"/>
      <c r="URN931" s="18"/>
      <c r="URO931" s="18"/>
      <c r="URP931" s="18"/>
      <c r="URQ931" s="18"/>
      <c r="URR931" s="18"/>
      <c r="URS931" s="18"/>
      <c r="URT931" s="18"/>
      <c r="URU931" s="18"/>
      <c r="URV931" s="18"/>
      <c r="URW931" s="18"/>
      <c r="URX931" s="18"/>
      <c r="URY931" s="18"/>
      <c r="URZ931" s="18"/>
      <c r="USA931" s="18"/>
      <c r="USB931" s="18"/>
      <c r="USC931" s="18"/>
      <c r="USD931" s="18"/>
      <c r="USE931" s="18"/>
      <c r="USF931" s="18"/>
      <c r="USG931" s="18"/>
      <c r="USH931" s="18"/>
      <c r="USI931" s="18"/>
      <c r="USJ931" s="18"/>
      <c r="USK931" s="18"/>
      <c r="USL931" s="18"/>
      <c r="USM931" s="18"/>
      <c r="USN931" s="18"/>
      <c r="USO931" s="18"/>
      <c r="USP931" s="18"/>
      <c r="USQ931" s="18"/>
      <c r="USR931" s="18"/>
      <c r="USS931" s="18"/>
      <c r="UST931" s="18"/>
      <c r="USU931" s="18"/>
      <c r="USV931" s="18"/>
      <c r="USW931" s="18"/>
      <c r="USX931" s="18"/>
      <c r="USY931" s="18"/>
      <c r="USZ931" s="18"/>
      <c r="UTA931" s="18"/>
      <c r="UTB931" s="18"/>
      <c r="UTC931" s="18"/>
      <c r="UTD931" s="18"/>
      <c r="UTE931" s="18"/>
      <c r="UTF931" s="18"/>
      <c r="UTG931" s="18"/>
      <c r="UTH931" s="18"/>
      <c r="UTI931" s="18"/>
      <c r="UTJ931" s="18"/>
      <c r="UTK931" s="18"/>
      <c r="UTL931" s="18"/>
      <c r="UTM931" s="18"/>
      <c r="UTN931" s="18"/>
      <c r="UTO931" s="18"/>
      <c r="UTP931" s="18"/>
      <c r="UTQ931" s="18"/>
      <c r="UTR931" s="18"/>
      <c r="UTS931" s="18"/>
      <c r="UTT931" s="18"/>
      <c r="UTU931" s="18"/>
      <c r="UTV931" s="18"/>
      <c r="UTW931" s="18"/>
      <c r="UTX931" s="18"/>
      <c r="UTY931" s="18"/>
      <c r="UTZ931" s="18"/>
      <c r="UUA931" s="18"/>
      <c r="UUB931" s="18"/>
      <c r="UUC931" s="18"/>
      <c r="UUD931" s="18"/>
      <c r="UUE931" s="18"/>
      <c r="UUF931" s="18"/>
      <c r="UUG931" s="18"/>
      <c r="UUH931" s="18"/>
      <c r="UUI931" s="18"/>
      <c r="UUJ931" s="18"/>
      <c r="UUK931" s="18"/>
      <c r="UUL931" s="18"/>
      <c r="UUM931" s="18"/>
      <c r="UUN931" s="18"/>
      <c r="UUO931" s="18"/>
      <c r="UUP931" s="18"/>
      <c r="UUQ931" s="18"/>
      <c r="UUR931" s="18"/>
      <c r="UUS931" s="18"/>
      <c r="UUT931" s="18"/>
      <c r="UUU931" s="18"/>
      <c r="UUV931" s="18"/>
      <c r="UUW931" s="18"/>
      <c r="UUX931" s="18"/>
      <c r="UUY931" s="18"/>
      <c r="UUZ931" s="18"/>
      <c r="UVA931" s="18"/>
      <c r="UVB931" s="18"/>
      <c r="UVC931" s="18"/>
      <c r="UVD931" s="18"/>
      <c r="UVE931" s="18"/>
      <c r="UVF931" s="18"/>
      <c r="UVG931" s="18"/>
      <c r="UVH931" s="18"/>
      <c r="UVI931" s="18"/>
      <c r="UVJ931" s="18"/>
      <c r="UVK931" s="18"/>
      <c r="UVL931" s="18"/>
      <c r="UVM931" s="18"/>
      <c r="UVN931" s="18"/>
      <c r="UVO931" s="18"/>
      <c r="UVP931" s="18"/>
      <c r="UVQ931" s="18"/>
      <c r="UVR931" s="18"/>
      <c r="UVS931" s="18"/>
      <c r="UVT931" s="18"/>
      <c r="UVU931" s="18"/>
      <c r="UVV931" s="18"/>
      <c r="UVW931" s="18"/>
      <c r="UVX931" s="18"/>
      <c r="UVY931" s="18"/>
      <c r="UVZ931" s="18"/>
      <c r="UWA931" s="18"/>
      <c r="UWB931" s="18"/>
      <c r="UWC931" s="18"/>
      <c r="UWD931" s="18"/>
      <c r="UWE931" s="18"/>
      <c r="UWF931" s="18"/>
      <c r="UWG931" s="18"/>
      <c r="UWH931" s="18"/>
      <c r="UWI931" s="18"/>
      <c r="UWJ931" s="18"/>
      <c r="UWK931" s="18"/>
      <c r="UWL931" s="18"/>
      <c r="UWM931" s="18"/>
      <c r="UWN931" s="18"/>
      <c r="UWO931" s="18"/>
      <c r="UWP931" s="18"/>
      <c r="UWQ931" s="18"/>
      <c r="UWR931" s="18"/>
      <c r="UWS931" s="18"/>
      <c r="UWT931" s="18"/>
      <c r="UWU931" s="18"/>
      <c r="UWV931" s="18"/>
      <c r="UWW931" s="18"/>
      <c r="UWX931" s="18"/>
      <c r="UWY931" s="18"/>
      <c r="UWZ931" s="18"/>
      <c r="UXA931" s="18"/>
      <c r="UXB931" s="18"/>
      <c r="UXC931" s="18"/>
      <c r="UXD931" s="18"/>
      <c r="UXE931" s="18"/>
      <c r="UXF931" s="18"/>
      <c r="UXG931" s="18"/>
      <c r="UXH931" s="18"/>
      <c r="UXI931" s="18"/>
      <c r="UXJ931" s="18"/>
      <c r="UXK931" s="18"/>
      <c r="UXL931" s="18"/>
      <c r="UXM931" s="18"/>
      <c r="UXN931" s="18"/>
      <c r="UXO931" s="18"/>
      <c r="UXP931" s="18"/>
      <c r="UXQ931" s="18"/>
      <c r="UXR931" s="18"/>
      <c r="UXS931" s="18"/>
      <c r="UXT931" s="18"/>
      <c r="UXU931" s="18"/>
      <c r="UXV931" s="18"/>
      <c r="UXW931" s="18"/>
      <c r="UXX931" s="18"/>
      <c r="UXY931" s="18"/>
      <c r="UXZ931" s="18"/>
      <c r="UYA931" s="18"/>
      <c r="UYB931" s="18"/>
      <c r="UYC931" s="18"/>
      <c r="UYD931" s="18"/>
      <c r="UYE931" s="18"/>
      <c r="UYF931" s="18"/>
      <c r="UYG931" s="18"/>
      <c r="UYH931" s="18"/>
      <c r="UYI931" s="18"/>
      <c r="UYJ931" s="18"/>
      <c r="UYK931" s="18"/>
      <c r="UYL931" s="18"/>
      <c r="UYM931" s="18"/>
      <c r="UYN931" s="18"/>
      <c r="UYO931" s="18"/>
      <c r="UYP931" s="18"/>
      <c r="UYQ931" s="18"/>
      <c r="UYR931" s="18"/>
      <c r="UYS931" s="18"/>
      <c r="UYT931" s="18"/>
      <c r="UYU931" s="18"/>
      <c r="UYV931" s="18"/>
      <c r="UYW931" s="18"/>
      <c r="UYX931" s="18"/>
      <c r="UYY931" s="18"/>
      <c r="UYZ931" s="18"/>
      <c r="UZA931" s="18"/>
      <c r="UZB931" s="18"/>
      <c r="UZC931" s="18"/>
      <c r="UZD931" s="18"/>
      <c r="UZE931" s="18"/>
      <c r="UZF931" s="18"/>
      <c r="UZG931" s="18"/>
      <c r="UZH931" s="18"/>
      <c r="UZI931" s="18"/>
      <c r="UZJ931" s="18"/>
      <c r="UZK931" s="18"/>
      <c r="UZL931" s="18"/>
      <c r="UZM931" s="18"/>
      <c r="UZN931" s="18"/>
      <c r="UZO931" s="18"/>
      <c r="UZP931" s="18"/>
      <c r="UZQ931" s="18"/>
      <c r="UZR931" s="18"/>
      <c r="UZS931" s="18"/>
      <c r="UZT931" s="18"/>
      <c r="UZU931" s="18"/>
      <c r="UZV931" s="18"/>
      <c r="UZW931" s="18"/>
      <c r="UZX931" s="18"/>
      <c r="UZY931" s="18"/>
      <c r="UZZ931" s="18"/>
      <c r="VAA931" s="18"/>
      <c r="VAB931" s="18"/>
      <c r="VAC931" s="18"/>
      <c r="VAD931" s="18"/>
      <c r="VAE931" s="18"/>
      <c r="VAF931" s="18"/>
      <c r="VAG931" s="18"/>
      <c r="VAH931" s="18"/>
      <c r="VAI931" s="18"/>
      <c r="VAJ931" s="18"/>
      <c r="VAK931" s="18"/>
      <c r="VAL931" s="18"/>
      <c r="VAM931" s="18"/>
      <c r="VAN931" s="18"/>
      <c r="VAO931" s="18"/>
      <c r="VAP931" s="18"/>
      <c r="VAQ931" s="18"/>
      <c r="VAR931" s="18"/>
      <c r="VAS931" s="18"/>
      <c r="VAT931" s="18"/>
      <c r="VAU931" s="18"/>
      <c r="VAV931" s="18"/>
      <c r="VAW931" s="18"/>
      <c r="VAX931" s="18"/>
      <c r="VAY931" s="18"/>
      <c r="VAZ931" s="18"/>
      <c r="VBA931" s="18"/>
      <c r="VBB931" s="18"/>
      <c r="VBC931" s="18"/>
      <c r="VBD931" s="18"/>
      <c r="VBE931" s="18"/>
      <c r="VBF931" s="18"/>
      <c r="VBG931" s="18"/>
      <c r="VBH931" s="18"/>
      <c r="VBI931" s="18"/>
      <c r="VBJ931" s="18"/>
      <c r="VBK931" s="18"/>
      <c r="VBL931" s="18"/>
      <c r="VBM931" s="18"/>
      <c r="VBN931" s="18"/>
      <c r="VBO931" s="18"/>
      <c r="VBP931" s="18"/>
      <c r="VBQ931" s="18"/>
      <c r="VBR931" s="18"/>
      <c r="VBS931" s="18"/>
      <c r="VBT931" s="18"/>
      <c r="VBU931" s="18"/>
      <c r="VBV931" s="18"/>
      <c r="VBW931" s="18"/>
      <c r="VBX931" s="18"/>
      <c r="VBY931" s="18"/>
      <c r="VBZ931" s="18"/>
      <c r="VCA931" s="18"/>
      <c r="VCB931" s="18"/>
      <c r="VCC931" s="18"/>
      <c r="VCD931" s="18"/>
      <c r="VCE931" s="18"/>
      <c r="VCF931" s="18"/>
      <c r="VCG931" s="18"/>
      <c r="VCH931" s="18"/>
      <c r="VCI931" s="18"/>
      <c r="VCJ931" s="18"/>
      <c r="VCK931" s="18"/>
      <c r="VCL931" s="18"/>
      <c r="VCM931" s="18"/>
      <c r="VCN931" s="18"/>
      <c r="VCO931" s="18"/>
      <c r="VCP931" s="18"/>
      <c r="VCQ931" s="18"/>
      <c r="VCR931" s="18"/>
      <c r="VCS931" s="18"/>
      <c r="VCT931" s="18"/>
      <c r="VCU931" s="18"/>
      <c r="VCV931" s="18"/>
      <c r="VCW931" s="18"/>
      <c r="VCX931" s="18"/>
      <c r="VCY931" s="18"/>
      <c r="VCZ931" s="18"/>
      <c r="VDA931" s="18"/>
      <c r="VDB931" s="18"/>
      <c r="VDC931" s="18"/>
      <c r="VDD931" s="18"/>
      <c r="VDE931" s="18"/>
      <c r="VDF931" s="18"/>
      <c r="VDG931" s="18"/>
      <c r="VDH931" s="18"/>
      <c r="VDI931" s="18"/>
      <c r="VDJ931" s="18"/>
      <c r="VDK931" s="18"/>
      <c r="VDL931" s="18"/>
      <c r="VDM931" s="18"/>
      <c r="VDN931" s="18"/>
      <c r="VDO931" s="18"/>
      <c r="VDP931" s="18"/>
      <c r="VDQ931" s="18"/>
      <c r="VDR931" s="18"/>
      <c r="VDS931" s="18"/>
      <c r="VDT931" s="18"/>
      <c r="VDU931" s="18"/>
      <c r="VDV931" s="18"/>
      <c r="VDW931" s="18"/>
      <c r="VDX931" s="18"/>
      <c r="VDY931" s="18"/>
      <c r="VDZ931" s="18"/>
      <c r="VEA931" s="18"/>
      <c r="VEB931" s="18"/>
      <c r="VEC931" s="18"/>
      <c r="VED931" s="18"/>
      <c r="VEE931" s="18"/>
      <c r="VEF931" s="18"/>
      <c r="VEG931" s="18"/>
      <c r="VEH931" s="18"/>
      <c r="VEI931" s="18"/>
      <c r="VEJ931" s="18"/>
      <c r="VEK931" s="18"/>
      <c r="VEL931" s="18"/>
      <c r="VEM931" s="18"/>
      <c r="VEN931" s="18"/>
      <c r="VEO931" s="18"/>
      <c r="VEP931" s="18"/>
      <c r="VEQ931" s="18"/>
      <c r="VER931" s="18"/>
      <c r="VES931" s="18"/>
      <c r="VET931" s="18"/>
      <c r="VEU931" s="18"/>
      <c r="VEV931" s="18"/>
      <c r="VEW931" s="18"/>
      <c r="VEX931" s="18"/>
      <c r="VEY931" s="18"/>
      <c r="VEZ931" s="18"/>
      <c r="VFA931" s="18"/>
      <c r="VFB931" s="18"/>
      <c r="VFC931" s="18"/>
      <c r="VFD931" s="18"/>
      <c r="VFE931" s="18"/>
      <c r="VFF931" s="18"/>
      <c r="VFG931" s="18"/>
      <c r="VFH931" s="18"/>
      <c r="VFI931" s="18"/>
      <c r="VFJ931" s="18"/>
      <c r="VFK931" s="18"/>
      <c r="VFL931" s="18"/>
      <c r="VFM931" s="18"/>
      <c r="VFN931" s="18"/>
      <c r="VFO931" s="18"/>
      <c r="VFP931" s="18"/>
      <c r="VFQ931" s="18"/>
      <c r="VFR931" s="18"/>
      <c r="VFS931" s="18"/>
      <c r="VFT931" s="18"/>
      <c r="VFU931" s="18"/>
      <c r="VFV931" s="18"/>
      <c r="VFW931" s="18"/>
      <c r="VFX931" s="18"/>
      <c r="VFY931" s="18"/>
      <c r="VFZ931" s="18"/>
      <c r="VGA931" s="18"/>
      <c r="VGB931" s="18"/>
      <c r="VGC931" s="18"/>
      <c r="VGD931" s="18"/>
      <c r="VGE931" s="18"/>
      <c r="VGF931" s="18"/>
      <c r="VGG931" s="18"/>
      <c r="VGH931" s="18"/>
      <c r="VGI931" s="18"/>
      <c r="VGJ931" s="18"/>
      <c r="VGK931" s="18"/>
      <c r="VGL931" s="18"/>
      <c r="VGM931" s="18"/>
      <c r="VGN931" s="18"/>
      <c r="VGO931" s="18"/>
      <c r="VGP931" s="18"/>
      <c r="VGQ931" s="18"/>
      <c r="VGR931" s="18"/>
      <c r="VGS931" s="18"/>
      <c r="VGT931" s="18"/>
      <c r="VGU931" s="18"/>
      <c r="VGV931" s="18"/>
      <c r="VGW931" s="18"/>
      <c r="VGX931" s="18"/>
      <c r="VGY931" s="18"/>
      <c r="VGZ931" s="18"/>
      <c r="VHA931" s="18"/>
      <c r="VHB931" s="18"/>
      <c r="VHC931" s="18"/>
      <c r="VHD931" s="18"/>
      <c r="VHE931" s="18"/>
      <c r="VHF931" s="18"/>
      <c r="VHG931" s="18"/>
      <c r="VHH931" s="18"/>
      <c r="VHI931" s="18"/>
      <c r="VHJ931" s="18"/>
      <c r="VHK931" s="18"/>
      <c r="VHL931" s="18"/>
      <c r="VHM931" s="18"/>
      <c r="VHN931" s="18"/>
      <c r="VHO931" s="18"/>
      <c r="VHP931" s="18"/>
      <c r="VHQ931" s="18"/>
      <c r="VHR931" s="18"/>
      <c r="VHS931" s="18"/>
      <c r="VHT931" s="18"/>
      <c r="VHU931" s="18"/>
      <c r="VHV931" s="18"/>
      <c r="VHW931" s="18"/>
      <c r="VHX931" s="18"/>
      <c r="VHY931" s="18"/>
      <c r="VHZ931" s="18"/>
      <c r="VIA931" s="18"/>
      <c r="VIB931" s="18"/>
      <c r="VIC931" s="18"/>
      <c r="VID931" s="18"/>
      <c r="VIE931" s="18"/>
      <c r="VIF931" s="18"/>
      <c r="VIG931" s="18"/>
      <c r="VIH931" s="18"/>
      <c r="VII931" s="18"/>
      <c r="VIJ931" s="18"/>
      <c r="VIK931" s="18"/>
      <c r="VIL931" s="18"/>
      <c r="VIM931" s="18"/>
      <c r="VIN931" s="18"/>
      <c r="VIO931" s="18"/>
      <c r="VIP931" s="18"/>
      <c r="VIQ931" s="18"/>
      <c r="VIR931" s="18"/>
      <c r="VIS931" s="18"/>
      <c r="VIT931" s="18"/>
      <c r="VIU931" s="18"/>
      <c r="VIV931" s="18"/>
      <c r="VIW931" s="18"/>
      <c r="VIX931" s="18"/>
      <c r="VIY931" s="18"/>
      <c r="VIZ931" s="18"/>
      <c r="VJA931" s="18"/>
      <c r="VJB931" s="18"/>
      <c r="VJC931" s="18"/>
      <c r="VJD931" s="18"/>
      <c r="VJE931" s="18"/>
      <c r="VJF931" s="18"/>
      <c r="VJG931" s="18"/>
      <c r="VJH931" s="18"/>
      <c r="VJI931" s="18"/>
      <c r="VJJ931" s="18"/>
      <c r="VJK931" s="18"/>
      <c r="VJL931" s="18"/>
      <c r="VJM931" s="18"/>
      <c r="VJN931" s="18"/>
      <c r="VJO931" s="18"/>
      <c r="VJP931" s="18"/>
      <c r="VJQ931" s="18"/>
      <c r="VJR931" s="18"/>
      <c r="VJS931" s="18"/>
      <c r="VJT931" s="18"/>
      <c r="VJU931" s="18"/>
      <c r="VJV931" s="18"/>
      <c r="VJW931" s="18"/>
      <c r="VJX931" s="18"/>
      <c r="VJY931" s="18"/>
      <c r="VJZ931" s="18"/>
      <c r="VKA931" s="18"/>
      <c r="VKB931" s="18"/>
      <c r="VKC931" s="18"/>
      <c r="VKD931" s="18"/>
      <c r="VKE931" s="18"/>
      <c r="VKF931" s="18"/>
      <c r="VKG931" s="18"/>
      <c r="VKH931" s="18"/>
      <c r="VKI931" s="18"/>
      <c r="VKJ931" s="18"/>
      <c r="VKK931" s="18"/>
      <c r="VKL931" s="18"/>
      <c r="VKM931" s="18"/>
      <c r="VKN931" s="18"/>
      <c r="VKO931" s="18"/>
      <c r="VKP931" s="18"/>
      <c r="VKQ931" s="18"/>
      <c r="VKR931" s="18"/>
      <c r="VKS931" s="18"/>
      <c r="VKT931" s="18"/>
      <c r="VKU931" s="18"/>
      <c r="VKV931" s="18"/>
      <c r="VKW931" s="18"/>
      <c r="VKX931" s="18"/>
      <c r="VKY931" s="18"/>
      <c r="VKZ931" s="18"/>
      <c r="VLA931" s="18"/>
      <c r="VLB931" s="18"/>
      <c r="VLC931" s="18"/>
      <c r="VLD931" s="18"/>
      <c r="VLE931" s="18"/>
      <c r="VLF931" s="18"/>
      <c r="VLG931" s="18"/>
      <c r="VLH931" s="18"/>
      <c r="VLI931" s="18"/>
      <c r="VLJ931" s="18"/>
      <c r="VLK931" s="18"/>
      <c r="VLL931" s="18"/>
      <c r="VLM931" s="18"/>
      <c r="VLN931" s="18"/>
      <c r="VLO931" s="18"/>
      <c r="VLP931" s="18"/>
      <c r="VLQ931" s="18"/>
      <c r="VLR931" s="18"/>
      <c r="VLS931" s="18"/>
      <c r="VLT931" s="18"/>
      <c r="VLU931" s="18"/>
      <c r="VLV931" s="18"/>
      <c r="VLW931" s="18"/>
      <c r="VLX931" s="18"/>
      <c r="VLY931" s="18"/>
      <c r="VLZ931" s="18"/>
      <c r="VMA931" s="18"/>
      <c r="VMB931" s="18"/>
      <c r="VMC931" s="18"/>
      <c r="VMD931" s="18"/>
      <c r="VME931" s="18"/>
      <c r="VMF931" s="18"/>
      <c r="VMG931" s="18"/>
      <c r="VMH931" s="18"/>
      <c r="VMI931" s="18"/>
      <c r="VMJ931" s="18"/>
      <c r="VMK931" s="18"/>
      <c r="VML931" s="18"/>
      <c r="VMM931" s="18"/>
      <c r="VMN931" s="18"/>
      <c r="VMO931" s="18"/>
      <c r="VMP931" s="18"/>
      <c r="VMQ931" s="18"/>
      <c r="VMR931" s="18"/>
      <c r="VMS931" s="18"/>
      <c r="VMT931" s="18"/>
      <c r="VMU931" s="18"/>
      <c r="VMV931" s="18"/>
      <c r="VMW931" s="18"/>
      <c r="VMX931" s="18"/>
      <c r="VMY931" s="18"/>
      <c r="VMZ931" s="18"/>
      <c r="VNA931" s="18"/>
      <c r="VNB931" s="18"/>
      <c r="VNC931" s="18"/>
      <c r="VND931" s="18"/>
      <c r="VNE931" s="18"/>
      <c r="VNF931" s="18"/>
      <c r="VNG931" s="18"/>
      <c r="VNH931" s="18"/>
      <c r="VNI931" s="18"/>
      <c r="VNJ931" s="18"/>
      <c r="VNK931" s="18"/>
      <c r="VNL931" s="18"/>
      <c r="VNM931" s="18"/>
      <c r="VNN931" s="18"/>
      <c r="VNO931" s="18"/>
      <c r="VNP931" s="18"/>
      <c r="VNQ931" s="18"/>
      <c r="VNR931" s="18"/>
      <c r="VNS931" s="18"/>
      <c r="VNT931" s="18"/>
      <c r="VNU931" s="18"/>
      <c r="VNV931" s="18"/>
      <c r="VNW931" s="18"/>
      <c r="VNX931" s="18"/>
      <c r="VNY931" s="18"/>
      <c r="VNZ931" s="18"/>
      <c r="VOA931" s="18"/>
      <c r="VOB931" s="18"/>
      <c r="VOC931" s="18"/>
      <c r="VOD931" s="18"/>
      <c r="VOE931" s="18"/>
      <c r="VOF931" s="18"/>
      <c r="VOG931" s="18"/>
      <c r="VOH931" s="18"/>
      <c r="VOI931" s="18"/>
      <c r="VOJ931" s="18"/>
      <c r="VOK931" s="18"/>
      <c r="VOL931" s="18"/>
      <c r="VOM931" s="18"/>
      <c r="VON931" s="18"/>
      <c r="VOO931" s="18"/>
      <c r="VOP931" s="18"/>
      <c r="VOQ931" s="18"/>
      <c r="VOR931" s="18"/>
      <c r="VOS931" s="18"/>
      <c r="VOT931" s="18"/>
      <c r="VOU931" s="18"/>
      <c r="VOV931" s="18"/>
      <c r="VOW931" s="18"/>
      <c r="VOX931" s="18"/>
      <c r="VOY931" s="18"/>
      <c r="VOZ931" s="18"/>
      <c r="VPA931" s="18"/>
      <c r="VPB931" s="18"/>
      <c r="VPC931" s="18"/>
      <c r="VPD931" s="18"/>
      <c r="VPE931" s="18"/>
      <c r="VPF931" s="18"/>
      <c r="VPG931" s="18"/>
      <c r="VPH931" s="18"/>
      <c r="VPI931" s="18"/>
      <c r="VPJ931" s="18"/>
      <c r="VPK931" s="18"/>
      <c r="VPL931" s="18"/>
      <c r="VPM931" s="18"/>
      <c r="VPN931" s="18"/>
      <c r="VPO931" s="18"/>
      <c r="VPP931" s="18"/>
      <c r="VPQ931" s="18"/>
      <c r="VPR931" s="18"/>
      <c r="VPS931" s="18"/>
      <c r="VPT931" s="18"/>
      <c r="VPU931" s="18"/>
      <c r="VPV931" s="18"/>
      <c r="VPW931" s="18"/>
      <c r="VPX931" s="18"/>
      <c r="VPY931" s="18"/>
      <c r="VPZ931" s="18"/>
      <c r="VQA931" s="18"/>
      <c r="VQB931" s="18"/>
      <c r="VQC931" s="18"/>
      <c r="VQD931" s="18"/>
      <c r="VQE931" s="18"/>
      <c r="VQF931" s="18"/>
      <c r="VQG931" s="18"/>
      <c r="VQH931" s="18"/>
      <c r="VQI931" s="18"/>
      <c r="VQJ931" s="18"/>
      <c r="VQK931" s="18"/>
      <c r="VQL931" s="18"/>
      <c r="VQM931" s="18"/>
      <c r="VQN931" s="18"/>
      <c r="VQO931" s="18"/>
      <c r="VQP931" s="18"/>
      <c r="VQQ931" s="18"/>
      <c r="VQR931" s="18"/>
      <c r="VQS931" s="18"/>
      <c r="VQT931" s="18"/>
      <c r="VQU931" s="18"/>
      <c r="VQV931" s="18"/>
      <c r="VQW931" s="18"/>
      <c r="VQX931" s="18"/>
      <c r="VQY931" s="18"/>
      <c r="VQZ931" s="18"/>
      <c r="VRA931" s="18"/>
      <c r="VRB931" s="18"/>
      <c r="VRC931" s="18"/>
      <c r="VRD931" s="18"/>
      <c r="VRE931" s="18"/>
      <c r="VRF931" s="18"/>
      <c r="VRG931" s="18"/>
      <c r="VRH931" s="18"/>
      <c r="VRI931" s="18"/>
      <c r="VRJ931" s="18"/>
      <c r="VRK931" s="18"/>
      <c r="VRL931" s="18"/>
      <c r="VRM931" s="18"/>
      <c r="VRN931" s="18"/>
      <c r="VRO931" s="18"/>
      <c r="VRP931" s="18"/>
      <c r="VRQ931" s="18"/>
      <c r="VRR931" s="18"/>
      <c r="VRS931" s="18"/>
      <c r="VRT931" s="18"/>
      <c r="VRU931" s="18"/>
      <c r="VRV931" s="18"/>
      <c r="VRW931" s="18"/>
      <c r="VRX931" s="18"/>
      <c r="VRY931" s="18"/>
      <c r="VRZ931" s="18"/>
      <c r="VSA931" s="18"/>
      <c r="VSB931" s="18"/>
      <c r="VSC931" s="18"/>
      <c r="VSD931" s="18"/>
      <c r="VSE931" s="18"/>
      <c r="VSF931" s="18"/>
      <c r="VSG931" s="18"/>
      <c r="VSH931" s="18"/>
      <c r="VSI931" s="18"/>
      <c r="VSJ931" s="18"/>
      <c r="VSK931" s="18"/>
      <c r="VSL931" s="18"/>
      <c r="VSM931" s="18"/>
      <c r="VSN931" s="18"/>
      <c r="VSO931" s="18"/>
      <c r="VSP931" s="18"/>
      <c r="VSQ931" s="18"/>
      <c r="VSR931" s="18"/>
      <c r="VSS931" s="18"/>
      <c r="VST931" s="18"/>
      <c r="VSU931" s="18"/>
      <c r="VSV931" s="18"/>
      <c r="VSW931" s="18"/>
      <c r="VSX931" s="18"/>
      <c r="VSY931" s="18"/>
      <c r="VSZ931" s="18"/>
      <c r="VTA931" s="18"/>
      <c r="VTB931" s="18"/>
      <c r="VTC931" s="18"/>
      <c r="VTD931" s="18"/>
      <c r="VTE931" s="18"/>
      <c r="VTF931" s="18"/>
      <c r="VTG931" s="18"/>
      <c r="VTH931" s="18"/>
      <c r="VTI931" s="18"/>
      <c r="VTJ931" s="18"/>
      <c r="VTK931" s="18"/>
      <c r="VTL931" s="18"/>
      <c r="VTM931" s="18"/>
      <c r="VTN931" s="18"/>
      <c r="VTO931" s="18"/>
      <c r="VTP931" s="18"/>
      <c r="VTQ931" s="18"/>
      <c r="VTR931" s="18"/>
      <c r="VTS931" s="18"/>
      <c r="VTT931" s="18"/>
      <c r="VTU931" s="18"/>
      <c r="VTV931" s="18"/>
      <c r="VTW931" s="18"/>
      <c r="VTX931" s="18"/>
      <c r="VTY931" s="18"/>
      <c r="VTZ931" s="18"/>
      <c r="VUA931" s="18"/>
      <c r="VUB931" s="18"/>
      <c r="VUC931" s="18"/>
      <c r="VUD931" s="18"/>
      <c r="VUE931" s="18"/>
      <c r="VUF931" s="18"/>
      <c r="VUG931" s="18"/>
      <c r="VUH931" s="18"/>
      <c r="VUI931" s="18"/>
      <c r="VUJ931" s="18"/>
      <c r="VUK931" s="18"/>
      <c r="VUL931" s="18"/>
      <c r="VUM931" s="18"/>
      <c r="VUN931" s="18"/>
      <c r="VUO931" s="18"/>
      <c r="VUP931" s="18"/>
      <c r="VUQ931" s="18"/>
      <c r="VUR931" s="18"/>
      <c r="VUS931" s="18"/>
      <c r="VUT931" s="18"/>
      <c r="VUU931" s="18"/>
      <c r="VUV931" s="18"/>
      <c r="VUW931" s="18"/>
      <c r="VUX931" s="18"/>
      <c r="VUY931" s="18"/>
      <c r="VUZ931" s="18"/>
      <c r="VVA931" s="18"/>
      <c r="VVB931" s="18"/>
      <c r="VVC931" s="18"/>
      <c r="VVD931" s="18"/>
      <c r="VVE931" s="18"/>
      <c r="VVF931" s="18"/>
      <c r="VVG931" s="18"/>
      <c r="VVH931" s="18"/>
      <c r="VVI931" s="18"/>
      <c r="VVJ931" s="18"/>
      <c r="VVK931" s="18"/>
      <c r="VVL931" s="18"/>
      <c r="VVM931" s="18"/>
      <c r="VVN931" s="18"/>
      <c r="VVO931" s="18"/>
      <c r="VVP931" s="18"/>
      <c r="VVQ931" s="18"/>
      <c r="VVR931" s="18"/>
      <c r="VVS931" s="18"/>
      <c r="VVT931" s="18"/>
      <c r="VVU931" s="18"/>
      <c r="VVV931" s="18"/>
      <c r="VVW931" s="18"/>
      <c r="VVX931" s="18"/>
      <c r="VVY931" s="18"/>
      <c r="VVZ931" s="18"/>
      <c r="VWA931" s="18"/>
      <c r="VWB931" s="18"/>
      <c r="VWC931" s="18"/>
      <c r="VWD931" s="18"/>
      <c r="VWE931" s="18"/>
      <c r="VWF931" s="18"/>
      <c r="VWG931" s="18"/>
      <c r="VWH931" s="18"/>
      <c r="VWI931" s="18"/>
      <c r="VWJ931" s="18"/>
      <c r="VWK931" s="18"/>
      <c r="VWL931" s="18"/>
      <c r="VWM931" s="18"/>
      <c r="VWN931" s="18"/>
      <c r="VWO931" s="18"/>
      <c r="VWP931" s="18"/>
      <c r="VWQ931" s="18"/>
      <c r="VWR931" s="18"/>
      <c r="VWS931" s="18"/>
      <c r="VWT931" s="18"/>
      <c r="VWU931" s="18"/>
      <c r="VWV931" s="18"/>
      <c r="VWW931" s="18"/>
      <c r="VWX931" s="18"/>
      <c r="VWY931" s="18"/>
      <c r="VWZ931" s="18"/>
      <c r="VXA931" s="18"/>
      <c r="VXB931" s="18"/>
      <c r="VXC931" s="18"/>
      <c r="VXD931" s="18"/>
      <c r="VXE931" s="18"/>
      <c r="VXF931" s="18"/>
      <c r="VXG931" s="18"/>
      <c r="VXH931" s="18"/>
      <c r="VXI931" s="18"/>
      <c r="VXJ931" s="18"/>
      <c r="VXK931" s="18"/>
      <c r="VXL931" s="18"/>
      <c r="VXM931" s="18"/>
      <c r="VXN931" s="18"/>
      <c r="VXO931" s="18"/>
      <c r="VXP931" s="18"/>
      <c r="VXQ931" s="18"/>
      <c r="VXR931" s="18"/>
      <c r="VXS931" s="18"/>
      <c r="VXT931" s="18"/>
      <c r="VXU931" s="18"/>
      <c r="VXV931" s="18"/>
      <c r="VXW931" s="18"/>
      <c r="VXX931" s="18"/>
      <c r="VXY931" s="18"/>
      <c r="VXZ931" s="18"/>
      <c r="VYA931" s="18"/>
      <c r="VYB931" s="18"/>
      <c r="VYC931" s="18"/>
      <c r="VYD931" s="18"/>
      <c r="VYE931" s="18"/>
      <c r="VYF931" s="18"/>
      <c r="VYG931" s="18"/>
      <c r="VYH931" s="18"/>
      <c r="VYI931" s="18"/>
      <c r="VYJ931" s="18"/>
      <c r="VYK931" s="18"/>
      <c r="VYL931" s="18"/>
      <c r="VYM931" s="18"/>
      <c r="VYN931" s="18"/>
      <c r="VYO931" s="18"/>
      <c r="VYP931" s="18"/>
      <c r="VYQ931" s="18"/>
      <c r="VYR931" s="18"/>
      <c r="VYS931" s="18"/>
      <c r="VYT931" s="18"/>
      <c r="VYU931" s="18"/>
      <c r="VYV931" s="18"/>
      <c r="VYW931" s="18"/>
      <c r="VYX931" s="18"/>
      <c r="VYY931" s="18"/>
      <c r="VYZ931" s="18"/>
      <c r="VZA931" s="18"/>
      <c r="VZB931" s="18"/>
      <c r="VZC931" s="18"/>
      <c r="VZD931" s="18"/>
      <c r="VZE931" s="18"/>
      <c r="VZF931" s="18"/>
      <c r="VZG931" s="18"/>
      <c r="VZH931" s="18"/>
      <c r="VZI931" s="18"/>
      <c r="VZJ931" s="18"/>
      <c r="VZK931" s="18"/>
      <c r="VZL931" s="18"/>
      <c r="VZM931" s="18"/>
      <c r="VZN931" s="18"/>
      <c r="VZO931" s="18"/>
      <c r="VZP931" s="18"/>
      <c r="VZQ931" s="18"/>
      <c r="VZR931" s="18"/>
      <c r="VZS931" s="18"/>
      <c r="VZT931" s="18"/>
      <c r="VZU931" s="18"/>
      <c r="VZV931" s="18"/>
      <c r="VZW931" s="18"/>
      <c r="VZX931" s="18"/>
      <c r="VZY931" s="18"/>
      <c r="VZZ931" s="18"/>
      <c r="WAA931" s="18"/>
      <c r="WAB931" s="18"/>
      <c r="WAC931" s="18"/>
      <c r="WAD931" s="18"/>
      <c r="WAE931" s="18"/>
      <c r="WAF931" s="18"/>
      <c r="WAG931" s="18"/>
      <c r="WAH931" s="18"/>
      <c r="WAI931" s="18"/>
      <c r="WAJ931" s="18"/>
      <c r="WAK931" s="18"/>
      <c r="WAL931" s="18"/>
      <c r="WAM931" s="18"/>
      <c r="WAN931" s="18"/>
      <c r="WAO931" s="18"/>
      <c r="WAP931" s="18"/>
      <c r="WAQ931" s="18"/>
      <c r="WAR931" s="18"/>
      <c r="WAS931" s="18"/>
      <c r="WAT931" s="18"/>
      <c r="WAU931" s="18"/>
      <c r="WAV931" s="18"/>
      <c r="WAW931" s="18"/>
      <c r="WAX931" s="18"/>
      <c r="WAY931" s="18"/>
      <c r="WAZ931" s="18"/>
      <c r="WBA931" s="18"/>
      <c r="WBB931" s="18"/>
      <c r="WBC931" s="18"/>
      <c r="WBD931" s="18"/>
      <c r="WBE931" s="18"/>
      <c r="WBF931" s="18"/>
      <c r="WBG931" s="18"/>
      <c r="WBH931" s="18"/>
      <c r="WBI931" s="18"/>
      <c r="WBJ931" s="18"/>
      <c r="WBK931" s="18"/>
      <c r="WBL931" s="18"/>
      <c r="WBM931" s="18"/>
      <c r="WBN931" s="18"/>
      <c r="WBO931" s="18"/>
      <c r="WBP931" s="18"/>
      <c r="WBQ931" s="18"/>
      <c r="WBR931" s="18"/>
      <c r="WBS931" s="18"/>
      <c r="WBT931" s="18"/>
      <c r="WBU931" s="18"/>
      <c r="WBV931" s="18"/>
      <c r="WBW931" s="18"/>
      <c r="WBX931" s="18"/>
      <c r="WBY931" s="18"/>
      <c r="WBZ931" s="18"/>
      <c r="WCA931" s="18"/>
      <c r="WCB931" s="18"/>
      <c r="WCC931" s="18"/>
      <c r="WCD931" s="18"/>
      <c r="WCE931" s="18"/>
      <c r="WCF931" s="18"/>
      <c r="WCG931" s="18"/>
      <c r="WCH931" s="18"/>
      <c r="WCI931" s="18"/>
      <c r="WCJ931" s="18"/>
      <c r="WCK931" s="18"/>
      <c r="WCL931" s="18"/>
      <c r="WCM931" s="18"/>
      <c r="WCN931" s="18"/>
      <c r="WCO931" s="18"/>
      <c r="WCP931" s="18"/>
      <c r="WCQ931" s="18"/>
      <c r="WCR931" s="18"/>
      <c r="WCS931" s="18"/>
      <c r="WCT931" s="18"/>
      <c r="WCU931" s="18"/>
      <c r="WCV931" s="18"/>
      <c r="WCW931" s="18"/>
      <c r="WCX931" s="18"/>
      <c r="WCY931" s="18"/>
      <c r="WCZ931" s="18"/>
      <c r="WDA931" s="18"/>
      <c r="WDB931" s="18"/>
      <c r="WDC931" s="18"/>
      <c r="WDD931" s="18"/>
      <c r="WDE931" s="18"/>
      <c r="WDF931" s="18"/>
      <c r="WDG931" s="18"/>
      <c r="WDH931" s="18"/>
      <c r="WDI931" s="18"/>
      <c r="WDJ931" s="18"/>
      <c r="WDK931" s="18"/>
      <c r="WDL931" s="18"/>
      <c r="WDM931" s="18"/>
      <c r="WDN931" s="18"/>
      <c r="WDO931" s="18"/>
      <c r="WDP931" s="18"/>
      <c r="WDQ931" s="18"/>
      <c r="WDR931" s="18"/>
      <c r="WDS931" s="18"/>
      <c r="WDT931" s="18"/>
      <c r="WDU931" s="18"/>
      <c r="WDV931" s="18"/>
      <c r="WDW931" s="18"/>
      <c r="WDX931" s="18"/>
      <c r="WDY931" s="18"/>
      <c r="WDZ931" s="18"/>
      <c r="WEA931" s="18"/>
      <c r="WEB931" s="18"/>
      <c r="WEC931" s="18"/>
      <c r="WED931" s="18"/>
      <c r="WEE931" s="18"/>
      <c r="WEF931" s="18"/>
      <c r="WEG931" s="18"/>
      <c r="WEH931" s="18"/>
      <c r="WEI931" s="18"/>
      <c r="WEJ931" s="18"/>
      <c r="WEK931" s="18"/>
      <c r="WEL931" s="18"/>
      <c r="WEM931" s="18"/>
      <c r="WEN931" s="18"/>
      <c r="WEO931" s="18"/>
      <c r="WEP931" s="18"/>
      <c r="WEQ931" s="18"/>
      <c r="WER931" s="18"/>
      <c r="WES931" s="18"/>
      <c r="WET931" s="18"/>
      <c r="WEU931" s="18"/>
      <c r="WEV931" s="18"/>
      <c r="WEW931" s="18"/>
      <c r="WEX931" s="18"/>
      <c r="WEY931" s="18"/>
      <c r="WEZ931" s="18"/>
      <c r="WFA931" s="18"/>
      <c r="WFB931" s="18"/>
      <c r="WFC931" s="18"/>
      <c r="WFD931" s="18"/>
      <c r="WFE931" s="18"/>
      <c r="WFF931" s="18"/>
      <c r="WFG931" s="18"/>
      <c r="WFH931" s="18"/>
      <c r="WFI931" s="18"/>
      <c r="WFJ931" s="18"/>
      <c r="WFK931" s="18"/>
      <c r="WFL931" s="18"/>
      <c r="WFM931" s="18"/>
      <c r="WFN931" s="18"/>
      <c r="WFO931" s="18"/>
      <c r="WFP931" s="18"/>
      <c r="WFQ931" s="18"/>
      <c r="WFR931" s="18"/>
      <c r="WFS931" s="18"/>
      <c r="WFT931" s="18"/>
      <c r="WFU931" s="18"/>
      <c r="WFV931" s="18"/>
      <c r="WFW931" s="18"/>
      <c r="WFX931" s="18"/>
      <c r="WFY931" s="18"/>
      <c r="WFZ931" s="18"/>
      <c r="WGA931" s="18"/>
      <c r="WGB931" s="18"/>
      <c r="WGC931" s="18"/>
      <c r="WGD931" s="18"/>
      <c r="WGE931" s="18"/>
      <c r="WGF931" s="18"/>
      <c r="WGG931" s="18"/>
      <c r="WGH931" s="18"/>
      <c r="WGI931" s="18"/>
      <c r="WGJ931" s="18"/>
      <c r="WGK931" s="18"/>
      <c r="WGL931" s="18"/>
      <c r="WGM931" s="18"/>
      <c r="WGN931" s="18"/>
      <c r="WGO931" s="18"/>
      <c r="WGP931" s="18"/>
      <c r="WGQ931" s="18"/>
      <c r="WGR931" s="18"/>
      <c r="WGS931" s="18"/>
      <c r="WGT931" s="18"/>
      <c r="WGU931" s="18"/>
      <c r="WGV931" s="18"/>
      <c r="WGW931" s="18"/>
      <c r="WGX931" s="18"/>
      <c r="WGY931" s="18"/>
      <c r="WGZ931" s="18"/>
      <c r="WHA931" s="18"/>
      <c r="WHB931" s="18"/>
      <c r="WHC931" s="18"/>
      <c r="WHD931" s="18"/>
      <c r="WHE931" s="18"/>
      <c r="WHF931" s="18"/>
      <c r="WHG931" s="18"/>
      <c r="WHH931" s="18"/>
      <c r="WHI931" s="18"/>
      <c r="WHJ931" s="18"/>
      <c r="WHK931" s="18"/>
      <c r="WHL931" s="18"/>
      <c r="WHM931" s="18"/>
      <c r="WHN931" s="18"/>
      <c r="WHO931" s="18"/>
      <c r="WHP931" s="18"/>
      <c r="WHQ931" s="18"/>
      <c r="WHR931" s="18"/>
      <c r="WHS931" s="18"/>
      <c r="WHT931" s="18"/>
      <c r="WHU931" s="18"/>
      <c r="WHV931" s="18"/>
      <c r="WHW931" s="18"/>
      <c r="WHX931" s="18"/>
      <c r="WHY931" s="18"/>
      <c r="WHZ931" s="18"/>
      <c r="WIA931" s="18"/>
      <c r="WIB931" s="18"/>
      <c r="WIC931" s="18"/>
      <c r="WID931" s="18"/>
      <c r="WIE931" s="18"/>
      <c r="WIF931" s="18"/>
      <c r="WIG931" s="18"/>
      <c r="WIH931" s="18"/>
      <c r="WII931" s="18"/>
      <c r="WIJ931" s="18"/>
      <c r="WIK931" s="18"/>
      <c r="WIL931" s="18"/>
      <c r="WIM931" s="18"/>
      <c r="WIN931" s="18"/>
      <c r="WIO931" s="18"/>
      <c r="WIP931" s="18"/>
      <c r="WIQ931" s="18"/>
      <c r="WIR931" s="18"/>
      <c r="WIS931" s="18"/>
      <c r="WIT931" s="18"/>
      <c r="WIU931" s="18"/>
      <c r="WIV931" s="18"/>
      <c r="WIW931" s="18"/>
      <c r="WIX931" s="18"/>
      <c r="WIY931" s="18"/>
      <c r="WIZ931" s="18"/>
      <c r="WJA931" s="18"/>
      <c r="WJB931" s="18"/>
      <c r="WJC931" s="18"/>
      <c r="WJD931" s="18"/>
      <c r="WJE931" s="18"/>
      <c r="WJF931" s="18"/>
      <c r="WJG931" s="18"/>
      <c r="WJH931" s="18"/>
      <c r="WJI931" s="18"/>
      <c r="WJJ931" s="18"/>
      <c r="WJK931" s="18"/>
      <c r="WJL931" s="18"/>
      <c r="WJM931" s="18"/>
      <c r="WJN931" s="18"/>
      <c r="WJO931" s="18"/>
      <c r="WJP931" s="18"/>
      <c r="WJQ931" s="18"/>
      <c r="WJR931" s="18"/>
      <c r="WJS931" s="18"/>
      <c r="WJT931" s="18"/>
      <c r="WJU931" s="18"/>
      <c r="WJV931" s="18"/>
      <c r="WJW931" s="18"/>
      <c r="WJX931" s="18"/>
      <c r="WJY931" s="18"/>
      <c r="WJZ931" s="18"/>
      <c r="WKA931" s="18"/>
      <c r="WKB931" s="18"/>
      <c r="WKC931" s="18"/>
      <c r="WKD931" s="18"/>
      <c r="WKE931" s="18"/>
      <c r="WKF931" s="18"/>
      <c r="WKG931" s="18"/>
      <c r="WKH931" s="18"/>
      <c r="WKI931" s="18"/>
      <c r="WKJ931" s="18"/>
      <c r="WKK931" s="18"/>
      <c r="WKL931" s="18"/>
      <c r="WKM931" s="18"/>
      <c r="WKN931" s="18"/>
      <c r="WKO931" s="18"/>
      <c r="WKP931" s="18"/>
      <c r="WKQ931" s="18"/>
      <c r="WKR931" s="18"/>
      <c r="WKS931" s="18"/>
      <c r="WKT931" s="18"/>
      <c r="WKU931" s="18"/>
      <c r="WKV931" s="18"/>
      <c r="WKW931" s="18"/>
      <c r="WKX931" s="18"/>
      <c r="WKY931" s="18"/>
      <c r="WKZ931" s="18"/>
      <c r="WLA931" s="18"/>
      <c r="WLB931" s="18"/>
      <c r="WLC931" s="18"/>
      <c r="WLD931" s="18"/>
      <c r="WLE931" s="18"/>
      <c r="WLF931" s="18"/>
      <c r="WLG931" s="18"/>
      <c r="WLH931" s="18"/>
      <c r="WLI931" s="18"/>
      <c r="WLJ931" s="18"/>
      <c r="WLK931" s="18"/>
      <c r="WLL931" s="18"/>
      <c r="WLM931" s="18"/>
      <c r="WLN931" s="18"/>
      <c r="WLO931" s="18"/>
      <c r="WLP931" s="18"/>
      <c r="WLQ931" s="18"/>
      <c r="WLR931" s="18"/>
      <c r="WLS931" s="18"/>
      <c r="WLT931" s="18"/>
      <c r="WLU931" s="18"/>
      <c r="WLV931" s="18"/>
      <c r="WLW931" s="18"/>
      <c r="WLX931" s="18"/>
      <c r="WLY931" s="18"/>
      <c r="WLZ931" s="18"/>
      <c r="WMA931" s="18"/>
      <c r="WMB931" s="18"/>
      <c r="WMC931" s="18"/>
      <c r="WMD931" s="18"/>
      <c r="WME931" s="18"/>
      <c r="WMF931" s="18"/>
      <c r="WMG931" s="18"/>
      <c r="WMH931" s="18"/>
      <c r="WMI931" s="18"/>
      <c r="WMJ931" s="18"/>
      <c r="WMK931" s="18"/>
      <c r="WML931" s="18"/>
      <c r="WMM931" s="18"/>
      <c r="WMN931" s="18"/>
      <c r="WMO931" s="18"/>
      <c r="WMP931" s="18"/>
      <c r="WMQ931" s="18"/>
      <c r="WMR931" s="18"/>
      <c r="WMS931" s="18"/>
      <c r="WMT931" s="18"/>
      <c r="WMU931" s="18"/>
      <c r="WMV931" s="18"/>
      <c r="WMW931" s="18"/>
      <c r="WMX931" s="18"/>
      <c r="WMY931" s="18"/>
      <c r="WMZ931" s="18"/>
      <c r="WNA931" s="18"/>
      <c r="WNB931" s="18"/>
      <c r="WNC931" s="18"/>
      <c r="WND931" s="18"/>
      <c r="WNE931" s="18"/>
      <c r="WNF931" s="18"/>
      <c r="WNG931" s="18"/>
      <c r="WNH931" s="18"/>
      <c r="WNI931" s="18"/>
      <c r="WNJ931" s="18"/>
      <c r="WNK931" s="18"/>
      <c r="WNL931" s="18"/>
      <c r="WNM931" s="18"/>
      <c r="WNN931" s="18"/>
      <c r="WNO931" s="18"/>
      <c r="WNP931" s="18"/>
      <c r="WNQ931" s="18"/>
      <c r="WNR931" s="18"/>
      <c r="WNS931" s="18"/>
      <c r="WNT931" s="18"/>
      <c r="WNU931" s="18"/>
      <c r="WNV931" s="18"/>
      <c r="WNW931" s="18"/>
      <c r="WNX931" s="18"/>
      <c r="WNY931" s="18"/>
      <c r="WNZ931" s="18"/>
      <c r="WOA931" s="18"/>
      <c r="WOB931" s="18"/>
      <c r="WOC931" s="18"/>
      <c r="WOD931" s="18"/>
      <c r="WOE931" s="18"/>
      <c r="WOF931" s="18"/>
      <c r="WOG931" s="18"/>
      <c r="WOH931" s="18"/>
      <c r="WOI931" s="18"/>
      <c r="WOJ931" s="18"/>
      <c r="WOK931" s="18"/>
      <c r="WOL931" s="18"/>
      <c r="WOM931" s="18"/>
      <c r="WON931" s="18"/>
      <c r="WOO931" s="18"/>
      <c r="WOP931" s="18"/>
      <c r="WOQ931" s="18"/>
      <c r="WOR931" s="18"/>
      <c r="WOS931" s="18"/>
      <c r="WOT931" s="18"/>
      <c r="WOU931" s="18"/>
      <c r="WOV931" s="18"/>
      <c r="WOW931" s="18"/>
      <c r="WOX931" s="18"/>
      <c r="WOY931" s="18"/>
      <c r="WOZ931" s="18"/>
      <c r="WPA931" s="18"/>
      <c r="WPB931" s="18"/>
      <c r="WPC931" s="18"/>
      <c r="WPD931" s="18"/>
      <c r="WPE931" s="18"/>
      <c r="WPF931" s="18"/>
      <c r="WPG931" s="18"/>
      <c r="WPH931" s="18"/>
      <c r="WPI931" s="18"/>
      <c r="WPJ931" s="18"/>
      <c r="WPK931" s="18"/>
      <c r="WPL931" s="18"/>
      <c r="WPM931" s="18"/>
      <c r="WPN931" s="18"/>
      <c r="WPO931" s="18"/>
      <c r="WPP931" s="18"/>
      <c r="WPQ931" s="18"/>
      <c r="WPR931" s="18"/>
      <c r="WPS931" s="18"/>
      <c r="WPT931" s="18"/>
      <c r="WPU931" s="18"/>
      <c r="WPV931" s="18"/>
      <c r="WPW931" s="18"/>
      <c r="WPX931" s="18"/>
      <c r="WPY931" s="18"/>
      <c r="WPZ931" s="18"/>
      <c r="WQA931" s="18"/>
      <c r="WQB931" s="18"/>
      <c r="WQC931" s="18"/>
      <c r="WQD931" s="18"/>
      <c r="WQE931" s="18"/>
      <c r="WQF931" s="18"/>
      <c r="WQG931" s="18"/>
      <c r="WQH931" s="18"/>
      <c r="WQI931" s="18"/>
      <c r="WQJ931" s="18"/>
      <c r="WQK931" s="18"/>
      <c r="WQL931" s="18"/>
      <c r="WQM931" s="18"/>
      <c r="WQN931" s="18"/>
      <c r="WQO931" s="18"/>
      <c r="WQP931" s="18"/>
      <c r="WQQ931" s="18"/>
      <c r="WQR931" s="18"/>
      <c r="WQS931" s="18"/>
      <c r="WQT931" s="18"/>
      <c r="WQU931" s="18"/>
      <c r="WQV931" s="18"/>
      <c r="WQW931" s="18"/>
      <c r="WQX931" s="18"/>
      <c r="WQY931" s="18"/>
      <c r="WQZ931" s="18"/>
      <c r="WRA931" s="18"/>
      <c r="WRB931" s="18"/>
      <c r="WRC931" s="18"/>
      <c r="WRD931" s="18"/>
      <c r="WRE931" s="18"/>
      <c r="WRF931" s="18"/>
      <c r="WRG931" s="18"/>
      <c r="WRH931" s="18"/>
      <c r="WRI931" s="18"/>
      <c r="WRJ931" s="18"/>
      <c r="WRK931" s="18"/>
      <c r="WRL931" s="18"/>
      <c r="WRM931" s="18"/>
      <c r="WRN931" s="18"/>
      <c r="WRO931" s="18"/>
      <c r="WRP931" s="18"/>
      <c r="WRQ931" s="18"/>
      <c r="WRR931" s="18"/>
      <c r="WRS931" s="18"/>
      <c r="WRT931" s="18"/>
      <c r="WRU931" s="18"/>
      <c r="WRV931" s="18"/>
      <c r="WRW931" s="18"/>
      <c r="WRX931" s="18"/>
      <c r="WRY931" s="18"/>
      <c r="WRZ931" s="18"/>
      <c r="WSA931" s="18"/>
      <c r="WSB931" s="18"/>
      <c r="WSC931" s="18"/>
      <c r="WSD931" s="18"/>
      <c r="WSE931" s="18"/>
      <c r="WSF931" s="18"/>
      <c r="WSG931" s="18"/>
      <c r="WSH931" s="18"/>
      <c r="WSI931" s="18"/>
      <c r="WSJ931" s="18"/>
      <c r="WSK931" s="18"/>
      <c r="WSL931" s="18"/>
      <c r="WSM931" s="18"/>
      <c r="WSN931" s="18"/>
      <c r="WSO931" s="18"/>
      <c r="WSP931" s="18"/>
      <c r="WSQ931" s="18"/>
      <c r="WSR931" s="18"/>
      <c r="WSS931" s="18"/>
      <c r="WST931" s="18"/>
      <c r="WSU931" s="18"/>
      <c r="WSV931" s="18"/>
      <c r="WSW931" s="18"/>
      <c r="WSX931" s="18"/>
      <c r="WSY931" s="18"/>
      <c r="WSZ931" s="18"/>
      <c r="WTA931" s="18"/>
      <c r="WTB931" s="18"/>
      <c r="WTC931" s="18"/>
      <c r="WTD931" s="18"/>
      <c r="WTE931" s="18"/>
      <c r="WTF931" s="18"/>
      <c r="WTG931" s="18"/>
      <c r="WTH931" s="18"/>
      <c r="WTI931" s="18"/>
      <c r="WTJ931" s="18"/>
      <c r="WTK931" s="18"/>
      <c r="WTL931" s="18"/>
      <c r="WTM931" s="18"/>
      <c r="WTN931" s="18"/>
      <c r="WTO931" s="18"/>
      <c r="WTP931" s="18"/>
      <c r="WTQ931" s="18"/>
      <c r="WTR931" s="18"/>
      <c r="WTS931" s="18"/>
      <c r="WTT931" s="18"/>
      <c r="WTU931" s="18"/>
      <c r="WTV931" s="18"/>
      <c r="WTW931" s="18"/>
      <c r="WTX931" s="18"/>
      <c r="WTY931" s="18"/>
      <c r="WTZ931" s="18"/>
      <c r="WUA931" s="18"/>
      <c r="WUB931" s="18"/>
      <c r="WUC931" s="18"/>
      <c r="WUD931" s="18"/>
      <c r="WUE931" s="18"/>
      <c r="WUF931" s="18"/>
      <c r="WUG931" s="18"/>
      <c r="WUH931" s="18"/>
      <c r="WUI931" s="18"/>
      <c r="WUJ931" s="18"/>
      <c r="WUK931" s="18"/>
      <c r="WUL931" s="18"/>
      <c r="WUM931" s="18"/>
      <c r="WUN931" s="18"/>
      <c r="WUO931" s="18"/>
      <c r="WUP931" s="18"/>
      <c r="WUQ931" s="18"/>
      <c r="WUR931" s="18"/>
      <c r="WUS931" s="18"/>
      <c r="WUT931" s="18"/>
      <c r="WUU931" s="18"/>
      <c r="WUV931" s="18"/>
      <c r="WUW931" s="18"/>
      <c r="WUX931" s="18"/>
      <c r="WUY931" s="18"/>
      <c r="WUZ931" s="18"/>
      <c r="WVA931" s="18"/>
      <c r="WVB931" s="18"/>
      <c r="WVC931" s="18"/>
      <c r="WVD931" s="18"/>
      <c r="WVE931" s="18"/>
      <c r="WVF931" s="18"/>
      <c r="WVG931" s="18"/>
      <c r="WVH931" s="18"/>
      <c r="WVI931" s="18"/>
      <c r="WVJ931" s="18"/>
      <c r="WVK931" s="18"/>
      <c r="WVL931" s="18"/>
      <c r="WVM931" s="18"/>
      <c r="WVN931" s="18"/>
      <c r="WVO931" s="18"/>
      <c r="WVP931" s="18"/>
      <c r="WVQ931" s="18"/>
      <c r="WVR931" s="18"/>
    </row>
    <row r="932" spans="1:16138" s="619" customFormat="1">
      <c r="A932" s="18"/>
      <c r="B932" s="18"/>
      <c r="C932" s="832"/>
      <c r="D932" s="831"/>
      <c r="F932" s="466"/>
      <c r="G932" s="1185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  <c r="AV932" s="18"/>
      <c r="AW932" s="18"/>
      <c r="AX932" s="18"/>
      <c r="AY932" s="18"/>
      <c r="AZ932" s="18"/>
      <c r="BA932" s="18"/>
      <c r="BB932" s="18"/>
      <c r="BC932" s="18"/>
      <c r="BD932" s="18"/>
      <c r="BE932" s="18"/>
      <c r="BF932" s="18"/>
      <c r="BG932" s="18"/>
      <c r="BH932" s="18"/>
      <c r="BI932" s="18"/>
      <c r="BJ932" s="18"/>
      <c r="BK932" s="18"/>
      <c r="BL932" s="18"/>
      <c r="BM932" s="18"/>
      <c r="BN932" s="18"/>
      <c r="BO932" s="18"/>
      <c r="BP932" s="18"/>
      <c r="BQ932" s="18"/>
      <c r="BR932" s="18"/>
      <c r="BS932" s="18"/>
      <c r="BT932" s="18"/>
      <c r="BU932" s="18"/>
      <c r="BV932" s="18"/>
      <c r="BW932" s="18"/>
      <c r="BX932" s="18"/>
      <c r="BY932" s="18"/>
      <c r="BZ932" s="18"/>
      <c r="CA932" s="18"/>
      <c r="CB932" s="18"/>
      <c r="CC932" s="18"/>
      <c r="CD932" s="18"/>
      <c r="CE932" s="18"/>
      <c r="CF932" s="18"/>
      <c r="CG932" s="18"/>
      <c r="CH932" s="18"/>
      <c r="CI932" s="18"/>
      <c r="CJ932" s="18"/>
      <c r="CK932" s="18"/>
      <c r="CL932" s="18"/>
      <c r="CM932" s="18"/>
      <c r="CN932" s="18"/>
      <c r="CO932" s="18"/>
      <c r="CP932" s="18"/>
      <c r="CQ932" s="18"/>
      <c r="CR932" s="18"/>
      <c r="CS932" s="18"/>
      <c r="CT932" s="18"/>
      <c r="CU932" s="18"/>
      <c r="CV932" s="18"/>
      <c r="CW932" s="18"/>
      <c r="CX932" s="18"/>
      <c r="CY932" s="18"/>
      <c r="CZ932" s="18"/>
      <c r="DA932" s="18"/>
      <c r="DB932" s="18"/>
      <c r="DC932" s="18"/>
      <c r="DD932" s="18"/>
      <c r="DE932" s="18"/>
      <c r="DF932" s="18"/>
      <c r="DG932" s="18"/>
      <c r="DH932" s="18"/>
      <c r="DI932" s="18"/>
      <c r="DJ932" s="18"/>
      <c r="DK932" s="18"/>
      <c r="DL932" s="18"/>
      <c r="DM932" s="18"/>
      <c r="DN932" s="18"/>
      <c r="DO932" s="18"/>
      <c r="DP932" s="18"/>
      <c r="DQ932" s="18"/>
      <c r="DR932" s="18"/>
      <c r="DS932" s="18"/>
      <c r="DT932" s="18"/>
      <c r="DU932" s="18"/>
      <c r="DV932" s="18"/>
      <c r="DW932" s="18"/>
      <c r="DX932" s="18"/>
      <c r="DY932" s="18"/>
      <c r="DZ932" s="18"/>
      <c r="EA932" s="18"/>
      <c r="EB932" s="18"/>
      <c r="EC932" s="18"/>
      <c r="ED932" s="18"/>
      <c r="EE932" s="18"/>
      <c r="EF932" s="18"/>
      <c r="EG932" s="18"/>
      <c r="EH932" s="18"/>
      <c r="EI932" s="18"/>
      <c r="EJ932" s="18"/>
      <c r="EK932" s="18"/>
      <c r="EL932" s="18"/>
      <c r="EM932" s="18"/>
      <c r="EN932" s="18"/>
      <c r="EO932" s="18"/>
      <c r="EP932" s="18"/>
      <c r="EQ932" s="18"/>
      <c r="ER932" s="18"/>
      <c r="ES932" s="18"/>
      <c r="ET932" s="18"/>
      <c r="EU932" s="18"/>
      <c r="EV932" s="18"/>
      <c r="EW932" s="18"/>
      <c r="EX932" s="18"/>
      <c r="EY932" s="18"/>
      <c r="EZ932" s="18"/>
      <c r="FA932" s="18"/>
      <c r="FB932" s="18"/>
      <c r="FC932" s="18"/>
      <c r="FD932" s="18"/>
      <c r="FE932" s="18"/>
      <c r="FF932" s="18"/>
      <c r="FG932" s="18"/>
      <c r="FH932" s="18"/>
      <c r="FI932" s="18"/>
      <c r="FJ932" s="18"/>
      <c r="FK932" s="18"/>
      <c r="FL932" s="18"/>
      <c r="FM932" s="18"/>
      <c r="FN932" s="18"/>
      <c r="FO932" s="18"/>
      <c r="FP932" s="18"/>
      <c r="FQ932" s="18"/>
      <c r="FR932" s="18"/>
      <c r="FS932" s="18"/>
      <c r="FT932" s="18"/>
      <c r="FU932" s="18"/>
      <c r="FV932" s="18"/>
      <c r="FW932" s="18"/>
      <c r="FX932" s="18"/>
      <c r="FY932" s="18"/>
      <c r="FZ932" s="18"/>
      <c r="GA932" s="18"/>
      <c r="GB932" s="18"/>
      <c r="GC932" s="18"/>
      <c r="GD932" s="18"/>
      <c r="GE932" s="18"/>
      <c r="GF932" s="18"/>
      <c r="GG932" s="18"/>
      <c r="GH932" s="18"/>
      <c r="GI932" s="18"/>
      <c r="GJ932" s="18"/>
      <c r="GK932" s="18"/>
      <c r="GL932" s="18"/>
      <c r="GM932" s="18"/>
      <c r="GN932" s="18"/>
      <c r="GO932" s="18"/>
      <c r="GP932" s="18"/>
      <c r="GQ932" s="18"/>
      <c r="GR932" s="18"/>
      <c r="GS932" s="18"/>
      <c r="GT932" s="18"/>
      <c r="GU932" s="18"/>
      <c r="GV932" s="18"/>
      <c r="GW932" s="18"/>
      <c r="GX932" s="18"/>
      <c r="GY932" s="18"/>
      <c r="GZ932" s="18"/>
      <c r="HA932" s="18"/>
      <c r="HB932" s="18"/>
      <c r="HC932" s="18"/>
      <c r="HD932" s="18"/>
      <c r="HE932" s="18"/>
      <c r="HF932" s="18"/>
      <c r="HG932" s="18"/>
      <c r="HH932" s="18"/>
      <c r="HI932" s="18"/>
      <c r="HJ932" s="18"/>
      <c r="HK932" s="18"/>
      <c r="HL932" s="18"/>
      <c r="HM932" s="18"/>
      <c r="HN932" s="18"/>
      <c r="HO932" s="18"/>
      <c r="HP932" s="18"/>
      <c r="HQ932" s="18"/>
      <c r="HR932" s="18"/>
      <c r="HS932" s="18"/>
      <c r="HT932" s="18"/>
      <c r="HU932" s="18"/>
      <c r="HV932" s="18"/>
      <c r="HW932" s="18"/>
      <c r="HX932" s="18"/>
      <c r="HY932" s="18"/>
      <c r="HZ932" s="18"/>
      <c r="IA932" s="18"/>
      <c r="IB932" s="18"/>
      <c r="IC932" s="18"/>
      <c r="ID932" s="18"/>
      <c r="IE932" s="18"/>
      <c r="IF932" s="18"/>
      <c r="IG932" s="18"/>
      <c r="IH932" s="18"/>
      <c r="II932" s="18"/>
      <c r="IJ932" s="18"/>
      <c r="IK932" s="18"/>
      <c r="IL932" s="18"/>
      <c r="IM932" s="18"/>
      <c r="IN932" s="18"/>
      <c r="IO932" s="18"/>
      <c r="IP932" s="18"/>
      <c r="IQ932" s="18"/>
      <c r="IR932" s="18"/>
      <c r="IS932" s="18"/>
      <c r="IT932" s="18"/>
      <c r="IU932" s="18"/>
      <c r="IV932" s="18"/>
      <c r="IW932" s="18"/>
      <c r="IX932" s="18"/>
      <c r="IY932" s="18"/>
      <c r="IZ932" s="18"/>
      <c r="JA932" s="18"/>
      <c r="JB932" s="18"/>
      <c r="JC932" s="18"/>
      <c r="JD932" s="18"/>
      <c r="JE932" s="18"/>
      <c r="JF932" s="18"/>
      <c r="JG932" s="18"/>
      <c r="JH932" s="18"/>
      <c r="JI932" s="18"/>
      <c r="JJ932" s="18"/>
      <c r="JK932" s="18"/>
      <c r="JL932" s="18"/>
      <c r="JM932" s="18"/>
      <c r="JN932" s="18"/>
      <c r="JO932" s="18"/>
      <c r="JP932" s="18"/>
      <c r="JQ932" s="18"/>
      <c r="JR932" s="18"/>
      <c r="JS932" s="18"/>
      <c r="JT932" s="18"/>
      <c r="JU932" s="18"/>
      <c r="JV932" s="18"/>
      <c r="JW932" s="18"/>
      <c r="JX932" s="18"/>
      <c r="JY932" s="18"/>
      <c r="JZ932" s="18"/>
      <c r="KA932" s="18"/>
      <c r="KB932" s="18"/>
      <c r="KC932" s="18"/>
      <c r="KD932" s="18"/>
      <c r="KE932" s="18"/>
      <c r="KF932" s="18"/>
      <c r="KG932" s="18"/>
      <c r="KH932" s="18"/>
      <c r="KI932" s="18"/>
      <c r="KJ932" s="18"/>
      <c r="KK932" s="18"/>
      <c r="KL932" s="18"/>
      <c r="KM932" s="18"/>
      <c r="KN932" s="18"/>
      <c r="KO932" s="18"/>
      <c r="KP932" s="18"/>
      <c r="KQ932" s="18"/>
      <c r="KR932" s="18"/>
      <c r="KS932" s="18"/>
      <c r="KT932" s="18"/>
      <c r="KU932" s="18"/>
      <c r="KV932" s="18"/>
      <c r="KW932" s="18"/>
      <c r="KX932" s="18"/>
      <c r="KY932" s="18"/>
      <c r="KZ932" s="18"/>
      <c r="LA932" s="18"/>
      <c r="LB932" s="18"/>
      <c r="LC932" s="18"/>
      <c r="LD932" s="18"/>
      <c r="LE932" s="18"/>
      <c r="LF932" s="18"/>
      <c r="LG932" s="18"/>
      <c r="LH932" s="18"/>
      <c r="LI932" s="18"/>
      <c r="LJ932" s="18"/>
      <c r="LK932" s="18"/>
      <c r="LL932" s="18"/>
      <c r="LM932" s="18"/>
      <c r="LN932" s="18"/>
      <c r="LO932" s="18"/>
      <c r="LP932" s="18"/>
      <c r="LQ932" s="18"/>
      <c r="LR932" s="18"/>
      <c r="LS932" s="18"/>
      <c r="LT932" s="18"/>
      <c r="LU932" s="18"/>
      <c r="LV932" s="18"/>
      <c r="LW932" s="18"/>
      <c r="LX932" s="18"/>
      <c r="LY932" s="18"/>
      <c r="LZ932" s="18"/>
      <c r="MA932" s="18"/>
      <c r="MB932" s="18"/>
      <c r="MC932" s="18"/>
      <c r="MD932" s="18"/>
      <c r="ME932" s="18"/>
      <c r="MF932" s="18"/>
      <c r="MG932" s="18"/>
      <c r="MH932" s="18"/>
      <c r="MI932" s="18"/>
      <c r="MJ932" s="18"/>
      <c r="MK932" s="18"/>
      <c r="ML932" s="18"/>
      <c r="MM932" s="18"/>
      <c r="MN932" s="18"/>
      <c r="MO932" s="18"/>
      <c r="MP932" s="18"/>
      <c r="MQ932" s="18"/>
      <c r="MR932" s="18"/>
      <c r="MS932" s="18"/>
      <c r="MT932" s="18"/>
      <c r="MU932" s="18"/>
      <c r="MV932" s="18"/>
      <c r="MW932" s="18"/>
      <c r="MX932" s="18"/>
      <c r="MY932" s="18"/>
      <c r="MZ932" s="18"/>
      <c r="NA932" s="18"/>
      <c r="NB932" s="18"/>
      <c r="NC932" s="18"/>
      <c r="ND932" s="18"/>
      <c r="NE932" s="18"/>
      <c r="NF932" s="18"/>
      <c r="NG932" s="18"/>
      <c r="NH932" s="18"/>
      <c r="NI932" s="18"/>
      <c r="NJ932" s="18"/>
      <c r="NK932" s="18"/>
      <c r="NL932" s="18"/>
      <c r="NM932" s="18"/>
      <c r="NN932" s="18"/>
      <c r="NO932" s="18"/>
      <c r="NP932" s="18"/>
      <c r="NQ932" s="18"/>
      <c r="NR932" s="18"/>
      <c r="NS932" s="18"/>
      <c r="NT932" s="18"/>
      <c r="NU932" s="18"/>
      <c r="NV932" s="18"/>
      <c r="NW932" s="18"/>
      <c r="NX932" s="18"/>
      <c r="NY932" s="18"/>
      <c r="NZ932" s="18"/>
      <c r="OA932" s="18"/>
      <c r="OB932" s="18"/>
      <c r="OC932" s="18"/>
      <c r="OD932" s="18"/>
      <c r="OE932" s="18"/>
      <c r="OF932" s="18"/>
      <c r="OG932" s="18"/>
      <c r="OH932" s="18"/>
      <c r="OI932" s="18"/>
      <c r="OJ932" s="18"/>
      <c r="OK932" s="18"/>
      <c r="OL932" s="18"/>
      <c r="OM932" s="18"/>
      <c r="ON932" s="18"/>
      <c r="OO932" s="18"/>
      <c r="OP932" s="18"/>
      <c r="OQ932" s="18"/>
      <c r="OR932" s="18"/>
      <c r="OS932" s="18"/>
      <c r="OT932" s="18"/>
      <c r="OU932" s="18"/>
      <c r="OV932" s="18"/>
      <c r="OW932" s="18"/>
      <c r="OX932" s="18"/>
      <c r="OY932" s="18"/>
      <c r="OZ932" s="18"/>
      <c r="PA932" s="18"/>
      <c r="PB932" s="18"/>
      <c r="PC932" s="18"/>
      <c r="PD932" s="18"/>
      <c r="PE932" s="18"/>
      <c r="PF932" s="18"/>
      <c r="PG932" s="18"/>
      <c r="PH932" s="18"/>
      <c r="PI932" s="18"/>
      <c r="PJ932" s="18"/>
      <c r="PK932" s="18"/>
      <c r="PL932" s="18"/>
      <c r="PM932" s="18"/>
      <c r="PN932" s="18"/>
      <c r="PO932" s="18"/>
      <c r="PP932" s="18"/>
      <c r="PQ932" s="18"/>
      <c r="PR932" s="18"/>
      <c r="PS932" s="18"/>
      <c r="PT932" s="18"/>
      <c r="PU932" s="18"/>
      <c r="PV932" s="18"/>
      <c r="PW932" s="18"/>
      <c r="PX932" s="18"/>
      <c r="PY932" s="18"/>
      <c r="PZ932" s="18"/>
      <c r="QA932" s="18"/>
      <c r="QB932" s="18"/>
      <c r="QC932" s="18"/>
      <c r="QD932" s="18"/>
      <c r="QE932" s="18"/>
      <c r="QF932" s="18"/>
      <c r="QG932" s="18"/>
      <c r="QH932" s="18"/>
      <c r="QI932" s="18"/>
      <c r="QJ932" s="18"/>
      <c r="QK932" s="18"/>
      <c r="QL932" s="18"/>
      <c r="QM932" s="18"/>
      <c r="QN932" s="18"/>
      <c r="QO932" s="18"/>
      <c r="QP932" s="18"/>
      <c r="QQ932" s="18"/>
      <c r="QR932" s="18"/>
      <c r="QS932" s="18"/>
      <c r="QT932" s="18"/>
      <c r="QU932" s="18"/>
      <c r="QV932" s="18"/>
      <c r="QW932" s="18"/>
      <c r="QX932" s="18"/>
      <c r="QY932" s="18"/>
      <c r="QZ932" s="18"/>
      <c r="RA932" s="18"/>
      <c r="RB932" s="18"/>
      <c r="RC932" s="18"/>
      <c r="RD932" s="18"/>
      <c r="RE932" s="18"/>
      <c r="RF932" s="18"/>
      <c r="RG932" s="18"/>
      <c r="RH932" s="18"/>
      <c r="RI932" s="18"/>
      <c r="RJ932" s="18"/>
      <c r="RK932" s="18"/>
      <c r="RL932" s="18"/>
      <c r="RM932" s="18"/>
      <c r="RN932" s="18"/>
      <c r="RO932" s="18"/>
      <c r="RP932" s="18"/>
      <c r="RQ932" s="18"/>
      <c r="RR932" s="18"/>
      <c r="RS932" s="18"/>
      <c r="RT932" s="18"/>
      <c r="RU932" s="18"/>
      <c r="RV932" s="18"/>
      <c r="RW932" s="18"/>
      <c r="RX932" s="18"/>
      <c r="RY932" s="18"/>
      <c r="RZ932" s="18"/>
      <c r="SA932" s="18"/>
      <c r="SB932" s="18"/>
      <c r="SC932" s="18"/>
      <c r="SD932" s="18"/>
      <c r="SE932" s="18"/>
      <c r="SF932" s="18"/>
      <c r="SG932" s="18"/>
      <c r="SH932" s="18"/>
      <c r="SI932" s="18"/>
      <c r="SJ932" s="18"/>
      <c r="SK932" s="18"/>
      <c r="SL932" s="18"/>
      <c r="SM932" s="18"/>
      <c r="SN932" s="18"/>
      <c r="SO932" s="18"/>
      <c r="SP932" s="18"/>
      <c r="SQ932" s="18"/>
      <c r="SR932" s="18"/>
      <c r="SS932" s="18"/>
      <c r="ST932" s="18"/>
      <c r="SU932" s="18"/>
      <c r="SV932" s="18"/>
      <c r="SW932" s="18"/>
      <c r="SX932" s="18"/>
      <c r="SY932" s="18"/>
      <c r="SZ932" s="18"/>
      <c r="TA932" s="18"/>
      <c r="TB932" s="18"/>
      <c r="TC932" s="18"/>
      <c r="TD932" s="18"/>
      <c r="TE932" s="18"/>
      <c r="TF932" s="18"/>
      <c r="TG932" s="18"/>
      <c r="TH932" s="18"/>
      <c r="TI932" s="18"/>
      <c r="TJ932" s="18"/>
      <c r="TK932" s="18"/>
      <c r="TL932" s="18"/>
      <c r="TM932" s="18"/>
      <c r="TN932" s="18"/>
      <c r="TO932" s="18"/>
      <c r="TP932" s="18"/>
      <c r="TQ932" s="18"/>
      <c r="TR932" s="18"/>
      <c r="TS932" s="18"/>
      <c r="TT932" s="18"/>
      <c r="TU932" s="18"/>
      <c r="TV932" s="18"/>
      <c r="TW932" s="18"/>
      <c r="TX932" s="18"/>
      <c r="TY932" s="18"/>
      <c r="TZ932" s="18"/>
      <c r="UA932" s="18"/>
      <c r="UB932" s="18"/>
      <c r="UC932" s="18"/>
      <c r="UD932" s="18"/>
      <c r="UE932" s="18"/>
      <c r="UF932" s="18"/>
      <c r="UG932" s="18"/>
      <c r="UH932" s="18"/>
      <c r="UI932" s="18"/>
      <c r="UJ932" s="18"/>
      <c r="UK932" s="18"/>
      <c r="UL932" s="18"/>
      <c r="UM932" s="18"/>
      <c r="UN932" s="18"/>
      <c r="UO932" s="18"/>
      <c r="UP932" s="18"/>
      <c r="UQ932" s="18"/>
      <c r="UR932" s="18"/>
      <c r="US932" s="18"/>
      <c r="UT932" s="18"/>
      <c r="UU932" s="18"/>
      <c r="UV932" s="18"/>
      <c r="UW932" s="18"/>
      <c r="UX932" s="18"/>
      <c r="UY932" s="18"/>
      <c r="UZ932" s="18"/>
      <c r="VA932" s="18"/>
      <c r="VB932" s="18"/>
      <c r="VC932" s="18"/>
      <c r="VD932" s="18"/>
      <c r="VE932" s="18"/>
      <c r="VF932" s="18"/>
      <c r="VG932" s="18"/>
      <c r="VH932" s="18"/>
      <c r="VI932" s="18"/>
      <c r="VJ932" s="18"/>
      <c r="VK932" s="18"/>
      <c r="VL932" s="18"/>
      <c r="VM932" s="18"/>
      <c r="VN932" s="18"/>
      <c r="VO932" s="18"/>
      <c r="VP932" s="18"/>
      <c r="VQ932" s="18"/>
      <c r="VR932" s="18"/>
      <c r="VS932" s="18"/>
      <c r="VT932" s="18"/>
      <c r="VU932" s="18"/>
      <c r="VV932" s="18"/>
      <c r="VW932" s="18"/>
      <c r="VX932" s="18"/>
      <c r="VY932" s="18"/>
      <c r="VZ932" s="18"/>
      <c r="WA932" s="18"/>
      <c r="WB932" s="18"/>
      <c r="WC932" s="18"/>
      <c r="WD932" s="18"/>
      <c r="WE932" s="18"/>
      <c r="WF932" s="18"/>
      <c r="WG932" s="18"/>
      <c r="WH932" s="18"/>
      <c r="WI932" s="18"/>
      <c r="WJ932" s="18"/>
      <c r="WK932" s="18"/>
      <c r="WL932" s="18"/>
      <c r="WM932" s="18"/>
      <c r="WN932" s="18"/>
      <c r="WO932" s="18"/>
      <c r="WP932" s="18"/>
      <c r="WQ932" s="18"/>
      <c r="WR932" s="18"/>
      <c r="WS932" s="18"/>
      <c r="WT932" s="18"/>
      <c r="WU932" s="18"/>
      <c r="WV932" s="18"/>
      <c r="WW932" s="18"/>
      <c r="WX932" s="18"/>
      <c r="WY932" s="18"/>
      <c r="WZ932" s="18"/>
      <c r="XA932" s="18"/>
      <c r="XB932" s="18"/>
      <c r="XC932" s="18"/>
      <c r="XD932" s="18"/>
      <c r="XE932" s="18"/>
      <c r="XF932" s="18"/>
      <c r="XG932" s="18"/>
      <c r="XH932" s="18"/>
      <c r="XI932" s="18"/>
      <c r="XJ932" s="18"/>
      <c r="XK932" s="18"/>
      <c r="XL932" s="18"/>
      <c r="XM932" s="18"/>
      <c r="XN932" s="18"/>
      <c r="XO932" s="18"/>
      <c r="XP932" s="18"/>
      <c r="XQ932" s="18"/>
      <c r="XR932" s="18"/>
      <c r="XS932" s="18"/>
      <c r="XT932" s="18"/>
      <c r="XU932" s="18"/>
      <c r="XV932" s="18"/>
      <c r="XW932" s="18"/>
      <c r="XX932" s="18"/>
      <c r="XY932" s="18"/>
      <c r="XZ932" s="18"/>
      <c r="YA932" s="18"/>
      <c r="YB932" s="18"/>
      <c r="YC932" s="18"/>
      <c r="YD932" s="18"/>
      <c r="YE932" s="18"/>
      <c r="YF932" s="18"/>
      <c r="YG932" s="18"/>
      <c r="YH932" s="18"/>
      <c r="YI932" s="18"/>
      <c r="YJ932" s="18"/>
      <c r="YK932" s="18"/>
      <c r="YL932" s="18"/>
      <c r="YM932" s="18"/>
      <c r="YN932" s="18"/>
      <c r="YO932" s="18"/>
      <c r="YP932" s="18"/>
      <c r="YQ932" s="18"/>
      <c r="YR932" s="18"/>
      <c r="YS932" s="18"/>
      <c r="YT932" s="18"/>
      <c r="YU932" s="18"/>
      <c r="YV932" s="18"/>
      <c r="YW932" s="18"/>
      <c r="YX932" s="18"/>
      <c r="YY932" s="18"/>
      <c r="YZ932" s="18"/>
      <c r="ZA932" s="18"/>
      <c r="ZB932" s="18"/>
      <c r="ZC932" s="18"/>
      <c r="ZD932" s="18"/>
      <c r="ZE932" s="18"/>
      <c r="ZF932" s="18"/>
      <c r="ZG932" s="18"/>
      <c r="ZH932" s="18"/>
      <c r="ZI932" s="18"/>
      <c r="ZJ932" s="18"/>
      <c r="ZK932" s="18"/>
      <c r="ZL932" s="18"/>
      <c r="ZM932" s="18"/>
      <c r="ZN932" s="18"/>
      <c r="ZO932" s="18"/>
      <c r="ZP932" s="18"/>
      <c r="ZQ932" s="18"/>
      <c r="ZR932" s="18"/>
      <c r="ZS932" s="18"/>
      <c r="ZT932" s="18"/>
      <c r="ZU932" s="18"/>
      <c r="ZV932" s="18"/>
      <c r="ZW932" s="18"/>
      <c r="ZX932" s="18"/>
      <c r="ZY932" s="18"/>
      <c r="ZZ932" s="18"/>
      <c r="AAA932" s="18"/>
      <c r="AAB932" s="18"/>
      <c r="AAC932" s="18"/>
      <c r="AAD932" s="18"/>
      <c r="AAE932" s="18"/>
      <c r="AAF932" s="18"/>
      <c r="AAG932" s="18"/>
      <c r="AAH932" s="18"/>
      <c r="AAI932" s="18"/>
      <c r="AAJ932" s="18"/>
      <c r="AAK932" s="18"/>
      <c r="AAL932" s="18"/>
      <c r="AAM932" s="18"/>
      <c r="AAN932" s="18"/>
      <c r="AAO932" s="18"/>
      <c r="AAP932" s="18"/>
      <c r="AAQ932" s="18"/>
      <c r="AAR932" s="18"/>
      <c r="AAS932" s="18"/>
      <c r="AAT932" s="18"/>
      <c r="AAU932" s="18"/>
      <c r="AAV932" s="18"/>
      <c r="AAW932" s="18"/>
      <c r="AAX932" s="18"/>
      <c r="AAY932" s="18"/>
      <c r="AAZ932" s="18"/>
      <c r="ABA932" s="18"/>
      <c r="ABB932" s="18"/>
      <c r="ABC932" s="18"/>
      <c r="ABD932" s="18"/>
      <c r="ABE932" s="18"/>
      <c r="ABF932" s="18"/>
      <c r="ABG932" s="18"/>
      <c r="ABH932" s="18"/>
      <c r="ABI932" s="18"/>
      <c r="ABJ932" s="18"/>
      <c r="ABK932" s="18"/>
      <c r="ABL932" s="18"/>
      <c r="ABM932" s="18"/>
      <c r="ABN932" s="18"/>
      <c r="ABO932" s="18"/>
      <c r="ABP932" s="18"/>
      <c r="ABQ932" s="18"/>
      <c r="ABR932" s="18"/>
      <c r="ABS932" s="18"/>
      <c r="ABT932" s="18"/>
      <c r="ABU932" s="18"/>
      <c r="ABV932" s="18"/>
      <c r="ABW932" s="18"/>
      <c r="ABX932" s="18"/>
      <c r="ABY932" s="18"/>
      <c r="ABZ932" s="18"/>
      <c r="ACA932" s="18"/>
      <c r="ACB932" s="18"/>
      <c r="ACC932" s="18"/>
      <c r="ACD932" s="18"/>
      <c r="ACE932" s="18"/>
      <c r="ACF932" s="18"/>
      <c r="ACG932" s="18"/>
      <c r="ACH932" s="18"/>
      <c r="ACI932" s="18"/>
      <c r="ACJ932" s="18"/>
      <c r="ACK932" s="18"/>
      <c r="ACL932" s="18"/>
      <c r="ACM932" s="18"/>
      <c r="ACN932" s="18"/>
      <c r="ACO932" s="18"/>
      <c r="ACP932" s="18"/>
      <c r="ACQ932" s="18"/>
      <c r="ACR932" s="18"/>
      <c r="ACS932" s="18"/>
      <c r="ACT932" s="18"/>
      <c r="ACU932" s="18"/>
      <c r="ACV932" s="18"/>
      <c r="ACW932" s="18"/>
      <c r="ACX932" s="18"/>
      <c r="ACY932" s="18"/>
      <c r="ACZ932" s="18"/>
      <c r="ADA932" s="18"/>
      <c r="ADB932" s="18"/>
      <c r="ADC932" s="18"/>
      <c r="ADD932" s="18"/>
      <c r="ADE932" s="18"/>
      <c r="ADF932" s="18"/>
      <c r="ADG932" s="18"/>
      <c r="ADH932" s="18"/>
      <c r="ADI932" s="18"/>
      <c r="ADJ932" s="18"/>
      <c r="ADK932" s="18"/>
      <c r="ADL932" s="18"/>
      <c r="ADM932" s="18"/>
      <c r="ADN932" s="18"/>
      <c r="ADO932" s="18"/>
      <c r="ADP932" s="18"/>
      <c r="ADQ932" s="18"/>
      <c r="ADR932" s="18"/>
      <c r="ADS932" s="18"/>
      <c r="ADT932" s="18"/>
      <c r="ADU932" s="18"/>
      <c r="ADV932" s="18"/>
      <c r="ADW932" s="18"/>
      <c r="ADX932" s="18"/>
      <c r="ADY932" s="18"/>
      <c r="ADZ932" s="18"/>
      <c r="AEA932" s="18"/>
      <c r="AEB932" s="18"/>
      <c r="AEC932" s="18"/>
      <c r="AED932" s="18"/>
      <c r="AEE932" s="18"/>
      <c r="AEF932" s="18"/>
      <c r="AEG932" s="18"/>
      <c r="AEH932" s="18"/>
      <c r="AEI932" s="18"/>
      <c r="AEJ932" s="18"/>
      <c r="AEK932" s="18"/>
      <c r="AEL932" s="18"/>
      <c r="AEM932" s="18"/>
      <c r="AEN932" s="18"/>
      <c r="AEO932" s="18"/>
      <c r="AEP932" s="18"/>
      <c r="AEQ932" s="18"/>
      <c r="AER932" s="18"/>
      <c r="AES932" s="18"/>
      <c r="AET932" s="18"/>
      <c r="AEU932" s="18"/>
      <c r="AEV932" s="18"/>
      <c r="AEW932" s="18"/>
      <c r="AEX932" s="18"/>
      <c r="AEY932" s="18"/>
      <c r="AEZ932" s="18"/>
      <c r="AFA932" s="18"/>
      <c r="AFB932" s="18"/>
      <c r="AFC932" s="18"/>
      <c r="AFD932" s="18"/>
      <c r="AFE932" s="18"/>
      <c r="AFF932" s="18"/>
      <c r="AFG932" s="18"/>
      <c r="AFH932" s="18"/>
      <c r="AFI932" s="18"/>
      <c r="AFJ932" s="18"/>
      <c r="AFK932" s="18"/>
      <c r="AFL932" s="18"/>
      <c r="AFM932" s="18"/>
      <c r="AFN932" s="18"/>
      <c r="AFO932" s="18"/>
      <c r="AFP932" s="18"/>
      <c r="AFQ932" s="18"/>
      <c r="AFR932" s="18"/>
      <c r="AFS932" s="18"/>
      <c r="AFT932" s="18"/>
      <c r="AFU932" s="18"/>
      <c r="AFV932" s="18"/>
      <c r="AFW932" s="18"/>
      <c r="AFX932" s="18"/>
      <c r="AFY932" s="18"/>
      <c r="AFZ932" s="18"/>
      <c r="AGA932" s="18"/>
      <c r="AGB932" s="18"/>
      <c r="AGC932" s="18"/>
      <c r="AGD932" s="18"/>
      <c r="AGE932" s="18"/>
      <c r="AGF932" s="18"/>
      <c r="AGG932" s="18"/>
      <c r="AGH932" s="18"/>
      <c r="AGI932" s="18"/>
      <c r="AGJ932" s="18"/>
      <c r="AGK932" s="18"/>
      <c r="AGL932" s="18"/>
      <c r="AGM932" s="18"/>
      <c r="AGN932" s="18"/>
      <c r="AGO932" s="18"/>
      <c r="AGP932" s="18"/>
      <c r="AGQ932" s="18"/>
      <c r="AGR932" s="18"/>
      <c r="AGS932" s="18"/>
      <c r="AGT932" s="18"/>
      <c r="AGU932" s="18"/>
      <c r="AGV932" s="18"/>
      <c r="AGW932" s="18"/>
      <c r="AGX932" s="18"/>
      <c r="AGY932" s="18"/>
      <c r="AGZ932" s="18"/>
      <c r="AHA932" s="18"/>
      <c r="AHB932" s="18"/>
      <c r="AHC932" s="18"/>
      <c r="AHD932" s="18"/>
      <c r="AHE932" s="18"/>
      <c r="AHF932" s="18"/>
      <c r="AHG932" s="18"/>
      <c r="AHH932" s="18"/>
      <c r="AHI932" s="18"/>
      <c r="AHJ932" s="18"/>
      <c r="AHK932" s="18"/>
      <c r="AHL932" s="18"/>
      <c r="AHM932" s="18"/>
      <c r="AHN932" s="18"/>
      <c r="AHO932" s="18"/>
      <c r="AHP932" s="18"/>
      <c r="AHQ932" s="18"/>
      <c r="AHR932" s="18"/>
      <c r="AHS932" s="18"/>
      <c r="AHT932" s="18"/>
      <c r="AHU932" s="18"/>
      <c r="AHV932" s="18"/>
      <c r="AHW932" s="18"/>
      <c r="AHX932" s="18"/>
      <c r="AHY932" s="18"/>
      <c r="AHZ932" s="18"/>
      <c r="AIA932" s="18"/>
      <c r="AIB932" s="18"/>
      <c r="AIC932" s="18"/>
      <c r="AID932" s="18"/>
      <c r="AIE932" s="18"/>
      <c r="AIF932" s="18"/>
      <c r="AIG932" s="18"/>
      <c r="AIH932" s="18"/>
      <c r="AII932" s="18"/>
      <c r="AIJ932" s="18"/>
      <c r="AIK932" s="18"/>
      <c r="AIL932" s="18"/>
      <c r="AIM932" s="18"/>
      <c r="AIN932" s="18"/>
      <c r="AIO932" s="18"/>
      <c r="AIP932" s="18"/>
      <c r="AIQ932" s="18"/>
      <c r="AIR932" s="18"/>
      <c r="AIS932" s="18"/>
      <c r="AIT932" s="18"/>
      <c r="AIU932" s="18"/>
      <c r="AIV932" s="18"/>
      <c r="AIW932" s="18"/>
      <c r="AIX932" s="18"/>
      <c r="AIY932" s="18"/>
      <c r="AIZ932" s="18"/>
      <c r="AJA932" s="18"/>
      <c r="AJB932" s="18"/>
      <c r="AJC932" s="18"/>
      <c r="AJD932" s="18"/>
      <c r="AJE932" s="18"/>
      <c r="AJF932" s="18"/>
      <c r="AJG932" s="18"/>
      <c r="AJH932" s="18"/>
      <c r="AJI932" s="18"/>
      <c r="AJJ932" s="18"/>
      <c r="AJK932" s="18"/>
      <c r="AJL932" s="18"/>
      <c r="AJM932" s="18"/>
      <c r="AJN932" s="18"/>
      <c r="AJO932" s="18"/>
      <c r="AJP932" s="18"/>
      <c r="AJQ932" s="18"/>
      <c r="AJR932" s="18"/>
      <c r="AJS932" s="18"/>
      <c r="AJT932" s="18"/>
      <c r="AJU932" s="18"/>
      <c r="AJV932" s="18"/>
      <c r="AJW932" s="18"/>
      <c r="AJX932" s="18"/>
      <c r="AJY932" s="18"/>
      <c r="AJZ932" s="18"/>
      <c r="AKA932" s="18"/>
      <c r="AKB932" s="18"/>
      <c r="AKC932" s="18"/>
      <c r="AKD932" s="18"/>
      <c r="AKE932" s="18"/>
      <c r="AKF932" s="18"/>
      <c r="AKG932" s="18"/>
      <c r="AKH932" s="18"/>
      <c r="AKI932" s="18"/>
      <c r="AKJ932" s="18"/>
      <c r="AKK932" s="18"/>
      <c r="AKL932" s="18"/>
      <c r="AKM932" s="18"/>
      <c r="AKN932" s="18"/>
      <c r="AKO932" s="18"/>
      <c r="AKP932" s="18"/>
      <c r="AKQ932" s="18"/>
      <c r="AKR932" s="18"/>
      <c r="AKS932" s="18"/>
      <c r="AKT932" s="18"/>
      <c r="AKU932" s="18"/>
      <c r="AKV932" s="18"/>
      <c r="AKW932" s="18"/>
      <c r="AKX932" s="18"/>
      <c r="AKY932" s="18"/>
      <c r="AKZ932" s="18"/>
      <c r="ALA932" s="18"/>
      <c r="ALB932" s="18"/>
      <c r="ALC932" s="18"/>
      <c r="ALD932" s="18"/>
      <c r="ALE932" s="18"/>
      <c r="ALF932" s="18"/>
      <c r="ALG932" s="18"/>
      <c r="ALH932" s="18"/>
      <c r="ALI932" s="18"/>
      <c r="ALJ932" s="18"/>
      <c r="ALK932" s="18"/>
      <c r="ALL932" s="18"/>
      <c r="ALM932" s="18"/>
      <c r="ALN932" s="18"/>
      <c r="ALO932" s="18"/>
      <c r="ALP932" s="18"/>
      <c r="ALQ932" s="18"/>
      <c r="ALR932" s="18"/>
      <c r="ALS932" s="18"/>
      <c r="ALT932" s="18"/>
      <c r="ALU932" s="18"/>
      <c r="ALV932" s="18"/>
      <c r="ALW932" s="18"/>
      <c r="ALX932" s="18"/>
      <c r="ALY932" s="18"/>
      <c r="ALZ932" s="18"/>
      <c r="AMA932" s="18"/>
      <c r="AMB932" s="18"/>
      <c r="AMC932" s="18"/>
      <c r="AMD932" s="18"/>
      <c r="AME932" s="18"/>
      <c r="AMF932" s="18"/>
      <c r="AMG932" s="18"/>
      <c r="AMH932" s="18"/>
      <c r="AMI932" s="18"/>
      <c r="AMJ932" s="18"/>
      <c r="AMK932" s="18"/>
      <c r="AML932" s="18"/>
      <c r="AMM932" s="18"/>
      <c r="AMN932" s="18"/>
      <c r="AMO932" s="18"/>
      <c r="AMP932" s="18"/>
      <c r="AMQ932" s="18"/>
      <c r="AMR932" s="18"/>
      <c r="AMS932" s="18"/>
      <c r="AMT932" s="18"/>
      <c r="AMU932" s="18"/>
      <c r="AMV932" s="18"/>
      <c r="AMW932" s="18"/>
      <c r="AMX932" s="18"/>
      <c r="AMY932" s="18"/>
      <c r="AMZ932" s="18"/>
      <c r="ANA932" s="18"/>
      <c r="ANB932" s="18"/>
      <c r="ANC932" s="18"/>
      <c r="AND932" s="18"/>
      <c r="ANE932" s="18"/>
      <c r="ANF932" s="18"/>
      <c r="ANG932" s="18"/>
      <c r="ANH932" s="18"/>
      <c r="ANI932" s="18"/>
      <c r="ANJ932" s="18"/>
      <c r="ANK932" s="18"/>
      <c r="ANL932" s="18"/>
      <c r="ANM932" s="18"/>
      <c r="ANN932" s="18"/>
      <c r="ANO932" s="18"/>
      <c r="ANP932" s="18"/>
      <c r="ANQ932" s="18"/>
      <c r="ANR932" s="18"/>
      <c r="ANS932" s="18"/>
      <c r="ANT932" s="18"/>
      <c r="ANU932" s="18"/>
      <c r="ANV932" s="18"/>
      <c r="ANW932" s="18"/>
      <c r="ANX932" s="18"/>
      <c r="ANY932" s="18"/>
      <c r="ANZ932" s="18"/>
      <c r="AOA932" s="18"/>
      <c r="AOB932" s="18"/>
      <c r="AOC932" s="18"/>
      <c r="AOD932" s="18"/>
      <c r="AOE932" s="18"/>
      <c r="AOF932" s="18"/>
      <c r="AOG932" s="18"/>
      <c r="AOH932" s="18"/>
      <c r="AOI932" s="18"/>
      <c r="AOJ932" s="18"/>
      <c r="AOK932" s="18"/>
      <c r="AOL932" s="18"/>
      <c r="AOM932" s="18"/>
      <c r="AON932" s="18"/>
      <c r="AOO932" s="18"/>
      <c r="AOP932" s="18"/>
      <c r="AOQ932" s="18"/>
      <c r="AOR932" s="18"/>
      <c r="AOS932" s="18"/>
      <c r="AOT932" s="18"/>
      <c r="AOU932" s="18"/>
      <c r="AOV932" s="18"/>
      <c r="AOW932" s="18"/>
      <c r="AOX932" s="18"/>
      <c r="AOY932" s="18"/>
      <c r="AOZ932" s="18"/>
      <c r="APA932" s="18"/>
      <c r="APB932" s="18"/>
      <c r="APC932" s="18"/>
      <c r="APD932" s="18"/>
      <c r="APE932" s="18"/>
      <c r="APF932" s="18"/>
      <c r="APG932" s="18"/>
      <c r="APH932" s="18"/>
      <c r="API932" s="18"/>
      <c r="APJ932" s="18"/>
      <c r="APK932" s="18"/>
      <c r="APL932" s="18"/>
      <c r="APM932" s="18"/>
      <c r="APN932" s="18"/>
      <c r="APO932" s="18"/>
      <c r="APP932" s="18"/>
      <c r="APQ932" s="18"/>
      <c r="APR932" s="18"/>
      <c r="APS932" s="18"/>
      <c r="APT932" s="18"/>
      <c r="APU932" s="18"/>
      <c r="APV932" s="18"/>
      <c r="APW932" s="18"/>
      <c r="APX932" s="18"/>
      <c r="APY932" s="18"/>
      <c r="APZ932" s="18"/>
      <c r="AQA932" s="18"/>
      <c r="AQB932" s="18"/>
      <c r="AQC932" s="18"/>
      <c r="AQD932" s="18"/>
      <c r="AQE932" s="18"/>
      <c r="AQF932" s="18"/>
      <c r="AQG932" s="18"/>
      <c r="AQH932" s="18"/>
      <c r="AQI932" s="18"/>
      <c r="AQJ932" s="18"/>
      <c r="AQK932" s="18"/>
      <c r="AQL932" s="18"/>
      <c r="AQM932" s="18"/>
      <c r="AQN932" s="18"/>
      <c r="AQO932" s="18"/>
      <c r="AQP932" s="18"/>
      <c r="AQQ932" s="18"/>
      <c r="AQR932" s="18"/>
      <c r="AQS932" s="18"/>
      <c r="AQT932" s="18"/>
      <c r="AQU932" s="18"/>
      <c r="AQV932" s="18"/>
      <c r="AQW932" s="18"/>
      <c r="AQX932" s="18"/>
      <c r="AQY932" s="18"/>
      <c r="AQZ932" s="18"/>
      <c r="ARA932" s="18"/>
      <c r="ARB932" s="18"/>
      <c r="ARC932" s="18"/>
      <c r="ARD932" s="18"/>
      <c r="ARE932" s="18"/>
      <c r="ARF932" s="18"/>
      <c r="ARG932" s="18"/>
      <c r="ARH932" s="18"/>
      <c r="ARI932" s="18"/>
      <c r="ARJ932" s="18"/>
      <c r="ARK932" s="18"/>
      <c r="ARL932" s="18"/>
      <c r="ARM932" s="18"/>
      <c r="ARN932" s="18"/>
      <c r="ARO932" s="18"/>
      <c r="ARP932" s="18"/>
      <c r="ARQ932" s="18"/>
      <c r="ARR932" s="18"/>
      <c r="ARS932" s="18"/>
      <c r="ART932" s="18"/>
      <c r="ARU932" s="18"/>
      <c r="ARV932" s="18"/>
      <c r="ARW932" s="18"/>
      <c r="ARX932" s="18"/>
      <c r="ARY932" s="18"/>
      <c r="ARZ932" s="18"/>
      <c r="ASA932" s="18"/>
      <c r="ASB932" s="18"/>
      <c r="ASC932" s="18"/>
      <c r="ASD932" s="18"/>
      <c r="ASE932" s="18"/>
      <c r="ASF932" s="18"/>
      <c r="ASG932" s="18"/>
      <c r="ASH932" s="18"/>
      <c r="ASI932" s="18"/>
      <c r="ASJ932" s="18"/>
      <c r="ASK932" s="18"/>
      <c r="ASL932" s="18"/>
      <c r="ASM932" s="18"/>
      <c r="ASN932" s="18"/>
      <c r="ASO932" s="18"/>
      <c r="ASP932" s="18"/>
      <c r="ASQ932" s="18"/>
      <c r="ASR932" s="18"/>
      <c r="ASS932" s="18"/>
      <c r="AST932" s="18"/>
      <c r="ASU932" s="18"/>
      <c r="ASV932" s="18"/>
      <c r="ASW932" s="18"/>
      <c r="ASX932" s="18"/>
      <c r="ASY932" s="18"/>
      <c r="ASZ932" s="18"/>
      <c r="ATA932" s="18"/>
      <c r="ATB932" s="18"/>
      <c r="ATC932" s="18"/>
      <c r="ATD932" s="18"/>
      <c r="ATE932" s="18"/>
      <c r="ATF932" s="18"/>
      <c r="ATG932" s="18"/>
      <c r="ATH932" s="18"/>
      <c r="ATI932" s="18"/>
      <c r="ATJ932" s="18"/>
      <c r="ATK932" s="18"/>
      <c r="ATL932" s="18"/>
      <c r="ATM932" s="18"/>
      <c r="ATN932" s="18"/>
      <c r="ATO932" s="18"/>
      <c r="ATP932" s="18"/>
      <c r="ATQ932" s="18"/>
      <c r="ATR932" s="18"/>
      <c r="ATS932" s="18"/>
      <c r="ATT932" s="18"/>
      <c r="ATU932" s="18"/>
      <c r="ATV932" s="18"/>
      <c r="ATW932" s="18"/>
      <c r="ATX932" s="18"/>
      <c r="ATY932" s="18"/>
      <c r="ATZ932" s="18"/>
      <c r="AUA932" s="18"/>
      <c r="AUB932" s="18"/>
      <c r="AUC932" s="18"/>
      <c r="AUD932" s="18"/>
      <c r="AUE932" s="18"/>
      <c r="AUF932" s="18"/>
      <c r="AUG932" s="18"/>
      <c r="AUH932" s="18"/>
      <c r="AUI932" s="18"/>
      <c r="AUJ932" s="18"/>
      <c r="AUK932" s="18"/>
      <c r="AUL932" s="18"/>
      <c r="AUM932" s="18"/>
      <c r="AUN932" s="18"/>
      <c r="AUO932" s="18"/>
      <c r="AUP932" s="18"/>
      <c r="AUQ932" s="18"/>
      <c r="AUR932" s="18"/>
      <c r="AUS932" s="18"/>
      <c r="AUT932" s="18"/>
      <c r="AUU932" s="18"/>
      <c r="AUV932" s="18"/>
      <c r="AUW932" s="18"/>
      <c r="AUX932" s="18"/>
      <c r="AUY932" s="18"/>
      <c r="AUZ932" s="18"/>
      <c r="AVA932" s="18"/>
      <c r="AVB932" s="18"/>
      <c r="AVC932" s="18"/>
      <c r="AVD932" s="18"/>
      <c r="AVE932" s="18"/>
      <c r="AVF932" s="18"/>
      <c r="AVG932" s="18"/>
      <c r="AVH932" s="18"/>
      <c r="AVI932" s="18"/>
      <c r="AVJ932" s="18"/>
      <c r="AVK932" s="18"/>
      <c r="AVL932" s="18"/>
      <c r="AVM932" s="18"/>
      <c r="AVN932" s="18"/>
      <c r="AVO932" s="18"/>
      <c r="AVP932" s="18"/>
      <c r="AVQ932" s="18"/>
      <c r="AVR932" s="18"/>
      <c r="AVS932" s="18"/>
      <c r="AVT932" s="18"/>
      <c r="AVU932" s="18"/>
      <c r="AVV932" s="18"/>
      <c r="AVW932" s="18"/>
      <c r="AVX932" s="18"/>
      <c r="AVY932" s="18"/>
      <c r="AVZ932" s="18"/>
      <c r="AWA932" s="18"/>
      <c r="AWB932" s="18"/>
      <c r="AWC932" s="18"/>
      <c r="AWD932" s="18"/>
      <c r="AWE932" s="18"/>
      <c r="AWF932" s="18"/>
      <c r="AWG932" s="18"/>
      <c r="AWH932" s="18"/>
      <c r="AWI932" s="18"/>
      <c r="AWJ932" s="18"/>
      <c r="AWK932" s="18"/>
      <c r="AWL932" s="18"/>
      <c r="AWM932" s="18"/>
      <c r="AWN932" s="18"/>
      <c r="AWO932" s="18"/>
      <c r="AWP932" s="18"/>
      <c r="AWQ932" s="18"/>
      <c r="AWR932" s="18"/>
      <c r="AWS932" s="18"/>
      <c r="AWT932" s="18"/>
      <c r="AWU932" s="18"/>
      <c r="AWV932" s="18"/>
      <c r="AWW932" s="18"/>
      <c r="AWX932" s="18"/>
      <c r="AWY932" s="18"/>
      <c r="AWZ932" s="18"/>
      <c r="AXA932" s="18"/>
      <c r="AXB932" s="18"/>
      <c r="AXC932" s="18"/>
      <c r="AXD932" s="18"/>
      <c r="AXE932" s="18"/>
      <c r="AXF932" s="18"/>
      <c r="AXG932" s="18"/>
      <c r="AXH932" s="18"/>
      <c r="AXI932" s="18"/>
      <c r="AXJ932" s="18"/>
      <c r="AXK932" s="18"/>
      <c r="AXL932" s="18"/>
      <c r="AXM932" s="18"/>
      <c r="AXN932" s="18"/>
      <c r="AXO932" s="18"/>
      <c r="AXP932" s="18"/>
      <c r="AXQ932" s="18"/>
      <c r="AXR932" s="18"/>
      <c r="AXS932" s="18"/>
      <c r="AXT932" s="18"/>
      <c r="AXU932" s="18"/>
      <c r="AXV932" s="18"/>
      <c r="AXW932" s="18"/>
      <c r="AXX932" s="18"/>
      <c r="AXY932" s="18"/>
      <c r="AXZ932" s="18"/>
      <c r="AYA932" s="18"/>
      <c r="AYB932" s="18"/>
      <c r="AYC932" s="18"/>
      <c r="AYD932" s="18"/>
      <c r="AYE932" s="18"/>
      <c r="AYF932" s="18"/>
      <c r="AYG932" s="18"/>
      <c r="AYH932" s="18"/>
      <c r="AYI932" s="18"/>
      <c r="AYJ932" s="18"/>
      <c r="AYK932" s="18"/>
      <c r="AYL932" s="18"/>
      <c r="AYM932" s="18"/>
      <c r="AYN932" s="18"/>
      <c r="AYO932" s="18"/>
      <c r="AYP932" s="18"/>
      <c r="AYQ932" s="18"/>
      <c r="AYR932" s="18"/>
      <c r="AYS932" s="18"/>
      <c r="AYT932" s="18"/>
      <c r="AYU932" s="18"/>
      <c r="AYV932" s="18"/>
      <c r="AYW932" s="18"/>
      <c r="AYX932" s="18"/>
      <c r="AYY932" s="18"/>
      <c r="AYZ932" s="18"/>
      <c r="AZA932" s="18"/>
      <c r="AZB932" s="18"/>
      <c r="AZC932" s="18"/>
      <c r="AZD932" s="18"/>
      <c r="AZE932" s="18"/>
      <c r="AZF932" s="18"/>
      <c r="AZG932" s="18"/>
      <c r="AZH932" s="18"/>
      <c r="AZI932" s="18"/>
      <c r="AZJ932" s="18"/>
      <c r="AZK932" s="18"/>
      <c r="AZL932" s="18"/>
      <c r="AZM932" s="18"/>
      <c r="AZN932" s="18"/>
      <c r="AZO932" s="18"/>
      <c r="AZP932" s="18"/>
      <c r="AZQ932" s="18"/>
      <c r="AZR932" s="18"/>
      <c r="AZS932" s="18"/>
      <c r="AZT932" s="18"/>
      <c r="AZU932" s="18"/>
      <c r="AZV932" s="18"/>
      <c r="AZW932" s="18"/>
      <c r="AZX932" s="18"/>
      <c r="AZY932" s="18"/>
      <c r="AZZ932" s="18"/>
      <c r="BAA932" s="18"/>
      <c r="BAB932" s="18"/>
      <c r="BAC932" s="18"/>
      <c r="BAD932" s="18"/>
      <c r="BAE932" s="18"/>
      <c r="BAF932" s="18"/>
      <c r="BAG932" s="18"/>
      <c r="BAH932" s="18"/>
      <c r="BAI932" s="18"/>
      <c r="BAJ932" s="18"/>
      <c r="BAK932" s="18"/>
      <c r="BAL932" s="18"/>
      <c r="BAM932" s="18"/>
      <c r="BAN932" s="18"/>
      <c r="BAO932" s="18"/>
      <c r="BAP932" s="18"/>
      <c r="BAQ932" s="18"/>
      <c r="BAR932" s="18"/>
      <c r="BAS932" s="18"/>
      <c r="BAT932" s="18"/>
      <c r="BAU932" s="18"/>
      <c r="BAV932" s="18"/>
      <c r="BAW932" s="18"/>
      <c r="BAX932" s="18"/>
      <c r="BAY932" s="18"/>
      <c r="BAZ932" s="18"/>
      <c r="BBA932" s="18"/>
      <c r="BBB932" s="18"/>
      <c r="BBC932" s="18"/>
      <c r="BBD932" s="18"/>
      <c r="BBE932" s="18"/>
      <c r="BBF932" s="18"/>
      <c r="BBG932" s="18"/>
      <c r="BBH932" s="18"/>
      <c r="BBI932" s="18"/>
      <c r="BBJ932" s="18"/>
      <c r="BBK932" s="18"/>
      <c r="BBL932" s="18"/>
      <c r="BBM932" s="18"/>
      <c r="BBN932" s="18"/>
      <c r="BBO932" s="18"/>
      <c r="BBP932" s="18"/>
      <c r="BBQ932" s="18"/>
      <c r="BBR932" s="18"/>
      <c r="BBS932" s="18"/>
      <c r="BBT932" s="18"/>
      <c r="BBU932" s="18"/>
      <c r="BBV932" s="18"/>
      <c r="BBW932" s="18"/>
      <c r="BBX932" s="18"/>
      <c r="BBY932" s="18"/>
      <c r="BBZ932" s="18"/>
      <c r="BCA932" s="18"/>
      <c r="BCB932" s="18"/>
      <c r="BCC932" s="18"/>
      <c r="BCD932" s="18"/>
      <c r="BCE932" s="18"/>
      <c r="BCF932" s="18"/>
      <c r="BCG932" s="18"/>
      <c r="BCH932" s="18"/>
      <c r="BCI932" s="18"/>
      <c r="BCJ932" s="18"/>
      <c r="BCK932" s="18"/>
      <c r="BCL932" s="18"/>
      <c r="BCM932" s="18"/>
      <c r="BCN932" s="18"/>
      <c r="BCO932" s="18"/>
      <c r="BCP932" s="18"/>
      <c r="BCQ932" s="18"/>
      <c r="BCR932" s="18"/>
      <c r="BCS932" s="18"/>
      <c r="BCT932" s="18"/>
      <c r="BCU932" s="18"/>
      <c r="BCV932" s="18"/>
      <c r="BCW932" s="18"/>
      <c r="BCX932" s="18"/>
      <c r="BCY932" s="18"/>
      <c r="BCZ932" s="18"/>
      <c r="BDA932" s="18"/>
      <c r="BDB932" s="18"/>
      <c r="BDC932" s="18"/>
      <c r="BDD932" s="18"/>
      <c r="BDE932" s="18"/>
      <c r="BDF932" s="18"/>
      <c r="BDG932" s="18"/>
      <c r="BDH932" s="18"/>
      <c r="BDI932" s="18"/>
      <c r="BDJ932" s="18"/>
      <c r="BDK932" s="18"/>
      <c r="BDL932" s="18"/>
      <c r="BDM932" s="18"/>
      <c r="BDN932" s="18"/>
      <c r="BDO932" s="18"/>
      <c r="BDP932" s="18"/>
      <c r="BDQ932" s="18"/>
      <c r="BDR932" s="18"/>
      <c r="BDS932" s="18"/>
      <c r="BDT932" s="18"/>
      <c r="BDU932" s="18"/>
      <c r="BDV932" s="18"/>
      <c r="BDW932" s="18"/>
      <c r="BDX932" s="18"/>
      <c r="BDY932" s="18"/>
      <c r="BDZ932" s="18"/>
      <c r="BEA932" s="18"/>
      <c r="BEB932" s="18"/>
      <c r="BEC932" s="18"/>
      <c r="BED932" s="18"/>
      <c r="BEE932" s="18"/>
      <c r="BEF932" s="18"/>
      <c r="BEG932" s="18"/>
      <c r="BEH932" s="18"/>
      <c r="BEI932" s="18"/>
      <c r="BEJ932" s="18"/>
      <c r="BEK932" s="18"/>
      <c r="BEL932" s="18"/>
      <c r="BEM932" s="18"/>
      <c r="BEN932" s="18"/>
      <c r="BEO932" s="18"/>
      <c r="BEP932" s="18"/>
      <c r="BEQ932" s="18"/>
      <c r="BER932" s="18"/>
      <c r="BES932" s="18"/>
      <c r="BET932" s="18"/>
      <c r="BEU932" s="18"/>
      <c r="BEV932" s="18"/>
      <c r="BEW932" s="18"/>
      <c r="BEX932" s="18"/>
      <c r="BEY932" s="18"/>
      <c r="BEZ932" s="18"/>
      <c r="BFA932" s="18"/>
      <c r="BFB932" s="18"/>
      <c r="BFC932" s="18"/>
      <c r="BFD932" s="18"/>
      <c r="BFE932" s="18"/>
      <c r="BFF932" s="18"/>
      <c r="BFG932" s="18"/>
      <c r="BFH932" s="18"/>
      <c r="BFI932" s="18"/>
      <c r="BFJ932" s="18"/>
      <c r="BFK932" s="18"/>
      <c r="BFL932" s="18"/>
      <c r="BFM932" s="18"/>
      <c r="BFN932" s="18"/>
      <c r="BFO932" s="18"/>
      <c r="BFP932" s="18"/>
      <c r="BFQ932" s="18"/>
      <c r="BFR932" s="18"/>
      <c r="BFS932" s="18"/>
      <c r="BFT932" s="18"/>
      <c r="BFU932" s="18"/>
      <c r="BFV932" s="18"/>
      <c r="BFW932" s="18"/>
      <c r="BFX932" s="18"/>
      <c r="BFY932" s="18"/>
      <c r="BFZ932" s="18"/>
      <c r="BGA932" s="18"/>
      <c r="BGB932" s="18"/>
      <c r="BGC932" s="18"/>
      <c r="BGD932" s="18"/>
      <c r="BGE932" s="18"/>
      <c r="BGF932" s="18"/>
      <c r="BGG932" s="18"/>
      <c r="BGH932" s="18"/>
      <c r="BGI932" s="18"/>
      <c r="BGJ932" s="18"/>
      <c r="BGK932" s="18"/>
      <c r="BGL932" s="18"/>
      <c r="BGM932" s="18"/>
      <c r="BGN932" s="18"/>
      <c r="BGO932" s="18"/>
      <c r="BGP932" s="18"/>
      <c r="BGQ932" s="18"/>
      <c r="BGR932" s="18"/>
      <c r="BGS932" s="18"/>
      <c r="BGT932" s="18"/>
      <c r="BGU932" s="18"/>
      <c r="BGV932" s="18"/>
      <c r="BGW932" s="18"/>
      <c r="BGX932" s="18"/>
      <c r="BGY932" s="18"/>
      <c r="BGZ932" s="18"/>
      <c r="BHA932" s="18"/>
      <c r="BHB932" s="18"/>
      <c r="BHC932" s="18"/>
      <c r="BHD932" s="18"/>
      <c r="BHE932" s="18"/>
      <c r="BHF932" s="18"/>
      <c r="BHG932" s="18"/>
      <c r="BHH932" s="18"/>
      <c r="BHI932" s="18"/>
      <c r="BHJ932" s="18"/>
      <c r="BHK932" s="18"/>
      <c r="BHL932" s="18"/>
      <c r="BHM932" s="18"/>
      <c r="BHN932" s="18"/>
      <c r="BHO932" s="18"/>
      <c r="BHP932" s="18"/>
      <c r="BHQ932" s="18"/>
      <c r="BHR932" s="18"/>
      <c r="BHS932" s="18"/>
      <c r="BHT932" s="18"/>
      <c r="BHU932" s="18"/>
      <c r="BHV932" s="18"/>
      <c r="BHW932" s="18"/>
      <c r="BHX932" s="18"/>
      <c r="BHY932" s="18"/>
      <c r="BHZ932" s="18"/>
      <c r="BIA932" s="18"/>
      <c r="BIB932" s="18"/>
      <c r="BIC932" s="18"/>
      <c r="BID932" s="18"/>
      <c r="BIE932" s="18"/>
      <c r="BIF932" s="18"/>
      <c r="BIG932" s="18"/>
      <c r="BIH932" s="18"/>
      <c r="BII932" s="18"/>
      <c r="BIJ932" s="18"/>
      <c r="BIK932" s="18"/>
      <c r="BIL932" s="18"/>
      <c r="BIM932" s="18"/>
      <c r="BIN932" s="18"/>
      <c r="BIO932" s="18"/>
      <c r="BIP932" s="18"/>
      <c r="BIQ932" s="18"/>
      <c r="BIR932" s="18"/>
      <c r="BIS932" s="18"/>
      <c r="BIT932" s="18"/>
      <c r="BIU932" s="18"/>
      <c r="BIV932" s="18"/>
      <c r="BIW932" s="18"/>
      <c r="BIX932" s="18"/>
      <c r="BIY932" s="18"/>
      <c r="BIZ932" s="18"/>
      <c r="BJA932" s="18"/>
      <c r="BJB932" s="18"/>
      <c r="BJC932" s="18"/>
      <c r="BJD932" s="18"/>
      <c r="BJE932" s="18"/>
      <c r="BJF932" s="18"/>
      <c r="BJG932" s="18"/>
      <c r="BJH932" s="18"/>
      <c r="BJI932" s="18"/>
      <c r="BJJ932" s="18"/>
      <c r="BJK932" s="18"/>
      <c r="BJL932" s="18"/>
      <c r="BJM932" s="18"/>
      <c r="BJN932" s="18"/>
      <c r="BJO932" s="18"/>
      <c r="BJP932" s="18"/>
      <c r="BJQ932" s="18"/>
      <c r="BJR932" s="18"/>
      <c r="BJS932" s="18"/>
      <c r="BJT932" s="18"/>
      <c r="BJU932" s="18"/>
      <c r="BJV932" s="18"/>
      <c r="BJW932" s="18"/>
      <c r="BJX932" s="18"/>
      <c r="BJY932" s="18"/>
      <c r="BJZ932" s="18"/>
      <c r="BKA932" s="18"/>
      <c r="BKB932" s="18"/>
      <c r="BKC932" s="18"/>
      <c r="BKD932" s="18"/>
      <c r="BKE932" s="18"/>
      <c r="BKF932" s="18"/>
      <c r="BKG932" s="18"/>
      <c r="BKH932" s="18"/>
      <c r="BKI932" s="18"/>
      <c r="BKJ932" s="18"/>
      <c r="BKK932" s="18"/>
      <c r="BKL932" s="18"/>
      <c r="BKM932" s="18"/>
      <c r="BKN932" s="18"/>
      <c r="BKO932" s="18"/>
      <c r="BKP932" s="18"/>
      <c r="BKQ932" s="18"/>
      <c r="BKR932" s="18"/>
      <c r="BKS932" s="18"/>
      <c r="BKT932" s="18"/>
      <c r="BKU932" s="18"/>
      <c r="BKV932" s="18"/>
      <c r="BKW932" s="18"/>
      <c r="BKX932" s="18"/>
      <c r="BKY932" s="18"/>
      <c r="BKZ932" s="18"/>
      <c r="BLA932" s="18"/>
      <c r="BLB932" s="18"/>
      <c r="BLC932" s="18"/>
      <c r="BLD932" s="18"/>
      <c r="BLE932" s="18"/>
      <c r="BLF932" s="18"/>
      <c r="BLG932" s="18"/>
      <c r="BLH932" s="18"/>
      <c r="BLI932" s="18"/>
      <c r="BLJ932" s="18"/>
      <c r="BLK932" s="18"/>
      <c r="BLL932" s="18"/>
      <c r="BLM932" s="18"/>
      <c r="BLN932" s="18"/>
      <c r="BLO932" s="18"/>
      <c r="BLP932" s="18"/>
      <c r="BLQ932" s="18"/>
      <c r="BLR932" s="18"/>
      <c r="BLS932" s="18"/>
      <c r="BLT932" s="18"/>
      <c r="BLU932" s="18"/>
      <c r="BLV932" s="18"/>
      <c r="BLW932" s="18"/>
      <c r="BLX932" s="18"/>
      <c r="BLY932" s="18"/>
      <c r="BLZ932" s="18"/>
      <c r="BMA932" s="18"/>
      <c r="BMB932" s="18"/>
      <c r="BMC932" s="18"/>
      <c r="BMD932" s="18"/>
      <c r="BME932" s="18"/>
      <c r="BMF932" s="18"/>
      <c r="BMG932" s="18"/>
      <c r="BMH932" s="18"/>
      <c r="BMI932" s="18"/>
      <c r="BMJ932" s="18"/>
      <c r="BMK932" s="18"/>
      <c r="BML932" s="18"/>
      <c r="BMM932" s="18"/>
      <c r="BMN932" s="18"/>
      <c r="BMO932" s="18"/>
      <c r="BMP932" s="18"/>
      <c r="BMQ932" s="18"/>
      <c r="BMR932" s="18"/>
      <c r="BMS932" s="18"/>
      <c r="BMT932" s="18"/>
      <c r="BMU932" s="18"/>
      <c r="BMV932" s="18"/>
      <c r="BMW932" s="18"/>
      <c r="BMX932" s="18"/>
      <c r="BMY932" s="18"/>
      <c r="BMZ932" s="18"/>
      <c r="BNA932" s="18"/>
      <c r="BNB932" s="18"/>
      <c r="BNC932" s="18"/>
      <c r="BND932" s="18"/>
      <c r="BNE932" s="18"/>
      <c r="BNF932" s="18"/>
      <c r="BNG932" s="18"/>
      <c r="BNH932" s="18"/>
      <c r="BNI932" s="18"/>
      <c r="BNJ932" s="18"/>
      <c r="BNK932" s="18"/>
      <c r="BNL932" s="18"/>
      <c r="BNM932" s="18"/>
      <c r="BNN932" s="18"/>
      <c r="BNO932" s="18"/>
      <c r="BNP932" s="18"/>
      <c r="BNQ932" s="18"/>
      <c r="BNR932" s="18"/>
      <c r="BNS932" s="18"/>
      <c r="BNT932" s="18"/>
      <c r="BNU932" s="18"/>
      <c r="BNV932" s="18"/>
      <c r="BNW932" s="18"/>
      <c r="BNX932" s="18"/>
      <c r="BNY932" s="18"/>
      <c r="BNZ932" s="18"/>
      <c r="BOA932" s="18"/>
      <c r="BOB932" s="18"/>
      <c r="BOC932" s="18"/>
      <c r="BOD932" s="18"/>
      <c r="BOE932" s="18"/>
      <c r="BOF932" s="18"/>
      <c r="BOG932" s="18"/>
      <c r="BOH932" s="18"/>
      <c r="BOI932" s="18"/>
      <c r="BOJ932" s="18"/>
      <c r="BOK932" s="18"/>
      <c r="BOL932" s="18"/>
      <c r="BOM932" s="18"/>
      <c r="BON932" s="18"/>
      <c r="BOO932" s="18"/>
      <c r="BOP932" s="18"/>
      <c r="BOQ932" s="18"/>
      <c r="BOR932" s="18"/>
      <c r="BOS932" s="18"/>
      <c r="BOT932" s="18"/>
      <c r="BOU932" s="18"/>
      <c r="BOV932" s="18"/>
      <c r="BOW932" s="18"/>
      <c r="BOX932" s="18"/>
      <c r="BOY932" s="18"/>
      <c r="BOZ932" s="18"/>
      <c r="BPA932" s="18"/>
      <c r="BPB932" s="18"/>
      <c r="BPC932" s="18"/>
      <c r="BPD932" s="18"/>
      <c r="BPE932" s="18"/>
      <c r="BPF932" s="18"/>
      <c r="BPG932" s="18"/>
      <c r="BPH932" s="18"/>
      <c r="BPI932" s="18"/>
      <c r="BPJ932" s="18"/>
      <c r="BPK932" s="18"/>
      <c r="BPL932" s="18"/>
      <c r="BPM932" s="18"/>
      <c r="BPN932" s="18"/>
      <c r="BPO932" s="18"/>
      <c r="BPP932" s="18"/>
      <c r="BPQ932" s="18"/>
      <c r="BPR932" s="18"/>
      <c r="BPS932" s="18"/>
      <c r="BPT932" s="18"/>
      <c r="BPU932" s="18"/>
      <c r="BPV932" s="18"/>
      <c r="BPW932" s="18"/>
      <c r="BPX932" s="18"/>
      <c r="BPY932" s="18"/>
      <c r="BPZ932" s="18"/>
      <c r="BQA932" s="18"/>
      <c r="BQB932" s="18"/>
      <c r="BQC932" s="18"/>
      <c r="BQD932" s="18"/>
      <c r="BQE932" s="18"/>
      <c r="BQF932" s="18"/>
      <c r="BQG932" s="18"/>
      <c r="BQH932" s="18"/>
      <c r="BQI932" s="18"/>
      <c r="BQJ932" s="18"/>
      <c r="BQK932" s="18"/>
      <c r="BQL932" s="18"/>
      <c r="BQM932" s="18"/>
      <c r="BQN932" s="18"/>
      <c r="BQO932" s="18"/>
      <c r="BQP932" s="18"/>
      <c r="BQQ932" s="18"/>
      <c r="BQR932" s="18"/>
      <c r="BQS932" s="18"/>
      <c r="BQT932" s="18"/>
      <c r="BQU932" s="18"/>
      <c r="BQV932" s="18"/>
      <c r="BQW932" s="18"/>
      <c r="BQX932" s="18"/>
      <c r="BQY932" s="18"/>
      <c r="BQZ932" s="18"/>
      <c r="BRA932" s="18"/>
      <c r="BRB932" s="18"/>
      <c r="BRC932" s="18"/>
      <c r="BRD932" s="18"/>
      <c r="BRE932" s="18"/>
      <c r="BRF932" s="18"/>
      <c r="BRG932" s="18"/>
      <c r="BRH932" s="18"/>
      <c r="BRI932" s="18"/>
      <c r="BRJ932" s="18"/>
      <c r="BRK932" s="18"/>
      <c r="BRL932" s="18"/>
      <c r="BRM932" s="18"/>
      <c r="BRN932" s="18"/>
      <c r="BRO932" s="18"/>
      <c r="BRP932" s="18"/>
      <c r="BRQ932" s="18"/>
      <c r="BRR932" s="18"/>
      <c r="BRS932" s="18"/>
      <c r="BRT932" s="18"/>
      <c r="BRU932" s="18"/>
      <c r="BRV932" s="18"/>
      <c r="BRW932" s="18"/>
      <c r="BRX932" s="18"/>
      <c r="BRY932" s="18"/>
      <c r="BRZ932" s="18"/>
      <c r="BSA932" s="18"/>
      <c r="BSB932" s="18"/>
      <c r="BSC932" s="18"/>
      <c r="BSD932" s="18"/>
      <c r="BSE932" s="18"/>
      <c r="BSF932" s="18"/>
      <c r="BSG932" s="18"/>
      <c r="BSH932" s="18"/>
      <c r="BSI932" s="18"/>
      <c r="BSJ932" s="18"/>
      <c r="BSK932" s="18"/>
      <c r="BSL932" s="18"/>
      <c r="BSM932" s="18"/>
      <c r="BSN932" s="18"/>
      <c r="BSO932" s="18"/>
      <c r="BSP932" s="18"/>
      <c r="BSQ932" s="18"/>
      <c r="BSR932" s="18"/>
      <c r="BSS932" s="18"/>
      <c r="BST932" s="18"/>
      <c r="BSU932" s="18"/>
      <c r="BSV932" s="18"/>
      <c r="BSW932" s="18"/>
      <c r="BSX932" s="18"/>
      <c r="BSY932" s="18"/>
      <c r="BSZ932" s="18"/>
      <c r="BTA932" s="18"/>
      <c r="BTB932" s="18"/>
      <c r="BTC932" s="18"/>
      <c r="BTD932" s="18"/>
      <c r="BTE932" s="18"/>
      <c r="BTF932" s="18"/>
      <c r="BTG932" s="18"/>
      <c r="BTH932" s="18"/>
      <c r="BTI932" s="18"/>
      <c r="BTJ932" s="18"/>
      <c r="BTK932" s="18"/>
      <c r="BTL932" s="18"/>
      <c r="BTM932" s="18"/>
      <c r="BTN932" s="18"/>
      <c r="BTO932" s="18"/>
      <c r="BTP932" s="18"/>
      <c r="BTQ932" s="18"/>
      <c r="BTR932" s="18"/>
      <c r="BTS932" s="18"/>
      <c r="BTT932" s="18"/>
      <c r="BTU932" s="18"/>
      <c r="BTV932" s="18"/>
      <c r="BTW932" s="18"/>
      <c r="BTX932" s="18"/>
      <c r="BTY932" s="18"/>
      <c r="BTZ932" s="18"/>
      <c r="BUA932" s="18"/>
      <c r="BUB932" s="18"/>
      <c r="BUC932" s="18"/>
      <c r="BUD932" s="18"/>
      <c r="BUE932" s="18"/>
      <c r="BUF932" s="18"/>
      <c r="BUG932" s="18"/>
      <c r="BUH932" s="18"/>
      <c r="BUI932" s="18"/>
      <c r="BUJ932" s="18"/>
      <c r="BUK932" s="18"/>
      <c r="BUL932" s="18"/>
      <c r="BUM932" s="18"/>
      <c r="BUN932" s="18"/>
      <c r="BUO932" s="18"/>
      <c r="BUP932" s="18"/>
      <c r="BUQ932" s="18"/>
      <c r="BUR932" s="18"/>
      <c r="BUS932" s="18"/>
      <c r="BUT932" s="18"/>
      <c r="BUU932" s="18"/>
      <c r="BUV932" s="18"/>
      <c r="BUW932" s="18"/>
      <c r="BUX932" s="18"/>
      <c r="BUY932" s="18"/>
      <c r="BUZ932" s="18"/>
      <c r="BVA932" s="18"/>
      <c r="BVB932" s="18"/>
      <c r="BVC932" s="18"/>
      <c r="BVD932" s="18"/>
      <c r="BVE932" s="18"/>
      <c r="BVF932" s="18"/>
      <c r="BVG932" s="18"/>
      <c r="BVH932" s="18"/>
      <c r="BVI932" s="18"/>
      <c r="BVJ932" s="18"/>
      <c r="BVK932" s="18"/>
      <c r="BVL932" s="18"/>
      <c r="BVM932" s="18"/>
      <c r="BVN932" s="18"/>
      <c r="BVO932" s="18"/>
      <c r="BVP932" s="18"/>
      <c r="BVQ932" s="18"/>
      <c r="BVR932" s="18"/>
      <c r="BVS932" s="18"/>
      <c r="BVT932" s="18"/>
      <c r="BVU932" s="18"/>
      <c r="BVV932" s="18"/>
      <c r="BVW932" s="18"/>
      <c r="BVX932" s="18"/>
      <c r="BVY932" s="18"/>
      <c r="BVZ932" s="18"/>
      <c r="BWA932" s="18"/>
      <c r="BWB932" s="18"/>
      <c r="BWC932" s="18"/>
      <c r="BWD932" s="18"/>
      <c r="BWE932" s="18"/>
      <c r="BWF932" s="18"/>
      <c r="BWG932" s="18"/>
      <c r="BWH932" s="18"/>
      <c r="BWI932" s="18"/>
      <c r="BWJ932" s="18"/>
      <c r="BWK932" s="18"/>
      <c r="BWL932" s="18"/>
      <c r="BWM932" s="18"/>
      <c r="BWN932" s="18"/>
      <c r="BWO932" s="18"/>
      <c r="BWP932" s="18"/>
      <c r="BWQ932" s="18"/>
      <c r="BWR932" s="18"/>
      <c r="BWS932" s="18"/>
      <c r="BWT932" s="18"/>
      <c r="BWU932" s="18"/>
      <c r="BWV932" s="18"/>
      <c r="BWW932" s="18"/>
      <c r="BWX932" s="18"/>
      <c r="BWY932" s="18"/>
      <c r="BWZ932" s="18"/>
      <c r="BXA932" s="18"/>
      <c r="BXB932" s="18"/>
      <c r="BXC932" s="18"/>
      <c r="BXD932" s="18"/>
      <c r="BXE932" s="18"/>
      <c r="BXF932" s="18"/>
      <c r="BXG932" s="18"/>
      <c r="BXH932" s="18"/>
      <c r="BXI932" s="18"/>
      <c r="BXJ932" s="18"/>
      <c r="BXK932" s="18"/>
      <c r="BXL932" s="18"/>
      <c r="BXM932" s="18"/>
      <c r="BXN932" s="18"/>
      <c r="BXO932" s="18"/>
      <c r="BXP932" s="18"/>
      <c r="BXQ932" s="18"/>
      <c r="BXR932" s="18"/>
      <c r="BXS932" s="18"/>
      <c r="BXT932" s="18"/>
      <c r="BXU932" s="18"/>
      <c r="BXV932" s="18"/>
      <c r="BXW932" s="18"/>
      <c r="BXX932" s="18"/>
      <c r="BXY932" s="18"/>
      <c r="BXZ932" s="18"/>
      <c r="BYA932" s="18"/>
      <c r="BYB932" s="18"/>
      <c r="BYC932" s="18"/>
      <c r="BYD932" s="18"/>
      <c r="BYE932" s="18"/>
      <c r="BYF932" s="18"/>
      <c r="BYG932" s="18"/>
      <c r="BYH932" s="18"/>
      <c r="BYI932" s="18"/>
      <c r="BYJ932" s="18"/>
      <c r="BYK932" s="18"/>
      <c r="BYL932" s="18"/>
      <c r="BYM932" s="18"/>
      <c r="BYN932" s="18"/>
      <c r="BYO932" s="18"/>
      <c r="BYP932" s="18"/>
      <c r="BYQ932" s="18"/>
      <c r="BYR932" s="18"/>
      <c r="BYS932" s="18"/>
      <c r="BYT932" s="18"/>
      <c r="BYU932" s="18"/>
      <c r="BYV932" s="18"/>
      <c r="BYW932" s="18"/>
      <c r="BYX932" s="18"/>
      <c r="BYY932" s="18"/>
      <c r="BYZ932" s="18"/>
      <c r="BZA932" s="18"/>
      <c r="BZB932" s="18"/>
      <c r="BZC932" s="18"/>
      <c r="BZD932" s="18"/>
      <c r="BZE932" s="18"/>
      <c r="BZF932" s="18"/>
      <c r="BZG932" s="18"/>
      <c r="BZH932" s="18"/>
      <c r="BZI932" s="18"/>
      <c r="BZJ932" s="18"/>
      <c r="BZK932" s="18"/>
      <c r="BZL932" s="18"/>
      <c r="BZM932" s="18"/>
      <c r="BZN932" s="18"/>
      <c r="BZO932" s="18"/>
      <c r="BZP932" s="18"/>
      <c r="BZQ932" s="18"/>
      <c r="BZR932" s="18"/>
      <c r="BZS932" s="18"/>
      <c r="BZT932" s="18"/>
      <c r="BZU932" s="18"/>
      <c r="BZV932" s="18"/>
      <c r="BZW932" s="18"/>
      <c r="BZX932" s="18"/>
      <c r="BZY932" s="18"/>
      <c r="BZZ932" s="18"/>
      <c r="CAA932" s="18"/>
      <c r="CAB932" s="18"/>
      <c r="CAC932" s="18"/>
      <c r="CAD932" s="18"/>
      <c r="CAE932" s="18"/>
      <c r="CAF932" s="18"/>
      <c r="CAG932" s="18"/>
      <c r="CAH932" s="18"/>
      <c r="CAI932" s="18"/>
      <c r="CAJ932" s="18"/>
      <c r="CAK932" s="18"/>
      <c r="CAL932" s="18"/>
      <c r="CAM932" s="18"/>
      <c r="CAN932" s="18"/>
      <c r="CAO932" s="18"/>
      <c r="CAP932" s="18"/>
      <c r="CAQ932" s="18"/>
      <c r="CAR932" s="18"/>
      <c r="CAS932" s="18"/>
      <c r="CAT932" s="18"/>
      <c r="CAU932" s="18"/>
      <c r="CAV932" s="18"/>
      <c r="CAW932" s="18"/>
      <c r="CAX932" s="18"/>
      <c r="CAY932" s="18"/>
      <c r="CAZ932" s="18"/>
      <c r="CBA932" s="18"/>
      <c r="CBB932" s="18"/>
      <c r="CBC932" s="18"/>
      <c r="CBD932" s="18"/>
      <c r="CBE932" s="18"/>
      <c r="CBF932" s="18"/>
      <c r="CBG932" s="18"/>
      <c r="CBH932" s="18"/>
      <c r="CBI932" s="18"/>
      <c r="CBJ932" s="18"/>
      <c r="CBK932" s="18"/>
      <c r="CBL932" s="18"/>
      <c r="CBM932" s="18"/>
      <c r="CBN932" s="18"/>
      <c r="CBO932" s="18"/>
      <c r="CBP932" s="18"/>
      <c r="CBQ932" s="18"/>
      <c r="CBR932" s="18"/>
      <c r="CBS932" s="18"/>
      <c r="CBT932" s="18"/>
      <c r="CBU932" s="18"/>
      <c r="CBV932" s="18"/>
      <c r="CBW932" s="18"/>
      <c r="CBX932" s="18"/>
      <c r="CBY932" s="18"/>
      <c r="CBZ932" s="18"/>
      <c r="CCA932" s="18"/>
      <c r="CCB932" s="18"/>
      <c r="CCC932" s="18"/>
      <c r="CCD932" s="18"/>
      <c r="CCE932" s="18"/>
      <c r="CCF932" s="18"/>
      <c r="CCG932" s="18"/>
      <c r="CCH932" s="18"/>
      <c r="CCI932" s="18"/>
      <c r="CCJ932" s="18"/>
      <c r="CCK932" s="18"/>
      <c r="CCL932" s="18"/>
      <c r="CCM932" s="18"/>
      <c r="CCN932" s="18"/>
      <c r="CCO932" s="18"/>
      <c r="CCP932" s="18"/>
      <c r="CCQ932" s="18"/>
      <c r="CCR932" s="18"/>
      <c r="CCS932" s="18"/>
      <c r="CCT932" s="18"/>
      <c r="CCU932" s="18"/>
      <c r="CCV932" s="18"/>
      <c r="CCW932" s="18"/>
      <c r="CCX932" s="18"/>
      <c r="CCY932" s="18"/>
      <c r="CCZ932" s="18"/>
      <c r="CDA932" s="18"/>
      <c r="CDB932" s="18"/>
      <c r="CDC932" s="18"/>
      <c r="CDD932" s="18"/>
      <c r="CDE932" s="18"/>
      <c r="CDF932" s="18"/>
      <c r="CDG932" s="18"/>
      <c r="CDH932" s="18"/>
      <c r="CDI932" s="18"/>
      <c r="CDJ932" s="18"/>
      <c r="CDK932" s="18"/>
      <c r="CDL932" s="18"/>
      <c r="CDM932" s="18"/>
      <c r="CDN932" s="18"/>
      <c r="CDO932" s="18"/>
      <c r="CDP932" s="18"/>
      <c r="CDQ932" s="18"/>
      <c r="CDR932" s="18"/>
      <c r="CDS932" s="18"/>
      <c r="CDT932" s="18"/>
      <c r="CDU932" s="18"/>
      <c r="CDV932" s="18"/>
      <c r="CDW932" s="18"/>
      <c r="CDX932" s="18"/>
      <c r="CDY932" s="18"/>
      <c r="CDZ932" s="18"/>
      <c r="CEA932" s="18"/>
      <c r="CEB932" s="18"/>
      <c r="CEC932" s="18"/>
      <c r="CED932" s="18"/>
      <c r="CEE932" s="18"/>
      <c r="CEF932" s="18"/>
      <c r="CEG932" s="18"/>
      <c r="CEH932" s="18"/>
      <c r="CEI932" s="18"/>
      <c r="CEJ932" s="18"/>
      <c r="CEK932" s="18"/>
      <c r="CEL932" s="18"/>
      <c r="CEM932" s="18"/>
      <c r="CEN932" s="18"/>
      <c r="CEO932" s="18"/>
      <c r="CEP932" s="18"/>
      <c r="CEQ932" s="18"/>
      <c r="CER932" s="18"/>
      <c r="CES932" s="18"/>
      <c r="CET932" s="18"/>
      <c r="CEU932" s="18"/>
      <c r="CEV932" s="18"/>
      <c r="CEW932" s="18"/>
      <c r="CEX932" s="18"/>
      <c r="CEY932" s="18"/>
      <c r="CEZ932" s="18"/>
      <c r="CFA932" s="18"/>
      <c r="CFB932" s="18"/>
      <c r="CFC932" s="18"/>
      <c r="CFD932" s="18"/>
      <c r="CFE932" s="18"/>
      <c r="CFF932" s="18"/>
      <c r="CFG932" s="18"/>
      <c r="CFH932" s="18"/>
      <c r="CFI932" s="18"/>
      <c r="CFJ932" s="18"/>
      <c r="CFK932" s="18"/>
      <c r="CFL932" s="18"/>
      <c r="CFM932" s="18"/>
      <c r="CFN932" s="18"/>
      <c r="CFO932" s="18"/>
      <c r="CFP932" s="18"/>
      <c r="CFQ932" s="18"/>
      <c r="CFR932" s="18"/>
      <c r="CFS932" s="18"/>
      <c r="CFT932" s="18"/>
      <c r="CFU932" s="18"/>
      <c r="CFV932" s="18"/>
      <c r="CFW932" s="18"/>
      <c r="CFX932" s="18"/>
      <c r="CFY932" s="18"/>
      <c r="CFZ932" s="18"/>
      <c r="CGA932" s="18"/>
      <c r="CGB932" s="18"/>
      <c r="CGC932" s="18"/>
      <c r="CGD932" s="18"/>
      <c r="CGE932" s="18"/>
      <c r="CGF932" s="18"/>
      <c r="CGG932" s="18"/>
      <c r="CGH932" s="18"/>
      <c r="CGI932" s="18"/>
      <c r="CGJ932" s="18"/>
      <c r="CGK932" s="18"/>
      <c r="CGL932" s="18"/>
      <c r="CGM932" s="18"/>
      <c r="CGN932" s="18"/>
      <c r="CGO932" s="18"/>
      <c r="CGP932" s="18"/>
      <c r="CGQ932" s="18"/>
      <c r="CGR932" s="18"/>
      <c r="CGS932" s="18"/>
      <c r="CGT932" s="18"/>
      <c r="CGU932" s="18"/>
      <c r="CGV932" s="18"/>
      <c r="CGW932" s="18"/>
      <c r="CGX932" s="18"/>
      <c r="CGY932" s="18"/>
      <c r="CGZ932" s="18"/>
      <c r="CHA932" s="18"/>
      <c r="CHB932" s="18"/>
      <c r="CHC932" s="18"/>
      <c r="CHD932" s="18"/>
      <c r="CHE932" s="18"/>
      <c r="CHF932" s="18"/>
      <c r="CHG932" s="18"/>
      <c r="CHH932" s="18"/>
      <c r="CHI932" s="18"/>
      <c r="CHJ932" s="18"/>
      <c r="CHK932" s="18"/>
      <c r="CHL932" s="18"/>
      <c r="CHM932" s="18"/>
      <c r="CHN932" s="18"/>
      <c r="CHO932" s="18"/>
      <c r="CHP932" s="18"/>
      <c r="CHQ932" s="18"/>
      <c r="CHR932" s="18"/>
      <c r="CHS932" s="18"/>
      <c r="CHT932" s="18"/>
      <c r="CHU932" s="18"/>
      <c r="CHV932" s="18"/>
      <c r="CHW932" s="18"/>
      <c r="CHX932" s="18"/>
      <c r="CHY932" s="18"/>
      <c r="CHZ932" s="18"/>
      <c r="CIA932" s="18"/>
      <c r="CIB932" s="18"/>
      <c r="CIC932" s="18"/>
      <c r="CID932" s="18"/>
      <c r="CIE932" s="18"/>
      <c r="CIF932" s="18"/>
      <c r="CIG932" s="18"/>
      <c r="CIH932" s="18"/>
      <c r="CII932" s="18"/>
      <c r="CIJ932" s="18"/>
      <c r="CIK932" s="18"/>
      <c r="CIL932" s="18"/>
      <c r="CIM932" s="18"/>
      <c r="CIN932" s="18"/>
      <c r="CIO932" s="18"/>
      <c r="CIP932" s="18"/>
      <c r="CIQ932" s="18"/>
      <c r="CIR932" s="18"/>
      <c r="CIS932" s="18"/>
      <c r="CIT932" s="18"/>
      <c r="CIU932" s="18"/>
      <c r="CIV932" s="18"/>
      <c r="CIW932" s="18"/>
      <c r="CIX932" s="18"/>
      <c r="CIY932" s="18"/>
      <c r="CIZ932" s="18"/>
      <c r="CJA932" s="18"/>
      <c r="CJB932" s="18"/>
      <c r="CJC932" s="18"/>
      <c r="CJD932" s="18"/>
      <c r="CJE932" s="18"/>
      <c r="CJF932" s="18"/>
      <c r="CJG932" s="18"/>
      <c r="CJH932" s="18"/>
      <c r="CJI932" s="18"/>
      <c r="CJJ932" s="18"/>
      <c r="CJK932" s="18"/>
      <c r="CJL932" s="18"/>
      <c r="CJM932" s="18"/>
      <c r="CJN932" s="18"/>
      <c r="CJO932" s="18"/>
      <c r="CJP932" s="18"/>
      <c r="CJQ932" s="18"/>
      <c r="CJR932" s="18"/>
      <c r="CJS932" s="18"/>
      <c r="CJT932" s="18"/>
      <c r="CJU932" s="18"/>
      <c r="CJV932" s="18"/>
      <c r="CJW932" s="18"/>
      <c r="CJX932" s="18"/>
      <c r="CJY932" s="18"/>
      <c r="CJZ932" s="18"/>
      <c r="CKA932" s="18"/>
      <c r="CKB932" s="18"/>
      <c r="CKC932" s="18"/>
      <c r="CKD932" s="18"/>
      <c r="CKE932" s="18"/>
      <c r="CKF932" s="18"/>
      <c r="CKG932" s="18"/>
      <c r="CKH932" s="18"/>
      <c r="CKI932" s="18"/>
      <c r="CKJ932" s="18"/>
      <c r="CKK932" s="18"/>
      <c r="CKL932" s="18"/>
      <c r="CKM932" s="18"/>
      <c r="CKN932" s="18"/>
      <c r="CKO932" s="18"/>
      <c r="CKP932" s="18"/>
      <c r="CKQ932" s="18"/>
      <c r="CKR932" s="18"/>
      <c r="CKS932" s="18"/>
      <c r="CKT932" s="18"/>
      <c r="CKU932" s="18"/>
      <c r="CKV932" s="18"/>
      <c r="CKW932" s="18"/>
      <c r="CKX932" s="18"/>
      <c r="CKY932" s="18"/>
      <c r="CKZ932" s="18"/>
      <c r="CLA932" s="18"/>
      <c r="CLB932" s="18"/>
      <c r="CLC932" s="18"/>
      <c r="CLD932" s="18"/>
      <c r="CLE932" s="18"/>
      <c r="CLF932" s="18"/>
      <c r="CLG932" s="18"/>
      <c r="CLH932" s="18"/>
      <c r="CLI932" s="18"/>
      <c r="CLJ932" s="18"/>
      <c r="CLK932" s="18"/>
      <c r="CLL932" s="18"/>
      <c r="CLM932" s="18"/>
      <c r="CLN932" s="18"/>
      <c r="CLO932" s="18"/>
      <c r="CLP932" s="18"/>
      <c r="CLQ932" s="18"/>
      <c r="CLR932" s="18"/>
      <c r="CLS932" s="18"/>
      <c r="CLT932" s="18"/>
      <c r="CLU932" s="18"/>
      <c r="CLV932" s="18"/>
      <c r="CLW932" s="18"/>
      <c r="CLX932" s="18"/>
      <c r="CLY932" s="18"/>
      <c r="CLZ932" s="18"/>
      <c r="CMA932" s="18"/>
      <c r="CMB932" s="18"/>
      <c r="CMC932" s="18"/>
      <c r="CMD932" s="18"/>
      <c r="CME932" s="18"/>
      <c r="CMF932" s="18"/>
      <c r="CMG932" s="18"/>
      <c r="CMH932" s="18"/>
      <c r="CMI932" s="18"/>
      <c r="CMJ932" s="18"/>
      <c r="CMK932" s="18"/>
      <c r="CML932" s="18"/>
      <c r="CMM932" s="18"/>
      <c r="CMN932" s="18"/>
      <c r="CMO932" s="18"/>
      <c r="CMP932" s="18"/>
      <c r="CMQ932" s="18"/>
      <c r="CMR932" s="18"/>
      <c r="CMS932" s="18"/>
      <c r="CMT932" s="18"/>
      <c r="CMU932" s="18"/>
      <c r="CMV932" s="18"/>
      <c r="CMW932" s="18"/>
      <c r="CMX932" s="18"/>
      <c r="CMY932" s="18"/>
      <c r="CMZ932" s="18"/>
      <c r="CNA932" s="18"/>
      <c r="CNB932" s="18"/>
      <c r="CNC932" s="18"/>
      <c r="CND932" s="18"/>
      <c r="CNE932" s="18"/>
      <c r="CNF932" s="18"/>
      <c r="CNG932" s="18"/>
      <c r="CNH932" s="18"/>
      <c r="CNI932" s="18"/>
      <c r="CNJ932" s="18"/>
      <c r="CNK932" s="18"/>
      <c r="CNL932" s="18"/>
      <c r="CNM932" s="18"/>
      <c r="CNN932" s="18"/>
      <c r="CNO932" s="18"/>
      <c r="CNP932" s="18"/>
      <c r="CNQ932" s="18"/>
      <c r="CNR932" s="18"/>
      <c r="CNS932" s="18"/>
      <c r="CNT932" s="18"/>
      <c r="CNU932" s="18"/>
      <c r="CNV932" s="18"/>
      <c r="CNW932" s="18"/>
      <c r="CNX932" s="18"/>
      <c r="CNY932" s="18"/>
      <c r="CNZ932" s="18"/>
      <c r="COA932" s="18"/>
      <c r="COB932" s="18"/>
      <c r="COC932" s="18"/>
      <c r="COD932" s="18"/>
      <c r="COE932" s="18"/>
      <c r="COF932" s="18"/>
      <c r="COG932" s="18"/>
      <c r="COH932" s="18"/>
      <c r="COI932" s="18"/>
      <c r="COJ932" s="18"/>
      <c r="COK932" s="18"/>
      <c r="COL932" s="18"/>
      <c r="COM932" s="18"/>
      <c r="CON932" s="18"/>
      <c r="COO932" s="18"/>
      <c r="COP932" s="18"/>
      <c r="COQ932" s="18"/>
      <c r="COR932" s="18"/>
      <c r="COS932" s="18"/>
      <c r="COT932" s="18"/>
      <c r="COU932" s="18"/>
      <c r="COV932" s="18"/>
      <c r="COW932" s="18"/>
      <c r="COX932" s="18"/>
      <c r="COY932" s="18"/>
      <c r="COZ932" s="18"/>
      <c r="CPA932" s="18"/>
      <c r="CPB932" s="18"/>
      <c r="CPC932" s="18"/>
      <c r="CPD932" s="18"/>
      <c r="CPE932" s="18"/>
      <c r="CPF932" s="18"/>
      <c r="CPG932" s="18"/>
      <c r="CPH932" s="18"/>
      <c r="CPI932" s="18"/>
      <c r="CPJ932" s="18"/>
      <c r="CPK932" s="18"/>
      <c r="CPL932" s="18"/>
      <c r="CPM932" s="18"/>
      <c r="CPN932" s="18"/>
      <c r="CPO932" s="18"/>
      <c r="CPP932" s="18"/>
      <c r="CPQ932" s="18"/>
      <c r="CPR932" s="18"/>
      <c r="CPS932" s="18"/>
      <c r="CPT932" s="18"/>
      <c r="CPU932" s="18"/>
      <c r="CPV932" s="18"/>
      <c r="CPW932" s="18"/>
      <c r="CPX932" s="18"/>
      <c r="CPY932" s="18"/>
      <c r="CPZ932" s="18"/>
      <c r="CQA932" s="18"/>
      <c r="CQB932" s="18"/>
      <c r="CQC932" s="18"/>
      <c r="CQD932" s="18"/>
      <c r="CQE932" s="18"/>
      <c r="CQF932" s="18"/>
      <c r="CQG932" s="18"/>
      <c r="CQH932" s="18"/>
      <c r="CQI932" s="18"/>
      <c r="CQJ932" s="18"/>
      <c r="CQK932" s="18"/>
      <c r="CQL932" s="18"/>
      <c r="CQM932" s="18"/>
      <c r="CQN932" s="18"/>
      <c r="CQO932" s="18"/>
      <c r="CQP932" s="18"/>
      <c r="CQQ932" s="18"/>
      <c r="CQR932" s="18"/>
      <c r="CQS932" s="18"/>
      <c r="CQT932" s="18"/>
      <c r="CQU932" s="18"/>
      <c r="CQV932" s="18"/>
      <c r="CQW932" s="18"/>
      <c r="CQX932" s="18"/>
      <c r="CQY932" s="18"/>
      <c r="CQZ932" s="18"/>
      <c r="CRA932" s="18"/>
      <c r="CRB932" s="18"/>
      <c r="CRC932" s="18"/>
      <c r="CRD932" s="18"/>
      <c r="CRE932" s="18"/>
      <c r="CRF932" s="18"/>
      <c r="CRG932" s="18"/>
      <c r="CRH932" s="18"/>
      <c r="CRI932" s="18"/>
      <c r="CRJ932" s="18"/>
      <c r="CRK932" s="18"/>
      <c r="CRL932" s="18"/>
      <c r="CRM932" s="18"/>
      <c r="CRN932" s="18"/>
      <c r="CRO932" s="18"/>
      <c r="CRP932" s="18"/>
      <c r="CRQ932" s="18"/>
      <c r="CRR932" s="18"/>
      <c r="CRS932" s="18"/>
      <c r="CRT932" s="18"/>
      <c r="CRU932" s="18"/>
      <c r="CRV932" s="18"/>
      <c r="CRW932" s="18"/>
      <c r="CRX932" s="18"/>
      <c r="CRY932" s="18"/>
      <c r="CRZ932" s="18"/>
      <c r="CSA932" s="18"/>
      <c r="CSB932" s="18"/>
      <c r="CSC932" s="18"/>
      <c r="CSD932" s="18"/>
      <c r="CSE932" s="18"/>
      <c r="CSF932" s="18"/>
      <c r="CSG932" s="18"/>
      <c r="CSH932" s="18"/>
      <c r="CSI932" s="18"/>
      <c r="CSJ932" s="18"/>
      <c r="CSK932" s="18"/>
      <c r="CSL932" s="18"/>
      <c r="CSM932" s="18"/>
      <c r="CSN932" s="18"/>
      <c r="CSO932" s="18"/>
      <c r="CSP932" s="18"/>
      <c r="CSQ932" s="18"/>
      <c r="CSR932" s="18"/>
      <c r="CSS932" s="18"/>
      <c r="CST932" s="18"/>
      <c r="CSU932" s="18"/>
      <c r="CSV932" s="18"/>
      <c r="CSW932" s="18"/>
      <c r="CSX932" s="18"/>
      <c r="CSY932" s="18"/>
      <c r="CSZ932" s="18"/>
      <c r="CTA932" s="18"/>
      <c r="CTB932" s="18"/>
      <c r="CTC932" s="18"/>
      <c r="CTD932" s="18"/>
      <c r="CTE932" s="18"/>
      <c r="CTF932" s="18"/>
      <c r="CTG932" s="18"/>
      <c r="CTH932" s="18"/>
      <c r="CTI932" s="18"/>
      <c r="CTJ932" s="18"/>
      <c r="CTK932" s="18"/>
      <c r="CTL932" s="18"/>
      <c r="CTM932" s="18"/>
      <c r="CTN932" s="18"/>
      <c r="CTO932" s="18"/>
      <c r="CTP932" s="18"/>
      <c r="CTQ932" s="18"/>
      <c r="CTR932" s="18"/>
      <c r="CTS932" s="18"/>
      <c r="CTT932" s="18"/>
      <c r="CTU932" s="18"/>
      <c r="CTV932" s="18"/>
      <c r="CTW932" s="18"/>
      <c r="CTX932" s="18"/>
      <c r="CTY932" s="18"/>
      <c r="CTZ932" s="18"/>
      <c r="CUA932" s="18"/>
      <c r="CUB932" s="18"/>
      <c r="CUC932" s="18"/>
      <c r="CUD932" s="18"/>
      <c r="CUE932" s="18"/>
      <c r="CUF932" s="18"/>
      <c r="CUG932" s="18"/>
      <c r="CUH932" s="18"/>
      <c r="CUI932" s="18"/>
      <c r="CUJ932" s="18"/>
      <c r="CUK932" s="18"/>
      <c r="CUL932" s="18"/>
      <c r="CUM932" s="18"/>
      <c r="CUN932" s="18"/>
      <c r="CUO932" s="18"/>
      <c r="CUP932" s="18"/>
      <c r="CUQ932" s="18"/>
      <c r="CUR932" s="18"/>
      <c r="CUS932" s="18"/>
      <c r="CUT932" s="18"/>
      <c r="CUU932" s="18"/>
      <c r="CUV932" s="18"/>
      <c r="CUW932" s="18"/>
      <c r="CUX932" s="18"/>
      <c r="CUY932" s="18"/>
      <c r="CUZ932" s="18"/>
      <c r="CVA932" s="18"/>
      <c r="CVB932" s="18"/>
      <c r="CVC932" s="18"/>
      <c r="CVD932" s="18"/>
      <c r="CVE932" s="18"/>
      <c r="CVF932" s="18"/>
      <c r="CVG932" s="18"/>
      <c r="CVH932" s="18"/>
      <c r="CVI932" s="18"/>
      <c r="CVJ932" s="18"/>
      <c r="CVK932" s="18"/>
      <c r="CVL932" s="18"/>
      <c r="CVM932" s="18"/>
      <c r="CVN932" s="18"/>
      <c r="CVO932" s="18"/>
      <c r="CVP932" s="18"/>
      <c r="CVQ932" s="18"/>
      <c r="CVR932" s="18"/>
      <c r="CVS932" s="18"/>
      <c r="CVT932" s="18"/>
      <c r="CVU932" s="18"/>
      <c r="CVV932" s="18"/>
      <c r="CVW932" s="18"/>
      <c r="CVX932" s="18"/>
      <c r="CVY932" s="18"/>
      <c r="CVZ932" s="18"/>
      <c r="CWA932" s="18"/>
      <c r="CWB932" s="18"/>
      <c r="CWC932" s="18"/>
      <c r="CWD932" s="18"/>
      <c r="CWE932" s="18"/>
      <c r="CWF932" s="18"/>
      <c r="CWG932" s="18"/>
      <c r="CWH932" s="18"/>
      <c r="CWI932" s="18"/>
      <c r="CWJ932" s="18"/>
      <c r="CWK932" s="18"/>
      <c r="CWL932" s="18"/>
      <c r="CWM932" s="18"/>
      <c r="CWN932" s="18"/>
      <c r="CWO932" s="18"/>
      <c r="CWP932" s="18"/>
      <c r="CWQ932" s="18"/>
      <c r="CWR932" s="18"/>
      <c r="CWS932" s="18"/>
      <c r="CWT932" s="18"/>
      <c r="CWU932" s="18"/>
      <c r="CWV932" s="18"/>
      <c r="CWW932" s="18"/>
      <c r="CWX932" s="18"/>
      <c r="CWY932" s="18"/>
      <c r="CWZ932" s="18"/>
      <c r="CXA932" s="18"/>
      <c r="CXB932" s="18"/>
      <c r="CXC932" s="18"/>
      <c r="CXD932" s="18"/>
      <c r="CXE932" s="18"/>
      <c r="CXF932" s="18"/>
      <c r="CXG932" s="18"/>
      <c r="CXH932" s="18"/>
      <c r="CXI932" s="18"/>
      <c r="CXJ932" s="18"/>
      <c r="CXK932" s="18"/>
      <c r="CXL932" s="18"/>
      <c r="CXM932" s="18"/>
      <c r="CXN932" s="18"/>
      <c r="CXO932" s="18"/>
      <c r="CXP932" s="18"/>
      <c r="CXQ932" s="18"/>
      <c r="CXR932" s="18"/>
      <c r="CXS932" s="18"/>
      <c r="CXT932" s="18"/>
      <c r="CXU932" s="18"/>
      <c r="CXV932" s="18"/>
      <c r="CXW932" s="18"/>
      <c r="CXX932" s="18"/>
      <c r="CXY932" s="18"/>
      <c r="CXZ932" s="18"/>
      <c r="CYA932" s="18"/>
      <c r="CYB932" s="18"/>
      <c r="CYC932" s="18"/>
      <c r="CYD932" s="18"/>
      <c r="CYE932" s="18"/>
      <c r="CYF932" s="18"/>
      <c r="CYG932" s="18"/>
      <c r="CYH932" s="18"/>
      <c r="CYI932" s="18"/>
      <c r="CYJ932" s="18"/>
      <c r="CYK932" s="18"/>
      <c r="CYL932" s="18"/>
      <c r="CYM932" s="18"/>
      <c r="CYN932" s="18"/>
      <c r="CYO932" s="18"/>
      <c r="CYP932" s="18"/>
      <c r="CYQ932" s="18"/>
      <c r="CYR932" s="18"/>
      <c r="CYS932" s="18"/>
      <c r="CYT932" s="18"/>
      <c r="CYU932" s="18"/>
      <c r="CYV932" s="18"/>
      <c r="CYW932" s="18"/>
      <c r="CYX932" s="18"/>
      <c r="CYY932" s="18"/>
      <c r="CYZ932" s="18"/>
      <c r="CZA932" s="18"/>
      <c r="CZB932" s="18"/>
      <c r="CZC932" s="18"/>
      <c r="CZD932" s="18"/>
      <c r="CZE932" s="18"/>
      <c r="CZF932" s="18"/>
      <c r="CZG932" s="18"/>
      <c r="CZH932" s="18"/>
      <c r="CZI932" s="18"/>
      <c r="CZJ932" s="18"/>
      <c r="CZK932" s="18"/>
      <c r="CZL932" s="18"/>
      <c r="CZM932" s="18"/>
      <c r="CZN932" s="18"/>
      <c r="CZO932" s="18"/>
      <c r="CZP932" s="18"/>
      <c r="CZQ932" s="18"/>
      <c r="CZR932" s="18"/>
      <c r="CZS932" s="18"/>
      <c r="CZT932" s="18"/>
      <c r="CZU932" s="18"/>
      <c r="CZV932" s="18"/>
      <c r="CZW932" s="18"/>
      <c r="CZX932" s="18"/>
      <c r="CZY932" s="18"/>
      <c r="CZZ932" s="18"/>
      <c r="DAA932" s="18"/>
      <c r="DAB932" s="18"/>
      <c r="DAC932" s="18"/>
      <c r="DAD932" s="18"/>
      <c r="DAE932" s="18"/>
      <c r="DAF932" s="18"/>
      <c r="DAG932" s="18"/>
      <c r="DAH932" s="18"/>
      <c r="DAI932" s="18"/>
      <c r="DAJ932" s="18"/>
      <c r="DAK932" s="18"/>
      <c r="DAL932" s="18"/>
      <c r="DAM932" s="18"/>
      <c r="DAN932" s="18"/>
      <c r="DAO932" s="18"/>
      <c r="DAP932" s="18"/>
      <c r="DAQ932" s="18"/>
      <c r="DAR932" s="18"/>
      <c r="DAS932" s="18"/>
      <c r="DAT932" s="18"/>
      <c r="DAU932" s="18"/>
      <c r="DAV932" s="18"/>
      <c r="DAW932" s="18"/>
      <c r="DAX932" s="18"/>
      <c r="DAY932" s="18"/>
      <c r="DAZ932" s="18"/>
      <c r="DBA932" s="18"/>
      <c r="DBB932" s="18"/>
      <c r="DBC932" s="18"/>
      <c r="DBD932" s="18"/>
      <c r="DBE932" s="18"/>
      <c r="DBF932" s="18"/>
      <c r="DBG932" s="18"/>
      <c r="DBH932" s="18"/>
      <c r="DBI932" s="18"/>
      <c r="DBJ932" s="18"/>
      <c r="DBK932" s="18"/>
      <c r="DBL932" s="18"/>
      <c r="DBM932" s="18"/>
      <c r="DBN932" s="18"/>
      <c r="DBO932" s="18"/>
      <c r="DBP932" s="18"/>
      <c r="DBQ932" s="18"/>
      <c r="DBR932" s="18"/>
      <c r="DBS932" s="18"/>
      <c r="DBT932" s="18"/>
      <c r="DBU932" s="18"/>
      <c r="DBV932" s="18"/>
      <c r="DBW932" s="18"/>
      <c r="DBX932" s="18"/>
      <c r="DBY932" s="18"/>
      <c r="DBZ932" s="18"/>
      <c r="DCA932" s="18"/>
      <c r="DCB932" s="18"/>
      <c r="DCC932" s="18"/>
      <c r="DCD932" s="18"/>
      <c r="DCE932" s="18"/>
      <c r="DCF932" s="18"/>
      <c r="DCG932" s="18"/>
      <c r="DCH932" s="18"/>
      <c r="DCI932" s="18"/>
      <c r="DCJ932" s="18"/>
      <c r="DCK932" s="18"/>
      <c r="DCL932" s="18"/>
      <c r="DCM932" s="18"/>
      <c r="DCN932" s="18"/>
      <c r="DCO932" s="18"/>
      <c r="DCP932" s="18"/>
      <c r="DCQ932" s="18"/>
      <c r="DCR932" s="18"/>
      <c r="DCS932" s="18"/>
      <c r="DCT932" s="18"/>
      <c r="DCU932" s="18"/>
      <c r="DCV932" s="18"/>
      <c r="DCW932" s="18"/>
      <c r="DCX932" s="18"/>
      <c r="DCY932" s="18"/>
      <c r="DCZ932" s="18"/>
      <c r="DDA932" s="18"/>
      <c r="DDB932" s="18"/>
      <c r="DDC932" s="18"/>
      <c r="DDD932" s="18"/>
      <c r="DDE932" s="18"/>
      <c r="DDF932" s="18"/>
      <c r="DDG932" s="18"/>
      <c r="DDH932" s="18"/>
      <c r="DDI932" s="18"/>
      <c r="DDJ932" s="18"/>
      <c r="DDK932" s="18"/>
      <c r="DDL932" s="18"/>
      <c r="DDM932" s="18"/>
      <c r="DDN932" s="18"/>
      <c r="DDO932" s="18"/>
      <c r="DDP932" s="18"/>
      <c r="DDQ932" s="18"/>
      <c r="DDR932" s="18"/>
      <c r="DDS932" s="18"/>
      <c r="DDT932" s="18"/>
      <c r="DDU932" s="18"/>
      <c r="DDV932" s="18"/>
      <c r="DDW932" s="18"/>
      <c r="DDX932" s="18"/>
      <c r="DDY932" s="18"/>
      <c r="DDZ932" s="18"/>
      <c r="DEA932" s="18"/>
      <c r="DEB932" s="18"/>
      <c r="DEC932" s="18"/>
      <c r="DED932" s="18"/>
      <c r="DEE932" s="18"/>
      <c r="DEF932" s="18"/>
      <c r="DEG932" s="18"/>
      <c r="DEH932" s="18"/>
      <c r="DEI932" s="18"/>
      <c r="DEJ932" s="18"/>
      <c r="DEK932" s="18"/>
      <c r="DEL932" s="18"/>
      <c r="DEM932" s="18"/>
      <c r="DEN932" s="18"/>
      <c r="DEO932" s="18"/>
      <c r="DEP932" s="18"/>
      <c r="DEQ932" s="18"/>
      <c r="DER932" s="18"/>
      <c r="DES932" s="18"/>
      <c r="DET932" s="18"/>
      <c r="DEU932" s="18"/>
      <c r="DEV932" s="18"/>
      <c r="DEW932" s="18"/>
      <c r="DEX932" s="18"/>
      <c r="DEY932" s="18"/>
      <c r="DEZ932" s="18"/>
      <c r="DFA932" s="18"/>
      <c r="DFB932" s="18"/>
      <c r="DFC932" s="18"/>
      <c r="DFD932" s="18"/>
      <c r="DFE932" s="18"/>
      <c r="DFF932" s="18"/>
      <c r="DFG932" s="18"/>
      <c r="DFH932" s="18"/>
      <c r="DFI932" s="18"/>
      <c r="DFJ932" s="18"/>
      <c r="DFK932" s="18"/>
      <c r="DFL932" s="18"/>
      <c r="DFM932" s="18"/>
      <c r="DFN932" s="18"/>
      <c r="DFO932" s="18"/>
      <c r="DFP932" s="18"/>
      <c r="DFQ932" s="18"/>
      <c r="DFR932" s="18"/>
      <c r="DFS932" s="18"/>
      <c r="DFT932" s="18"/>
      <c r="DFU932" s="18"/>
      <c r="DFV932" s="18"/>
      <c r="DFW932" s="18"/>
      <c r="DFX932" s="18"/>
      <c r="DFY932" s="18"/>
      <c r="DFZ932" s="18"/>
      <c r="DGA932" s="18"/>
      <c r="DGB932" s="18"/>
      <c r="DGC932" s="18"/>
      <c r="DGD932" s="18"/>
      <c r="DGE932" s="18"/>
      <c r="DGF932" s="18"/>
      <c r="DGG932" s="18"/>
      <c r="DGH932" s="18"/>
      <c r="DGI932" s="18"/>
      <c r="DGJ932" s="18"/>
      <c r="DGK932" s="18"/>
      <c r="DGL932" s="18"/>
      <c r="DGM932" s="18"/>
      <c r="DGN932" s="18"/>
      <c r="DGO932" s="18"/>
      <c r="DGP932" s="18"/>
      <c r="DGQ932" s="18"/>
      <c r="DGR932" s="18"/>
      <c r="DGS932" s="18"/>
      <c r="DGT932" s="18"/>
      <c r="DGU932" s="18"/>
      <c r="DGV932" s="18"/>
      <c r="DGW932" s="18"/>
      <c r="DGX932" s="18"/>
      <c r="DGY932" s="18"/>
      <c r="DGZ932" s="18"/>
      <c r="DHA932" s="18"/>
      <c r="DHB932" s="18"/>
      <c r="DHC932" s="18"/>
      <c r="DHD932" s="18"/>
      <c r="DHE932" s="18"/>
      <c r="DHF932" s="18"/>
      <c r="DHG932" s="18"/>
      <c r="DHH932" s="18"/>
      <c r="DHI932" s="18"/>
      <c r="DHJ932" s="18"/>
      <c r="DHK932" s="18"/>
      <c r="DHL932" s="18"/>
      <c r="DHM932" s="18"/>
      <c r="DHN932" s="18"/>
      <c r="DHO932" s="18"/>
      <c r="DHP932" s="18"/>
      <c r="DHQ932" s="18"/>
      <c r="DHR932" s="18"/>
      <c r="DHS932" s="18"/>
      <c r="DHT932" s="18"/>
      <c r="DHU932" s="18"/>
      <c r="DHV932" s="18"/>
      <c r="DHW932" s="18"/>
      <c r="DHX932" s="18"/>
      <c r="DHY932" s="18"/>
      <c r="DHZ932" s="18"/>
      <c r="DIA932" s="18"/>
      <c r="DIB932" s="18"/>
      <c r="DIC932" s="18"/>
      <c r="DID932" s="18"/>
      <c r="DIE932" s="18"/>
      <c r="DIF932" s="18"/>
      <c r="DIG932" s="18"/>
      <c r="DIH932" s="18"/>
      <c r="DII932" s="18"/>
      <c r="DIJ932" s="18"/>
      <c r="DIK932" s="18"/>
      <c r="DIL932" s="18"/>
      <c r="DIM932" s="18"/>
      <c r="DIN932" s="18"/>
      <c r="DIO932" s="18"/>
      <c r="DIP932" s="18"/>
      <c r="DIQ932" s="18"/>
      <c r="DIR932" s="18"/>
      <c r="DIS932" s="18"/>
      <c r="DIT932" s="18"/>
      <c r="DIU932" s="18"/>
      <c r="DIV932" s="18"/>
      <c r="DIW932" s="18"/>
      <c r="DIX932" s="18"/>
      <c r="DIY932" s="18"/>
      <c r="DIZ932" s="18"/>
      <c r="DJA932" s="18"/>
      <c r="DJB932" s="18"/>
      <c r="DJC932" s="18"/>
      <c r="DJD932" s="18"/>
      <c r="DJE932" s="18"/>
      <c r="DJF932" s="18"/>
      <c r="DJG932" s="18"/>
      <c r="DJH932" s="18"/>
      <c r="DJI932" s="18"/>
      <c r="DJJ932" s="18"/>
      <c r="DJK932" s="18"/>
      <c r="DJL932" s="18"/>
      <c r="DJM932" s="18"/>
      <c r="DJN932" s="18"/>
      <c r="DJO932" s="18"/>
      <c r="DJP932" s="18"/>
      <c r="DJQ932" s="18"/>
      <c r="DJR932" s="18"/>
      <c r="DJS932" s="18"/>
      <c r="DJT932" s="18"/>
      <c r="DJU932" s="18"/>
      <c r="DJV932" s="18"/>
      <c r="DJW932" s="18"/>
      <c r="DJX932" s="18"/>
      <c r="DJY932" s="18"/>
      <c r="DJZ932" s="18"/>
      <c r="DKA932" s="18"/>
      <c r="DKB932" s="18"/>
      <c r="DKC932" s="18"/>
      <c r="DKD932" s="18"/>
      <c r="DKE932" s="18"/>
      <c r="DKF932" s="18"/>
      <c r="DKG932" s="18"/>
      <c r="DKH932" s="18"/>
      <c r="DKI932" s="18"/>
      <c r="DKJ932" s="18"/>
      <c r="DKK932" s="18"/>
      <c r="DKL932" s="18"/>
      <c r="DKM932" s="18"/>
      <c r="DKN932" s="18"/>
      <c r="DKO932" s="18"/>
      <c r="DKP932" s="18"/>
      <c r="DKQ932" s="18"/>
      <c r="DKR932" s="18"/>
      <c r="DKS932" s="18"/>
      <c r="DKT932" s="18"/>
      <c r="DKU932" s="18"/>
      <c r="DKV932" s="18"/>
      <c r="DKW932" s="18"/>
      <c r="DKX932" s="18"/>
      <c r="DKY932" s="18"/>
      <c r="DKZ932" s="18"/>
      <c r="DLA932" s="18"/>
      <c r="DLB932" s="18"/>
      <c r="DLC932" s="18"/>
      <c r="DLD932" s="18"/>
      <c r="DLE932" s="18"/>
      <c r="DLF932" s="18"/>
      <c r="DLG932" s="18"/>
      <c r="DLH932" s="18"/>
      <c r="DLI932" s="18"/>
      <c r="DLJ932" s="18"/>
      <c r="DLK932" s="18"/>
      <c r="DLL932" s="18"/>
      <c r="DLM932" s="18"/>
      <c r="DLN932" s="18"/>
      <c r="DLO932" s="18"/>
      <c r="DLP932" s="18"/>
      <c r="DLQ932" s="18"/>
      <c r="DLR932" s="18"/>
      <c r="DLS932" s="18"/>
      <c r="DLT932" s="18"/>
      <c r="DLU932" s="18"/>
      <c r="DLV932" s="18"/>
      <c r="DLW932" s="18"/>
      <c r="DLX932" s="18"/>
      <c r="DLY932" s="18"/>
      <c r="DLZ932" s="18"/>
      <c r="DMA932" s="18"/>
      <c r="DMB932" s="18"/>
      <c r="DMC932" s="18"/>
      <c r="DMD932" s="18"/>
      <c r="DME932" s="18"/>
      <c r="DMF932" s="18"/>
      <c r="DMG932" s="18"/>
      <c r="DMH932" s="18"/>
      <c r="DMI932" s="18"/>
      <c r="DMJ932" s="18"/>
      <c r="DMK932" s="18"/>
      <c r="DML932" s="18"/>
      <c r="DMM932" s="18"/>
      <c r="DMN932" s="18"/>
      <c r="DMO932" s="18"/>
      <c r="DMP932" s="18"/>
      <c r="DMQ932" s="18"/>
      <c r="DMR932" s="18"/>
      <c r="DMS932" s="18"/>
      <c r="DMT932" s="18"/>
      <c r="DMU932" s="18"/>
      <c r="DMV932" s="18"/>
      <c r="DMW932" s="18"/>
      <c r="DMX932" s="18"/>
      <c r="DMY932" s="18"/>
      <c r="DMZ932" s="18"/>
      <c r="DNA932" s="18"/>
      <c r="DNB932" s="18"/>
      <c r="DNC932" s="18"/>
      <c r="DND932" s="18"/>
      <c r="DNE932" s="18"/>
      <c r="DNF932" s="18"/>
      <c r="DNG932" s="18"/>
      <c r="DNH932" s="18"/>
      <c r="DNI932" s="18"/>
      <c r="DNJ932" s="18"/>
      <c r="DNK932" s="18"/>
      <c r="DNL932" s="18"/>
      <c r="DNM932" s="18"/>
      <c r="DNN932" s="18"/>
      <c r="DNO932" s="18"/>
      <c r="DNP932" s="18"/>
      <c r="DNQ932" s="18"/>
      <c r="DNR932" s="18"/>
      <c r="DNS932" s="18"/>
      <c r="DNT932" s="18"/>
      <c r="DNU932" s="18"/>
      <c r="DNV932" s="18"/>
      <c r="DNW932" s="18"/>
      <c r="DNX932" s="18"/>
      <c r="DNY932" s="18"/>
      <c r="DNZ932" s="18"/>
      <c r="DOA932" s="18"/>
      <c r="DOB932" s="18"/>
      <c r="DOC932" s="18"/>
      <c r="DOD932" s="18"/>
      <c r="DOE932" s="18"/>
      <c r="DOF932" s="18"/>
      <c r="DOG932" s="18"/>
      <c r="DOH932" s="18"/>
      <c r="DOI932" s="18"/>
      <c r="DOJ932" s="18"/>
      <c r="DOK932" s="18"/>
      <c r="DOL932" s="18"/>
      <c r="DOM932" s="18"/>
      <c r="DON932" s="18"/>
      <c r="DOO932" s="18"/>
      <c r="DOP932" s="18"/>
      <c r="DOQ932" s="18"/>
      <c r="DOR932" s="18"/>
      <c r="DOS932" s="18"/>
      <c r="DOT932" s="18"/>
      <c r="DOU932" s="18"/>
      <c r="DOV932" s="18"/>
      <c r="DOW932" s="18"/>
      <c r="DOX932" s="18"/>
      <c r="DOY932" s="18"/>
      <c r="DOZ932" s="18"/>
      <c r="DPA932" s="18"/>
      <c r="DPB932" s="18"/>
      <c r="DPC932" s="18"/>
      <c r="DPD932" s="18"/>
      <c r="DPE932" s="18"/>
      <c r="DPF932" s="18"/>
      <c r="DPG932" s="18"/>
      <c r="DPH932" s="18"/>
      <c r="DPI932" s="18"/>
      <c r="DPJ932" s="18"/>
      <c r="DPK932" s="18"/>
      <c r="DPL932" s="18"/>
      <c r="DPM932" s="18"/>
      <c r="DPN932" s="18"/>
      <c r="DPO932" s="18"/>
      <c r="DPP932" s="18"/>
      <c r="DPQ932" s="18"/>
      <c r="DPR932" s="18"/>
      <c r="DPS932" s="18"/>
      <c r="DPT932" s="18"/>
      <c r="DPU932" s="18"/>
      <c r="DPV932" s="18"/>
      <c r="DPW932" s="18"/>
      <c r="DPX932" s="18"/>
      <c r="DPY932" s="18"/>
      <c r="DPZ932" s="18"/>
      <c r="DQA932" s="18"/>
      <c r="DQB932" s="18"/>
      <c r="DQC932" s="18"/>
      <c r="DQD932" s="18"/>
      <c r="DQE932" s="18"/>
      <c r="DQF932" s="18"/>
      <c r="DQG932" s="18"/>
      <c r="DQH932" s="18"/>
      <c r="DQI932" s="18"/>
      <c r="DQJ932" s="18"/>
      <c r="DQK932" s="18"/>
      <c r="DQL932" s="18"/>
      <c r="DQM932" s="18"/>
      <c r="DQN932" s="18"/>
      <c r="DQO932" s="18"/>
      <c r="DQP932" s="18"/>
      <c r="DQQ932" s="18"/>
      <c r="DQR932" s="18"/>
      <c r="DQS932" s="18"/>
      <c r="DQT932" s="18"/>
      <c r="DQU932" s="18"/>
      <c r="DQV932" s="18"/>
      <c r="DQW932" s="18"/>
      <c r="DQX932" s="18"/>
      <c r="DQY932" s="18"/>
      <c r="DQZ932" s="18"/>
      <c r="DRA932" s="18"/>
      <c r="DRB932" s="18"/>
      <c r="DRC932" s="18"/>
      <c r="DRD932" s="18"/>
      <c r="DRE932" s="18"/>
      <c r="DRF932" s="18"/>
      <c r="DRG932" s="18"/>
      <c r="DRH932" s="18"/>
      <c r="DRI932" s="18"/>
      <c r="DRJ932" s="18"/>
      <c r="DRK932" s="18"/>
      <c r="DRL932" s="18"/>
      <c r="DRM932" s="18"/>
      <c r="DRN932" s="18"/>
      <c r="DRO932" s="18"/>
      <c r="DRP932" s="18"/>
      <c r="DRQ932" s="18"/>
      <c r="DRR932" s="18"/>
      <c r="DRS932" s="18"/>
      <c r="DRT932" s="18"/>
      <c r="DRU932" s="18"/>
      <c r="DRV932" s="18"/>
      <c r="DRW932" s="18"/>
      <c r="DRX932" s="18"/>
      <c r="DRY932" s="18"/>
      <c r="DRZ932" s="18"/>
      <c r="DSA932" s="18"/>
      <c r="DSB932" s="18"/>
      <c r="DSC932" s="18"/>
      <c r="DSD932" s="18"/>
      <c r="DSE932" s="18"/>
      <c r="DSF932" s="18"/>
      <c r="DSG932" s="18"/>
      <c r="DSH932" s="18"/>
      <c r="DSI932" s="18"/>
      <c r="DSJ932" s="18"/>
      <c r="DSK932" s="18"/>
      <c r="DSL932" s="18"/>
      <c r="DSM932" s="18"/>
      <c r="DSN932" s="18"/>
      <c r="DSO932" s="18"/>
      <c r="DSP932" s="18"/>
      <c r="DSQ932" s="18"/>
      <c r="DSR932" s="18"/>
      <c r="DSS932" s="18"/>
      <c r="DST932" s="18"/>
      <c r="DSU932" s="18"/>
      <c r="DSV932" s="18"/>
      <c r="DSW932" s="18"/>
      <c r="DSX932" s="18"/>
      <c r="DSY932" s="18"/>
      <c r="DSZ932" s="18"/>
      <c r="DTA932" s="18"/>
      <c r="DTB932" s="18"/>
      <c r="DTC932" s="18"/>
      <c r="DTD932" s="18"/>
      <c r="DTE932" s="18"/>
      <c r="DTF932" s="18"/>
      <c r="DTG932" s="18"/>
      <c r="DTH932" s="18"/>
      <c r="DTI932" s="18"/>
      <c r="DTJ932" s="18"/>
      <c r="DTK932" s="18"/>
      <c r="DTL932" s="18"/>
      <c r="DTM932" s="18"/>
      <c r="DTN932" s="18"/>
      <c r="DTO932" s="18"/>
      <c r="DTP932" s="18"/>
      <c r="DTQ932" s="18"/>
      <c r="DTR932" s="18"/>
      <c r="DTS932" s="18"/>
      <c r="DTT932" s="18"/>
      <c r="DTU932" s="18"/>
      <c r="DTV932" s="18"/>
      <c r="DTW932" s="18"/>
      <c r="DTX932" s="18"/>
      <c r="DTY932" s="18"/>
      <c r="DTZ932" s="18"/>
      <c r="DUA932" s="18"/>
      <c r="DUB932" s="18"/>
      <c r="DUC932" s="18"/>
      <c r="DUD932" s="18"/>
      <c r="DUE932" s="18"/>
      <c r="DUF932" s="18"/>
      <c r="DUG932" s="18"/>
      <c r="DUH932" s="18"/>
      <c r="DUI932" s="18"/>
      <c r="DUJ932" s="18"/>
      <c r="DUK932" s="18"/>
      <c r="DUL932" s="18"/>
      <c r="DUM932" s="18"/>
      <c r="DUN932" s="18"/>
      <c r="DUO932" s="18"/>
      <c r="DUP932" s="18"/>
      <c r="DUQ932" s="18"/>
      <c r="DUR932" s="18"/>
      <c r="DUS932" s="18"/>
      <c r="DUT932" s="18"/>
      <c r="DUU932" s="18"/>
      <c r="DUV932" s="18"/>
      <c r="DUW932" s="18"/>
      <c r="DUX932" s="18"/>
      <c r="DUY932" s="18"/>
      <c r="DUZ932" s="18"/>
      <c r="DVA932" s="18"/>
      <c r="DVB932" s="18"/>
      <c r="DVC932" s="18"/>
      <c r="DVD932" s="18"/>
      <c r="DVE932" s="18"/>
      <c r="DVF932" s="18"/>
      <c r="DVG932" s="18"/>
      <c r="DVH932" s="18"/>
      <c r="DVI932" s="18"/>
      <c r="DVJ932" s="18"/>
      <c r="DVK932" s="18"/>
      <c r="DVL932" s="18"/>
      <c r="DVM932" s="18"/>
      <c r="DVN932" s="18"/>
      <c r="DVO932" s="18"/>
      <c r="DVP932" s="18"/>
      <c r="DVQ932" s="18"/>
      <c r="DVR932" s="18"/>
      <c r="DVS932" s="18"/>
      <c r="DVT932" s="18"/>
      <c r="DVU932" s="18"/>
      <c r="DVV932" s="18"/>
      <c r="DVW932" s="18"/>
      <c r="DVX932" s="18"/>
      <c r="DVY932" s="18"/>
      <c r="DVZ932" s="18"/>
      <c r="DWA932" s="18"/>
      <c r="DWB932" s="18"/>
      <c r="DWC932" s="18"/>
      <c r="DWD932" s="18"/>
      <c r="DWE932" s="18"/>
      <c r="DWF932" s="18"/>
      <c r="DWG932" s="18"/>
      <c r="DWH932" s="18"/>
      <c r="DWI932" s="18"/>
      <c r="DWJ932" s="18"/>
      <c r="DWK932" s="18"/>
      <c r="DWL932" s="18"/>
      <c r="DWM932" s="18"/>
      <c r="DWN932" s="18"/>
      <c r="DWO932" s="18"/>
      <c r="DWP932" s="18"/>
      <c r="DWQ932" s="18"/>
      <c r="DWR932" s="18"/>
      <c r="DWS932" s="18"/>
      <c r="DWT932" s="18"/>
      <c r="DWU932" s="18"/>
      <c r="DWV932" s="18"/>
      <c r="DWW932" s="18"/>
      <c r="DWX932" s="18"/>
      <c r="DWY932" s="18"/>
      <c r="DWZ932" s="18"/>
      <c r="DXA932" s="18"/>
      <c r="DXB932" s="18"/>
      <c r="DXC932" s="18"/>
      <c r="DXD932" s="18"/>
      <c r="DXE932" s="18"/>
      <c r="DXF932" s="18"/>
      <c r="DXG932" s="18"/>
      <c r="DXH932" s="18"/>
      <c r="DXI932" s="18"/>
      <c r="DXJ932" s="18"/>
      <c r="DXK932" s="18"/>
      <c r="DXL932" s="18"/>
      <c r="DXM932" s="18"/>
      <c r="DXN932" s="18"/>
      <c r="DXO932" s="18"/>
      <c r="DXP932" s="18"/>
      <c r="DXQ932" s="18"/>
      <c r="DXR932" s="18"/>
      <c r="DXS932" s="18"/>
      <c r="DXT932" s="18"/>
      <c r="DXU932" s="18"/>
      <c r="DXV932" s="18"/>
      <c r="DXW932" s="18"/>
      <c r="DXX932" s="18"/>
      <c r="DXY932" s="18"/>
      <c r="DXZ932" s="18"/>
      <c r="DYA932" s="18"/>
      <c r="DYB932" s="18"/>
      <c r="DYC932" s="18"/>
      <c r="DYD932" s="18"/>
      <c r="DYE932" s="18"/>
      <c r="DYF932" s="18"/>
      <c r="DYG932" s="18"/>
      <c r="DYH932" s="18"/>
      <c r="DYI932" s="18"/>
      <c r="DYJ932" s="18"/>
      <c r="DYK932" s="18"/>
      <c r="DYL932" s="18"/>
      <c r="DYM932" s="18"/>
      <c r="DYN932" s="18"/>
      <c r="DYO932" s="18"/>
      <c r="DYP932" s="18"/>
      <c r="DYQ932" s="18"/>
      <c r="DYR932" s="18"/>
      <c r="DYS932" s="18"/>
      <c r="DYT932" s="18"/>
      <c r="DYU932" s="18"/>
      <c r="DYV932" s="18"/>
      <c r="DYW932" s="18"/>
      <c r="DYX932" s="18"/>
      <c r="DYY932" s="18"/>
      <c r="DYZ932" s="18"/>
      <c r="DZA932" s="18"/>
      <c r="DZB932" s="18"/>
      <c r="DZC932" s="18"/>
      <c r="DZD932" s="18"/>
      <c r="DZE932" s="18"/>
      <c r="DZF932" s="18"/>
      <c r="DZG932" s="18"/>
      <c r="DZH932" s="18"/>
      <c r="DZI932" s="18"/>
      <c r="DZJ932" s="18"/>
      <c r="DZK932" s="18"/>
      <c r="DZL932" s="18"/>
      <c r="DZM932" s="18"/>
      <c r="DZN932" s="18"/>
      <c r="DZO932" s="18"/>
      <c r="DZP932" s="18"/>
      <c r="DZQ932" s="18"/>
      <c r="DZR932" s="18"/>
      <c r="DZS932" s="18"/>
      <c r="DZT932" s="18"/>
      <c r="DZU932" s="18"/>
      <c r="DZV932" s="18"/>
      <c r="DZW932" s="18"/>
      <c r="DZX932" s="18"/>
      <c r="DZY932" s="18"/>
      <c r="DZZ932" s="18"/>
      <c r="EAA932" s="18"/>
      <c r="EAB932" s="18"/>
      <c r="EAC932" s="18"/>
      <c r="EAD932" s="18"/>
      <c r="EAE932" s="18"/>
      <c r="EAF932" s="18"/>
      <c r="EAG932" s="18"/>
      <c r="EAH932" s="18"/>
      <c r="EAI932" s="18"/>
      <c r="EAJ932" s="18"/>
      <c r="EAK932" s="18"/>
      <c r="EAL932" s="18"/>
      <c r="EAM932" s="18"/>
      <c r="EAN932" s="18"/>
      <c r="EAO932" s="18"/>
      <c r="EAP932" s="18"/>
      <c r="EAQ932" s="18"/>
      <c r="EAR932" s="18"/>
      <c r="EAS932" s="18"/>
      <c r="EAT932" s="18"/>
      <c r="EAU932" s="18"/>
      <c r="EAV932" s="18"/>
      <c r="EAW932" s="18"/>
      <c r="EAX932" s="18"/>
      <c r="EAY932" s="18"/>
      <c r="EAZ932" s="18"/>
      <c r="EBA932" s="18"/>
      <c r="EBB932" s="18"/>
      <c r="EBC932" s="18"/>
      <c r="EBD932" s="18"/>
      <c r="EBE932" s="18"/>
      <c r="EBF932" s="18"/>
      <c r="EBG932" s="18"/>
      <c r="EBH932" s="18"/>
      <c r="EBI932" s="18"/>
      <c r="EBJ932" s="18"/>
      <c r="EBK932" s="18"/>
      <c r="EBL932" s="18"/>
      <c r="EBM932" s="18"/>
      <c r="EBN932" s="18"/>
      <c r="EBO932" s="18"/>
      <c r="EBP932" s="18"/>
      <c r="EBQ932" s="18"/>
      <c r="EBR932" s="18"/>
      <c r="EBS932" s="18"/>
      <c r="EBT932" s="18"/>
      <c r="EBU932" s="18"/>
      <c r="EBV932" s="18"/>
      <c r="EBW932" s="18"/>
      <c r="EBX932" s="18"/>
      <c r="EBY932" s="18"/>
      <c r="EBZ932" s="18"/>
      <c r="ECA932" s="18"/>
      <c r="ECB932" s="18"/>
      <c r="ECC932" s="18"/>
      <c r="ECD932" s="18"/>
      <c r="ECE932" s="18"/>
      <c r="ECF932" s="18"/>
      <c r="ECG932" s="18"/>
      <c r="ECH932" s="18"/>
      <c r="ECI932" s="18"/>
      <c r="ECJ932" s="18"/>
      <c r="ECK932" s="18"/>
      <c r="ECL932" s="18"/>
      <c r="ECM932" s="18"/>
      <c r="ECN932" s="18"/>
      <c r="ECO932" s="18"/>
      <c r="ECP932" s="18"/>
      <c r="ECQ932" s="18"/>
      <c r="ECR932" s="18"/>
      <c r="ECS932" s="18"/>
      <c r="ECT932" s="18"/>
      <c r="ECU932" s="18"/>
      <c r="ECV932" s="18"/>
      <c r="ECW932" s="18"/>
      <c r="ECX932" s="18"/>
      <c r="ECY932" s="18"/>
      <c r="ECZ932" s="18"/>
      <c r="EDA932" s="18"/>
      <c r="EDB932" s="18"/>
      <c r="EDC932" s="18"/>
      <c r="EDD932" s="18"/>
      <c r="EDE932" s="18"/>
      <c r="EDF932" s="18"/>
      <c r="EDG932" s="18"/>
      <c r="EDH932" s="18"/>
      <c r="EDI932" s="18"/>
      <c r="EDJ932" s="18"/>
      <c r="EDK932" s="18"/>
      <c r="EDL932" s="18"/>
      <c r="EDM932" s="18"/>
      <c r="EDN932" s="18"/>
      <c r="EDO932" s="18"/>
      <c r="EDP932" s="18"/>
      <c r="EDQ932" s="18"/>
      <c r="EDR932" s="18"/>
      <c r="EDS932" s="18"/>
      <c r="EDT932" s="18"/>
      <c r="EDU932" s="18"/>
      <c r="EDV932" s="18"/>
      <c r="EDW932" s="18"/>
      <c r="EDX932" s="18"/>
      <c r="EDY932" s="18"/>
      <c r="EDZ932" s="18"/>
      <c r="EEA932" s="18"/>
      <c r="EEB932" s="18"/>
      <c r="EEC932" s="18"/>
      <c r="EED932" s="18"/>
      <c r="EEE932" s="18"/>
      <c r="EEF932" s="18"/>
      <c r="EEG932" s="18"/>
      <c r="EEH932" s="18"/>
      <c r="EEI932" s="18"/>
      <c r="EEJ932" s="18"/>
      <c r="EEK932" s="18"/>
      <c r="EEL932" s="18"/>
      <c r="EEM932" s="18"/>
      <c r="EEN932" s="18"/>
      <c r="EEO932" s="18"/>
      <c r="EEP932" s="18"/>
      <c r="EEQ932" s="18"/>
      <c r="EER932" s="18"/>
      <c r="EES932" s="18"/>
      <c r="EET932" s="18"/>
      <c r="EEU932" s="18"/>
      <c r="EEV932" s="18"/>
      <c r="EEW932" s="18"/>
      <c r="EEX932" s="18"/>
      <c r="EEY932" s="18"/>
      <c r="EEZ932" s="18"/>
      <c r="EFA932" s="18"/>
      <c r="EFB932" s="18"/>
      <c r="EFC932" s="18"/>
      <c r="EFD932" s="18"/>
      <c r="EFE932" s="18"/>
      <c r="EFF932" s="18"/>
      <c r="EFG932" s="18"/>
      <c r="EFH932" s="18"/>
      <c r="EFI932" s="18"/>
      <c r="EFJ932" s="18"/>
      <c r="EFK932" s="18"/>
      <c r="EFL932" s="18"/>
      <c r="EFM932" s="18"/>
      <c r="EFN932" s="18"/>
      <c r="EFO932" s="18"/>
      <c r="EFP932" s="18"/>
      <c r="EFQ932" s="18"/>
      <c r="EFR932" s="18"/>
      <c r="EFS932" s="18"/>
      <c r="EFT932" s="18"/>
      <c r="EFU932" s="18"/>
      <c r="EFV932" s="18"/>
      <c r="EFW932" s="18"/>
      <c r="EFX932" s="18"/>
      <c r="EFY932" s="18"/>
      <c r="EFZ932" s="18"/>
      <c r="EGA932" s="18"/>
      <c r="EGB932" s="18"/>
      <c r="EGC932" s="18"/>
      <c r="EGD932" s="18"/>
      <c r="EGE932" s="18"/>
      <c r="EGF932" s="18"/>
      <c r="EGG932" s="18"/>
      <c r="EGH932" s="18"/>
      <c r="EGI932" s="18"/>
      <c r="EGJ932" s="18"/>
      <c r="EGK932" s="18"/>
      <c r="EGL932" s="18"/>
      <c r="EGM932" s="18"/>
      <c r="EGN932" s="18"/>
      <c r="EGO932" s="18"/>
      <c r="EGP932" s="18"/>
      <c r="EGQ932" s="18"/>
      <c r="EGR932" s="18"/>
      <c r="EGS932" s="18"/>
      <c r="EGT932" s="18"/>
      <c r="EGU932" s="18"/>
      <c r="EGV932" s="18"/>
      <c r="EGW932" s="18"/>
      <c r="EGX932" s="18"/>
      <c r="EGY932" s="18"/>
      <c r="EGZ932" s="18"/>
      <c r="EHA932" s="18"/>
      <c r="EHB932" s="18"/>
      <c r="EHC932" s="18"/>
      <c r="EHD932" s="18"/>
      <c r="EHE932" s="18"/>
      <c r="EHF932" s="18"/>
      <c r="EHG932" s="18"/>
      <c r="EHH932" s="18"/>
      <c r="EHI932" s="18"/>
      <c r="EHJ932" s="18"/>
      <c r="EHK932" s="18"/>
      <c r="EHL932" s="18"/>
      <c r="EHM932" s="18"/>
      <c r="EHN932" s="18"/>
      <c r="EHO932" s="18"/>
      <c r="EHP932" s="18"/>
      <c r="EHQ932" s="18"/>
      <c r="EHR932" s="18"/>
      <c r="EHS932" s="18"/>
      <c r="EHT932" s="18"/>
      <c r="EHU932" s="18"/>
      <c r="EHV932" s="18"/>
      <c r="EHW932" s="18"/>
      <c r="EHX932" s="18"/>
      <c r="EHY932" s="18"/>
      <c r="EHZ932" s="18"/>
      <c r="EIA932" s="18"/>
      <c r="EIB932" s="18"/>
      <c r="EIC932" s="18"/>
      <c r="EID932" s="18"/>
      <c r="EIE932" s="18"/>
      <c r="EIF932" s="18"/>
      <c r="EIG932" s="18"/>
      <c r="EIH932" s="18"/>
      <c r="EII932" s="18"/>
      <c r="EIJ932" s="18"/>
      <c r="EIK932" s="18"/>
      <c r="EIL932" s="18"/>
      <c r="EIM932" s="18"/>
      <c r="EIN932" s="18"/>
      <c r="EIO932" s="18"/>
      <c r="EIP932" s="18"/>
      <c r="EIQ932" s="18"/>
      <c r="EIR932" s="18"/>
      <c r="EIS932" s="18"/>
      <c r="EIT932" s="18"/>
      <c r="EIU932" s="18"/>
      <c r="EIV932" s="18"/>
      <c r="EIW932" s="18"/>
      <c r="EIX932" s="18"/>
      <c r="EIY932" s="18"/>
      <c r="EIZ932" s="18"/>
      <c r="EJA932" s="18"/>
      <c r="EJB932" s="18"/>
      <c r="EJC932" s="18"/>
      <c r="EJD932" s="18"/>
      <c r="EJE932" s="18"/>
      <c r="EJF932" s="18"/>
      <c r="EJG932" s="18"/>
      <c r="EJH932" s="18"/>
      <c r="EJI932" s="18"/>
      <c r="EJJ932" s="18"/>
      <c r="EJK932" s="18"/>
      <c r="EJL932" s="18"/>
      <c r="EJM932" s="18"/>
      <c r="EJN932" s="18"/>
      <c r="EJO932" s="18"/>
      <c r="EJP932" s="18"/>
      <c r="EJQ932" s="18"/>
      <c r="EJR932" s="18"/>
      <c r="EJS932" s="18"/>
      <c r="EJT932" s="18"/>
      <c r="EJU932" s="18"/>
      <c r="EJV932" s="18"/>
      <c r="EJW932" s="18"/>
      <c r="EJX932" s="18"/>
      <c r="EJY932" s="18"/>
      <c r="EJZ932" s="18"/>
      <c r="EKA932" s="18"/>
      <c r="EKB932" s="18"/>
      <c r="EKC932" s="18"/>
      <c r="EKD932" s="18"/>
      <c r="EKE932" s="18"/>
      <c r="EKF932" s="18"/>
      <c r="EKG932" s="18"/>
      <c r="EKH932" s="18"/>
      <c r="EKI932" s="18"/>
      <c r="EKJ932" s="18"/>
      <c r="EKK932" s="18"/>
      <c r="EKL932" s="18"/>
      <c r="EKM932" s="18"/>
      <c r="EKN932" s="18"/>
      <c r="EKO932" s="18"/>
      <c r="EKP932" s="18"/>
      <c r="EKQ932" s="18"/>
      <c r="EKR932" s="18"/>
      <c r="EKS932" s="18"/>
      <c r="EKT932" s="18"/>
      <c r="EKU932" s="18"/>
      <c r="EKV932" s="18"/>
      <c r="EKW932" s="18"/>
      <c r="EKX932" s="18"/>
      <c r="EKY932" s="18"/>
      <c r="EKZ932" s="18"/>
      <c r="ELA932" s="18"/>
      <c r="ELB932" s="18"/>
      <c r="ELC932" s="18"/>
      <c r="ELD932" s="18"/>
      <c r="ELE932" s="18"/>
      <c r="ELF932" s="18"/>
      <c r="ELG932" s="18"/>
      <c r="ELH932" s="18"/>
      <c r="ELI932" s="18"/>
      <c r="ELJ932" s="18"/>
      <c r="ELK932" s="18"/>
      <c r="ELL932" s="18"/>
      <c r="ELM932" s="18"/>
      <c r="ELN932" s="18"/>
      <c r="ELO932" s="18"/>
      <c r="ELP932" s="18"/>
      <c r="ELQ932" s="18"/>
      <c r="ELR932" s="18"/>
      <c r="ELS932" s="18"/>
      <c r="ELT932" s="18"/>
      <c r="ELU932" s="18"/>
      <c r="ELV932" s="18"/>
      <c r="ELW932" s="18"/>
      <c r="ELX932" s="18"/>
      <c r="ELY932" s="18"/>
      <c r="ELZ932" s="18"/>
      <c r="EMA932" s="18"/>
      <c r="EMB932" s="18"/>
      <c r="EMC932" s="18"/>
      <c r="EMD932" s="18"/>
      <c r="EME932" s="18"/>
      <c r="EMF932" s="18"/>
      <c r="EMG932" s="18"/>
      <c r="EMH932" s="18"/>
      <c r="EMI932" s="18"/>
      <c r="EMJ932" s="18"/>
      <c r="EMK932" s="18"/>
      <c r="EML932" s="18"/>
      <c r="EMM932" s="18"/>
      <c r="EMN932" s="18"/>
      <c r="EMO932" s="18"/>
      <c r="EMP932" s="18"/>
      <c r="EMQ932" s="18"/>
      <c r="EMR932" s="18"/>
      <c r="EMS932" s="18"/>
      <c r="EMT932" s="18"/>
      <c r="EMU932" s="18"/>
      <c r="EMV932" s="18"/>
      <c r="EMW932" s="18"/>
      <c r="EMX932" s="18"/>
      <c r="EMY932" s="18"/>
      <c r="EMZ932" s="18"/>
      <c r="ENA932" s="18"/>
      <c r="ENB932" s="18"/>
      <c r="ENC932" s="18"/>
      <c r="END932" s="18"/>
      <c r="ENE932" s="18"/>
      <c r="ENF932" s="18"/>
      <c r="ENG932" s="18"/>
      <c r="ENH932" s="18"/>
      <c r="ENI932" s="18"/>
      <c r="ENJ932" s="18"/>
      <c r="ENK932" s="18"/>
      <c r="ENL932" s="18"/>
      <c r="ENM932" s="18"/>
      <c r="ENN932" s="18"/>
      <c r="ENO932" s="18"/>
      <c r="ENP932" s="18"/>
      <c r="ENQ932" s="18"/>
      <c r="ENR932" s="18"/>
      <c r="ENS932" s="18"/>
      <c r="ENT932" s="18"/>
      <c r="ENU932" s="18"/>
      <c r="ENV932" s="18"/>
      <c r="ENW932" s="18"/>
      <c r="ENX932" s="18"/>
      <c r="ENY932" s="18"/>
      <c r="ENZ932" s="18"/>
      <c r="EOA932" s="18"/>
      <c r="EOB932" s="18"/>
      <c r="EOC932" s="18"/>
      <c r="EOD932" s="18"/>
      <c r="EOE932" s="18"/>
      <c r="EOF932" s="18"/>
      <c r="EOG932" s="18"/>
      <c r="EOH932" s="18"/>
      <c r="EOI932" s="18"/>
      <c r="EOJ932" s="18"/>
      <c r="EOK932" s="18"/>
      <c r="EOL932" s="18"/>
      <c r="EOM932" s="18"/>
      <c r="EON932" s="18"/>
      <c r="EOO932" s="18"/>
      <c r="EOP932" s="18"/>
      <c r="EOQ932" s="18"/>
      <c r="EOR932" s="18"/>
      <c r="EOS932" s="18"/>
      <c r="EOT932" s="18"/>
      <c r="EOU932" s="18"/>
      <c r="EOV932" s="18"/>
      <c r="EOW932" s="18"/>
      <c r="EOX932" s="18"/>
      <c r="EOY932" s="18"/>
      <c r="EOZ932" s="18"/>
      <c r="EPA932" s="18"/>
      <c r="EPB932" s="18"/>
      <c r="EPC932" s="18"/>
      <c r="EPD932" s="18"/>
      <c r="EPE932" s="18"/>
      <c r="EPF932" s="18"/>
      <c r="EPG932" s="18"/>
      <c r="EPH932" s="18"/>
      <c r="EPI932" s="18"/>
      <c r="EPJ932" s="18"/>
      <c r="EPK932" s="18"/>
      <c r="EPL932" s="18"/>
      <c r="EPM932" s="18"/>
      <c r="EPN932" s="18"/>
      <c r="EPO932" s="18"/>
      <c r="EPP932" s="18"/>
      <c r="EPQ932" s="18"/>
      <c r="EPR932" s="18"/>
      <c r="EPS932" s="18"/>
      <c r="EPT932" s="18"/>
      <c r="EPU932" s="18"/>
      <c r="EPV932" s="18"/>
      <c r="EPW932" s="18"/>
      <c r="EPX932" s="18"/>
      <c r="EPY932" s="18"/>
      <c r="EPZ932" s="18"/>
      <c r="EQA932" s="18"/>
      <c r="EQB932" s="18"/>
      <c r="EQC932" s="18"/>
      <c r="EQD932" s="18"/>
      <c r="EQE932" s="18"/>
      <c r="EQF932" s="18"/>
      <c r="EQG932" s="18"/>
      <c r="EQH932" s="18"/>
      <c r="EQI932" s="18"/>
      <c r="EQJ932" s="18"/>
      <c r="EQK932" s="18"/>
      <c r="EQL932" s="18"/>
      <c r="EQM932" s="18"/>
      <c r="EQN932" s="18"/>
      <c r="EQO932" s="18"/>
      <c r="EQP932" s="18"/>
      <c r="EQQ932" s="18"/>
      <c r="EQR932" s="18"/>
      <c r="EQS932" s="18"/>
      <c r="EQT932" s="18"/>
      <c r="EQU932" s="18"/>
      <c r="EQV932" s="18"/>
      <c r="EQW932" s="18"/>
      <c r="EQX932" s="18"/>
      <c r="EQY932" s="18"/>
      <c r="EQZ932" s="18"/>
      <c r="ERA932" s="18"/>
      <c r="ERB932" s="18"/>
      <c r="ERC932" s="18"/>
      <c r="ERD932" s="18"/>
      <c r="ERE932" s="18"/>
      <c r="ERF932" s="18"/>
      <c r="ERG932" s="18"/>
      <c r="ERH932" s="18"/>
      <c r="ERI932" s="18"/>
      <c r="ERJ932" s="18"/>
      <c r="ERK932" s="18"/>
      <c r="ERL932" s="18"/>
      <c r="ERM932" s="18"/>
      <c r="ERN932" s="18"/>
      <c r="ERO932" s="18"/>
      <c r="ERP932" s="18"/>
      <c r="ERQ932" s="18"/>
      <c r="ERR932" s="18"/>
      <c r="ERS932" s="18"/>
      <c r="ERT932" s="18"/>
      <c r="ERU932" s="18"/>
      <c r="ERV932" s="18"/>
      <c r="ERW932" s="18"/>
      <c r="ERX932" s="18"/>
      <c r="ERY932" s="18"/>
      <c r="ERZ932" s="18"/>
      <c r="ESA932" s="18"/>
      <c r="ESB932" s="18"/>
      <c r="ESC932" s="18"/>
      <c r="ESD932" s="18"/>
      <c r="ESE932" s="18"/>
      <c r="ESF932" s="18"/>
      <c r="ESG932" s="18"/>
      <c r="ESH932" s="18"/>
      <c r="ESI932" s="18"/>
      <c r="ESJ932" s="18"/>
      <c r="ESK932" s="18"/>
      <c r="ESL932" s="18"/>
      <c r="ESM932" s="18"/>
      <c r="ESN932" s="18"/>
      <c r="ESO932" s="18"/>
      <c r="ESP932" s="18"/>
      <c r="ESQ932" s="18"/>
      <c r="ESR932" s="18"/>
      <c r="ESS932" s="18"/>
      <c r="EST932" s="18"/>
      <c r="ESU932" s="18"/>
      <c r="ESV932" s="18"/>
      <c r="ESW932" s="18"/>
      <c r="ESX932" s="18"/>
      <c r="ESY932" s="18"/>
      <c r="ESZ932" s="18"/>
      <c r="ETA932" s="18"/>
      <c r="ETB932" s="18"/>
      <c r="ETC932" s="18"/>
      <c r="ETD932" s="18"/>
      <c r="ETE932" s="18"/>
      <c r="ETF932" s="18"/>
      <c r="ETG932" s="18"/>
      <c r="ETH932" s="18"/>
      <c r="ETI932" s="18"/>
      <c r="ETJ932" s="18"/>
      <c r="ETK932" s="18"/>
      <c r="ETL932" s="18"/>
      <c r="ETM932" s="18"/>
      <c r="ETN932" s="18"/>
      <c r="ETO932" s="18"/>
      <c r="ETP932" s="18"/>
      <c r="ETQ932" s="18"/>
      <c r="ETR932" s="18"/>
      <c r="ETS932" s="18"/>
      <c r="ETT932" s="18"/>
      <c r="ETU932" s="18"/>
      <c r="ETV932" s="18"/>
      <c r="ETW932" s="18"/>
      <c r="ETX932" s="18"/>
      <c r="ETY932" s="18"/>
      <c r="ETZ932" s="18"/>
      <c r="EUA932" s="18"/>
      <c r="EUB932" s="18"/>
      <c r="EUC932" s="18"/>
      <c r="EUD932" s="18"/>
      <c r="EUE932" s="18"/>
      <c r="EUF932" s="18"/>
      <c r="EUG932" s="18"/>
      <c r="EUH932" s="18"/>
      <c r="EUI932" s="18"/>
      <c r="EUJ932" s="18"/>
      <c r="EUK932" s="18"/>
      <c r="EUL932" s="18"/>
      <c r="EUM932" s="18"/>
      <c r="EUN932" s="18"/>
      <c r="EUO932" s="18"/>
      <c r="EUP932" s="18"/>
      <c r="EUQ932" s="18"/>
      <c r="EUR932" s="18"/>
      <c r="EUS932" s="18"/>
      <c r="EUT932" s="18"/>
      <c r="EUU932" s="18"/>
      <c r="EUV932" s="18"/>
      <c r="EUW932" s="18"/>
      <c r="EUX932" s="18"/>
      <c r="EUY932" s="18"/>
      <c r="EUZ932" s="18"/>
      <c r="EVA932" s="18"/>
      <c r="EVB932" s="18"/>
      <c r="EVC932" s="18"/>
      <c r="EVD932" s="18"/>
      <c r="EVE932" s="18"/>
      <c r="EVF932" s="18"/>
      <c r="EVG932" s="18"/>
      <c r="EVH932" s="18"/>
      <c r="EVI932" s="18"/>
      <c r="EVJ932" s="18"/>
      <c r="EVK932" s="18"/>
      <c r="EVL932" s="18"/>
      <c r="EVM932" s="18"/>
      <c r="EVN932" s="18"/>
      <c r="EVO932" s="18"/>
      <c r="EVP932" s="18"/>
      <c r="EVQ932" s="18"/>
      <c r="EVR932" s="18"/>
      <c r="EVS932" s="18"/>
      <c r="EVT932" s="18"/>
      <c r="EVU932" s="18"/>
      <c r="EVV932" s="18"/>
      <c r="EVW932" s="18"/>
      <c r="EVX932" s="18"/>
      <c r="EVY932" s="18"/>
      <c r="EVZ932" s="18"/>
      <c r="EWA932" s="18"/>
      <c r="EWB932" s="18"/>
      <c r="EWC932" s="18"/>
      <c r="EWD932" s="18"/>
      <c r="EWE932" s="18"/>
      <c r="EWF932" s="18"/>
      <c r="EWG932" s="18"/>
      <c r="EWH932" s="18"/>
      <c r="EWI932" s="18"/>
      <c r="EWJ932" s="18"/>
      <c r="EWK932" s="18"/>
      <c r="EWL932" s="18"/>
      <c r="EWM932" s="18"/>
      <c r="EWN932" s="18"/>
      <c r="EWO932" s="18"/>
      <c r="EWP932" s="18"/>
      <c r="EWQ932" s="18"/>
      <c r="EWR932" s="18"/>
      <c r="EWS932" s="18"/>
      <c r="EWT932" s="18"/>
      <c r="EWU932" s="18"/>
      <c r="EWV932" s="18"/>
      <c r="EWW932" s="18"/>
      <c r="EWX932" s="18"/>
      <c r="EWY932" s="18"/>
      <c r="EWZ932" s="18"/>
      <c r="EXA932" s="18"/>
      <c r="EXB932" s="18"/>
      <c r="EXC932" s="18"/>
      <c r="EXD932" s="18"/>
      <c r="EXE932" s="18"/>
      <c r="EXF932" s="18"/>
      <c r="EXG932" s="18"/>
      <c r="EXH932" s="18"/>
      <c r="EXI932" s="18"/>
      <c r="EXJ932" s="18"/>
      <c r="EXK932" s="18"/>
      <c r="EXL932" s="18"/>
      <c r="EXM932" s="18"/>
      <c r="EXN932" s="18"/>
      <c r="EXO932" s="18"/>
      <c r="EXP932" s="18"/>
      <c r="EXQ932" s="18"/>
      <c r="EXR932" s="18"/>
      <c r="EXS932" s="18"/>
      <c r="EXT932" s="18"/>
      <c r="EXU932" s="18"/>
      <c r="EXV932" s="18"/>
      <c r="EXW932" s="18"/>
      <c r="EXX932" s="18"/>
      <c r="EXY932" s="18"/>
      <c r="EXZ932" s="18"/>
      <c r="EYA932" s="18"/>
      <c r="EYB932" s="18"/>
      <c r="EYC932" s="18"/>
      <c r="EYD932" s="18"/>
      <c r="EYE932" s="18"/>
      <c r="EYF932" s="18"/>
      <c r="EYG932" s="18"/>
      <c r="EYH932" s="18"/>
      <c r="EYI932" s="18"/>
      <c r="EYJ932" s="18"/>
      <c r="EYK932" s="18"/>
      <c r="EYL932" s="18"/>
      <c r="EYM932" s="18"/>
      <c r="EYN932" s="18"/>
      <c r="EYO932" s="18"/>
      <c r="EYP932" s="18"/>
      <c r="EYQ932" s="18"/>
      <c r="EYR932" s="18"/>
      <c r="EYS932" s="18"/>
      <c r="EYT932" s="18"/>
      <c r="EYU932" s="18"/>
      <c r="EYV932" s="18"/>
      <c r="EYW932" s="18"/>
      <c r="EYX932" s="18"/>
      <c r="EYY932" s="18"/>
      <c r="EYZ932" s="18"/>
      <c r="EZA932" s="18"/>
      <c r="EZB932" s="18"/>
      <c r="EZC932" s="18"/>
      <c r="EZD932" s="18"/>
      <c r="EZE932" s="18"/>
      <c r="EZF932" s="18"/>
      <c r="EZG932" s="18"/>
      <c r="EZH932" s="18"/>
      <c r="EZI932" s="18"/>
      <c r="EZJ932" s="18"/>
      <c r="EZK932" s="18"/>
      <c r="EZL932" s="18"/>
      <c r="EZM932" s="18"/>
      <c r="EZN932" s="18"/>
      <c r="EZO932" s="18"/>
      <c r="EZP932" s="18"/>
      <c r="EZQ932" s="18"/>
      <c r="EZR932" s="18"/>
      <c r="EZS932" s="18"/>
      <c r="EZT932" s="18"/>
      <c r="EZU932" s="18"/>
      <c r="EZV932" s="18"/>
      <c r="EZW932" s="18"/>
      <c r="EZX932" s="18"/>
      <c r="EZY932" s="18"/>
      <c r="EZZ932" s="18"/>
      <c r="FAA932" s="18"/>
      <c r="FAB932" s="18"/>
      <c r="FAC932" s="18"/>
      <c r="FAD932" s="18"/>
      <c r="FAE932" s="18"/>
      <c r="FAF932" s="18"/>
      <c r="FAG932" s="18"/>
      <c r="FAH932" s="18"/>
      <c r="FAI932" s="18"/>
      <c r="FAJ932" s="18"/>
      <c r="FAK932" s="18"/>
      <c r="FAL932" s="18"/>
      <c r="FAM932" s="18"/>
      <c r="FAN932" s="18"/>
      <c r="FAO932" s="18"/>
      <c r="FAP932" s="18"/>
      <c r="FAQ932" s="18"/>
      <c r="FAR932" s="18"/>
      <c r="FAS932" s="18"/>
      <c r="FAT932" s="18"/>
      <c r="FAU932" s="18"/>
      <c r="FAV932" s="18"/>
      <c r="FAW932" s="18"/>
      <c r="FAX932" s="18"/>
      <c r="FAY932" s="18"/>
      <c r="FAZ932" s="18"/>
      <c r="FBA932" s="18"/>
      <c r="FBB932" s="18"/>
      <c r="FBC932" s="18"/>
      <c r="FBD932" s="18"/>
      <c r="FBE932" s="18"/>
      <c r="FBF932" s="18"/>
      <c r="FBG932" s="18"/>
      <c r="FBH932" s="18"/>
      <c r="FBI932" s="18"/>
      <c r="FBJ932" s="18"/>
      <c r="FBK932" s="18"/>
      <c r="FBL932" s="18"/>
      <c r="FBM932" s="18"/>
      <c r="FBN932" s="18"/>
      <c r="FBO932" s="18"/>
      <c r="FBP932" s="18"/>
      <c r="FBQ932" s="18"/>
      <c r="FBR932" s="18"/>
      <c r="FBS932" s="18"/>
      <c r="FBT932" s="18"/>
      <c r="FBU932" s="18"/>
      <c r="FBV932" s="18"/>
      <c r="FBW932" s="18"/>
      <c r="FBX932" s="18"/>
      <c r="FBY932" s="18"/>
      <c r="FBZ932" s="18"/>
      <c r="FCA932" s="18"/>
      <c r="FCB932" s="18"/>
      <c r="FCC932" s="18"/>
      <c r="FCD932" s="18"/>
      <c r="FCE932" s="18"/>
      <c r="FCF932" s="18"/>
      <c r="FCG932" s="18"/>
      <c r="FCH932" s="18"/>
      <c r="FCI932" s="18"/>
      <c r="FCJ932" s="18"/>
      <c r="FCK932" s="18"/>
      <c r="FCL932" s="18"/>
      <c r="FCM932" s="18"/>
      <c r="FCN932" s="18"/>
      <c r="FCO932" s="18"/>
      <c r="FCP932" s="18"/>
      <c r="FCQ932" s="18"/>
      <c r="FCR932" s="18"/>
      <c r="FCS932" s="18"/>
      <c r="FCT932" s="18"/>
      <c r="FCU932" s="18"/>
      <c r="FCV932" s="18"/>
      <c r="FCW932" s="18"/>
      <c r="FCX932" s="18"/>
      <c r="FCY932" s="18"/>
      <c r="FCZ932" s="18"/>
      <c r="FDA932" s="18"/>
      <c r="FDB932" s="18"/>
      <c r="FDC932" s="18"/>
      <c r="FDD932" s="18"/>
      <c r="FDE932" s="18"/>
      <c r="FDF932" s="18"/>
      <c r="FDG932" s="18"/>
      <c r="FDH932" s="18"/>
      <c r="FDI932" s="18"/>
      <c r="FDJ932" s="18"/>
      <c r="FDK932" s="18"/>
      <c r="FDL932" s="18"/>
      <c r="FDM932" s="18"/>
      <c r="FDN932" s="18"/>
      <c r="FDO932" s="18"/>
      <c r="FDP932" s="18"/>
      <c r="FDQ932" s="18"/>
      <c r="FDR932" s="18"/>
      <c r="FDS932" s="18"/>
      <c r="FDT932" s="18"/>
      <c r="FDU932" s="18"/>
      <c r="FDV932" s="18"/>
      <c r="FDW932" s="18"/>
      <c r="FDX932" s="18"/>
      <c r="FDY932" s="18"/>
      <c r="FDZ932" s="18"/>
      <c r="FEA932" s="18"/>
      <c r="FEB932" s="18"/>
      <c r="FEC932" s="18"/>
      <c r="FED932" s="18"/>
      <c r="FEE932" s="18"/>
      <c r="FEF932" s="18"/>
      <c r="FEG932" s="18"/>
      <c r="FEH932" s="18"/>
      <c r="FEI932" s="18"/>
      <c r="FEJ932" s="18"/>
      <c r="FEK932" s="18"/>
      <c r="FEL932" s="18"/>
      <c r="FEM932" s="18"/>
      <c r="FEN932" s="18"/>
      <c r="FEO932" s="18"/>
      <c r="FEP932" s="18"/>
      <c r="FEQ932" s="18"/>
      <c r="FER932" s="18"/>
      <c r="FES932" s="18"/>
      <c r="FET932" s="18"/>
      <c r="FEU932" s="18"/>
      <c r="FEV932" s="18"/>
      <c r="FEW932" s="18"/>
      <c r="FEX932" s="18"/>
      <c r="FEY932" s="18"/>
      <c r="FEZ932" s="18"/>
      <c r="FFA932" s="18"/>
      <c r="FFB932" s="18"/>
      <c r="FFC932" s="18"/>
      <c r="FFD932" s="18"/>
      <c r="FFE932" s="18"/>
      <c r="FFF932" s="18"/>
      <c r="FFG932" s="18"/>
      <c r="FFH932" s="18"/>
      <c r="FFI932" s="18"/>
      <c r="FFJ932" s="18"/>
      <c r="FFK932" s="18"/>
      <c r="FFL932" s="18"/>
      <c r="FFM932" s="18"/>
      <c r="FFN932" s="18"/>
      <c r="FFO932" s="18"/>
      <c r="FFP932" s="18"/>
      <c r="FFQ932" s="18"/>
      <c r="FFR932" s="18"/>
      <c r="FFS932" s="18"/>
      <c r="FFT932" s="18"/>
      <c r="FFU932" s="18"/>
      <c r="FFV932" s="18"/>
      <c r="FFW932" s="18"/>
      <c r="FFX932" s="18"/>
      <c r="FFY932" s="18"/>
      <c r="FFZ932" s="18"/>
      <c r="FGA932" s="18"/>
      <c r="FGB932" s="18"/>
      <c r="FGC932" s="18"/>
      <c r="FGD932" s="18"/>
      <c r="FGE932" s="18"/>
      <c r="FGF932" s="18"/>
      <c r="FGG932" s="18"/>
      <c r="FGH932" s="18"/>
      <c r="FGI932" s="18"/>
      <c r="FGJ932" s="18"/>
      <c r="FGK932" s="18"/>
      <c r="FGL932" s="18"/>
      <c r="FGM932" s="18"/>
      <c r="FGN932" s="18"/>
      <c r="FGO932" s="18"/>
      <c r="FGP932" s="18"/>
      <c r="FGQ932" s="18"/>
      <c r="FGR932" s="18"/>
      <c r="FGS932" s="18"/>
      <c r="FGT932" s="18"/>
      <c r="FGU932" s="18"/>
      <c r="FGV932" s="18"/>
      <c r="FGW932" s="18"/>
      <c r="FGX932" s="18"/>
      <c r="FGY932" s="18"/>
      <c r="FGZ932" s="18"/>
      <c r="FHA932" s="18"/>
      <c r="FHB932" s="18"/>
      <c r="FHC932" s="18"/>
      <c r="FHD932" s="18"/>
      <c r="FHE932" s="18"/>
      <c r="FHF932" s="18"/>
      <c r="FHG932" s="18"/>
      <c r="FHH932" s="18"/>
      <c r="FHI932" s="18"/>
      <c r="FHJ932" s="18"/>
      <c r="FHK932" s="18"/>
      <c r="FHL932" s="18"/>
      <c r="FHM932" s="18"/>
      <c r="FHN932" s="18"/>
      <c r="FHO932" s="18"/>
      <c r="FHP932" s="18"/>
      <c r="FHQ932" s="18"/>
      <c r="FHR932" s="18"/>
      <c r="FHS932" s="18"/>
      <c r="FHT932" s="18"/>
      <c r="FHU932" s="18"/>
      <c r="FHV932" s="18"/>
      <c r="FHW932" s="18"/>
      <c r="FHX932" s="18"/>
      <c r="FHY932" s="18"/>
      <c r="FHZ932" s="18"/>
      <c r="FIA932" s="18"/>
      <c r="FIB932" s="18"/>
      <c r="FIC932" s="18"/>
      <c r="FID932" s="18"/>
      <c r="FIE932" s="18"/>
      <c r="FIF932" s="18"/>
      <c r="FIG932" s="18"/>
      <c r="FIH932" s="18"/>
      <c r="FII932" s="18"/>
      <c r="FIJ932" s="18"/>
      <c r="FIK932" s="18"/>
      <c r="FIL932" s="18"/>
      <c r="FIM932" s="18"/>
      <c r="FIN932" s="18"/>
      <c r="FIO932" s="18"/>
      <c r="FIP932" s="18"/>
      <c r="FIQ932" s="18"/>
      <c r="FIR932" s="18"/>
      <c r="FIS932" s="18"/>
      <c r="FIT932" s="18"/>
      <c r="FIU932" s="18"/>
      <c r="FIV932" s="18"/>
      <c r="FIW932" s="18"/>
      <c r="FIX932" s="18"/>
      <c r="FIY932" s="18"/>
      <c r="FIZ932" s="18"/>
      <c r="FJA932" s="18"/>
      <c r="FJB932" s="18"/>
      <c r="FJC932" s="18"/>
      <c r="FJD932" s="18"/>
      <c r="FJE932" s="18"/>
      <c r="FJF932" s="18"/>
      <c r="FJG932" s="18"/>
      <c r="FJH932" s="18"/>
      <c r="FJI932" s="18"/>
      <c r="FJJ932" s="18"/>
      <c r="FJK932" s="18"/>
      <c r="FJL932" s="18"/>
      <c r="FJM932" s="18"/>
      <c r="FJN932" s="18"/>
      <c r="FJO932" s="18"/>
      <c r="FJP932" s="18"/>
      <c r="FJQ932" s="18"/>
      <c r="FJR932" s="18"/>
      <c r="FJS932" s="18"/>
      <c r="FJT932" s="18"/>
      <c r="FJU932" s="18"/>
      <c r="FJV932" s="18"/>
      <c r="FJW932" s="18"/>
      <c r="FJX932" s="18"/>
      <c r="FJY932" s="18"/>
      <c r="FJZ932" s="18"/>
      <c r="FKA932" s="18"/>
      <c r="FKB932" s="18"/>
      <c r="FKC932" s="18"/>
      <c r="FKD932" s="18"/>
      <c r="FKE932" s="18"/>
      <c r="FKF932" s="18"/>
      <c r="FKG932" s="18"/>
      <c r="FKH932" s="18"/>
      <c r="FKI932" s="18"/>
      <c r="FKJ932" s="18"/>
      <c r="FKK932" s="18"/>
      <c r="FKL932" s="18"/>
      <c r="FKM932" s="18"/>
      <c r="FKN932" s="18"/>
      <c r="FKO932" s="18"/>
      <c r="FKP932" s="18"/>
      <c r="FKQ932" s="18"/>
      <c r="FKR932" s="18"/>
      <c r="FKS932" s="18"/>
      <c r="FKT932" s="18"/>
      <c r="FKU932" s="18"/>
      <c r="FKV932" s="18"/>
      <c r="FKW932" s="18"/>
      <c r="FKX932" s="18"/>
      <c r="FKY932" s="18"/>
      <c r="FKZ932" s="18"/>
      <c r="FLA932" s="18"/>
      <c r="FLB932" s="18"/>
      <c r="FLC932" s="18"/>
      <c r="FLD932" s="18"/>
      <c r="FLE932" s="18"/>
      <c r="FLF932" s="18"/>
      <c r="FLG932" s="18"/>
      <c r="FLH932" s="18"/>
      <c r="FLI932" s="18"/>
      <c r="FLJ932" s="18"/>
      <c r="FLK932" s="18"/>
      <c r="FLL932" s="18"/>
      <c r="FLM932" s="18"/>
      <c r="FLN932" s="18"/>
      <c r="FLO932" s="18"/>
      <c r="FLP932" s="18"/>
      <c r="FLQ932" s="18"/>
      <c r="FLR932" s="18"/>
      <c r="FLS932" s="18"/>
      <c r="FLT932" s="18"/>
      <c r="FLU932" s="18"/>
      <c r="FLV932" s="18"/>
      <c r="FLW932" s="18"/>
      <c r="FLX932" s="18"/>
      <c r="FLY932" s="18"/>
      <c r="FLZ932" s="18"/>
      <c r="FMA932" s="18"/>
      <c r="FMB932" s="18"/>
      <c r="FMC932" s="18"/>
      <c r="FMD932" s="18"/>
      <c r="FME932" s="18"/>
      <c r="FMF932" s="18"/>
      <c r="FMG932" s="18"/>
      <c r="FMH932" s="18"/>
      <c r="FMI932" s="18"/>
      <c r="FMJ932" s="18"/>
      <c r="FMK932" s="18"/>
      <c r="FML932" s="18"/>
      <c r="FMM932" s="18"/>
      <c r="FMN932" s="18"/>
      <c r="FMO932" s="18"/>
      <c r="FMP932" s="18"/>
      <c r="FMQ932" s="18"/>
      <c r="FMR932" s="18"/>
      <c r="FMS932" s="18"/>
      <c r="FMT932" s="18"/>
      <c r="FMU932" s="18"/>
      <c r="FMV932" s="18"/>
      <c r="FMW932" s="18"/>
      <c r="FMX932" s="18"/>
      <c r="FMY932" s="18"/>
      <c r="FMZ932" s="18"/>
      <c r="FNA932" s="18"/>
      <c r="FNB932" s="18"/>
      <c r="FNC932" s="18"/>
      <c r="FND932" s="18"/>
      <c r="FNE932" s="18"/>
      <c r="FNF932" s="18"/>
      <c r="FNG932" s="18"/>
      <c r="FNH932" s="18"/>
      <c r="FNI932" s="18"/>
      <c r="FNJ932" s="18"/>
      <c r="FNK932" s="18"/>
      <c r="FNL932" s="18"/>
      <c r="FNM932" s="18"/>
      <c r="FNN932" s="18"/>
      <c r="FNO932" s="18"/>
      <c r="FNP932" s="18"/>
      <c r="FNQ932" s="18"/>
      <c r="FNR932" s="18"/>
      <c r="FNS932" s="18"/>
      <c r="FNT932" s="18"/>
      <c r="FNU932" s="18"/>
      <c r="FNV932" s="18"/>
      <c r="FNW932" s="18"/>
      <c r="FNX932" s="18"/>
      <c r="FNY932" s="18"/>
      <c r="FNZ932" s="18"/>
      <c r="FOA932" s="18"/>
      <c r="FOB932" s="18"/>
      <c r="FOC932" s="18"/>
      <c r="FOD932" s="18"/>
      <c r="FOE932" s="18"/>
      <c r="FOF932" s="18"/>
      <c r="FOG932" s="18"/>
      <c r="FOH932" s="18"/>
      <c r="FOI932" s="18"/>
      <c r="FOJ932" s="18"/>
      <c r="FOK932" s="18"/>
      <c r="FOL932" s="18"/>
      <c r="FOM932" s="18"/>
      <c r="FON932" s="18"/>
      <c r="FOO932" s="18"/>
      <c r="FOP932" s="18"/>
      <c r="FOQ932" s="18"/>
      <c r="FOR932" s="18"/>
      <c r="FOS932" s="18"/>
      <c r="FOT932" s="18"/>
      <c r="FOU932" s="18"/>
      <c r="FOV932" s="18"/>
      <c r="FOW932" s="18"/>
      <c r="FOX932" s="18"/>
      <c r="FOY932" s="18"/>
      <c r="FOZ932" s="18"/>
      <c r="FPA932" s="18"/>
      <c r="FPB932" s="18"/>
      <c r="FPC932" s="18"/>
      <c r="FPD932" s="18"/>
      <c r="FPE932" s="18"/>
      <c r="FPF932" s="18"/>
      <c r="FPG932" s="18"/>
      <c r="FPH932" s="18"/>
      <c r="FPI932" s="18"/>
      <c r="FPJ932" s="18"/>
      <c r="FPK932" s="18"/>
      <c r="FPL932" s="18"/>
      <c r="FPM932" s="18"/>
      <c r="FPN932" s="18"/>
      <c r="FPO932" s="18"/>
      <c r="FPP932" s="18"/>
      <c r="FPQ932" s="18"/>
      <c r="FPR932" s="18"/>
      <c r="FPS932" s="18"/>
      <c r="FPT932" s="18"/>
      <c r="FPU932" s="18"/>
      <c r="FPV932" s="18"/>
      <c r="FPW932" s="18"/>
      <c r="FPX932" s="18"/>
      <c r="FPY932" s="18"/>
      <c r="FPZ932" s="18"/>
      <c r="FQA932" s="18"/>
      <c r="FQB932" s="18"/>
      <c r="FQC932" s="18"/>
      <c r="FQD932" s="18"/>
      <c r="FQE932" s="18"/>
      <c r="FQF932" s="18"/>
      <c r="FQG932" s="18"/>
      <c r="FQH932" s="18"/>
      <c r="FQI932" s="18"/>
      <c r="FQJ932" s="18"/>
      <c r="FQK932" s="18"/>
      <c r="FQL932" s="18"/>
      <c r="FQM932" s="18"/>
      <c r="FQN932" s="18"/>
      <c r="FQO932" s="18"/>
      <c r="FQP932" s="18"/>
      <c r="FQQ932" s="18"/>
      <c r="FQR932" s="18"/>
      <c r="FQS932" s="18"/>
      <c r="FQT932" s="18"/>
      <c r="FQU932" s="18"/>
      <c r="FQV932" s="18"/>
      <c r="FQW932" s="18"/>
      <c r="FQX932" s="18"/>
      <c r="FQY932" s="18"/>
      <c r="FQZ932" s="18"/>
      <c r="FRA932" s="18"/>
      <c r="FRB932" s="18"/>
      <c r="FRC932" s="18"/>
      <c r="FRD932" s="18"/>
      <c r="FRE932" s="18"/>
      <c r="FRF932" s="18"/>
      <c r="FRG932" s="18"/>
      <c r="FRH932" s="18"/>
      <c r="FRI932" s="18"/>
      <c r="FRJ932" s="18"/>
      <c r="FRK932" s="18"/>
      <c r="FRL932" s="18"/>
      <c r="FRM932" s="18"/>
      <c r="FRN932" s="18"/>
      <c r="FRO932" s="18"/>
      <c r="FRP932" s="18"/>
      <c r="FRQ932" s="18"/>
      <c r="FRR932" s="18"/>
      <c r="FRS932" s="18"/>
      <c r="FRT932" s="18"/>
      <c r="FRU932" s="18"/>
      <c r="FRV932" s="18"/>
      <c r="FRW932" s="18"/>
      <c r="FRX932" s="18"/>
      <c r="FRY932" s="18"/>
      <c r="FRZ932" s="18"/>
      <c r="FSA932" s="18"/>
      <c r="FSB932" s="18"/>
      <c r="FSC932" s="18"/>
      <c r="FSD932" s="18"/>
      <c r="FSE932" s="18"/>
      <c r="FSF932" s="18"/>
      <c r="FSG932" s="18"/>
      <c r="FSH932" s="18"/>
      <c r="FSI932" s="18"/>
      <c r="FSJ932" s="18"/>
      <c r="FSK932" s="18"/>
      <c r="FSL932" s="18"/>
      <c r="FSM932" s="18"/>
      <c r="FSN932" s="18"/>
      <c r="FSO932" s="18"/>
      <c r="FSP932" s="18"/>
      <c r="FSQ932" s="18"/>
      <c r="FSR932" s="18"/>
      <c r="FSS932" s="18"/>
      <c r="FST932" s="18"/>
      <c r="FSU932" s="18"/>
      <c r="FSV932" s="18"/>
      <c r="FSW932" s="18"/>
      <c r="FSX932" s="18"/>
      <c r="FSY932" s="18"/>
      <c r="FSZ932" s="18"/>
      <c r="FTA932" s="18"/>
      <c r="FTB932" s="18"/>
      <c r="FTC932" s="18"/>
      <c r="FTD932" s="18"/>
      <c r="FTE932" s="18"/>
      <c r="FTF932" s="18"/>
      <c r="FTG932" s="18"/>
      <c r="FTH932" s="18"/>
      <c r="FTI932" s="18"/>
      <c r="FTJ932" s="18"/>
      <c r="FTK932" s="18"/>
      <c r="FTL932" s="18"/>
      <c r="FTM932" s="18"/>
      <c r="FTN932" s="18"/>
      <c r="FTO932" s="18"/>
      <c r="FTP932" s="18"/>
      <c r="FTQ932" s="18"/>
      <c r="FTR932" s="18"/>
      <c r="FTS932" s="18"/>
      <c r="FTT932" s="18"/>
      <c r="FTU932" s="18"/>
      <c r="FTV932" s="18"/>
      <c r="FTW932" s="18"/>
      <c r="FTX932" s="18"/>
      <c r="FTY932" s="18"/>
      <c r="FTZ932" s="18"/>
      <c r="FUA932" s="18"/>
      <c r="FUB932" s="18"/>
      <c r="FUC932" s="18"/>
      <c r="FUD932" s="18"/>
      <c r="FUE932" s="18"/>
      <c r="FUF932" s="18"/>
      <c r="FUG932" s="18"/>
      <c r="FUH932" s="18"/>
      <c r="FUI932" s="18"/>
      <c r="FUJ932" s="18"/>
      <c r="FUK932" s="18"/>
      <c r="FUL932" s="18"/>
      <c r="FUM932" s="18"/>
      <c r="FUN932" s="18"/>
      <c r="FUO932" s="18"/>
      <c r="FUP932" s="18"/>
      <c r="FUQ932" s="18"/>
      <c r="FUR932" s="18"/>
      <c r="FUS932" s="18"/>
      <c r="FUT932" s="18"/>
      <c r="FUU932" s="18"/>
      <c r="FUV932" s="18"/>
      <c r="FUW932" s="18"/>
      <c r="FUX932" s="18"/>
      <c r="FUY932" s="18"/>
      <c r="FUZ932" s="18"/>
      <c r="FVA932" s="18"/>
      <c r="FVB932" s="18"/>
      <c r="FVC932" s="18"/>
      <c r="FVD932" s="18"/>
      <c r="FVE932" s="18"/>
      <c r="FVF932" s="18"/>
      <c r="FVG932" s="18"/>
      <c r="FVH932" s="18"/>
      <c r="FVI932" s="18"/>
      <c r="FVJ932" s="18"/>
      <c r="FVK932" s="18"/>
      <c r="FVL932" s="18"/>
      <c r="FVM932" s="18"/>
      <c r="FVN932" s="18"/>
      <c r="FVO932" s="18"/>
      <c r="FVP932" s="18"/>
      <c r="FVQ932" s="18"/>
      <c r="FVR932" s="18"/>
      <c r="FVS932" s="18"/>
      <c r="FVT932" s="18"/>
      <c r="FVU932" s="18"/>
      <c r="FVV932" s="18"/>
      <c r="FVW932" s="18"/>
      <c r="FVX932" s="18"/>
      <c r="FVY932" s="18"/>
      <c r="FVZ932" s="18"/>
      <c r="FWA932" s="18"/>
      <c r="FWB932" s="18"/>
      <c r="FWC932" s="18"/>
      <c r="FWD932" s="18"/>
      <c r="FWE932" s="18"/>
      <c r="FWF932" s="18"/>
      <c r="FWG932" s="18"/>
      <c r="FWH932" s="18"/>
      <c r="FWI932" s="18"/>
      <c r="FWJ932" s="18"/>
      <c r="FWK932" s="18"/>
      <c r="FWL932" s="18"/>
      <c r="FWM932" s="18"/>
      <c r="FWN932" s="18"/>
      <c r="FWO932" s="18"/>
      <c r="FWP932" s="18"/>
      <c r="FWQ932" s="18"/>
      <c r="FWR932" s="18"/>
      <c r="FWS932" s="18"/>
      <c r="FWT932" s="18"/>
      <c r="FWU932" s="18"/>
      <c r="FWV932" s="18"/>
      <c r="FWW932" s="18"/>
      <c r="FWX932" s="18"/>
      <c r="FWY932" s="18"/>
      <c r="FWZ932" s="18"/>
      <c r="FXA932" s="18"/>
      <c r="FXB932" s="18"/>
      <c r="FXC932" s="18"/>
      <c r="FXD932" s="18"/>
      <c r="FXE932" s="18"/>
      <c r="FXF932" s="18"/>
      <c r="FXG932" s="18"/>
      <c r="FXH932" s="18"/>
      <c r="FXI932" s="18"/>
      <c r="FXJ932" s="18"/>
      <c r="FXK932" s="18"/>
      <c r="FXL932" s="18"/>
      <c r="FXM932" s="18"/>
      <c r="FXN932" s="18"/>
      <c r="FXO932" s="18"/>
      <c r="FXP932" s="18"/>
      <c r="FXQ932" s="18"/>
      <c r="FXR932" s="18"/>
      <c r="FXS932" s="18"/>
      <c r="FXT932" s="18"/>
      <c r="FXU932" s="18"/>
      <c r="FXV932" s="18"/>
      <c r="FXW932" s="18"/>
      <c r="FXX932" s="18"/>
      <c r="FXY932" s="18"/>
      <c r="FXZ932" s="18"/>
      <c r="FYA932" s="18"/>
      <c r="FYB932" s="18"/>
      <c r="FYC932" s="18"/>
      <c r="FYD932" s="18"/>
      <c r="FYE932" s="18"/>
      <c r="FYF932" s="18"/>
      <c r="FYG932" s="18"/>
      <c r="FYH932" s="18"/>
      <c r="FYI932" s="18"/>
      <c r="FYJ932" s="18"/>
      <c r="FYK932" s="18"/>
      <c r="FYL932" s="18"/>
      <c r="FYM932" s="18"/>
      <c r="FYN932" s="18"/>
      <c r="FYO932" s="18"/>
      <c r="FYP932" s="18"/>
      <c r="FYQ932" s="18"/>
      <c r="FYR932" s="18"/>
      <c r="FYS932" s="18"/>
      <c r="FYT932" s="18"/>
      <c r="FYU932" s="18"/>
      <c r="FYV932" s="18"/>
      <c r="FYW932" s="18"/>
      <c r="FYX932" s="18"/>
      <c r="FYY932" s="18"/>
      <c r="FYZ932" s="18"/>
      <c r="FZA932" s="18"/>
      <c r="FZB932" s="18"/>
      <c r="FZC932" s="18"/>
      <c r="FZD932" s="18"/>
      <c r="FZE932" s="18"/>
      <c r="FZF932" s="18"/>
      <c r="FZG932" s="18"/>
      <c r="FZH932" s="18"/>
      <c r="FZI932" s="18"/>
      <c r="FZJ932" s="18"/>
      <c r="FZK932" s="18"/>
      <c r="FZL932" s="18"/>
      <c r="FZM932" s="18"/>
      <c r="FZN932" s="18"/>
      <c r="FZO932" s="18"/>
      <c r="FZP932" s="18"/>
      <c r="FZQ932" s="18"/>
      <c r="FZR932" s="18"/>
      <c r="FZS932" s="18"/>
      <c r="FZT932" s="18"/>
      <c r="FZU932" s="18"/>
      <c r="FZV932" s="18"/>
      <c r="FZW932" s="18"/>
      <c r="FZX932" s="18"/>
      <c r="FZY932" s="18"/>
      <c r="FZZ932" s="18"/>
      <c r="GAA932" s="18"/>
      <c r="GAB932" s="18"/>
      <c r="GAC932" s="18"/>
      <c r="GAD932" s="18"/>
      <c r="GAE932" s="18"/>
      <c r="GAF932" s="18"/>
      <c r="GAG932" s="18"/>
      <c r="GAH932" s="18"/>
      <c r="GAI932" s="18"/>
      <c r="GAJ932" s="18"/>
      <c r="GAK932" s="18"/>
      <c r="GAL932" s="18"/>
      <c r="GAM932" s="18"/>
      <c r="GAN932" s="18"/>
      <c r="GAO932" s="18"/>
      <c r="GAP932" s="18"/>
      <c r="GAQ932" s="18"/>
      <c r="GAR932" s="18"/>
      <c r="GAS932" s="18"/>
      <c r="GAT932" s="18"/>
      <c r="GAU932" s="18"/>
      <c r="GAV932" s="18"/>
      <c r="GAW932" s="18"/>
      <c r="GAX932" s="18"/>
      <c r="GAY932" s="18"/>
      <c r="GAZ932" s="18"/>
      <c r="GBA932" s="18"/>
      <c r="GBB932" s="18"/>
      <c r="GBC932" s="18"/>
      <c r="GBD932" s="18"/>
      <c r="GBE932" s="18"/>
      <c r="GBF932" s="18"/>
      <c r="GBG932" s="18"/>
      <c r="GBH932" s="18"/>
      <c r="GBI932" s="18"/>
      <c r="GBJ932" s="18"/>
      <c r="GBK932" s="18"/>
      <c r="GBL932" s="18"/>
      <c r="GBM932" s="18"/>
      <c r="GBN932" s="18"/>
      <c r="GBO932" s="18"/>
      <c r="GBP932" s="18"/>
      <c r="GBQ932" s="18"/>
      <c r="GBR932" s="18"/>
      <c r="GBS932" s="18"/>
      <c r="GBT932" s="18"/>
      <c r="GBU932" s="18"/>
      <c r="GBV932" s="18"/>
      <c r="GBW932" s="18"/>
      <c r="GBX932" s="18"/>
      <c r="GBY932" s="18"/>
      <c r="GBZ932" s="18"/>
      <c r="GCA932" s="18"/>
      <c r="GCB932" s="18"/>
      <c r="GCC932" s="18"/>
      <c r="GCD932" s="18"/>
      <c r="GCE932" s="18"/>
      <c r="GCF932" s="18"/>
      <c r="GCG932" s="18"/>
      <c r="GCH932" s="18"/>
      <c r="GCI932" s="18"/>
      <c r="GCJ932" s="18"/>
      <c r="GCK932" s="18"/>
      <c r="GCL932" s="18"/>
      <c r="GCM932" s="18"/>
      <c r="GCN932" s="18"/>
      <c r="GCO932" s="18"/>
      <c r="GCP932" s="18"/>
      <c r="GCQ932" s="18"/>
      <c r="GCR932" s="18"/>
      <c r="GCS932" s="18"/>
      <c r="GCT932" s="18"/>
      <c r="GCU932" s="18"/>
      <c r="GCV932" s="18"/>
      <c r="GCW932" s="18"/>
      <c r="GCX932" s="18"/>
      <c r="GCY932" s="18"/>
      <c r="GCZ932" s="18"/>
      <c r="GDA932" s="18"/>
      <c r="GDB932" s="18"/>
      <c r="GDC932" s="18"/>
      <c r="GDD932" s="18"/>
      <c r="GDE932" s="18"/>
      <c r="GDF932" s="18"/>
      <c r="GDG932" s="18"/>
      <c r="GDH932" s="18"/>
      <c r="GDI932" s="18"/>
      <c r="GDJ932" s="18"/>
      <c r="GDK932" s="18"/>
      <c r="GDL932" s="18"/>
      <c r="GDM932" s="18"/>
      <c r="GDN932" s="18"/>
      <c r="GDO932" s="18"/>
      <c r="GDP932" s="18"/>
      <c r="GDQ932" s="18"/>
      <c r="GDR932" s="18"/>
      <c r="GDS932" s="18"/>
      <c r="GDT932" s="18"/>
      <c r="GDU932" s="18"/>
      <c r="GDV932" s="18"/>
      <c r="GDW932" s="18"/>
      <c r="GDX932" s="18"/>
      <c r="GDY932" s="18"/>
      <c r="GDZ932" s="18"/>
      <c r="GEA932" s="18"/>
      <c r="GEB932" s="18"/>
      <c r="GEC932" s="18"/>
      <c r="GED932" s="18"/>
      <c r="GEE932" s="18"/>
      <c r="GEF932" s="18"/>
      <c r="GEG932" s="18"/>
      <c r="GEH932" s="18"/>
      <c r="GEI932" s="18"/>
      <c r="GEJ932" s="18"/>
      <c r="GEK932" s="18"/>
      <c r="GEL932" s="18"/>
      <c r="GEM932" s="18"/>
      <c r="GEN932" s="18"/>
      <c r="GEO932" s="18"/>
      <c r="GEP932" s="18"/>
      <c r="GEQ932" s="18"/>
      <c r="GER932" s="18"/>
      <c r="GES932" s="18"/>
      <c r="GET932" s="18"/>
      <c r="GEU932" s="18"/>
      <c r="GEV932" s="18"/>
      <c r="GEW932" s="18"/>
      <c r="GEX932" s="18"/>
      <c r="GEY932" s="18"/>
      <c r="GEZ932" s="18"/>
      <c r="GFA932" s="18"/>
      <c r="GFB932" s="18"/>
      <c r="GFC932" s="18"/>
      <c r="GFD932" s="18"/>
      <c r="GFE932" s="18"/>
      <c r="GFF932" s="18"/>
      <c r="GFG932" s="18"/>
      <c r="GFH932" s="18"/>
      <c r="GFI932" s="18"/>
      <c r="GFJ932" s="18"/>
      <c r="GFK932" s="18"/>
      <c r="GFL932" s="18"/>
      <c r="GFM932" s="18"/>
      <c r="GFN932" s="18"/>
      <c r="GFO932" s="18"/>
      <c r="GFP932" s="18"/>
      <c r="GFQ932" s="18"/>
      <c r="GFR932" s="18"/>
      <c r="GFS932" s="18"/>
      <c r="GFT932" s="18"/>
      <c r="GFU932" s="18"/>
      <c r="GFV932" s="18"/>
      <c r="GFW932" s="18"/>
      <c r="GFX932" s="18"/>
      <c r="GFY932" s="18"/>
      <c r="GFZ932" s="18"/>
      <c r="GGA932" s="18"/>
      <c r="GGB932" s="18"/>
      <c r="GGC932" s="18"/>
      <c r="GGD932" s="18"/>
      <c r="GGE932" s="18"/>
      <c r="GGF932" s="18"/>
      <c r="GGG932" s="18"/>
      <c r="GGH932" s="18"/>
      <c r="GGI932" s="18"/>
      <c r="GGJ932" s="18"/>
      <c r="GGK932" s="18"/>
      <c r="GGL932" s="18"/>
      <c r="GGM932" s="18"/>
      <c r="GGN932" s="18"/>
      <c r="GGO932" s="18"/>
      <c r="GGP932" s="18"/>
      <c r="GGQ932" s="18"/>
      <c r="GGR932" s="18"/>
      <c r="GGS932" s="18"/>
      <c r="GGT932" s="18"/>
      <c r="GGU932" s="18"/>
      <c r="GGV932" s="18"/>
      <c r="GGW932" s="18"/>
      <c r="GGX932" s="18"/>
      <c r="GGY932" s="18"/>
      <c r="GGZ932" s="18"/>
      <c r="GHA932" s="18"/>
      <c r="GHB932" s="18"/>
      <c r="GHC932" s="18"/>
      <c r="GHD932" s="18"/>
      <c r="GHE932" s="18"/>
      <c r="GHF932" s="18"/>
      <c r="GHG932" s="18"/>
      <c r="GHH932" s="18"/>
      <c r="GHI932" s="18"/>
      <c r="GHJ932" s="18"/>
      <c r="GHK932" s="18"/>
      <c r="GHL932" s="18"/>
      <c r="GHM932" s="18"/>
      <c r="GHN932" s="18"/>
      <c r="GHO932" s="18"/>
      <c r="GHP932" s="18"/>
      <c r="GHQ932" s="18"/>
      <c r="GHR932" s="18"/>
      <c r="GHS932" s="18"/>
      <c r="GHT932" s="18"/>
      <c r="GHU932" s="18"/>
      <c r="GHV932" s="18"/>
      <c r="GHW932" s="18"/>
      <c r="GHX932" s="18"/>
      <c r="GHY932" s="18"/>
      <c r="GHZ932" s="18"/>
      <c r="GIA932" s="18"/>
      <c r="GIB932" s="18"/>
      <c r="GIC932" s="18"/>
      <c r="GID932" s="18"/>
      <c r="GIE932" s="18"/>
      <c r="GIF932" s="18"/>
      <c r="GIG932" s="18"/>
      <c r="GIH932" s="18"/>
      <c r="GII932" s="18"/>
      <c r="GIJ932" s="18"/>
      <c r="GIK932" s="18"/>
      <c r="GIL932" s="18"/>
      <c r="GIM932" s="18"/>
      <c r="GIN932" s="18"/>
      <c r="GIO932" s="18"/>
      <c r="GIP932" s="18"/>
      <c r="GIQ932" s="18"/>
      <c r="GIR932" s="18"/>
      <c r="GIS932" s="18"/>
      <c r="GIT932" s="18"/>
      <c r="GIU932" s="18"/>
      <c r="GIV932" s="18"/>
      <c r="GIW932" s="18"/>
      <c r="GIX932" s="18"/>
      <c r="GIY932" s="18"/>
      <c r="GIZ932" s="18"/>
      <c r="GJA932" s="18"/>
      <c r="GJB932" s="18"/>
      <c r="GJC932" s="18"/>
      <c r="GJD932" s="18"/>
      <c r="GJE932" s="18"/>
      <c r="GJF932" s="18"/>
      <c r="GJG932" s="18"/>
      <c r="GJH932" s="18"/>
      <c r="GJI932" s="18"/>
      <c r="GJJ932" s="18"/>
      <c r="GJK932" s="18"/>
      <c r="GJL932" s="18"/>
      <c r="GJM932" s="18"/>
      <c r="GJN932" s="18"/>
      <c r="GJO932" s="18"/>
      <c r="GJP932" s="18"/>
      <c r="GJQ932" s="18"/>
      <c r="GJR932" s="18"/>
      <c r="GJS932" s="18"/>
      <c r="GJT932" s="18"/>
      <c r="GJU932" s="18"/>
      <c r="GJV932" s="18"/>
      <c r="GJW932" s="18"/>
      <c r="GJX932" s="18"/>
      <c r="GJY932" s="18"/>
      <c r="GJZ932" s="18"/>
      <c r="GKA932" s="18"/>
      <c r="GKB932" s="18"/>
      <c r="GKC932" s="18"/>
      <c r="GKD932" s="18"/>
      <c r="GKE932" s="18"/>
      <c r="GKF932" s="18"/>
      <c r="GKG932" s="18"/>
      <c r="GKH932" s="18"/>
      <c r="GKI932" s="18"/>
      <c r="GKJ932" s="18"/>
      <c r="GKK932" s="18"/>
      <c r="GKL932" s="18"/>
      <c r="GKM932" s="18"/>
      <c r="GKN932" s="18"/>
      <c r="GKO932" s="18"/>
      <c r="GKP932" s="18"/>
      <c r="GKQ932" s="18"/>
      <c r="GKR932" s="18"/>
      <c r="GKS932" s="18"/>
      <c r="GKT932" s="18"/>
      <c r="GKU932" s="18"/>
      <c r="GKV932" s="18"/>
      <c r="GKW932" s="18"/>
      <c r="GKX932" s="18"/>
      <c r="GKY932" s="18"/>
      <c r="GKZ932" s="18"/>
      <c r="GLA932" s="18"/>
      <c r="GLB932" s="18"/>
      <c r="GLC932" s="18"/>
      <c r="GLD932" s="18"/>
      <c r="GLE932" s="18"/>
      <c r="GLF932" s="18"/>
      <c r="GLG932" s="18"/>
      <c r="GLH932" s="18"/>
      <c r="GLI932" s="18"/>
      <c r="GLJ932" s="18"/>
      <c r="GLK932" s="18"/>
      <c r="GLL932" s="18"/>
      <c r="GLM932" s="18"/>
      <c r="GLN932" s="18"/>
      <c r="GLO932" s="18"/>
      <c r="GLP932" s="18"/>
      <c r="GLQ932" s="18"/>
      <c r="GLR932" s="18"/>
      <c r="GLS932" s="18"/>
      <c r="GLT932" s="18"/>
      <c r="GLU932" s="18"/>
      <c r="GLV932" s="18"/>
      <c r="GLW932" s="18"/>
      <c r="GLX932" s="18"/>
      <c r="GLY932" s="18"/>
      <c r="GLZ932" s="18"/>
      <c r="GMA932" s="18"/>
      <c r="GMB932" s="18"/>
      <c r="GMC932" s="18"/>
      <c r="GMD932" s="18"/>
      <c r="GME932" s="18"/>
      <c r="GMF932" s="18"/>
      <c r="GMG932" s="18"/>
      <c r="GMH932" s="18"/>
      <c r="GMI932" s="18"/>
      <c r="GMJ932" s="18"/>
      <c r="GMK932" s="18"/>
      <c r="GML932" s="18"/>
      <c r="GMM932" s="18"/>
      <c r="GMN932" s="18"/>
      <c r="GMO932" s="18"/>
      <c r="GMP932" s="18"/>
      <c r="GMQ932" s="18"/>
      <c r="GMR932" s="18"/>
      <c r="GMS932" s="18"/>
      <c r="GMT932" s="18"/>
      <c r="GMU932" s="18"/>
      <c r="GMV932" s="18"/>
      <c r="GMW932" s="18"/>
      <c r="GMX932" s="18"/>
      <c r="GMY932" s="18"/>
      <c r="GMZ932" s="18"/>
      <c r="GNA932" s="18"/>
      <c r="GNB932" s="18"/>
      <c r="GNC932" s="18"/>
      <c r="GND932" s="18"/>
      <c r="GNE932" s="18"/>
      <c r="GNF932" s="18"/>
      <c r="GNG932" s="18"/>
      <c r="GNH932" s="18"/>
      <c r="GNI932" s="18"/>
      <c r="GNJ932" s="18"/>
      <c r="GNK932" s="18"/>
      <c r="GNL932" s="18"/>
      <c r="GNM932" s="18"/>
      <c r="GNN932" s="18"/>
      <c r="GNO932" s="18"/>
      <c r="GNP932" s="18"/>
      <c r="GNQ932" s="18"/>
      <c r="GNR932" s="18"/>
      <c r="GNS932" s="18"/>
      <c r="GNT932" s="18"/>
      <c r="GNU932" s="18"/>
      <c r="GNV932" s="18"/>
      <c r="GNW932" s="18"/>
      <c r="GNX932" s="18"/>
      <c r="GNY932" s="18"/>
      <c r="GNZ932" s="18"/>
      <c r="GOA932" s="18"/>
      <c r="GOB932" s="18"/>
      <c r="GOC932" s="18"/>
      <c r="GOD932" s="18"/>
      <c r="GOE932" s="18"/>
      <c r="GOF932" s="18"/>
      <c r="GOG932" s="18"/>
      <c r="GOH932" s="18"/>
      <c r="GOI932" s="18"/>
      <c r="GOJ932" s="18"/>
      <c r="GOK932" s="18"/>
      <c r="GOL932" s="18"/>
      <c r="GOM932" s="18"/>
      <c r="GON932" s="18"/>
      <c r="GOO932" s="18"/>
      <c r="GOP932" s="18"/>
      <c r="GOQ932" s="18"/>
      <c r="GOR932" s="18"/>
      <c r="GOS932" s="18"/>
      <c r="GOT932" s="18"/>
      <c r="GOU932" s="18"/>
      <c r="GOV932" s="18"/>
      <c r="GOW932" s="18"/>
      <c r="GOX932" s="18"/>
      <c r="GOY932" s="18"/>
      <c r="GOZ932" s="18"/>
      <c r="GPA932" s="18"/>
      <c r="GPB932" s="18"/>
      <c r="GPC932" s="18"/>
      <c r="GPD932" s="18"/>
      <c r="GPE932" s="18"/>
      <c r="GPF932" s="18"/>
      <c r="GPG932" s="18"/>
      <c r="GPH932" s="18"/>
      <c r="GPI932" s="18"/>
      <c r="GPJ932" s="18"/>
      <c r="GPK932" s="18"/>
      <c r="GPL932" s="18"/>
      <c r="GPM932" s="18"/>
      <c r="GPN932" s="18"/>
      <c r="GPO932" s="18"/>
      <c r="GPP932" s="18"/>
      <c r="GPQ932" s="18"/>
      <c r="GPR932" s="18"/>
      <c r="GPS932" s="18"/>
      <c r="GPT932" s="18"/>
      <c r="GPU932" s="18"/>
      <c r="GPV932" s="18"/>
      <c r="GPW932" s="18"/>
      <c r="GPX932" s="18"/>
      <c r="GPY932" s="18"/>
      <c r="GPZ932" s="18"/>
      <c r="GQA932" s="18"/>
      <c r="GQB932" s="18"/>
      <c r="GQC932" s="18"/>
      <c r="GQD932" s="18"/>
      <c r="GQE932" s="18"/>
      <c r="GQF932" s="18"/>
      <c r="GQG932" s="18"/>
      <c r="GQH932" s="18"/>
      <c r="GQI932" s="18"/>
      <c r="GQJ932" s="18"/>
      <c r="GQK932" s="18"/>
      <c r="GQL932" s="18"/>
      <c r="GQM932" s="18"/>
      <c r="GQN932" s="18"/>
      <c r="GQO932" s="18"/>
      <c r="GQP932" s="18"/>
      <c r="GQQ932" s="18"/>
      <c r="GQR932" s="18"/>
      <c r="GQS932" s="18"/>
      <c r="GQT932" s="18"/>
      <c r="GQU932" s="18"/>
      <c r="GQV932" s="18"/>
      <c r="GQW932" s="18"/>
      <c r="GQX932" s="18"/>
      <c r="GQY932" s="18"/>
      <c r="GQZ932" s="18"/>
      <c r="GRA932" s="18"/>
      <c r="GRB932" s="18"/>
      <c r="GRC932" s="18"/>
      <c r="GRD932" s="18"/>
      <c r="GRE932" s="18"/>
      <c r="GRF932" s="18"/>
      <c r="GRG932" s="18"/>
      <c r="GRH932" s="18"/>
      <c r="GRI932" s="18"/>
      <c r="GRJ932" s="18"/>
      <c r="GRK932" s="18"/>
      <c r="GRL932" s="18"/>
      <c r="GRM932" s="18"/>
      <c r="GRN932" s="18"/>
      <c r="GRO932" s="18"/>
      <c r="GRP932" s="18"/>
      <c r="GRQ932" s="18"/>
      <c r="GRR932" s="18"/>
      <c r="GRS932" s="18"/>
      <c r="GRT932" s="18"/>
      <c r="GRU932" s="18"/>
      <c r="GRV932" s="18"/>
      <c r="GRW932" s="18"/>
      <c r="GRX932" s="18"/>
      <c r="GRY932" s="18"/>
      <c r="GRZ932" s="18"/>
      <c r="GSA932" s="18"/>
      <c r="GSB932" s="18"/>
      <c r="GSC932" s="18"/>
      <c r="GSD932" s="18"/>
      <c r="GSE932" s="18"/>
      <c r="GSF932" s="18"/>
      <c r="GSG932" s="18"/>
      <c r="GSH932" s="18"/>
      <c r="GSI932" s="18"/>
      <c r="GSJ932" s="18"/>
      <c r="GSK932" s="18"/>
      <c r="GSL932" s="18"/>
      <c r="GSM932" s="18"/>
      <c r="GSN932" s="18"/>
      <c r="GSO932" s="18"/>
      <c r="GSP932" s="18"/>
      <c r="GSQ932" s="18"/>
      <c r="GSR932" s="18"/>
      <c r="GSS932" s="18"/>
      <c r="GST932" s="18"/>
      <c r="GSU932" s="18"/>
      <c r="GSV932" s="18"/>
      <c r="GSW932" s="18"/>
      <c r="GSX932" s="18"/>
      <c r="GSY932" s="18"/>
      <c r="GSZ932" s="18"/>
      <c r="GTA932" s="18"/>
      <c r="GTB932" s="18"/>
      <c r="GTC932" s="18"/>
      <c r="GTD932" s="18"/>
      <c r="GTE932" s="18"/>
      <c r="GTF932" s="18"/>
      <c r="GTG932" s="18"/>
      <c r="GTH932" s="18"/>
      <c r="GTI932" s="18"/>
      <c r="GTJ932" s="18"/>
      <c r="GTK932" s="18"/>
      <c r="GTL932" s="18"/>
      <c r="GTM932" s="18"/>
      <c r="GTN932" s="18"/>
      <c r="GTO932" s="18"/>
      <c r="GTP932" s="18"/>
      <c r="GTQ932" s="18"/>
      <c r="GTR932" s="18"/>
      <c r="GTS932" s="18"/>
      <c r="GTT932" s="18"/>
      <c r="GTU932" s="18"/>
      <c r="GTV932" s="18"/>
      <c r="GTW932" s="18"/>
      <c r="GTX932" s="18"/>
      <c r="GTY932" s="18"/>
      <c r="GTZ932" s="18"/>
      <c r="GUA932" s="18"/>
      <c r="GUB932" s="18"/>
      <c r="GUC932" s="18"/>
      <c r="GUD932" s="18"/>
      <c r="GUE932" s="18"/>
      <c r="GUF932" s="18"/>
      <c r="GUG932" s="18"/>
      <c r="GUH932" s="18"/>
      <c r="GUI932" s="18"/>
      <c r="GUJ932" s="18"/>
      <c r="GUK932" s="18"/>
      <c r="GUL932" s="18"/>
      <c r="GUM932" s="18"/>
      <c r="GUN932" s="18"/>
      <c r="GUO932" s="18"/>
      <c r="GUP932" s="18"/>
      <c r="GUQ932" s="18"/>
      <c r="GUR932" s="18"/>
      <c r="GUS932" s="18"/>
      <c r="GUT932" s="18"/>
      <c r="GUU932" s="18"/>
      <c r="GUV932" s="18"/>
      <c r="GUW932" s="18"/>
      <c r="GUX932" s="18"/>
      <c r="GUY932" s="18"/>
      <c r="GUZ932" s="18"/>
      <c r="GVA932" s="18"/>
      <c r="GVB932" s="18"/>
      <c r="GVC932" s="18"/>
      <c r="GVD932" s="18"/>
      <c r="GVE932" s="18"/>
      <c r="GVF932" s="18"/>
      <c r="GVG932" s="18"/>
      <c r="GVH932" s="18"/>
      <c r="GVI932" s="18"/>
      <c r="GVJ932" s="18"/>
      <c r="GVK932" s="18"/>
      <c r="GVL932" s="18"/>
      <c r="GVM932" s="18"/>
      <c r="GVN932" s="18"/>
      <c r="GVO932" s="18"/>
      <c r="GVP932" s="18"/>
      <c r="GVQ932" s="18"/>
      <c r="GVR932" s="18"/>
      <c r="GVS932" s="18"/>
      <c r="GVT932" s="18"/>
      <c r="GVU932" s="18"/>
      <c r="GVV932" s="18"/>
      <c r="GVW932" s="18"/>
      <c r="GVX932" s="18"/>
      <c r="GVY932" s="18"/>
      <c r="GVZ932" s="18"/>
      <c r="GWA932" s="18"/>
      <c r="GWB932" s="18"/>
      <c r="GWC932" s="18"/>
      <c r="GWD932" s="18"/>
      <c r="GWE932" s="18"/>
      <c r="GWF932" s="18"/>
      <c r="GWG932" s="18"/>
      <c r="GWH932" s="18"/>
      <c r="GWI932" s="18"/>
      <c r="GWJ932" s="18"/>
      <c r="GWK932" s="18"/>
      <c r="GWL932" s="18"/>
      <c r="GWM932" s="18"/>
      <c r="GWN932" s="18"/>
      <c r="GWO932" s="18"/>
      <c r="GWP932" s="18"/>
      <c r="GWQ932" s="18"/>
      <c r="GWR932" s="18"/>
      <c r="GWS932" s="18"/>
      <c r="GWT932" s="18"/>
      <c r="GWU932" s="18"/>
      <c r="GWV932" s="18"/>
      <c r="GWW932" s="18"/>
      <c r="GWX932" s="18"/>
      <c r="GWY932" s="18"/>
      <c r="GWZ932" s="18"/>
      <c r="GXA932" s="18"/>
      <c r="GXB932" s="18"/>
      <c r="GXC932" s="18"/>
      <c r="GXD932" s="18"/>
      <c r="GXE932" s="18"/>
      <c r="GXF932" s="18"/>
      <c r="GXG932" s="18"/>
      <c r="GXH932" s="18"/>
      <c r="GXI932" s="18"/>
      <c r="GXJ932" s="18"/>
      <c r="GXK932" s="18"/>
      <c r="GXL932" s="18"/>
      <c r="GXM932" s="18"/>
      <c r="GXN932" s="18"/>
      <c r="GXO932" s="18"/>
      <c r="GXP932" s="18"/>
      <c r="GXQ932" s="18"/>
      <c r="GXR932" s="18"/>
      <c r="GXS932" s="18"/>
      <c r="GXT932" s="18"/>
      <c r="GXU932" s="18"/>
      <c r="GXV932" s="18"/>
      <c r="GXW932" s="18"/>
      <c r="GXX932" s="18"/>
      <c r="GXY932" s="18"/>
      <c r="GXZ932" s="18"/>
      <c r="GYA932" s="18"/>
      <c r="GYB932" s="18"/>
      <c r="GYC932" s="18"/>
      <c r="GYD932" s="18"/>
      <c r="GYE932" s="18"/>
      <c r="GYF932" s="18"/>
      <c r="GYG932" s="18"/>
      <c r="GYH932" s="18"/>
      <c r="GYI932" s="18"/>
      <c r="GYJ932" s="18"/>
      <c r="GYK932" s="18"/>
      <c r="GYL932" s="18"/>
      <c r="GYM932" s="18"/>
      <c r="GYN932" s="18"/>
      <c r="GYO932" s="18"/>
      <c r="GYP932" s="18"/>
      <c r="GYQ932" s="18"/>
      <c r="GYR932" s="18"/>
      <c r="GYS932" s="18"/>
      <c r="GYT932" s="18"/>
      <c r="GYU932" s="18"/>
      <c r="GYV932" s="18"/>
      <c r="GYW932" s="18"/>
      <c r="GYX932" s="18"/>
      <c r="GYY932" s="18"/>
      <c r="GYZ932" s="18"/>
      <c r="GZA932" s="18"/>
      <c r="GZB932" s="18"/>
      <c r="GZC932" s="18"/>
      <c r="GZD932" s="18"/>
      <c r="GZE932" s="18"/>
      <c r="GZF932" s="18"/>
      <c r="GZG932" s="18"/>
      <c r="GZH932" s="18"/>
      <c r="GZI932" s="18"/>
      <c r="GZJ932" s="18"/>
      <c r="GZK932" s="18"/>
      <c r="GZL932" s="18"/>
      <c r="GZM932" s="18"/>
      <c r="GZN932" s="18"/>
      <c r="GZO932" s="18"/>
      <c r="GZP932" s="18"/>
      <c r="GZQ932" s="18"/>
      <c r="GZR932" s="18"/>
      <c r="GZS932" s="18"/>
      <c r="GZT932" s="18"/>
      <c r="GZU932" s="18"/>
      <c r="GZV932" s="18"/>
      <c r="GZW932" s="18"/>
      <c r="GZX932" s="18"/>
      <c r="GZY932" s="18"/>
      <c r="GZZ932" s="18"/>
      <c r="HAA932" s="18"/>
      <c r="HAB932" s="18"/>
      <c r="HAC932" s="18"/>
      <c r="HAD932" s="18"/>
      <c r="HAE932" s="18"/>
      <c r="HAF932" s="18"/>
      <c r="HAG932" s="18"/>
      <c r="HAH932" s="18"/>
      <c r="HAI932" s="18"/>
      <c r="HAJ932" s="18"/>
      <c r="HAK932" s="18"/>
      <c r="HAL932" s="18"/>
      <c r="HAM932" s="18"/>
      <c r="HAN932" s="18"/>
      <c r="HAO932" s="18"/>
      <c r="HAP932" s="18"/>
      <c r="HAQ932" s="18"/>
      <c r="HAR932" s="18"/>
      <c r="HAS932" s="18"/>
      <c r="HAT932" s="18"/>
      <c r="HAU932" s="18"/>
      <c r="HAV932" s="18"/>
      <c r="HAW932" s="18"/>
      <c r="HAX932" s="18"/>
      <c r="HAY932" s="18"/>
      <c r="HAZ932" s="18"/>
      <c r="HBA932" s="18"/>
      <c r="HBB932" s="18"/>
      <c r="HBC932" s="18"/>
      <c r="HBD932" s="18"/>
      <c r="HBE932" s="18"/>
      <c r="HBF932" s="18"/>
      <c r="HBG932" s="18"/>
      <c r="HBH932" s="18"/>
      <c r="HBI932" s="18"/>
      <c r="HBJ932" s="18"/>
      <c r="HBK932" s="18"/>
      <c r="HBL932" s="18"/>
      <c r="HBM932" s="18"/>
      <c r="HBN932" s="18"/>
      <c r="HBO932" s="18"/>
      <c r="HBP932" s="18"/>
      <c r="HBQ932" s="18"/>
      <c r="HBR932" s="18"/>
      <c r="HBS932" s="18"/>
      <c r="HBT932" s="18"/>
      <c r="HBU932" s="18"/>
      <c r="HBV932" s="18"/>
      <c r="HBW932" s="18"/>
      <c r="HBX932" s="18"/>
      <c r="HBY932" s="18"/>
      <c r="HBZ932" s="18"/>
      <c r="HCA932" s="18"/>
      <c r="HCB932" s="18"/>
      <c r="HCC932" s="18"/>
      <c r="HCD932" s="18"/>
      <c r="HCE932" s="18"/>
      <c r="HCF932" s="18"/>
      <c r="HCG932" s="18"/>
      <c r="HCH932" s="18"/>
      <c r="HCI932" s="18"/>
      <c r="HCJ932" s="18"/>
      <c r="HCK932" s="18"/>
      <c r="HCL932" s="18"/>
      <c r="HCM932" s="18"/>
      <c r="HCN932" s="18"/>
      <c r="HCO932" s="18"/>
      <c r="HCP932" s="18"/>
      <c r="HCQ932" s="18"/>
      <c r="HCR932" s="18"/>
      <c r="HCS932" s="18"/>
      <c r="HCT932" s="18"/>
      <c r="HCU932" s="18"/>
      <c r="HCV932" s="18"/>
      <c r="HCW932" s="18"/>
      <c r="HCX932" s="18"/>
      <c r="HCY932" s="18"/>
      <c r="HCZ932" s="18"/>
      <c r="HDA932" s="18"/>
      <c r="HDB932" s="18"/>
      <c r="HDC932" s="18"/>
      <c r="HDD932" s="18"/>
      <c r="HDE932" s="18"/>
      <c r="HDF932" s="18"/>
      <c r="HDG932" s="18"/>
      <c r="HDH932" s="18"/>
      <c r="HDI932" s="18"/>
      <c r="HDJ932" s="18"/>
      <c r="HDK932" s="18"/>
      <c r="HDL932" s="18"/>
      <c r="HDM932" s="18"/>
      <c r="HDN932" s="18"/>
      <c r="HDO932" s="18"/>
      <c r="HDP932" s="18"/>
      <c r="HDQ932" s="18"/>
      <c r="HDR932" s="18"/>
      <c r="HDS932" s="18"/>
      <c r="HDT932" s="18"/>
      <c r="HDU932" s="18"/>
      <c r="HDV932" s="18"/>
      <c r="HDW932" s="18"/>
      <c r="HDX932" s="18"/>
      <c r="HDY932" s="18"/>
      <c r="HDZ932" s="18"/>
      <c r="HEA932" s="18"/>
      <c r="HEB932" s="18"/>
      <c r="HEC932" s="18"/>
      <c r="HED932" s="18"/>
      <c r="HEE932" s="18"/>
      <c r="HEF932" s="18"/>
      <c r="HEG932" s="18"/>
      <c r="HEH932" s="18"/>
      <c r="HEI932" s="18"/>
      <c r="HEJ932" s="18"/>
      <c r="HEK932" s="18"/>
      <c r="HEL932" s="18"/>
      <c r="HEM932" s="18"/>
      <c r="HEN932" s="18"/>
      <c r="HEO932" s="18"/>
      <c r="HEP932" s="18"/>
      <c r="HEQ932" s="18"/>
      <c r="HER932" s="18"/>
      <c r="HES932" s="18"/>
      <c r="HET932" s="18"/>
      <c r="HEU932" s="18"/>
      <c r="HEV932" s="18"/>
      <c r="HEW932" s="18"/>
      <c r="HEX932" s="18"/>
      <c r="HEY932" s="18"/>
      <c r="HEZ932" s="18"/>
      <c r="HFA932" s="18"/>
      <c r="HFB932" s="18"/>
      <c r="HFC932" s="18"/>
      <c r="HFD932" s="18"/>
      <c r="HFE932" s="18"/>
      <c r="HFF932" s="18"/>
      <c r="HFG932" s="18"/>
      <c r="HFH932" s="18"/>
      <c r="HFI932" s="18"/>
      <c r="HFJ932" s="18"/>
      <c r="HFK932" s="18"/>
      <c r="HFL932" s="18"/>
      <c r="HFM932" s="18"/>
      <c r="HFN932" s="18"/>
      <c r="HFO932" s="18"/>
      <c r="HFP932" s="18"/>
      <c r="HFQ932" s="18"/>
      <c r="HFR932" s="18"/>
      <c r="HFS932" s="18"/>
      <c r="HFT932" s="18"/>
      <c r="HFU932" s="18"/>
      <c r="HFV932" s="18"/>
      <c r="HFW932" s="18"/>
      <c r="HFX932" s="18"/>
      <c r="HFY932" s="18"/>
      <c r="HFZ932" s="18"/>
      <c r="HGA932" s="18"/>
      <c r="HGB932" s="18"/>
      <c r="HGC932" s="18"/>
      <c r="HGD932" s="18"/>
      <c r="HGE932" s="18"/>
      <c r="HGF932" s="18"/>
      <c r="HGG932" s="18"/>
      <c r="HGH932" s="18"/>
      <c r="HGI932" s="18"/>
      <c r="HGJ932" s="18"/>
      <c r="HGK932" s="18"/>
      <c r="HGL932" s="18"/>
      <c r="HGM932" s="18"/>
      <c r="HGN932" s="18"/>
      <c r="HGO932" s="18"/>
      <c r="HGP932" s="18"/>
      <c r="HGQ932" s="18"/>
      <c r="HGR932" s="18"/>
      <c r="HGS932" s="18"/>
      <c r="HGT932" s="18"/>
      <c r="HGU932" s="18"/>
      <c r="HGV932" s="18"/>
      <c r="HGW932" s="18"/>
      <c r="HGX932" s="18"/>
      <c r="HGY932" s="18"/>
      <c r="HGZ932" s="18"/>
      <c r="HHA932" s="18"/>
      <c r="HHB932" s="18"/>
      <c r="HHC932" s="18"/>
      <c r="HHD932" s="18"/>
      <c r="HHE932" s="18"/>
      <c r="HHF932" s="18"/>
      <c r="HHG932" s="18"/>
      <c r="HHH932" s="18"/>
      <c r="HHI932" s="18"/>
      <c r="HHJ932" s="18"/>
      <c r="HHK932" s="18"/>
      <c r="HHL932" s="18"/>
      <c r="HHM932" s="18"/>
      <c r="HHN932" s="18"/>
      <c r="HHO932" s="18"/>
      <c r="HHP932" s="18"/>
      <c r="HHQ932" s="18"/>
      <c r="HHR932" s="18"/>
      <c r="HHS932" s="18"/>
      <c r="HHT932" s="18"/>
      <c r="HHU932" s="18"/>
      <c r="HHV932" s="18"/>
      <c r="HHW932" s="18"/>
      <c r="HHX932" s="18"/>
      <c r="HHY932" s="18"/>
      <c r="HHZ932" s="18"/>
      <c r="HIA932" s="18"/>
      <c r="HIB932" s="18"/>
      <c r="HIC932" s="18"/>
      <c r="HID932" s="18"/>
      <c r="HIE932" s="18"/>
      <c r="HIF932" s="18"/>
      <c r="HIG932" s="18"/>
      <c r="HIH932" s="18"/>
      <c r="HII932" s="18"/>
      <c r="HIJ932" s="18"/>
      <c r="HIK932" s="18"/>
      <c r="HIL932" s="18"/>
      <c r="HIM932" s="18"/>
      <c r="HIN932" s="18"/>
      <c r="HIO932" s="18"/>
      <c r="HIP932" s="18"/>
      <c r="HIQ932" s="18"/>
      <c r="HIR932" s="18"/>
      <c r="HIS932" s="18"/>
      <c r="HIT932" s="18"/>
      <c r="HIU932" s="18"/>
      <c r="HIV932" s="18"/>
      <c r="HIW932" s="18"/>
      <c r="HIX932" s="18"/>
      <c r="HIY932" s="18"/>
      <c r="HIZ932" s="18"/>
      <c r="HJA932" s="18"/>
      <c r="HJB932" s="18"/>
      <c r="HJC932" s="18"/>
      <c r="HJD932" s="18"/>
      <c r="HJE932" s="18"/>
      <c r="HJF932" s="18"/>
      <c r="HJG932" s="18"/>
      <c r="HJH932" s="18"/>
      <c r="HJI932" s="18"/>
      <c r="HJJ932" s="18"/>
      <c r="HJK932" s="18"/>
      <c r="HJL932" s="18"/>
      <c r="HJM932" s="18"/>
      <c r="HJN932" s="18"/>
      <c r="HJO932" s="18"/>
      <c r="HJP932" s="18"/>
      <c r="HJQ932" s="18"/>
      <c r="HJR932" s="18"/>
      <c r="HJS932" s="18"/>
      <c r="HJT932" s="18"/>
      <c r="HJU932" s="18"/>
      <c r="HJV932" s="18"/>
      <c r="HJW932" s="18"/>
      <c r="HJX932" s="18"/>
      <c r="HJY932" s="18"/>
      <c r="HJZ932" s="18"/>
      <c r="HKA932" s="18"/>
      <c r="HKB932" s="18"/>
      <c r="HKC932" s="18"/>
      <c r="HKD932" s="18"/>
      <c r="HKE932" s="18"/>
      <c r="HKF932" s="18"/>
      <c r="HKG932" s="18"/>
      <c r="HKH932" s="18"/>
      <c r="HKI932" s="18"/>
      <c r="HKJ932" s="18"/>
      <c r="HKK932" s="18"/>
      <c r="HKL932" s="18"/>
      <c r="HKM932" s="18"/>
      <c r="HKN932" s="18"/>
      <c r="HKO932" s="18"/>
      <c r="HKP932" s="18"/>
      <c r="HKQ932" s="18"/>
      <c r="HKR932" s="18"/>
      <c r="HKS932" s="18"/>
      <c r="HKT932" s="18"/>
      <c r="HKU932" s="18"/>
      <c r="HKV932" s="18"/>
      <c r="HKW932" s="18"/>
      <c r="HKX932" s="18"/>
      <c r="HKY932" s="18"/>
      <c r="HKZ932" s="18"/>
      <c r="HLA932" s="18"/>
      <c r="HLB932" s="18"/>
      <c r="HLC932" s="18"/>
      <c r="HLD932" s="18"/>
      <c r="HLE932" s="18"/>
      <c r="HLF932" s="18"/>
      <c r="HLG932" s="18"/>
      <c r="HLH932" s="18"/>
      <c r="HLI932" s="18"/>
      <c r="HLJ932" s="18"/>
      <c r="HLK932" s="18"/>
      <c r="HLL932" s="18"/>
      <c r="HLM932" s="18"/>
      <c r="HLN932" s="18"/>
      <c r="HLO932" s="18"/>
      <c r="HLP932" s="18"/>
      <c r="HLQ932" s="18"/>
      <c r="HLR932" s="18"/>
      <c r="HLS932" s="18"/>
      <c r="HLT932" s="18"/>
      <c r="HLU932" s="18"/>
      <c r="HLV932" s="18"/>
      <c r="HLW932" s="18"/>
      <c r="HLX932" s="18"/>
      <c r="HLY932" s="18"/>
      <c r="HLZ932" s="18"/>
      <c r="HMA932" s="18"/>
      <c r="HMB932" s="18"/>
      <c r="HMC932" s="18"/>
      <c r="HMD932" s="18"/>
      <c r="HME932" s="18"/>
      <c r="HMF932" s="18"/>
      <c r="HMG932" s="18"/>
      <c r="HMH932" s="18"/>
      <c r="HMI932" s="18"/>
      <c r="HMJ932" s="18"/>
      <c r="HMK932" s="18"/>
      <c r="HML932" s="18"/>
      <c r="HMM932" s="18"/>
      <c r="HMN932" s="18"/>
      <c r="HMO932" s="18"/>
      <c r="HMP932" s="18"/>
      <c r="HMQ932" s="18"/>
      <c r="HMR932" s="18"/>
      <c r="HMS932" s="18"/>
      <c r="HMT932" s="18"/>
      <c r="HMU932" s="18"/>
      <c r="HMV932" s="18"/>
      <c r="HMW932" s="18"/>
      <c r="HMX932" s="18"/>
      <c r="HMY932" s="18"/>
      <c r="HMZ932" s="18"/>
      <c r="HNA932" s="18"/>
      <c r="HNB932" s="18"/>
      <c r="HNC932" s="18"/>
      <c r="HND932" s="18"/>
      <c r="HNE932" s="18"/>
      <c r="HNF932" s="18"/>
      <c r="HNG932" s="18"/>
      <c r="HNH932" s="18"/>
      <c r="HNI932" s="18"/>
      <c r="HNJ932" s="18"/>
      <c r="HNK932" s="18"/>
      <c r="HNL932" s="18"/>
      <c r="HNM932" s="18"/>
      <c r="HNN932" s="18"/>
      <c r="HNO932" s="18"/>
      <c r="HNP932" s="18"/>
      <c r="HNQ932" s="18"/>
      <c r="HNR932" s="18"/>
      <c r="HNS932" s="18"/>
      <c r="HNT932" s="18"/>
      <c r="HNU932" s="18"/>
      <c r="HNV932" s="18"/>
      <c r="HNW932" s="18"/>
      <c r="HNX932" s="18"/>
      <c r="HNY932" s="18"/>
      <c r="HNZ932" s="18"/>
      <c r="HOA932" s="18"/>
      <c r="HOB932" s="18"/>
      <c r="HOC932" s="18"/>
      <c r="HOD932" s="18"/>
      <c r="HOE932" s="18"/>
      <c r="HOF932" s="18"/>
      <c r="HOG932" s="18"/>
      <c r="HOH932" s="18"/>
      <c r="HOI932" s="18"/>
      <c r="HOJ932" s="18"/>
      <c r="HOK932" s="18"/>
      <c r="HOL932" s="18"/>
      <c r="HOM932" s="18"/>
      <c r="HON932" s="18"/>
      <c r="HOO932" s="18"/>
      <c r="HOP932" s="18"/>
      <c r="HOQ932" s="18"/>
      <c r="HOR932" s="18"/>
      <c r="HOS932" s="18"/>
      <c r="HOT932" s="18"/>
      <c r="HOU932" s="18"/>
      <c r="HOV932" s="18"/>
      <c r="HOW932" s="18"/>
      <c r="HOX932" s="18"/>
      <c r="HOY932" s="18"/>
      <c r="HOZ932" s="18"/>
      <c r="HPA932" s="18"/>
      <c r="HPB932" s="18"/>
      <c r="HPC932" s="18"/>
      <c r="HPD932" s="18"/>
      <c r="HPE932" s="18"/>
      <c r="HPF932" s="18"/>
      <c r="HPG932" s="18"/>
      <c r="HPH932" s="18"/>
      <c r="HPI932" s="18"/>
      <c r="HPJ932" s="18"/>
      <c r="HPK932" s="18"/>
      <c r="HPL932" s="18"/>
      <c r="HPM932" s="18"/>
      <c r="HPN932" s="18"/>
      <c r="HPO932" s="18"/>
      <c r="HPP932" s="18"/>
      <c r="HPQ932" s="18"/>
      <c r="HPR932" s="18"/>
      <c r="HPS932" s="18"/>
      <c r="HPT932" s="18"/>
      <c r="HPU932" s="18"/>
      <c r="HPV932" s="18"/>
      <c r="HPW932" s="18"/>
      <c r="HPX932" s="18"/>
      <c r="HPY932" s="18"/>
      <c r="HPZ932" s="18"/>
      <c r="HQA932" s="18"/>
      <c r="HQB932" s="18"/>
      <c r="HQC932" s="18"/>
      <c r="HQD932" s="18"/>
      <c r="HQE932" s="18"/>
      <c r="HQF932" s="18"/>
      <c r="HQG932" s="18"/>
      <c r="HQH932" s="18"/>
      <c r="HQI932" s="18"/>
      <c r="HQJ932" s="18"/>
      <c r="HQK932" s="18"/>
      <c r="HQL932" s="18"/>
      <c r="HQM932" s="18"/>
      <c r="HQN932" s="18"/>
      <c r="HQO932" s="18"/>
      <c r="HQP932" s="18"/>
      <c r="HQQ932" s="18"/>
      <c r="HQR932" s="18"/>
      <c r="HQS932" s="18"/>
      <c r="HQT932" s="18"/>
      <c r="HQU932" s="18"/>
      <c r="HQV932" s="18"/>
      <c r="HQW932" s="18"/>
      <c r="HQX932" s="18"/>
      <c r="HQY932" s="18"/>
      <c r="HQZ932" s="18"/>
      <c r="HRA932" s="18"/>
      <c r="HRB932" s="18"/>
      <c r="HRC932" s="18"/>
      <c r="HRD932" s="18"/>
      <c r="HRE932" s="18"/>
      <c r="HRF932" s="18"/>
      <c r="HRG932" s="18"/>
      <c r="HRH932" s="18"/>
      <c r="HRI932" s="18"/>
      <c r="HRJ932" s="18"/>
      <c r="HRK932" s="18"/>
      <c r="HRL932" s="18"/>
      <c r="HRM932" s="18"/>
      <c r="HRN932" s="18"/>
      <c r="HRO932" s="18"/>
      <c r="HRP932" s="18"/>
      <c r="HRQ932" s="18"/>
      <c r="HRR932" s="18"/>
      <c r="HRS932" s="18"/>
      <c r="HRT932" s="18"/>
      <c r="HRU932" s="18"/>
      <c r="HRV932" s="18"/>
      <c r="HRW932" s="18"/>
      <c r="HRX932" s="18"/>
      <c r="HRY932" s="18"/>
      <c r="HRZ932" s="18"/>
      <c r="HSA932" s="18"/>
      <c r="HSB932" s="18"/>
      <c r="HSC932" s="18"/>
      <c r="HSD932" s="18"/>
      <c r="HSE932" s="18"/>
      <c r="HSF932" s="18"/>
      <c r="HSG932" s="18"/>
      <c r="HSH932" s="18"/>
      <c r="HSI932" s="18"/>
      <c r="HSJ932" s="18"/>
      <c r="HSK932" s="18"/>
      <c r="HSL932" s="18"/>
      <c r="HSM932" s="18"/>
      <c r="HSN932" s="18"/>
      <c r="HSO932" s="18"/>
      <c r="HSP932" s="18"/>
      <c r="HSQ932" s="18"/>
      <c r="HSR932" s="18"/>
      <c r="HSS932" s="18"/>
      <c r="HST932" s="18"/>
      <c r="HSU932" s="18"/>
      <c r="HSV932" s="18"/>
      <c r="HSW932" s="18"/>
      <c r="HSX932" s="18"/>
      <c r="HSY932" s="18"/>
      <c r="HSZ932" s="18"/>
      <c r="HTA932" s="18"/>
      <c r="HTB932" s="18"/>
      <c r="HTC932" s="18"/>
      <c r="HTD932" s="18"/>
      <c r="HTE932" s="18"/>
      <c r="HTF932" s="18"/>
      <c r="HTG932" s="18"/>
      <c r="HTH932" s="18"/>
      <c r="HTI932" s="18"/>
      <c r="HTJ932" s="18"/>
      <c r="HTK932" s="18"/>
      <c r="HTL932" s="18"/>
      <c r="HTM932" s="18"/>
      <c r="HTN932" s="18"/>
      <c r="HTO932" s="18"/>
      <c r="HTP932" s="18"/>
      <c r="HTQ932" s="18"/>
      <c r="HTR932" s="18"/>
      <c r="HTS932" s="18"/>
      <c r="HTT932" s="18"/>
      <c r="HTU932" s="18"/>
      <c r="HTV932" s="18"/>
      <c r="HTW932" s="18"/>
      <c r="HTX932" s="18"/>
      <c r="HTY932" s="18"/>
      <c r="HTZ932" s="18"/>
      <c r="HUA932" s="18"/>
      <c r="HUB932" s="18"/>
      <c r="HUC932" s="18"/>
      <c r="HUD932" s="18"/>
      <c r="HUE932" s="18"/>
      <c r="HUF932" s="18"/>
      <c r="HUG932" s="18"/>
      <c r="HUH932" s="18"/>
      <c r="HUI932" s="18"/>
      <c r="HUJ932" s="18"/>
      <c r="HUK932" s="18"/>
      <c r="HUL932" s="18"/>
      <c r="HUM932" s="18"/>
      <c r="HUN932" s="18"/>
      <c r="HUO932" s="18"/>
      <c r="HUP932" s="18"/>
      <c r="HUQ932" s="18"/>
      <c r="HUR932" s="18"/>
      <c r="HUS932" s="18"/>
      <c r="HUT932" s="18"/>
      <c r="HUU932" s="18"/>
      <c r="HUV932" s="18"/>
      <c r="HUW932" s="18"/>
      <c r="HUX932" s="18"/>
      <c r="HUY932" s="18"/>
      <c r="HUZ932" s="18"/>
      <c r="HVA932" s="18"/>
      <c r="HVB932" s="18"/>
      <c r="HVC932" s="18"/>
      <c r="HVD932" s="18"/>
      <c r="HVE932" s="18"/>
      <c r="HVF932" s="18"/>
      <c r="HVG932" s="18"/>
      <c r="HVH932" s="18"/>
      <c r="HVI932" s="18"/>
      <c r="HVJ932" s="18"/>
      <c r="HVK932" s="18"/>
      <c r="HVL932" s="18"/>
      <c r="HVM932" s="18"/>
      <c r="HVN932" s="18"/>
      <c r="HVO932" s="18"/>
      <c r="HVP932" s="18"/>
      <c r="HVQ932" s="18"/>
      <c r="HVR932" s="18"/>
      <c r="HVS932" s="18"/>
      <c r="HVT932" s="18"/>
      <c r="HVU932" s="18"/>
      <c r="HVV932" s="18"/>
      <c r="HVW932" s="18"/>
      <c r="HVX932" s="18"/>
      <c r="HVY932" s="18"/>
      <c r="HVZ932" s="18"/>
      <c r="HWA932" s="18"/>
      <c r="HWB932" s="18"/>
      <c r="HWC932" s="18"/>
      <c r="HWD932" s="18"/>
      <c r="HWE932" s="18"/>
      <c r="HWF932" s="18"/>
      <c r="HWG932" s="18"/>
      <c r="HWH932" s="18"/>
      <c r="HWI932" s="18"/>
      <c r="HWJ932" s="18"/>
      <c r="HWK932" s="18"/>
      <c r="HWL932" s="18"/>
      <c r="HWM932" s="18"/>
      <c r="HWN932" s="18"/>
      <c r="HWO932" s="18"/>
      <c r="HWP932" s="18"/>
      <c r="HWQ932" s="18"/>
      <c r="HWR932" s="18"/>
      <c r="HWS932" s="18"/>
      <c r="HWT932" s="18"/>
      <c r="HWU932" s="18"/>
      <c r="HWV932" s="18"/>
      <c r="HWW932" s="18"/>
      <c r="HWX932" s="18"/>
      <c r="HWY932" s="18"/>
      <c r="HWZ932" s="18"/>
      <c r="HXA932" s="18"/>
      <c r="HXB932" s="18"/>
      <c r="HXC932" s="18"/>
      <c r="HXD932" s="18"/>
      <c r="HXE932" s="18"/>
      <c r="HXF932" s="18"/>
      <c r="HXG932" s="18"/>
      <c r="HXH932" s="18"/>
      <c r="HXI932" s="18"/>
      <c r="HXJ932" s="18"/>
      <c r="HXK932" s="18"/>
      <c r="HXL932" s="18"/>
      <c r="HXM932" s="18"/>
      <c r="HXN932" s="18"/>
      <c r="HXO932" s="18"/>
      <c r="HXP932" s="18"/>
      <c r="HXQ932" s="18"/>
      <c r="HXR932" s="18"/>
      <c r="HXS932" s="18"/>
      <c r="HXT932" s="18"/>
      <c r="HXU932" s="18"/>
      <c r="HXV932" s="18"/>
      <c r="HXW932" s="18"/>
      <c r="HXX932" s="18"/>
      <c r="HXY932" s="18"/>
      <c r="HXZ932" s="18"/>
      <c r="HYA932" s="18"/>
      <c r="HYB932" s="18"/>
      <c r="HYC932" s="18"/>
      <c r="HYD932" s="18"/>
      <c r="HYE932" s="18"/>
      <c r="HYF932" s="18"/>
      <c r="HYG932" s="18"/>
      <c r="HYH932" s="18"/>
      <c r="HYI932" s="18"/>
      <c r="HYJ932" s="18"/>
      <c r="HYK932" s="18"/>
      <c r="HYL932" s="18"/>
      <c r="HYM932" s="18"/>
      <c r="HYN932" s="18"/>
      <c r="HYO932" s="18"/>
      <c r="HYP932" s="18"/>
      <c r="HYQ932" s="18"/>
      <c r="HYR932" s="18"/>
      <c r="HYS932" s="18"/>
      <c r="HYT932" s="18"/>
      <c r="HYU932" s="18"/>
      <c r="HYV932" s="18"/>
      <c r="HYW932" s="18"/>
      <c r="HYX932" s="18"/>
      <c r="HYY932" s="18"/>
      <c r="HYZ932" s="18"/>
      <c r="HZA932" s="18"/>
      <c r="HZB932" s="18"/>
      <c r="HZC932" s="18"/>
      <c r="HZD932" s="18"/>
      <c r="HZE932" s="18"/>
      <c r="HZF932" s="18"/>
      <c r="HZG932" s="18"/>
      <c r="HZH932" s="18"/>
      <c r="HZI932" s="18"/>
      <c r="HZJ932" s="18"/>
      <c r="HZK932" s="18"/>
      <c r="HZL932" s="18"/>
      <c r="HZM932" s="18"/>
      <c r="HZN932" s="18"/>
      <c r="HZO932" s="18"/>
      <c r="HZP932" s="18"/>
      <c r="HZQ932" s="18"/>
      <c r="HZR932" s="18"/>
      <c r="HZS932" s="18"/>
      <c r="HZT932" s="18"/>
      <c r="HZU932" s="18"/>
      <c r="HZV932" s="18"/>
      <c r="HZW932" s="18"/>
      <c r="HZX932" s="18"/>
      <c r="HZY932" s="18"/>
      <c r="HZZ932" s="18"/>
      <c r="IAA932" s="18"/>
      <c r="IAB932" s="18"/>
      <c r="IAC932" s="18"/>
      <c r="IAD932" s="18"/>
      <c r="IAE932" s="18"/>
      <c r="IAF932" s="18"/>
      <c r="IAG932" s="18"/>
      <c r="IAH932" s="18"/>
      <c r="IAI932" s="18"/>
      <c r="IAJ932" s="18"/>
      <c r="IAK932" s="18"/>
      <c r="IAL932" s="18"/>
      <c r="IAM932" s="18"/>
      <c r="IAN932" s="18"/>
      <c r="IAO932" s="18"/>
      <c r="IAP932" s="18"/>
      <c r="IAQ932" s="18"/>
      <c r="IAR932" s="18"/>
      <c r="IAS932" s="18"/>
      <c r="IAT932" s="18"/>
      <c r="IAU932" s="18"/>
      <c r="IAV932" s="18"/>
      <c r="IAW932" s="18"/>
      <c r="IAX932" s="18"/>
      <c r="IAY932" s="18"/>
      <c r="IAZ932" s="18"/>
      <c r="IBA932" s="18"/>
      <c r="IBB932" s="18"/>
      <c r="IBC932" s="18"/>
      <c r="IBD932" s="18"/>
      <c r="IBE932" s="18"/>
      <c r="IBF932" s="18"/>
      <c r="IBG932" s="18"/>
      <c r="IBH932" s="18"/>
      <c r="IBI932" s="18"/>
      <c r="IBJ932" s="18"/>
      <c r="IBK932" s="18"/>
      <c r="IBL932" s="18"/>
      <c r="IBM932" s="18"/>
      <c r="IBN932" s="18"/>
      <c r="IBO932" s="18"/>
      <c r="IBP932" s="18"/>
      <c r="IBQ932" s="18"/>
      <c r="IBR932" s="18"/>
      <c r="IBS932" s="18"/>
      <c r="IBT932" s="18"/>
      <c r="IBU932" s="18"/>
      <c r="IBV932" s="18"/>
      <c r="IBW932" s="18"/>
      <c r="IBX932" s="18"/>
      <c r="IBY932" s="18"/>
      <c r="IBZ932" s="18"/>
      <c r="ICA932" s="18"/>
      <c r="ICB932" s="18"/>
      <c r="ICC932" s="18"/>
      <c r="ICD932" s="18"/>
      <c r="ICE932" s="18"/>
      <c r="ICF932" s="18"/>
      <c r="ICG932" s="18"/>
      <c r="ICH932" s="18"/>
      <c r="ICI932" s="18"/>
      <c r="ICJ932" s="18"/>
      <c r="ICK932" s="18"/>
      <c r="ICL932" s="18"/>
      <c r="ICM932" s="18"/>
      <c r="ICN932" s="18"/>
      <c r="ICO932" s="18"/>
      <c r="ICP932" s="18"/>
      <c r="ICQ932" s="18"/>
      <c r="ICR932" s="18"/>
      <c r="ICS932" s="18"/>
      <c r="ICT932" s="18"/>
      <c r="ICU932" s="18"/>
      <c r="ICV932" s="18"/>
      <c r="ICW932" s="18"/>
      <c r="ICX932" s="18"/>
      <c r="ICY932" s="18"/>
      <c r="ICZ932" s="18"/>
      <c r="IDA932" s="18"/>
      <c r="IDB932" s="18"/>
      <c r="IDC932" s="18"/>
      <c r="IDD932" s="18"/>
      <c r="IDE932" s="18"/>
      <c r="IDF932" s="18"/>
      <c r="IDG932" s="18"/>
      <c r="IDH932" s="18"/>
      <c r="IDI932" s="18"/>
      <c r="IDJ932" s="18"/>
      <c r="IDK932" s="18"/>
      <c r="IDL932" s="18"/>
      <c r="IDM932" s="18"/>
      <c r="IDN932" s="18"/>
      <c r="IDO932" s="18"/>
      <c r="IDP932" s="18"/>
      <c r="IDQ932" s="18"/>
      <c r="IDR932" s="18"/>
      <c r="IDS932" s="18"/>
      <c r="IDT932" s="18"/>
      <c r="IDU932" s="18"/>
      <c r="IDV932" s="18"/>
      <c r="IDW932" s="18"/>
      <c r="IDX932" s="18"/>
      <c r="IDY932" s="18"/>
      <c r="IDZ932" s="18"/>
      <c r="IEA932" s="18"/>
      <c r="IEB932" s="18"/>
      <c r="IEC932" s="18"/>
      <c r="IED932" s="18"/>
      <c r="IEE932" s="18"/>
      <c r="IEF932" s="18"/>
      <c r="IEG932" s="18"/>
      <c r="IEH932" s="18"/>
      <c r="IEI932" s="18"/>
      <c r="IEJ932" s="18"/>
      <c r="IEK932" s="18"/>
      <c r="IEL932" s="18"/>
      <c r="IEM932" s="18"/>
      <c r="IEN932" s="18"/>
      <c r="IEO932" s="18"/>
      <c r="IEP932" s="18"/>
      <c r="IEQ932" s="18"/>
      <c r="IER932" s="18"/>
      <c r="IES932" s="18"/>
      <c r="IET932" s="18"/>
      <c r="IEU932" s="18"/>
      <c r="IEV932" s="18"/>
      <c r="IEW932" s="18"/>
      <c r="IEX932" s="18"/>
      <c r="IEY932" s="18"/>
      <c r="IEZ932" s="18"/>
      <c r="IFA932" s="18"/>
      <c r="IFB932" s="18"/>
      <c r="IFC932" s="18"/>
      <c r="IFD932" s="18"/>
      <c r="IFE932" s="18"/>
      <c r="IFF932" s="18"/>
      <c r="IFG932" s="18"/>
      <c r="IFH932" s="18"/>
      <c r="IFI932" s="18"/>
      <c r="IFJ932" s="18"/>
      <c r="IFK932" s="18"/>
      <c r="IFL932" s="18"/>
      <c r="IFM932" s="18"/>
      <c r="IFN932" s="18"/>
      <c r="IFO932" s="18"/>
      <c r="IFP932" s="18"/>
      <c r="IFQ932" s="18"/>
      <c r="IFR932" s="18"/>
      <c r="IFS932" s="18"/>
      <c r="IFT932" s="18"/>
      <c r="IFU932" s="18"/>
      <c r="IFV932" s="18"/>
      <c r="IFW932" s="18"/>
      <c r="IFX932" s="18"/>
      <c r="IFY932" s="18"/>
      <c r="IFZ932" s="18"/>
      <c r="IGA932" s="18"/>
      <c r="IGB932" s="18"/>
      <c r="IGC932" s="18"/>
      <c r="IGD932" s="18"/>
      <c r="IGE932" s="18"/>
      <c r="IGF932" s="18"/>
      <c r="IGG932" s="18"/>
      <c r="IGH932" s="18"/>
      <c r="IGI932" s="18"/>
      <c r="IGJ932" s="18"/>
      <c r="IGK932" s="18"/>
      <c r="IGL932" s="18"/>
      <c r="IGM932" s="18"/>
      <c r="IGN932" s="18"/>
      <c r="IGO932" s="18"/>
      <c r="IGP932" s="18"/>
      <c r="IGQ932" s="18"/>
      <c r="IGR932" s="18"/>
      <c r="IGS932" s="18"/>
      <c r="IGT932" s="18"/>
      <c r="IGU932" s="18"/>
      <c r="IGV932" s="18"/>
      <c r="IGW932" s="18"/>
      <c r="IGX932" s="18"/>
      <c r="IGY932" s="18"/>
      <c r="IGZ932" s="18"/>
      <c r="IHA932" s="18"/>
      <c r="IHB932" s="18"/>
      <c r="IHC932" s="18"/>
      <c r="IHD932" s="18"/>
      <c r="IHE932" s="18"/>
      <c r="IHF932" s="18"/>
      <c r="IHG932" s="18"/>
      <c r="IHH932" s="18"/>
      <c r="IHI932" s="18"/>
      <c r="IHJ932" s="18"/>
      <c r="IHK932" s="18"/>
      <c r="IHL932" s="18"/>
      <c r="IHM932" s="18"/>
      <c r="IHN932" s="18"/>
      <c r="IHO932" s="18"/>
      <c r="IHP932" s="18"/>
      <c r="IHQ932" s="18"/>
      <c r="IHR932" s="18"/>
      <c r="IHS932" s="18"/>
      <c r="IHT932" s="18"/>
      <c r="IHU932" s="18"/>
      <c r="IHV932" s="18"/>
      <c r="IHW932" s="18"/>
      <c r="IHX932" s="18"/>
      <c r="IHY932" s="18"/>
      <c r="IHZ932" s="18"/>
      <c r="IIA932" s="18"/>
      <c r="IIB932" s="18"/>
      <c r="IIC932" s="18"/>
      <c r="IID932" s="18"/>
      <c r="IIE932" s="18"/>
      <c r="IIF932" s="18"/>
      <c r="IIG932" s="18"/>
      <c r="IIH932" s="18"/>
      <c r="III932" s="18"/>
      <c r="IIJ932" s="18"/>
      <c r="IIK932" s="18"/>
      <c r="IIL932" s="18"/>
      <c r="IIM932" s="18"/>
      <c r="IIN932" s="18"/>
      <c r="IIO932" s="18"/>
      <c r="IIP932" s="18"/>
      <c r="IIQ932" s="18"/>
      <c r="IIR932" s="18"/>
      <c r="IIS932" s="18"/>
      <c r="IIT932" s="18"/>
      <c r="IIU932" s="18"/>
      <c r="IIV932" s="18"/>
      <c r="IIW932" s="18"/>
      <c r="IIX932" s="18"/>
      <c r="IIY932" s="18"/>
      <c r="IIZ932" s="18"/>
      <c r="IJA932" s="18"/>
      <c r="IJB932" s="18"/>
      <c r="IJC932" s="18"/>
      <c r="IJD932" s="18"/>
      <c r="IJE932" s="18"/>
      <c r="IJF932" s="18"/>
      <c r="IJG932" s="18"/>
      <c r="IJH932" s="18"/>
      <c r="IJI932" s="18"/>
      <c r="IJJ932" s="18"/>
      <c r="IJK932" s="18"/>
      <c r="IJL932" s="18"/>
      <c r="IJM932" s="18"/>
      <c r="IJN932" s="18"/>
      <c r="IJO932" s="18"/>
      <c r="IJP932" s="18"/>
      <c r="IJQ932" s="18"/>
      <c r="IJR932" s="18"/>
      <c r="IJS932" s="18"/>
      <c r="IJT932" s="18"/>
      <c r="IJU932" s="18"/>
      <c r="IJV932" s="18"/>
      <c r="IJW932" s="18"/>
      <c r="IJX932" s="18"/>
      <c r="IJY932" s="18"/>
      <c r="IJZ932" s="18"/>
      <c r="IKA932" s="18"/>
      <c r="IKB932" s="18"/>
      <c r="IKC932" s="18"/>
      <c r="IKD932" s="18"/>
      <c r="IKE932" s="18"/>
      <c r="IKF932" s="18"/>
      <c r="IKG932" s="18"/>
      <c r="IKH932" s="18"/>
      <c r="IKI932" s="18"/>
      <c r="IKJ932" s="18"/>
      <c r="IKK932" s="18"/>
      <c r="IKL932" s="18"/>
      <c r="IKM932" s="18"/>
      <c r="IKN932" s="18"/>
      <c r="IKO932" s="18"/>
      <c r="IKP932" s="18"/>
      <c r="IKQ932" s="18"/>
      <c r="IKR932" s="18"/>
      <c r="IKS932" s="18"/>
      <c r="IKT932" s="18"/>
      <c r="IKU932" s="18"/>
      <c r="IKV932" s="18"/>
      <c r="IKW932" s="18"/>
      <c r="IKX932" s="18"/>
      <c r="IKY932" s="18"/>
      <c r="IKZ932" s="18"/>
      <c r="ILA932" s="18"/>
      <c r="ILB932" s="18"/>
      <c r="ILC932" s="18"/>
      <c r="ILD932" s="18"/>
      <c r="ILE932" s="18"/>
      <c r="ILF932" s="18"/>
      <c r="ILG932" s="18"/>
      <c r="ILH932" s="18"/>
      <c r="ILI932" s="18"/>
      <c r="ILJ932" s="18"/>
      <c r="ILK932" s="18"/>
      <c r="ILL932" s="18"/>
      <c r="ILM932" s="18"/>
      <c r="ILN932" s="18"/>
      <c r="ILO932" s="18"/>
      <c r="ILP932" s="18"/>
      <c r="ILQ932" s="18"/>
      <c r="ILR932" s="18"/>
      <c r="ILS932" s="18"/>
      <c r="ILT932" s="18"/>
      <c r="ILU932" s="18"/>
      <c r="ILV932" s="18"/>
      <c r="ILW932" s="18"/>
      <c r="ILX932" s="18"/>
      <c r="ILY932" s="18"/>
      <c r="ILZ932" s="18"/>
      <c r="IMA932" s="18"/>
      <c r="IMB932" s="18"/>
      <c r="IMC932" s="18"/>
      <c r="IMD932" s="18"/>
      <c r="IME932" s="18"/>
      <c r="IMF932" s="18"/>
      <c r="IMG932" s="18"/>
      <c r="IMH932" s="18"/>
      <c r="IMI932" s="18"/>
      <c r="IMJ932" s="18"/>
      <c r="IMK932" s="18"/>
      <c r="IML932" s="18"/>
      <c r="IMM932" s="18"/>
      <c r="IMN932" s="18"/>
      <c r="IMO932" s="18"/>
      <c r="IMP932" s="18"/>
      <c r="IMQ932" s="18"/>
      <c r="IMR932" s="18"/>
      <c r="IMS932" s="18"/>
      <c r="IMT932" s="18"/>
      <c r="IMU932" s="18"/>
      <c r="IMV932" s="18"/>
      <c r="IMW932" s="18"/>
      <c r="IMX932" s="18"/>
      <c r="IMY932" s="18"/>
      <c r="IMZ932" s="18"/>
      <c r="INA932" s="18"/>
      <c r="INB932" s="18"/>
      <c r="INC932" s="18"/>
      <c r="IND932" s="18"/>
      <c r="INE932" s="18"/>
      <c r="INF932" s="18"/>
      <c r="ING932" s="18"/>
      <c r="INH932" s="18"/>
      <c r="INI932" s="18"/>
      <c r="INJ932" s="18"/>
      <c r="INK932" s="18"/>
      <c r="INL932" s="18"/>
      <c r="INM932" s="18"/>
      <c r="INN932" s="18"/>
      <c r="INO932" s="18"/>
      <c r="INP932" s="18"/>
      <c r="INQ932" s="18"/>
      <c r="INR932" s="18"/>
      <c r="INS932" s="18"/>
      <c r="INT932" s="18"/>
      <c r="INU932" s="18"/>
      <c r="INV932" s="18"/>
      <c r="INW932" s="18"/>
      <c r="INX932" s="18"/>
      <c r="INY932" s="18"/>
      <c r="INZ932" s="18"/>
      <c r="IOA932" s="18"/>
      <c r="IOB932" s="18"/>
      <c r="IOC932" s="18"/>
      <c r="IOD932" s="18"/>
      <c r="IOE932" s="18"/>
      <c r="IOF932" s="18"/>
      <c r="IOG932" s="18"/>
      <c r="IOH932" s="18"/>
      <c r="IOI932" s="18"/>
      <c r="IOJ932" s="18"/>
      <c r="IOK932" s="18"/>
      <c r="IOL932" s="18"/>
      <c r="IOM932" s="18"/>
      <c r="ION932" s="18"/>
      <c r="IOO932" s="18"/>
      <c r="IOP932" s="18"/>
      <c r="IOQ932" s="18"/>
      <c r="IOR932" s="18"/>
      <c r="IOS932" s="18"/>
      <c r="IOT932" s="18"/>
      <c r="IOU932" s="18"/>
      <c r="IOV932" s="18"/>
      <c r="IOW932" s="18"/>
      <c r="IOX932" s="18"/>
      <c r="IOY932" s="18"/>
      <c r="IOZ932" s="18"/>
      <c r="IPA932" s="18"/>
      <c r="IPB932" s="18"/>
      <c r="IPC932" s="18"/>
      <c r="IPD932" s="18"/>
      <c r="IPE932" s="18"/>
      <c r="IPF932" s="18"/>
      <c r="IPG932" s="18"/>
      <c r="IPH932" s="18"/>
      <c r="IPI932" s="18"/>
      <c r="IPJ932" s="18"/>
      <c r="IPK932" s="18"/>
      <c r="IPL932" s="18"/>
      <c r="IPM932" s="18"/>
      <c r="IPN932" s="18"/>
      <c r="IPO932" s="18"/>
      <c r="IPP932" s="18"/>
      <c r="IPQ932" s="18"/>
      <c r="IPR932" s="18"/>
      <c r="IPS932" s="18"/>
      <c r="IPT932" s="18"/>
      <c r="IPU932" s="18"/>
      <c r="IPV932" s="18"/>
      <c r="IPW932" s="18"/>
      <c r="IPX932" s="18"/>
      <c r="IPY932" s="18"/>
      <c r="IPZ932" s="18"/>
      <c r="IQA932" s="18"/>
      <c r="IQB932" s="18"/>
      <c r="IQC932" s="18"/>
      <c r="IQD932" s="18"/>
      <c r="IQE932" s="18"/>
      <c r="IQF932" s="18"/>
      <c r="IQG932" s="18"/>
      <c r="IQH932" s="18"/>
      <c r="IQI932" s="18"/>
      <c r="IQJ932" s="18"/>
      <c r="IQK932" s="18"/>
      <c r="IQL932" s="18"/>
      <c r="IQM932" s="18"/>
      <c r="IQN932" s="18"/>
      <c r="IQO932" s="18"/>
      <c r="IQP932" s="18"/>
      <c r="IQQ932" s="18"/>
      <c r="IQR932" s="18"/>
      <c r="IQS932" s="18"/>
      <c r="IQT932" s="18"/>
      <c r="IQU932" s="18"/>
      <c r="IQV932" s="18"/>
      <c r="IQW932" s="18"/>
      <c r="IQX932" s="18"/>
      <c r="IQY932" s="18"/>
      <c r="IQZ932" s="18"/>
      <c r="IRA932" s="18"/>
      <c r="IRB932" s="18"/>
      <c r="IRC932" s="18"/>
      <c r="IRD932" s="18"/>
      <c r="IRE932" s="18"/>
      <c r="IRF932" s="18"/>
      <c r="IRG932" s="18"/>
      <c r="IRH932" s="18"/>
      <c r="IRI932" s="18"/>
      <c r="IRJ932" s="18"/>
      <c r="IRK932" s="18"/>
      <c r="IRL932" s="18"/>
      <c r="IRM932" s="18"/>
      <c r="IRN932" s="18"/>
      <c r="IRO932" s="18"/>
      <c r="IRP932" s="18"/>
      <c r="IRQ932" s="18"/>
      <c r="IRR932" s="18"/>
      <c r="IRS932" s="18"/>
      <c r="IRT932" s="18"/>
      <c r="IRU932" s="18"/>
      <c r="IRV932" s="18"/>
      <c r="IRW932" s="18"/>
      <c r="IRX932" s="18"/>
      <c r="IRY932" s="18"/>
      <c r="IRZ932" s="18"/>
      <c r="ISA932" s="18"/>
      <c r="ISB932" s="18"/>
      <c r="ISC932" s="18"/>
      <c r="ISD932" s="18"/>
      <c r="ISE932" s="18"/>
      <c r="ISF932" s="18"/>
      <c r="ISG932" s="18"/>
      <c r="ISH932" s="18"/>
      <c r="ISI932" s="18"/>
      <c r="ISJ932" s="18"/>
      <c r="ISK932" s="18"/>
      <c r="ISL932" s="18"/>
      <c r="ISM932" s="18"/>
      <c r="ISN932" s="18"/>
      <c r="ISO932" s="18"/>
      <c r="ISP932" s="18"/>
      <c r="ISQ932" s="18"/>
      <c r="ISR932" s="18"/>
      <c r="ISS932" s="18"/>
      <c r="IST932" s="18"/>
      <c r="ISU932" s="18"/>
      <c r="ISV932" s="18"/>
      <c r="ISW932" s="18"/>
      <c r="ISX932" s="18"/>
      <c r="ISY932" s="18"/>
      <c r="ISZ932" s="18"/>
      <c r="ITA932" s="18"/>
      <c r="ITB932" s="18"/>
      <c r="ITC932" s="18"/>
      <c r="ITD932" s="18"/>
      <c r="ITE932" s="18"/>
      <c r="ITF932" s="18"/>
      <c r="ITG932" s="18"/>
      <c r="ITH932" s="18"/>
      <c r="ITI932" s="18"/>
      <c r="ITJ932" s="18"/>
      <c r="ITK932" s="18"/>
      <c r="ITL932" s="18"/>
      <c r="ITM932" s="18"/>
      <c r="ITN932" s="18"/>
      <c r="ITO932" s="18"/>
      <c r="ITP932" s="18"/>
      <c r="ITQ932" s="18"/>
      <c r="ITR932" s="18"/>
      <c r="ITS932" s="18"/>
      <c r="ITT932" s="18"/>
      <c r="ITU932" s="18"/>
      <c r="ITV932" s="18"/>
      <c r="ITW932" s="18"/>
      <c r="ITX932" s="18"/>
      <c r="ITY932" s="18"/>
      <c r="ITZ932" s="18"/>
      <c r="IUA932" s="18"/>
      <c r="IUB932" s="18"/>
      <c r="IUC932" s="18"/>
      <c r="IUD932" s="18"/>
      <c r="IUE932" s="18"/>
      <c r="IUF932" s="18"/>
      <c r="IUG932" s="18"/>
      <c r="IUH932" s="18"/>
      <c r="IUI932" s="18"/>
      <c r="IUJ932" s="18"/>
      <c r="IUK932" s="18"/>
      <c r="IUL932" s="18"/>
      <c r="IUM932" s="18"/>
      <c r="IUN932" s="18"/>
      <c r="IUO932" s="18"/>
      <c r="IUP932" s="18"/>
      <c r="IUQ932" s="18"/>
      <c r="IUR932" s="18"/>
      <c r="IUS932" s="18"/>
      <c r="IUT932" s="18"/>
      <c r="IUU932" s="18"/>
      <c r="IUV932" s="18"/>
      <c r="IUW932" s="18"/>
      <c r="IUX932" s="18"/>
      <c r="IUY932" s="18"/>
      <c r="IUZ932" s="18"/>
      <c r="IVA932" s="18"/>
      <c r="IVB932" s="18"/>
      <c r="IVC932" s="18"/>
      <c r="IVD932" s="18"/>
      <c r="IVE932" s="18"/>
      <c r="IVF932" s="18"/>
      <c r="IVG932" s="18"/>
      <c r="IVH932" s="18"/>
      <c r="IVI932" s="18"/>
      <c r="IVJ932" s="18"/>
      <c r="IVK932" s="18"/>
      <c r="IVL932" s="18"/>
      <c r="IVM932" s="18"/>
      <c r="IVN932" s="18"/>
      <c r="IVO932" s="18"/>
      <c r="IVP932" s="18"/>
      <c r="IVQ932" s="18"/>
      <c r="IVR932" s="18"/>
      <c r="IVS932" s="18"/>
      <c r="IVT932" s="18"/>
      <c r="IVU932" s="18"/>
      <c r="IVV932" s="18"/>
      <c r="IVW932" s="18"/>
      <c r="IVX932" s="18"/>
      <c r="IVY932" s="18"/>
      <c r="IVZ932" s="18"/>
      <c r="IWA932" s="18"/>
      <c r="IWB932" s="18"/>
      <c r="IWC932" s="18"/>
      <c r="IWD932" s="18"/>
      <c r="IWE932" s="18"/>
      <c r="IWF932" s="18"/>
      <c r="IWG932" s="18"/>
      <c r="IWH932" s="18"/>
      <c r="IWI932" s="18"/>
      <c r="IWJ932" s="18"/>
      <c r="IWK932" s="18"/>
      <c r="IWL932" s="18"/>
      <c r="IWM932" s="18"/>
      <c r="IWN932" s="18"/>
      <c r="IWO932" s="18"/>
      <c r="IWP932" s="18"/>
      <c r="IWQ932" s="18"/>
      <c r="IWR932" s="18"/>
      <c r="IWS932" s="18"/>
      <c r="IWT932" s="18"/>
      <c r="IWU932" s="18"/>
      <c r="IWV932" s="18"/>
      <c r="IWW932" s="18"/>
      <c r="IWX932" s="18"/>
      <c r="IWY932" s="18"/>
      <c r="IWZ932" s="18"/>
      <c r="IXA932" s="18"/>
      <c r="IXB932" s="18"/>
      <c r="IXC932" s="18"/>
      <c r="IXD932" s="18"/>
      <c r="IXE932" s="18"/>
      <c r="IXF932" s="18"/>
      <c r="IXG932" s="18"/>
      <c r="IXH932" s="18"/>
      <c r="IXI932" s="18"/>
      <c r="IXJ932" s="18"/>
      <c r="IXK932" s="18"/>
      <c r="IXL932" s="18"/>
      <c r="IXM932" s="18"/>
      <c r="IXN932" s="18"/>
      <c r="IXO932" s="18"/>
      <c r="IXP932" s="18"/>
      <c r="IXQ932" s="18"/>
      <c r="IXR932" s="18"/>
      <c r="IXS932" s="18"/>
      <c r="IXT932" s="18"/>
      <c r="IXU932" s="18"/>
      <c r="IXV932" s="18"/>
      <c r="IXW932" s="18"/>
      <c r="IXX932" s="18"/>
      <c r="IXY932" s="18"/>
      <c r="IXZ932" s="18"/>
      <c r="IYA932" s="18"/>
      <c r="IYB932" s="18"/>
      <c r="IYC932" s="18"/>
      <c r="IYD932" s="18"/>
      <c r="IYE932" s="18"/>
      <c r="IYF932" s="18"/>
      <c r="IYG932" s="18"/>
      <c r="IYH932" s="18"/>
      <c r="IYI932" s="18"/>
      <c r="IYJ932" s="18"/>
      <c r="IYK932" s="18"/>
      <c r="IYL932" s="18"/>
      <c r="IYM932" s="18"/>
      <c r="IYN932" s="18"/>
      <c r="IYO932" s="18"/>
      <c r="IYP932" s="18"/>
      <c r="IYQ932" s="18"/>
      <c r="IYR932" s="18"/>
      <c r="IYS932" s="18"/>
      <c r="IYT932" s="18"/>
      <c r="IYU932" s="18"/>
      <c r="IYV932" s="18"/>
      <c r="IYW932" s="18"/>
      <c r="IYX932" s="18"/>
      <c r="IYY932" s="18"/>
      <c r="IYZ932" s="18"/>
      <c r="IZA932" s="18"/>
      <c r="IZB932" s="18"/>
      <c r="IZC932" s="18"/>
      <c r="IZD932" s="18"/>
      <c r="IZE932" s="18"/>
      <c r="IZF932" s="18"/>
      <c r="IZG932" s="18"/>
      <c r="IZH932" s="18"/>
      <c r="IZI932" s="18"/>
      <c r="IZJ932" s="18"/>
      <c r="IZK932" s="18"/>
      <c r="IZL932" s="18"/>
      <c r="IZM932" s="18"/>
      <c r="IZN932" s="18"/>
      <c r="IZO932" s="18"/>
      <c r="IZP932" s="18"/>
      <c r="IZQ932" s="18"/>
      <c r="IZR932" s="18"/>
      <c r="IZS932" s="18"/>
      <c r="IZT932" s="18"/>
      <c r="IZU932" s="18"/>
      <c r="IZV932" s="18"/>
      <c r="IZW932" s="18"/>
      <c r="IZX932" s="18"/>
      <c r="IZY932" s="18"/>
      <c r="IZZ932" s="18"/>
      <c r="JAA932" s="18"/>
      <c r="JAB932" s="18"/>
      <c r="JAC932" s="18"/>
      <c r="JAD932" s="18"/>
      <c r="JAE932" s="18"/>
      <c r="JAF932" s="18"/>
      <c r="JAG932" s="18"/>
      <c r="JAH932" s="18"/>
      <c r="JAI932" s="18"/>
      <c r="JAJ932" s="18"/>
      <c r="JAK932" s="18"/>
      <c r="JAL932" s="18"/>
      <c r="JAM932" s="18"/>
      <c r="JAN932" s="18"/>
      <c r="JAO932" s="18"/>
      <c r="JAP932" s="18"/>
      <c r="JAQ932" s="18"/>
      <c r="JAR932" s="18"/>
      <c r="JAS932" s="18"/>
      <c r="JAT932" s="18"/>
      <c r="JAU932" s="18"/>
      <c r="JAV932" s="18"/>
      <c r="JAW932" s="18"/>
      <c r="JAX932" s="18"/>
      <c r="JAY932" s="18"/>
      <c r="JAZ932" s="18"/>
      <c r="JBA932" s="18"/>
      <c r="JBB932" s="18"/>
      <c r="JBC932" s="18"/>
      <c r="JBD932" s="18"/>
      <c r="JBE932" s="18"/>
      <c r="JBF932" s="18"/>
      <c r="JBG932" s="18"/>
      <c r="JBH932" s="18"/>
      <c r="JBI932" s="18"/>
      <c r="JBJ932" s="18"/>
      <c r="JBK932" s="18"/>
      <c r="JBL932" s="18"/>
      <c r="JBM932" s="18"/>
      <c r="JBN932" s="18"/>
      <c r="JBO932" s="18"/>
      <c r="JBP932" s="18"/>
      <c r="JBQ932" s="18"/>
      <c r="JBR932" s="18"/>
      <c r="JBS932" s="18"/>
      <c r="JBT932" s="18"/>
      <c r="JBU932" s="18"/>
      <c r="JBV932" s="18"/>
      <c r="JBW932" s="18"/>
      <c r="JBX932" s="18"/>
      <c r="JBY932" s="18"/>
      <c r="JBZ932" s="18"/>
      <c r="JCA932" s="18"/>
      <c r="JCB932" s="18"/>
      <c r="JCC932" s="18"/>
      <c r="JCD932" s="18"/>
      <c r="JCE932" s="18"/>
      <c r="JCF932" s="18"/>
      <c r="JCG932" s="18"/>
      <c r="JCH932" s="18"/>
      <c r="JCI932" s="18"/>
      <c r="JCJ932" s="18"/>
      <c r="JCK932" s="18"/>
      <c r="JCL932" s="18"/>
      <c r="JCM932" s="18"/>
      <c r="JCN932" s="18"/>
      <c r="JCO932" s="18"/>
      <c r="JCP932" s="18"/>
      <c r="JCQ932" s="18"/>
      <c r="JCR932" s="18"/>
      <c r="JCS932" s="18"/>
      <c r="JCT932" s="18"/>
      <c r="JCU932" s="18"/>
      <c r="JCV932" s="18"/>
      <c r="JCW932" s="18"/>
      <c r="JCX932" s="18"/>
      <c r="JCY932" s="18"/>
      <c r="JCZ932" s="18"/>
      <c r="JDA932" s="18"/>
      <c r="JDB932" s="18"/>
      <c r="JDC932" s="18"/>
      <c r="JDD932" s="18"/>
      <c r="JDE932" s="18"/>
      <c r="JDF932" s="18"/>
      <c r="JDG932" s="18"/>
      <c r="JDH932" s="18"/>
      <c r="JDI932" s="18"/>
      <c r="JDJ932" s="18"/>
      <c r="JDK932" s="18"/>
      <c r="JDL932" s="18"/>
      <c r="JDM932" s="18"/>
      <c r="JDN932" s="18"/>
      <c r="JDO932" s="18"/>
      <c r="JDP932" s="18"/>
      <c r="JDQ932" s="18"/>
      <c r="JDR932" s="18"/>
      <c r="JDS932" s="18"/>
      <c r="JDT932" s="18"/>
      <c r="JDU932" s="18"/>
      <c r="JDV932" s="18"/>
      <c r="JDW932" s="18"/>
      <c r="JDX932" s="18"/>
      <c r="JDY932" s="18"/>
      <c r="JDZ932" s="18"/>
      <c r="JEA932" s="18"/>
      <c r="JEB932" s="18"/>
      <c r="JEC932" s="18"/>
      <c r="JED932" s="18"/>
      <c r="JEE932" s="18"/>
      <c r="JEF932" s="18"/>
      <c r="JEG932" s="18"/>
      <c r="JEH932" s="18"/>
      <c r="JEI932" s="18"/>
      <c r="JEJ932" s="18"/>
      <c r="JEK932" s="18"/>
      <c r="JEL932" s="18"/>
      <c r="JEM932" s="18"/>
      <c r="JEN932" s="18"/>
      <c r="JEO932" s="18"/>
      <c r="JEP932" s="18"/>
      <c r="JEQ932" s="18"/>
      <c r="JER932" s="18"/>
      <c r="JES932" s="18"/>
      <c r="JET932" s="18"/>
      <c r="JEU932" s="18"/>
      <c r="JEV932" s="18"/>
      <c r="JEW932" s="18"/>
      <c r="JEX932" s="18"/>
      <c r="JEY932" s="18"/>
      <c r="JEZ932" s="18"/>
      <c r="JFA932" s="18"/>
      <c r="JFB932" s="18"/>
      <c r="JFC932" s="18"/>
      <c r="JFD932" s="18"/>
      <c r="JFE932" s="18"/>
      <c r="JFF932" s="18"/>
      <c r="JFG932" s="18"/>
      <c r="JFH932" s="18"/>
      <c r="JFI932" s="18"/>
      <c r="JFJ932" s="18"/>
      <c r="JFK932" s="18"/>
      <c r="JFL932" s="18"/>
      <c r="JFM932" s="18"/>
      <c r="JFN932" s="18"/>
      <c r="JFO932" s="18"/>
      <c r="JFP932" s="18"/>
      <c r="JFQ932" s="18"/>
      <c r="JFR932" s="18"/>
      <c r="JFS932" s="18"/>
      <c r="JFT932" s="18"/>
      <c r="JFU932" s="18"/>
      <c r="JFV932" s="18"/>
      <c r="JFW932" s="18"/>
      <c r="JFX932" s="18"/>
      <c r="JFY932" s="18"/>
      <c r="JFZ932" s="18"/>
      <c r="JGA932" s="18"/>
      <c r="JGB932" s="18"/>
      <c r="JGC932" s="18"/>
      <c r="JGD932" s="18"/>
      <c r="JGE932" s="18"/>
      <c r="JGF932" s="18"/>
      <c r="JGG932" s="18"/>
      <c r="JGH932" s="18"/>
      <c r="JGI932" s="18"/>
      <c r="JGJ932" s="18"/>
      <c r="JGK932" s="18"/>
      <c r="JGL932" s="18"/>
      <c r="JGM932" s="18"/>
      <c r="JGN932" s="18"/>
      <c r="JGO932" s="18"/>
      <c r="JGP932" s="18"/>
      <c r="JGQ932" s="18"/>
      <c r="JGR932" s="18"/>
      <c r="JGS932" s="18"/>
      <c r="JGT932" s="18"/>
      <c r="JGU932" s="18"/>
      <c r="JGV932" s="18"/>
      <c r="JGW932" s="18"/>
      <c r="JGX932" s="18"/>
      <c r="JGY932" s="18"/>
      <c r="JGZ932" s="18"/>
      <c r="JHA932" s="18"/>
      <c r="JHB932" s="18"/>
      <c r="JHC932" s="18"/>
      <c r="JHD932" s="18"/>
      <c r="JHE932" s="18"/>
      <c r="JHF932" s="18"/>
      <c r="JHG932" s="18"/>
      <c r="JHH932" s="18"/>
      <c r="JHI932" s="18"/>
      <c r="JHJ932" s="18"/>
      <c r="JHK932" s="18"/>
      <c r="JHL932" s="18"/>
      <c r="JHM932" s="18"/>
      <c r="JHN932" s="18"/>
      <c r="JHO932" s="18"/>
      <c r="JHP932" s="18"/>
      <c r="JHQ932" s="18"/>
      <c r="JHR932" s="18"/>
      <c r="JHS932" s="18"/>
      <c r="JHT932" s="18"/>
      <c r="JHU932" s="18"/>
      <c r="JHV932" s="18"/>
      <c r="JHW932" s="18"/>
      <c r="JHX932" s="18"/>
      <c r="JHY932" s="18"/>
      <c r="JHZ932" s="18"/>
      <c r="JIA932" s="18"/>
      <c r="JIB932" s="18"/>
      <c r="JIC932" s="18"/>
      <c r="JID932" s="18"/>
      <c r="JIE932" s="18"/>
      <c r="JIF932" s="18"/>
      <c r="JIG932" s="18"/>
      <c r="JIH932" s="18"/>
      <c r="JII932" s="18"/>
      <c r="JIJ932" s="18"/>
      <c r="JIK932" s="18"/>
      <c r="JIL932" s="18"/>
      <c r="JIM932" s="18"/>
      <c r="JIN932" s="18"/>
      <c r="JIO932" s="18"/>
      <c r="JIP932" s="18"/>
      <c r="JIQ932" s="18"/>
      <c r="JIR932" s="18"/>
      <c r="JIS932" s="18"/>
      <c r="JIT932" s="18"/>
      <c r="JIU932" s="18"/>
      <c r="JIV932" s="18"/>
      <c r="JIW932" s="18"/>
      <c r="JIX932" s="18"/>
      <c r="JIY932" s="18"/>
      <c r="JIZ932" s="18"/>
      <c r="JJA932" s="18"/>
      <c r="JJB932" s="18"/>
      <c r="JJC932" s="18"/>
      <c r="JJD932" s="18"/>
      <c r="JJE932" s="18"/>
      <c r="JJF932" s="18"/>
      <c r="JJG932" s="18"/>
      <c r="JJH932" s="18"/>
      <c r="JJI932" s="18"/>
      <c r="JJJ932" s="18"/>
      <c r="JJK932" s="18"/>
      <c r="JJL932" s="18"/>
      <c r="JJM932" s="18"/>
      <c r="JJN932" s="18"/>
      <c r="JJO932" s="18"/>
      <c r="JJP932" s="18"/>
      <c r="JJQ932" s="18"/>
      <c r="JJR932" s="18"/>
      <c r="JJS932" s="18"/>
      <c r="JJT932" s="18"/>
      <c r="JJU932" s="18"/>
      <c r="JJV932" s="18"/>
      <c r="JJW932" s="18"/>
      <c r="JJX932" s="18"/>
      <c r="JJY932" s="18"/>
      <c r="JJZ932" s="18"/>
      <c r="JKA932" s="18"/>
      <c r="JKB932" s="18"/>
      <c r="JKC932" s="18"/>
      <c r="JKD932" s="18"/>
      <c r="JKE932" s="18"/>
      <c r="JKF932" s="18"/>
      <c r="JKG932" s="18"/>
      <c r="JKH932" s="18"/>
      <c r="JKI932" s="18"/>
      <c r="JKJ932" s="18"/>
      <c r="JKK932" s="18"/>
      <c r="JKL932" s="18"/>
      <c r="JKM932" s="18"/>
      <c r="JKN932" s="18"/>
      <c r="JKO932" s="18"/>
      <c r="JKP932" s="18"/>
      <c r="JKQ932" s="18"/>
      <c r="JKR932" s="18"/>
      <c r="JKS932" s="18"/>
      <c r="JKT932" s="18"/>
      <c r="JKU932" s="18"/>
      <c r="JKV932" s="18"/>
      <c r="JKW932" s="18"/>
      <c r="JKX932" s="18"/>
      <c r="JKY932" s="18"/>
      <c r="JKZ932" s="18"/>
      <c r="JLA932" s="18"/>
      <c r="JLB932" s="18"/>
      <c r="JLC932" s="18"/>
      <c r="JLD932" s="18"/>
      <c r="JLE932" s="18"/>
      <c r="JLF932" s="18"/>
      <c r="JLG932" s="18"/>
      <c r="JLH932" s="18"/>
      <c r="JLI932" s="18"/>
      <c r="JLJ932" s="18"/>
      <c r="JLK932" s="18"/>
      <c r="JLL932" s="18"/>
      <c r="JLM932" s="18"/>
      <c r="JLN932" s="18"/>
      <c r="JLO932" s="18"/>
      <c r="JLP932" s="18"/>
      <c r="JLQ932" s="18"/>
      <c r="JLR932" s="18"/>
      <c r="JLS932" s="18"/>
      <c r="JLT932" s="18"/>
      <c r="JLU932" s="18"/>
      <c r="JLV932" s="18"/>
      <c r="JLW932" s="18"/>
      <c r="JLX932" s="18"/>
      <c r="JLY932" s="18"/>
      <c r="JLZ932" s="18"/>
      <c r="JMA932" s="18"/>
      <c r="JMB932" s="18"/>
      <c r="JMC932" s="18"/>
      <c r="JMD932" s="18"/>
      <c r="JME932" s="18"/>
      <c r="JMF932" s="18"/>
      <c r="JMG932" s="18"/>
      <c r="JMH932" s="18"/>
      <c r="JMI932" s="18"/>
      <c r="JMJ932" s="18"/>
      <c r="JMK932" s="18"/>
      <c r="JML932" s="18"/>
      <c r="JMM932" s="18"/>
      <c r="JMN932" s="18"/>
      <c r="JMO932" s="18"/>
      <c r="JMP932" s="18"/>
      <c r="JMQ932" s="18"/>
      <c r="JMR932" s="18"/>
      <c r="JMS932" s="18"/>
      <c r="JMT932" s="18"/>
      <c r="JMU932" s="18"/>
      <c r="JMV932" s="18"/>
      <c r="JMW932" s="18"/>
      <c r="JMX932" s="18"/>
      <c r="JMY932" s="18"/>
      <c r="JMZ932" s="18"/>
      <c r="JNA932" s="18"/>
      <c r="JNB932" s="18"/>
      <c r="JNC932" s="18"/>
      <c r="JND932" s="18"/>
      <c r="JNE932" s="18"/>
      <c r="JNF932" s="18"/>
      <c r="JNG932" s="18"/>
      <c r="JNH932" s="18"/>
      <c r="JNI932" s="18"/>
      <c r="JNJ932" s="18"/>
      <c r="JNK932" s="18"/>
      <c r="JNL932" s="18"/>
      <c r="JNM932" s="18"/>
      <c r="JNN932" s="18"/>
      <c r="JNO932" s="18"/>
      <c r="JNP932" s="18"/>
      <c r="JNQ932" s="18"/>
      <c r="JNR932" s="18"/>
      <c r="JNS932" s="18"/>
      <c r="JNT932" s="18"/>
      <c r="JNU932" s="18"/>
      <c r="JNV932" s="18"/>
      <c r="JNW932" s="18"/>
      <c r="JNX932" s="18"/>
      <c r="JNY932" s="18"/>
      <c r="JNZ932" s="18"/>
      <c r="JOA932" s="18"/>
      <c r="JOB932" s="18"/>
      <c r="JOC932" s="18"/>
      <c r="JOD932" s="18"/>
      <c r="JOE932" s="18"/>
      <c r="JOF932" s="18"/>
      <c r="JOG932" s="18"/>
      <c r="JOH932" s="18"/>
      <c r="JOI932" s="18"/>
      <c r="JOJ932" s="18"/>
      <c r="JOK932" s="18"/>
      <c r="JOL932" s="18"/>
      <c r="JOM932" s="18"/>
      <c r="JON932" s="18"/>
      <c r="JOO932" s="18"/>
      <c r="JOP932" s="18"/>
      <c r="JOQ932" s="18"/>
      <c r="JOR932" s="18"/>
      <c r="JOS932" s="18"/>
      <c r="JOT932" s="18"/>
      <c r="JOU932" s="18"/>
      <c r="JOV932" s="18"/>
      <c r="JOW932" s="18"/>
      <c r="JOX932" s="18"/>
      <c r="JOY932" s="18"/>
      <c r="JOZ932" s="18"/>
      <c r="JPA932" s="18"/>
      <c r="JPB932" s="18"/>
      <c r="JPC932" s="18"/>
      <c r="JPD932" s="18"/>
      <c r="JPE932" s="18"/>
      <c r="JPF932" s="18"/>
      <c r="JPG932" s="18"/>
      <c r="JPH932" s="18"/>
      <c r="JPI932" s="18"/>
      <c r="JPJ932" s="18"/>
      <c r="JPK932" s="18"/>
      <c r="JPL932" s="18"/>
      <c r="JPM932" s="18"/>
      <c r="JPN932" s="18"/>
      <c r="JPO932" s="18"/>
      <c r="JPP932" s="18"/>
      <c r="JPQ932" s="18"/>
      <c r="JPR932" s="18"/>
      <c r="JPS932" s="18"/>
      <c r="JPT932" s="18"/>
      <c r="JPU932" s="18"/>
      <c r="JPV932" s="18"/>
      <c r="JPW932" s="18"/>
      <c r="JPX932" s="18"/>
      <c r="JPY932" s="18"/>
      <c r="JPZ932" s="18"/>
      <c r="JQA932" s="18"/>
      <c r="JQB932" s="18"/>
      <c r="JQC932" s="18"/>
      <c r="JQD932" s="18"/>
      <c r="JQE932" s="18"/>
      <c r="JQF932" s="18"/>
      <c r="JQG932" s="18"/>
      <c r="JQH932" s="18"/>
      <c r="JQI932" s="18"/>
      <c r="JQJ932" s="18"/>
      <c r="JQK932" s="18"/>
      <c r="JQL932" s="18"/>
      <c r="JQM932" s="18"/>
      <c r="JQN932" s="18"/>
      <c r="JQO932" s="18"/>
      <c r="JQP932" s="18"/>
      <c r="JQQ932" s="18"/>
      <c r="JQR932" s="18"/>
      <c r="JQS932" s="18"/>
      <c r="JQT932" s="18"/>
      <c r="JQU932" s="18"/>
      <c r="JQV932" s="18"/>
      <c r="JQW932" s="18"/>
      <c r="JQX932" s="18"/>
      <c r="JQY932" s="18"/>
      <c r="JQZ932" s="18"/>
      <c r="JRA932" s="18"/>
      <c r="JRB932" s="18"/>
      <c r="JRC932" s="18"/>
      <c r="JRD932" s="18"/>
      <c r="JRE932" s="18"/>
      <c r="JRF932" s="18"/>
      <c r="JRG932" s="18"/>
      <c r="JRH932" s="18"/>
      <c r="JRI932" s="18"/>
      <c r="JRJ932" s="18"/>
      <c r="JRK932" s="18"/>
      <c r="JRL932" s="18"/>
      <c r="JRM932" s="18"/>
      <c r="JRN932" s="18"/>
      <c r="JRO932" s="18"/>
      <c r="JRP932" s="18"/>
      <c r="JRQ932" s="18"/>
      <c r="JRR932" s="18"/>
      <c r="JRS932" s="18"/>
      <c r="JRT932" s="18"/>
      <c r="JRU932" s="18"/>
      <c r="JRV932" s="18"/>
      <c r="JRW932" s="18"/>
      <c r="JRX932" s="18"/>
      <c r="JRY932" s="18"/>
      <c r="JRZ932" s="18"/>
      <c r="JSA932" s="18"/>
      <c r="JSB932" s="18"/>
      <c r="JSC932" s="18"/>
      <c r="JSD932" s="18"/>
      <c r="JSE932" s="18"/>
      <c r="JSF932" s="18"/>
      <c r="JSG932" s="18"/>
      <c r="JSH932" s="18"/>
      <c r="JSI932" s="18"/>
      <c r="JSJ932" s="18"/>
      <c r="JSK932" s="18"/>
      <c r="JSL932" s="18"/>
      <c r="JSM932" s="18"/>
      <c r="JSN932" s="18"/>
      <c r="JSO932" s="18"/>
      <c r="JSP932" s="18"/>
      <c r="JSQ932" s="18"/>
      <c r="JSR932" s="18"/>
      <c r="JSS932" s="18"/>
      <c r="JST932" s="18"/>
      <c r="JSU932" s="18"/>
      <c r="JSV932" s="18"/>
      <c r="JSW932" s="18"/>
      <c r="JSX932" s="18"/>
      <c r="JSY932" s="18"/>
      <c r="JSZ932" s="18"/>
      <c r="JTA932" s="18"/>
      <c r="JTB932" s="18"/>
      <c r="JTC932" s="18"/>
      <c r="JTD932" s="18"/>
      <c r="JTE932" s="18"/>
      <c r="JTF932" s="18"/>
      <c r="JTG932" s="18"/>
      <c r="JTH932" s="18"/>
      <c r="JTI932" s="18"/>
      <c r="JTJ932" s="18"/>
      <c r="JTK932" s="18"/>
      <c r="JTL932" s="18"/>
      <c r="JTM932" s="18"/>
      <c r="JTN932" s="18"/>
      <c r="JTO932" s="18"/>
      <c r="JTP932" s="18"/>
      <c r="JTQ932" s="18"/>
      <c r="JTR932" s="18"/>
      <c r="JTS932" s="18"/>
      <c r="JTT932" s="18"/>
      <c r="JTU932" s="18"/>
      <c r="JTV932" s="18"/>
      <c r="JTW932" s="18"/>
      <c r="JTX932" s="18"/>
      <c r="JTY932" s="18"/>
      <c r="JTZ932" s="18"/>
      <c r="JUA932" s="18"/>
      <c r="JUB932" s="18"/>
      <c r="JUC932" s="18"/>
      <c r="JUD932" s="18"/>
      <c r="JUE932" s="18"/>
      <c r="JUF932" s="18"/>
      <c r="JUG932" s="18"/>
      <c r="JUH932" s="18"/>
      <c r="JUI932" s="18"/>
      <c r="JUJ932" s="18"/>
      <c r="JUK932" s="18"/>
      <c r="JUL932" s="18"/>
      <c r="JUM932" s="18"/>
      <c r="JUN932" s="18"/>
      <c r="JUO932" s="18"/>
      <c r="JUP932" s="18"/>
      <c r="JUQ932" s="18"/>
      <c r="JUR932" s="18"/>
      <c r="JUS932" s="18"/>
      <c r="JUT932" s="18"/>
      <c r="JUU932" s="18"/>
      <c r="JUV932" s="18"/>
      <c r="JUW932" s="18"/>
      <c r="JUX932" s="18"/>
      <c r="JUY932" s="18"/>
      <c r="JUZ932" s="18"/>
      <c r="JVA932" s="18"/>
      <c r="JVB932" s="18"/>
      <c r="JVC932" s="18"/>
      <c r="JVD932" s="18"/>
      <c r="JVE932" s="18"/>
      <c r="JVF932" s="18"/>
      <c r="JVG932" s="18"/>
      <c r="JVH932" s="18"/>
      <c r="JVI932" s="18"/>
      <c r="JVJ932" s="18"/>
      <c r="JVK932" s="18"/>
      <c r="JVL932" s="18"/>
      <c r="JVM932" s="18"/>
      <c r="JVN932" s="18"/>
      <c r="JVO932" s="18"/>
      <c r="JVP932" s="18"/>
      <c r="JVQ932" s="18"/>
      <c r="JVR932" s="18"/>
      <c r="JVS932" s="18"/>
      <c r="JVT932" s="18"/>
      <c r="JVU932" s="18"/>
      <c r="JVV932" s="18"/>
      <c r="JVW932" s="18"/>
      <c r="JVX932" s="18"/>
      <c r="JVY932" s="18"/>
      <c r="JVZ932" s="18"/>
      <c r="JWA932" s="18"/>
      <c r="JWB932" s="18"/>
      <c r="JWC932" s="18"/>
      <c r="JWD932" s="18"/>
      <c r="JWE932" s="18"/>
      <c r="JWF932" s="18"/>
      <c r="JWG932" s="18"/>
      <c r="JWH932" s="18"/>
      <c r="JWI932" s="18"/>
      <c r="JWJ932" s="18"/>
      <c r="JWK932" s="18"/>
      <c r="JWL932" s="18"/>
      <c r="JWM932" s="18"/>
      <c r="JWN932" s="18"/>
      <c r="JWO932" s="18"/>
      <c r="JWP932" s="18"/>
      <c r="JWQ932" s="18"/>
      <c r="JWR932" s="18"/>
      <c r="JWS932" s="18"/>
      <c r="JWT932" s="18"/>
      <c r="JWU932" s="18"/>
      <c r="JWV932" s="18"/>
      <c r="JWW932" s="18"/>
      <c r="JWX932" s="18"/>
      <c r="JWY932" s="18"/>
      <c r="JWZ932" s="18"/>
      <c r="JXA932" s="18"/>
      <c r="JXB932" s="18"/>
      <c r="JXC932" s="18"/>
      <c r="JXD932" s="18"/>
      <c r="JXE932" s="18"/>
      <c r="JXF932" s="18"/>
      <c r="JXG932" s="18"/>
      <c r="JXH932" s="18"/>
      <c r="JXI932" s="18"/>
      <c r="JXJ932" s="18"/>
      <c r="JXK932" s="18"/>
      <c r="JXL932" s="18"/>
      <c r="JXM932" s="18"/>
      <c r="JXN932" s="18"/>
      <c r="JXO932" s="18"/>
      <c r="JXP932" s="18"/>
      <c r="JXQ932" s="18"/>
      <c r="JXR932" s="18"/>
      <c r="JXS932" s="18"/>
      <c r="JXT932" s="18"/>
      <c r="JXU932" s="18"/>
      <c r="JXV932" s="18"/>
      <c r="JXW932" s="18"/>
      <c r="JXX932" s="18"/>
      <c r="JXY932" s="18"/>
      <c r="JXZ932" s="18"/>
      <c r="JYA932" s="18"/>
      <c r="JYB932" s="18"/>
      <c r="JYC932" s="18"/>
      <c r="JYD932" s="18"/>
      <c r="JYE932" s="18"/>
      <c r="JYF932" s="18"/>
      <c r="JYG932" s="18"/>
      <c r="JYH932" s="18"/>
      <c r="JYI932" s="18"/>
      <c r="JYJ932" s="18"/>
      <c r="JYK932" s="18"/>
      <c r="JYL932" s="18"/>
      <c r="JYM932" s="18"/>
      <c r="JYN932" s="18"/>
      <c r="JYO932" s="18"/>
      <c r="JYP932" s="18"/>
      <c r="JYQ932" s="18"/>
      <c r="JYR932" s="18"/>
      <c r="JYS932" s="18"/>
      <c r="JYT932" s="18"/>
      <c r="JYU932" s="18"/>
      <c r="JYV932" s="18"/>
      <c r="JYW932" s="18"/>
      <c r="JYX932" s="18"/>
      <c r="JYY932" s="18"/>
      <c r="JYZ932" s="18"/>
      <c r="JZA932" s="18"/>
      <c r="JZB932" s="18"/>
      <c r="JZC932" s="18"/>
      <c r="JZD932" s="18"/>
      <c r="JZE932" s="18"/>
      <c r="JZF932" s="18"/>
      <c r="JZG932" s="18"/>
      <c r="JZH932" s="18"/>
      <c r="JZI932" s="18"/>
      <c r="JZJ932" s="18"/>
      <c r="JZK932" s="18"/>
      <c r="JZL932" s="18"/>
      <c r="JZM932" s="18"/>
      <c r="JZN932" s="18"/>
      <c r="JZO932" s="18"/>
      <c r="JZP932" s="18"/>
      <c r="JZQ932" s="18"/>
      <c r="JZR932" s="18"/>
      <c r="JZS932" s="18"/>
      <c r="JZT932" s="18"/>
      <c r="JZU932" s="18"/>
      <c r="JZV932" s="18"/>
      <c r="JZW932" s="18"/>
      <c r="JZX932" s="18"/>
      <c r="JZY932" s="18"/>
      <c r="JZZ932" s="18"/>
      <c r="KAA932" s="18"/>
      <c r="KAB932" s="18"/>
      <c r="KAC932" s="18"/>
      <c r="KAD932" s="18"/>
      <c r="KAE932" s="18"/>
      <c r="KAF932" s="18"/>
      <c r="KAG932" s="18"/>
      <c r="KAH932" s="18"/>
      <c r="KAI932" s="18"/>
      <c r="KAJ932" s="18"/>
      <c r="KAK932" s="18"/>
      <c r="KAL932" s="18"/>
      <c r="KAM932" s="18"/>
      <c r="KAN932" s="18"/>
      <c r="KAO932" s="18"/>
      <c r="KAP932" s="18"/>
      <c r="KAQ932" s="18"/>
      <c r="KAR932" s="18"/>
      <c r="KAS932" s="18"/>
      <c r="KAT932" s="18"/>
      <c r="KAU932" s="18"/>
      <c r="KAV932" s="18"/>
      <c r="KAW932" s="18"/>
      <c r="KAX932" s="18"/>
      <c r="KAY932" s="18"/>
      <c r="KAZ932" s="18"/>
      <c r="KBA932" s="18"/>
      <c r="KBB932" s="18"/>
      <c r="KBC932" s="18"/>
      <c r="KBD932" s="18"/>
      <c r="KBE932" s="18"/>
      <c r="KBF932" s="18"/>
      <c r="KBG932" s="18"/>
      <c r="KBH932" s="18"/>
      <c r="KBI932" s="18"/>
      <c r="KBJ932" s="18"/>
      <c r="KBK932" s="18"/>
      <c r="KBL932" s="18"/>
      <c r="KBM932" s="18"/>
      <c r="KBN932" s="18"/>
      <c r="KBO932" s="18"/>
      <c r="KBP932" s="18"/>
      <c r="KBQ932" s="18"/>
      <c r="KBR932" s="18"/>
      <c r="KBS932" s="18"/>
      <c r="KBT932" s="18"/>
      <c r="KBU932" s="18"/>
      <c r="KBV932" s="18"/>
      <c r="KBW932" s="18"/>
      <c r="KBX932" s="18"/>
      <c r="KBY932" s="18"/>
      <c r="KBZ932" s="18"/>
      <c r="KCA932" s="18"/>
      <c r="KCB932" s="18"/>
      <c r="KCC932" s="18"/>
      <c r="KCD932" s="18"/>
      <c r="KCE932" s="18"/>
      <c r="KCF932" s="18"/>
      <c r="KCG932" s="18"/>
      <c r="KCH932" s="18"/>
      <c r="KCI932" s="18"/>
      <c r="KCJ932" s="18"/>
      <c r="KCK932" s="18"/>
      <c r="KCL932" s="18"/>
      <c r="KCM932" s="18"/>
      <c r="KCN932" s="18"/>
      <c r="KCO932" s="18"/>
      <c r="KCP932" s="18"/>
      <c r="KCQ932" s="18"/>
      <c r="KCR932" s="18"/>
      <c r="KCS932" s="18"/>
      <c r="KCT932" s="18"/>
      <c r="KCU932" s="18"/>
      <c r="KCV932" s="18"/>
      <c r="KCW932" s="18"/>
      <c r="KCX932" s="18"/>
      <c r="KCY932" s="18"/>
      <c r="KCZ932" s="18"/>
      <c r="KDA932" s="18"/>
      <c r="KDB932" s="18"/>
      <c r="KDC932" s="18"/>
      <c r="KDD932" s="18"/>
      <c r="KDE932" s="18"/>
      <c r="KDF932" s="18"/>
      <c r="KDG932" s="18"/>
      <c r="KDH932" s="18"/>
      <c r="KDI932" s="18"/>
      <c r="KDJ932" s="18"/>
      <c r="KDK932" s="18"/>
      <c r="KDL932" s="18"/>
      <c r="KDM932" s="18"/>
      <c r="KDN932" s="18"/>
      <c r="KDO932" s="18"/>
      <c r="KDP932" s="18"/>
      <c r="KDQ932" s="18"/>
      <c r="KDR932" s="18"/>
      <c r="KDS932" s="18"/>
      <c r="KDT932" s="18"/>
      <c r="KDU932" s="18"/>
      <c r="KDV932" s="18"/>
      <c r="KDW932" s="18"/>
      <c r="KDX932" s="18"/>
      <c r="KDY932" s="18"/>
      <c r="KDZ932" s="18"/>
      <c r="KEA932" s="18"/>
      <c r="KEB932" s="18"/>
      <c r="KEC932" s="18"/>
      <c r="KED932" s="18"/>
      <c r="KEE932" s="18"/>
      <c r="KEF932" s="18"/>
      <c r="KEG932" s="18"/>
      <c r="KEH932" s="18"/>
      <c r="KEI932" s="18"/>
      <c r="KEJ932" s="18"/>
      <c r="KEK932" s="18"/>
      <c r="KEL932" s="18"/>
      <c r="KEM932" s="18"/>
      <c r="KEN932" s="18"/>
      <c r="KEO932" s="18"/>
      <c r="KEP932" s="18"/>
      <c r="KEQ932" s="18"/>
      <c r="KER932" s="18"/>
      <c r="KES932" s="18"/>
      <c r="KET932" s="18"/>
      <c r="KEU932" s="18"/>
      <c r="KEV932" s="18"/>
      <c r="KEW932" s="18"/>
      <c r="KEX932" s="18"/>
      <c r="KEY932" s="18"/>
      <c r="KEZ932" s="18"/>
      <c r="KFA932" s="18"/>
      <c r="KFB932" s="18"/>
      <c r="KFC932" s="18"/>
      <c r="KFD932" s="18"/>
      <c r="KFE932" s="18"/>
      <c r="KFF932" s="18"/>
      <c r="KFG932" s="18"/>
      <c r="KFH932" s="18"/>
      <c r="KFI932" s="18"/>
      <c r="KFJ932" s="18"/>
      <c r="KFK932" s="18"/>
      <c r="KFL932" s="18"/>
      <c r="KFM932" s="18"/>
      <c r="KFN932" s="18"/>
      <c r="KFO932" s="18"/>
      <c r="KFP932" s="18"/>
      <c r="KFQ932" s="18"/>
      <c r="KFR932" s="18"/>
      <c r="KFS932" s="18"/>
      <c r="KFT932" s="18"/>
      <c r="KFU932" s="18"/>
      <c r="KFV932" s="18"/>
      <c r="KFW932" s="18"/>
      <c r="KFX932" s="18"/>
      <c r="KFY932" s="18"/>
      <c r="KFZ932" s="18"/>
      <c r="KGA932" s="18"/>
      <c r="KGB932" s="18"/>
      <c r="KGC932" s="18"/>
      <c r="KGD932" s="18"/>
      <c r="KGE932" s="18"/>
      <c r="KGF932" s="18"/>
      <c r="KGG932" s="18"/>
      <c r="KGH932" s="18"/>
      <c r="KGI932" s="18"/>
      <c r="KGJ932" s="18"/>
      <c r="KGK932" s="18"/>
      <c r="KGL932" s="18"/>
      <c r="KGM932" s="18"/>
      <c r="KGN932" s="18"/>
      <c r="KGO932" s="18"/>
      <c r="KGP932" s="18"/>
      <c r="KGQ932" s="18"/>
      <c r="KGR932" s="18"/>
      <c r="KGS932" s="18"/>
      <c r="KGT932" s="18"/>
      <c r="KGU932" s="18"/>
      <c r="KGV932" s="18"/>
      <c r="KGW932" s="18"/>
      <c r="KGX932" s="18"/>
      <c r="KGY932" s="18"/>
      <c r="KGZ932" s="18"/>
      <c r="KHA932" s="18"/>
      <c r="KHB932" s="18"/>
      <c r="KHC932" s="18"/>
      <c r="KHD932" s="18"/>
      <c r="KHE932" s="18"/>
      <c r="KHF932" s="18"/>
      <c r="KHG932" s="18"/>
      <c r="KHH932" s="18"/>
      <c r="KHI932" s="18"/>
      <c r="KHJ932" s="18"/>
      <c r="KHK932" s="18"/>
      <c r="KHL932" s="18"/>
      <c r="KHM932" s="18"/>
      <c r="KHN932" s="18"/>
      <c r="KHO932" s="18"/>
      <c r="KHP932" s="18"/>
      <c r="KHQ932" s="18"/>
      <c r="KHR932" s="18"/>
      <c r="KHS932" s="18"/>
      <c r="KHT932" s="18"/>
      <c r="KHU932" s="18"/>
      <c r="KHV932" s="18"/>
      <c r="KHW932" s="18"/>
      <c r="KHX932" s="18"/>
      <c r="KHY932" s="18"/>
      <c r="KHZ932" s="18"/>
      <c r="KIA932" s="18"/>
      <c r="KIB932" s="18"/>
      <c r="KIC932" s="18"/>
      <c r="KID932" s="18"/>
      <c r="KIE932" s="18"/>
      <c r="KIF932" s="18"/>
      <c r="KIG932" s="18"/>
      <c r="KIH932" s="18"/>
      <c r="KII932" s="18"/>
      <c r="KIJ932" s="18"/>
      <c r="KIK932" s="18"/>
      <c r="KIL932" s="18"/>
      <c r="KIM932" s="18"/>
      <c r="KIN932" s="18"/>
      <c r="KIO932" s="18"/>
      <c r="KIP932" s="18"/>
      <c r="KIQ932" s="18"/>
      <c r="KIR932" s="18"/>
      <c r="KIS932" s="18"/>
      <c r="KIT932" s="18"/>
      <c r="KIU932" s="18"/>
      <c r="KIV932" s="18"/>
      <c r="KIW932" s="18"/>
      <c r="KIX932" s="18"/>
      <c r="KIY932" s="18"/>
      <c r="KIZ932" s="18"/>
      <c r="KJA932" s="18"/>
      <c r="KJB932" s="18"/>
      <c r="KJC932" s="18"/>
      <c r="KJD932" s="18"/>
      <c r="KJE932" s="18"/>
      <c r="KJF932" s="18"/>
      <c r="KJG932" s="18"/>
      <c r="KJH932" s="18"/>
      <c r="KJI932" s="18"/>
      <c r="KJJ932" s="18"/>
      <c r="KJK932" s="18"/>
      <c r="KJL932" s="18"/>
      <c r="KJM932" s="18"/>
      <c r="KJN932" s="18"/>
      <c r="KJO932" s="18"/>
      <c r="KJP932" s="18"/>
      <c r="KJQ932" s="18"/>
      <c r="KJR932" s="18"/>
      <c r="KJS932" s="18"/>
      <c r="KJT932" s="18"/>
      <c r="KJU932" s="18"/>
      <c r="KJV932" s="18"/>
      <c r="KJW932" s="18"/>
      <c r="KJX932" s="18"/>
      <c r="KJY932" s="18"/>
      <c r="KJZ932" s="18"/>
      <c r="KKA932" s="18"/>
      <c r="KKB932" s="18"/>
      <c r="KKC932" s="18"/>
      <c r="KKD932" s="18"/>
      <c r="KKE932" s="18"/>
      <c r="KKF932" s="18"/>
      <c r="KKG932" s="18"/>
      <c r="KKH932" s="18"/>
      <c r="KKI932" s="18"/>
      <c r="KKJ932" s="18"/>
      <c r="KKK932" s="18"/>
      <c r="KKL932" s="18"/>
      <c r="KKM932" s="18"/>
      <c r="KKN932" s="18"/>
      <c r="KKO932" s="18"/>
      <c r="KKP932" s="18"/>
      <c r="KKQ932" s="18"/>
      <c r="KKR932" s="18"/>
      <c r="KKS932" s="18"/>
      <c r="KKT932" s="18"/>
      <c r="KKU932" s="18"/>
      <c r="KKV932" s="18"/>
      <c r="KKW932" s="18"/>
      <c r="KKX932" s="18"/>
      <c r="KKY932" s="18"/>
      <c r="KKZ932" s="18"/>
      <c r="KLA932" s="18"/>
      <c r="KLB932" s="18"/>
      <c r="KLC932" s="18"/>
      <c r="KLD932" s="18"/>
      <c r="KLE932" s="18"/>
      <c r="KLF932" s="18"/>
      <c r="KLG932" s="18"/>
      <c r="KLH932" s="18"/>
      <c r="KLI932" s="18"/>
      <c r="KLJ932" s="18"/>
      <c r="KLK932" s="18"/>
      <c r="KLL932" s="18"/>
      <c r="KLM932" s="18"/>
      <c r="KLN932" s="18"/>
      <c r="KLO932" s="18"/>
      <c r="KLP932" s="18"/>
      <c r="KLQ932" s="18"/>
      <c r="KLR932" s="18"/>
      <c r="KLS932" s="18"/>
      <c r="KLT932" s="18"/>
      <c r="KLU932" s="18"/>
      <c r="KLV932" s="18"/>
      <c r="KLW932" s="18"/>
      <c r="KLX932" s="18"/>
      <c r="KLY932" s="18"/>
      <c r="KLZ932" s="18"/>
      <c r="KMA932" s="18"/>
      <c r="KMB932" s="18"/>
      <c r="KMC932" s="18"/>
      <c r="KMD932" s="18"/>
      <c r="KME932" s="18"/>
      <c r="KMF932" s="18"/>
      <c r="KMG932" s="18"/>
      <c r="KMH932" s="18"/>
      <c r="KMI932" s="18"/>
      <c r="KMJ932" s="18"/>
      <c r="KMK932" s="18"/>
      <c r="KML932" s="18"/>
      <c r="KMM932" s="18"/>
      <c r="KMN932" s="18"/>
      <c r="KMO932" s="18"/>
      <c r="KMP932" s="18"/>
      <c r="KMQ932" s="18"/>
      <c r="KMR932" s="18"/>
      <c r="KMS932" s="18"/>
      <c r="KMT932" s="18"/>
      <c r="KMU932" s="18"/>
      <c r="KMV932" s="18"/>
      <c r="KMW932" s="18"/>
      <c r="KMX932" s="18"/>
      <c r="KMY932" s="18"/>
      <c r="KMZ932" s="18"/>
      <c r="KNA932" s="18"/>
      <c r="KNB932" s="18"/>
      <c r="KNC932" s="18"/>
      <c r="KND932" s="18"/>
      <c r="KNE932" s="18"/>
      <c r="KNF932" s="18"/>
      <c r="KNG932" s="18"/>
      <c r="KNH932" s="18"/>
      <c r="KNI932" s="18"/>
      <c r="KNJ932" s="18"/>
      <c r="KNK932" s="18"/>
      <c r="KNL932" s="18"/>
      <c r="KNM932" s="18"/>
      <c r="KNN932" s="18"/>
      <c r="KNO932" s="18"/>
      <c r="KNP932" s="18"/>
      <c r="KNQ932" s="18"/>
      <c r="KNR932" s="18"/>
      <c r="KNS932" s="18"/>
      <c r="KNT932" s="18"/>
      <c r="KNU932" s="18"/>
      <c r="KNV932" s="18"/>
      <c r="KNW932" s="18"/>
      <c r="KNX932" s="18"/>
      <c r="KNY932" s="18"/>
      <c r="KNZ932" s="18"/>
      <c r="KOA932" s="18"/>
      <c r="KOB932" s="18"/>
      <c r="KOC932" s="18"/>
      <c r="KOD932" s="18"/>
      <c r="KOE932" s="18"/>
      <c r="KOF932" s="18"/>
      <c r="KOG932" s="18"/>
      <c r="KOH932" s="18"/>
      <c r="KOI932" s="18"/>
      <c r="KOJ932" s="18"/>
      <c r="KOK932" s="18"/>
      <c r="KOL932" s="18"/>
      <c r="KOM932" s="18"/>
      <c r="KON932" s="18"/>
      <c r="KOO932" s="18"/>
      <c r="KOP932" s="18"/>
      <c r="KOQ932" s="18"/>
      <c r="KOR932" s="18"/>
      <c r="KOS932" s="18"/>
      <c r="KOT932" s="18"/>
      <c r="KOU932" s="18"/>
      <c r="KOV932" s="18"/>
      <c r="KOW932" s="18"/>
      <c r="KOX932" s="18"/>
      <c r="KOY932" s="18"/>
      <c r="KOZ932" s="18"/>
      <c r="KPA932" s="18"/>
      <c r="KPB932" s="18"/>
      <c r="KPC932" s="18"/>
      <c r="KPD932" s="18"/>
      <c r="KPE932" s="18"/>
      <c r="KPF932" s="18"/>
      <c r="KPG932" s="18"/>
      <c r="KPH932" s="18"/>
      <c r="KPI932" s="18"/>
      <c r="KPJ932" s="18"/>
      <c r="KPK932" s="18"/>
      <c r="KPL932" s="18"/>
      <c r="KPM932" s="18"/>
      <c r="KPN932" s="18"/>
      <c r="KPO932" s="18"/>
      <c r="KPP932" s="18"/>
      <c r="KPQ932" s="18"/>
      <c r="KPR932" s="18"/>
      <c r="KPS932" s="18"/>
      <c r="KPT932" s="18"/>
      <c r="KPU932" s="18"/>
      <c r="KPV932" s="18"/>
      <c r="KPW932" s="18"/>
      <c r="KPX932" s="18"/>
      <c r="KPY932" s="18"/>
      <c r="KPZ932" s="18"/>
      <c r="KQA932" s="18"/>
      <c r="KQB932" s="18"/>
      <c r="KQC932" s="18"/>
      <c r="KQD932" s="18"/>
      <c r="KQE932" s="18"/>
      <c r="KQF932" s="18"/>
      <c r="KQG932" s="18"/>
      <c r="KQH932" s="18"/>
      <c r="KQI932" s="18"/>
      <c r="KQJ932" s="18"/>
      <c r="KQK932" s="18"/>
      <c r="KQL932" s="18"/>
      <c r="KQM932" s="18"/>
      <c r="KQN932" s="18"/>
      <c r="KQO932" s="18"/>
      <c r="KQP932" s="18"/>
      <c r="KQQ932" s="18"/>
      <c r="KQR932" s="18"/>
      <c r="KQS932" s="18"/>
      <c r="KQT932" s="18"/>
      <c r="KQU932" s="18"/>
      <c r="KQV932" s="18"/>
      <c r="KQW932" s="18"/>
      <c r="KQX932" s="18"/>
      <c r="KQY932" s="18"/>
      <c r="KQZ932" s="18"/>
      <c r="KRA932" s="18"/>
      <c r="KRB932" s="18"/>
      <c r="KRC932" s="18"/>
      <c r="KRD932" s="18"/>
      <c r="KRE932" s="18"/>
      <c r="KRF932" s="18"/>
      <c r="KRG932" s="18"/>
      <c r="KRH932" s="18"/>
      <c r="KRI932" s="18"/>
      <c r="KRJ932" s="18"/>
      <c r="KRK932" s="18"/>
      <c r="KRL932" s="18"/>
      <c r="KRM932" s="18"/>
      <c r="KRN932" s="18"/>
      <c r="KRO932" s="18"/>
      <c r="KRP932" s="18"/>
      <c r="KRQ932" s="18"/>
      <c r="KRR932" s="18"/>
      <c r="KRS932" s="18"/>
      <c r="KRT932" s="18"/>
      <c r="KRU932" s="18"/>
      <c r="KRV932" s="18"/>
      <c r="KRW932" s="18"/>
      <c r="KRX932" s="18"/>
      <c r="KRY932" s="18"/>
      <c r="KRZ932" s="18"/>
      <c r="KSA932" s="18"/>
      <c r="KSB932" s="18"/>
      <c r="KSC932" s="18"/>
      <c r="KSD932" s="18"/>
      <c r="KSE932" s="18"/>
      <c r="KSF932" s="18"/>
      <c r="KSG932" s="18"/>
      <c r="KSH932" s="18"/>
      <c r="KSI932" s="18"/>
      <c r="KSJ932" s="18"/>
      <c r="KSK932" s="18"/>
      <c r="KSL932" s="18"/>
      <c r="KSM932" s="18"/>
      <c r="KSN932" s="18"/>
      <c r="KSO932" s="18"/>
      <c r="KSP932" s="18"/>
      <c r="KSQ932" s="18"/>
      <c r="KSR932" s="18"/>
      <c r="KSS932" s="18"/>
      <c r="KST932" s="18"/>
      <c r="KSU932" s="18"/>
      <c r="KSV932" s="18"/>
      <c r="KSW932" s="18"/>
      <c r="KSX932" s="18"/>
      <c r="KSY932" s="18"/>
      <c r="KSZ932" s="18"/>
      <c r="KTA932" s="18"/>
      <c r="KTB932" s="18"/>
      <c r="KTC932" s="18"/>
      <c r="KTD932" s="18"/>
      <c r="KTE932" s="18"/>
      <c r="KTF932" s="18"/>
      <c r="KTG932" s="18"/>
      <c r="KTH932" s="18"/>
      <c r="KTI932" s="18"/>
      <c r="KTJ932" s="18"/>
      <c r="KTK932" s="18"/>
      <c r="KTL932" s="18"/>
      <c r="KTM932" s="18"/>
      <c r="KTN932" s="18"/>
      <c r="KTO932" s="18"/>
      <c r="KTP932" s="18"/>
      <c r="KTQ932" s="18"/>
      <c r="KTR932" s="18"/>
      <c r="KTS932" s="18"/>
      <c r="KTT932" s="18"/>
      <c r="KTU932" s="18"/>
      <c r="KTV932" s="18"/>
      <c r="KTW932" s="18"/>
      <c r="KTX932" s="18"/>
      <c r="KTY932" s="18"/>
      <c r="KTZ932" s="18"/>
      <c r="KUA932" s="18"/>
      <c r="KUB932" s="18"/>
      <c r="KUC932" s="18"/>
      <c r="KUD932" s="18"/>
      <c r="KUE932" s="18"/>
      <c r="KUF932" s="18"/>
      <c r="KUG932" s="18"/>
      <c r="KUH932" s="18"/>
      <c r="KUI932" s="18"/>
      <c r="KUJ932" s="18"/>
      <c r="KUK932" s="18"/>
      <c r="KUL932" s="18"/>
      <c r="KUM932" s="18"/>
      <c r="KUN932" s="18"/>
      <c r="KUO932" s="18"/>
      <c r="KUP932" s="18"/>
      <c r="KUQ932" s="18"/>
      <c r="KUR932" s="18"/>
      <c r="KUS932" s="18"/>
      <c r="KUT932" s="18"/>
      <c r="KUU932" s="18"/>
      <c r="KUV932" s="18"/>
      <c r="KUW932" s="18"/>
      <c r="KUX932" s="18"/>
      <c r="KUY932" s="18"/>
      <c r="KUZ932" s="18"/>
      <c r="KVA932" s="18"/>
      <c r="KVB932" s="18"/>
      <c r="KVC932" s="18"/>
      <c r="KVD932" s="18"/>
      <c r="KVE932" s="18"/>
      <c r="KVF932" s="18"/>
      <c r="KVG932" s="18"/>
      <c r="KVH932" s="18"/>
      <c r="KVI932" s="18"/>
      <c r="KVJ932" s="18"/>
      <c r="KVK932" s="18"/>
      <c r="KVL932" s="18"/>
      <c r="KVM932" s="18"/>
      <c r="KVN932" s="18"/>
      <c r="KVO932" s="18"/>
      <c r="KVP932" s="18"/>
      <c r="KVQ932" s="18"/>
      <c r="KVR932" s="18"/>
      <c r="KVS932" s="18"/>
      <c r="KVT932" s="18"/>
      <c r="KVU932" s="18"/>
      <c r="KVV932" s="18"/>
      <c r="KVW932" s="18"/>
      <c r="KVX932" s="18"/>
      <c r="KVY932" s="18"/>
      <c r="KVZ932" s="18"/>
      <c r="KWA932" s="18"/>
      <c r="KWB932" s="18"/>
      <c r="KWC932" s="18"/>
      <c r="KWD932" s="18"/>
      <c r="KWE932" s="18"/>
      <c r="KWF932" s="18"/>
      <c r="KWG932" s="18"/>
      <c r="KWH932" s="18"/>
      <c r="KWI932" s="18"/>
      <c r="KWJ932" s="18"/>
      <c r="KWK932" s="18"/>
      <c r="KWL932" s="18"/>
      <c r="KWM932" s="18"/>
      <c r="KWN932" s="18"/>
      <c r="KWO932" s="18"/>
      <c r="KWP932" s="18"/>
      <c r="KWQ932" s="18"/>
      <c r="KWR932" s="18"/>
      <c r="KWS932" s="18"/>
      <c r="KWT932" s="18"/>
      <c r="KWU932" s="18"/>
      <c r="KWV932" s="18"/>
      <c r="KWW932" s="18"/>
      <c r="KWX932" s="18"/>
      <c r="KWY932" s="18"/>
      <c r="KWZ932" s="18"/>
      <c r="KXA932" s="18"/>
      <c r="KXB932" s="18"/>
      <c r="KXC932" s="18"/>
      <c r="KXD932" s="18"/>
      <c r="KXE932" s="18"/>
      <c r="KXF932" s="18"/>
      <c r="KXG932" s="18"/>
      <c r="KXH932" s="18"/>
      <c r="KXI932" s="18"/>
      <c r="KXJ932" s="18"/>
      <c r="KXK932" s="18"/>
      <c r="KXL932" s="18"/>
      <c r="KXM932" s="18"/>
      <c r="KXN932" s="18"/>
      <c r="KXO932" s="18"/>
      <c r="KXP932" s="18"/>
      <c r="KXQ932" s="18"/>
      <c r="KXR932" s="18"/>
      <c r="KXS932" s="18"/>
      <c r="KXT932" s="18"/>
      <c r="KXU932" s="18"/>
      <c r="KXV932" s="18"/>
      <c r="KXW932" s="18"/>
      <c r="KXX932" s="18"/>
      <c r="KXY932" s="18"/>
      <c r="KXZ932" s="18"/>
      <c r="KYA932" s="18"/>
      <c r="KYB932" s="18"/>
      <c r="KYC932" s="18"/>
      <c r="KYD932" s="18"/>
      <c r="KYE932" s="18"/>
      <c r="KYF932" s="18"/>
      <c r="KYG932" s="18"/>
      <c r="KYH932" s="18"/>
      <c r="KYI932" s="18"/>
      <c r="KYJ932" s="18"/>
      <c r="KYK932" s="18"/>
      <c r="KYL932" s="18"/>
      <c r="KYM932" s="18"/>
      <c r="KYN932" s="18"/>
      <c r="KYO932" s="18"/>
      <c r="KYP932" s="18"/>
      <c r="KYQ932" s="18"/>
      <c r="KYR932" s="18"/>
      <c r="KYS932" s="18"/>
      <c r="KYT932" s="18"/>
      <c r="KYU932" s="18"/>
      <c r="KYV932" s="18"/>
      <c r="KYW932" s="18"/>
      <c r="KYX932" s="18"/>
      <c r="KYY932" s="18"/>
      <c r="KYZ932" s="18"/>
      <c r="KZA932" s="18"/>
      <c r="KZB932" s="18"/>
      <c r="KZC932" s="18"/>
      <c r="KZD932" s="18"/>
      <c r="KZE932" s="18"/>
      <c r="KZF932" s="18"/>
      <c r="KZG932" s="18"/>
      <c r="KZH932" s="18"/>
      <c r="KZI932" s="18"/>
      <c r="KZJ932" s="18"/>
      <c r="KZK932" s="18"/>
      <c r="KZL932" s="18"/>
      <c r="KZM932" s="18"/>
      <c r="KZN932" s="18"/>
      <c r="KZO932" s="18"/>
      <c r="KZP932" s="18"/>
      <c r="KZQ932" s="18"/>
      <c r="KZR932" s="18"/>
      <c r="KZS932" s="18"/>
      <c r="KZT932" s="18"/>
      <c r="KZU932" s="18"/>
      <c r="KZV932" s="18"/>
      <c r="KZW932" s="18"/>
      <c r="KZX932" s="18"/>
      <c r="KZY932" s="18"/>
      <c r="KZZ932" s="18"/>
      <c r="LAA932" s="18"/>
      <c r="LAB932" s="18"/>
      <c r="LAC932" s="18"/>
      <c r="LAD932" s="18"/>
      <c r="LAE932" s="18"/>
      <c r="LAF932" s="18"/>
      <c r="LAG932" s="18"/>
      <c r="LAH932" s="18"/>
      <c r="LAI932" s="18"/>
      <c r="LAJ932" s="18"/>
      <c r="LAK932" s="18"/>
      <c r="LAL932" s="18"/>
      <c r="LAM932" s="18"/>
      <c r="LAN932" s="18"/>
      <c r="LAO932" s="18"/>
      <c r="LAP932" s="18"/>
      <c r="LAQ932" s="18"/>
      <c r="LAR932" s="18"/>
      <c r="LAS932" s="18"/>
      <c r="LAT932" s="18"/>
      <c r="LAU932" s="18"/>
      <c r="LAV932" s="18"/>
      <c r="LAW932" s="18"/>
      <c r="LAX932" s="18"/>
      <c r="LAY932" s="18"/>
      <c r="LAZ932" s="18"/>
      <c r="LBA932" s="18"/>
      <c r="LBB932" s="18"/>
      <c r="LBC932" s="18"/>
      <c r="LBD932" s="18"/>
      <c r="LBE932" s="18"/>
      <c r="LBF932" s="18"/>
      <c r="LBG932" s="18"/>
      <c r="LBH932" s="18"/>
      <c r="LBI932" s="18"/>
      <c r="LBJ932" s="18"/>
      <c r="LBK932" s="18"/>
      <c r="LBL932" s="18"/>
      <c r="LBM932" s="18"/>
      <c r="LBN932" s="18"/>
      <c r="LBO932" s="18"/>
      <c r="LBP932" s="18"/>
      <c r="LBQ932" s="18"/>
      <c r="LBR932" s="18"/>
      <c r="LBS932" s="18"/>
      <c r="LBT932" s="18"/>
      <c r="LBU932" s="18"/>
      <c r="LBV932" s="18"/>
      <c r="LBW932" s="18"/>
      <c r="LBX932" s="18"/>
      <c r="LBY932" s="18"/>
      <c r="LBZ932" s="18"/>
      <c r="LCA932" s="18"/>
      <c r="LCB932" s="18"/>
      <c r="LCC932" s="18"/>
      <c r="LCD932" s="18"/>
      <c r="LCE932" s="18"/>
      <c r="LCF932" s="18"/>
      <c r="LCG932" s="18"/>
      <c r="LCH932" s="18"/>
      <c r="LCI932" s="18"/>
      <c r="LCJ932" s="18"/>
      <c r="LCK932" s="18"/>
      <c r="LCL932" s="18"/>
      <c r="LCM932" s="18"/>
      <c r="LCN932" s="18"/>
      <c r="LCO932" s="18"/>
      <c r="LCP932" s="18"/>
      <c r="LCQ932" s="18"/>
      <c r="LCR932" s="18"/>
      <c r="LCS932" s="18"/>
      <c r="LCT932" s="18"/>
      <c r="LCU932" s="18"/>
      <c r="LCV932" s="18"/>
      <c r="LCW932" s="18"/>
      <c r="LCX932" s="18"/>
      <c r="LCY932" s="18"/>
      <c r="LCZ932" s="18"/>
      <c r="LDA932" s="18"/>
      <c r="LDB932" s="18"/>
      <c r="LDC932" s="18"/>
      <c r="LDD932" s="18"/>
      <c r="LDE932" s="18"/>
      <c r="LDF932" s="18"/>
      <c r="LDG932" s="18"/>
      <c r="LDH932" s="18"/>
      <c r="LDI932" s="18"/>
      <c r="LDJ932" s="18"/>
      <c r="LDK932" s="18"/>
      <c r="LDL932" s="18"/>
      <c r="LDM932" s="18"/>
      <c r="LDN932" s="18"/>
      <c r="LDO932" s="18"/>
      <c r="LDP932" s="18"/>
      <c r="LDQ932" s="18"/>
      <c r="LDR932" s="18"/>
      <c r="LDS932" s="18"/>
      <c r="LDT932" s="18"/>
      <c r="LDU932" s="18"/>
      <c r="LDV932" s="18"/>
      <c r="LDW932" s="18"/>
      <c r="LDX932" s="18"/>
      <c r="LDY932" s="18"/>
      <c r="LDZ932" s="18"/>
      <c r="LEA932" s="18"/>
      <c r="LEB932" s="18"/>
      <c r="LEC932" s="18"/>
      <c r="LED932" s="18"/>
      <c r="LEE932" s="18"/>
      <c r="LEF932" s="18"/>
      <c r="LEG932" s="18"/>
      <c r="LEH932" s="18"/>
      <c r="LEI932" s="18"/>
      <c r="LEJ932" s="18"/>
      <c r="LEK932" s="18"/>
      <c r="LEL932" s="18"/>
      <c r="LEM932" s="18"/>
      <c r="LEN932" s="18"/>
      <c r="LEO932" s="18"/>
      <c r="LEP932" s="18"/>
      <c r="LEQ932" s="18"/>
      <c r="LER932" s="18"/>
      <c r="LES932" s="18"/>
      <c r="LET932" s="18"/>
      <c r="LEU932" s="18"/>
      <c r="LEV932" s="18"/>
      <c r="LEW932" s="18"/>
      <c r="LEX932" s="18"/>
      <c r="LEY932" s="18"/>
      <c r="LEZ932" s="18"/>
      <c r="LFA932" s="18"/>
      <c r="LFB932" s="18"/>
      <c r="LFC932" s="18"/>
      <c r="LFD932" s="18"/>
      <c r="LFE932" s="18"/>
      <c r="LFF932" s="18"/>
      <c r="LFG932" s="18"/>
      <c r="LFH932" s="18"/>
      <c r="LFI932" s="18"/>
      <c r="LFJ932" s="18"/>
      <c r="LFK932" s="18"/>
      <c r="LFL932" s="18"/>
      <c r="LFM932" s="18"/>
      <c r="LFN932" s="18"/>
      <c r="LFO932" s="18"/>
      <c r="LFP932" s="18"/>
      <c r="LFQ932" s="18"/>
      <c r="LFR932" s="18"/>
      <c r="LFS932" s="18"/>
      <c r="LFT932" s="18"/>
      <c r="LFU932" s="18"/>
      <c r="LFV932" s="18"/>
      <c r="LFW932" s="18"/>
      <c r="LFX932" s="18"/>
      <c r="LFY932" s="18"/>
      <c r="LFZ932" s="18"/>
      <c r="LGA932" s="18"/>
      <c r="LGB932" s="18"/>
      <c r="LGC932" s="18"/>
      <c r="LGD932" s="18"/>
      <c r="LGE932" s="18"/>
      <c r="LGF932" s="18"/>
      <c r="LGG932" s="18"/>
      <c r="LGH932" s="18"/>
      <c r="LGI932" s="18"/>
      <c r="LGJ932" s="18"/>
      <c r="LGK932" s="18"/>
      <c r="LGL932" s="18"/>
      <c r="LGM932" s="18"/>
      <c r="LGN932" s="18"/>
      <c r="LGO932" s="18"/>
      <c r="LGP932" s="18"/>
      <c r="LGQ932" s="18"/>
      <c r="LGR932" s="18"/>
      <c r="LGS932" s="18"/>
      <c r="LGT932" s="18"/>
      <c r="LGU932" s="18"/>
      <c r="LGV932" s="18"/>
      <c r="LGW932" s="18"/>
      <c r="LGX932" s="18"/>
      <c r="LGY932" s="18"/>
      <c r="LGZ932" s="18"/>
      <c r="LHA932" s="18"/>
      <c r="LHB932" s="18"/>
      <c r="LHC932" s="18"/>
      <c r="LHD932" s="18"/>
      <c r="LHE932" s="18"/>
      <c r="LHF932" s="18"/>
      <c r="LHG932" s="18"/>
      <c r="LHH932" s="18"/>
      <c r="LHI932" s="18"/>
      <c r="LHJ932" s="18"/>
      <c r="LHK932" s="18"/>
      <c r="LHL932" s="18"/>
      <c r="LHM932" s="18"/>
      <c r="LHN932" s="18"/>
      <c r="LHO932" s="18"/>
      <c r="LHP932" s="18"/>
      <c r="LHQ932" s="18"/>
      <c r="LHR932" s="18"/>
      <c r="LHS932" s="18"/>
      <c r="LHT932" s="18"/>
      <c r="LHU932" s="18"/>
      <c r="LHV932" s="18"/>
      <c r="LHW932" s="18"/>
      <c r="LHX932" s="18"/>
      <c r="LHY932" s="18"/>
      <c r="LHZ932" s="18"/>
      <c r="LIA932" s="18"/>
      <c r="LIB932" s="18"/>
      <c r="LIC932" s="18"/>
      <c r="LID932" s="18"/>
      <c r="LIE932" s="18"/>
      <c r="LIF932" s="18"/>
      <c r="LIG932" s="18"/>
      <c r="LIH932" s="18"/>
      <c r="LII932" s="18"/>
      <c r="LIJ932" s="18"/>
      <c r="LIK932" s="18"/>
      <c r="LIL932" s="18"/>
      <c r="LIM932" s="18"/>
      <c r="LIN932" s="18"/>
      <c r="LIO932" s="18"/>
      <c r="LIP932" s="18"/>
      <c r="LIQ932" s="18"/>
      <c r="LIR932" s="18"/>
      <c r="LIS932" s="18"/>
      <c r="LIT932" s="18"/>
      <c r="LIU932" s="18"/>
      <c r="LIV932" s="18"/>
      <c r="LIW932" s="18"/>
      <c r="LIX932" s="18"/>
      <c r="LIY932" s="18"/>
      <c r="LIZ932" s="18"/>
      <c r="LJA932" s="18"/>
      <c r="LJB932" s="18"/>
      <c r="LJC932" s="18"/>
      <c r="LJD932" s="18"/>
      <c r="LJE932" s="18"/>
      <c r="LJF932" s="18"/>
      <c r="LJG932" s="18"/>
      <c r="LJH932" s="18"/>
      <c r="LJI932" s="18"/>
      <c r="LJJ932" s="18"/>
      <c r="LJK932" s="18"/>
      <c r="LJL932" s="18"/>
      <c r="LJM932" s="18"/>
      <c r="LJN932" s="18"/>
      <c r="LJO932" s="18"/>
      <c r="LJP932" s="18"/>
      <c r="LJQ932" s="18"/>
      <c r="LJR932" s="18"/>
      <c r="LJS932" s="18"/>
      <c r="LJT932" s="18"/>
      <c r="LJU932" s="18"/>
      <c r="LJV932" s="18"/>
      <c r="LJW932" s="18"/>
      <c r="LJX932" s="18"/>
      <c r="LJY932" s="18"/>
      <c r="LJZ932" s="18"/>
      <c r="LKA932" s="18"/>
      <c r="LKB932" s="18"/>
      <c r="LKC932" s="18"/>
      <c r="LKD932" s="18"/>
      <c r="LKE932" s="18"/>
      <c r="LKF932" s="18"/>
      <c r="LKG932" s="18"/>
      <c r="LKH932" s="18"/>
      <c r="LKI932" s="18"/>
      <c r="LKJ932" s="18"/>
      <c r="LKK932" s="18"/>
      <c r="LKL932" s="18"/>
      <c r="LKM932" s="18"/>
      <c r="LKN932" s="18"/>
      <c r="LKO932" s="18"/>
      <c r="LKP932" s="18"/>
      <c r="LKQ932" s="18"/>
      <c r="LKR932" s="18"/>
      <c r="LKS932" s="18"/>
      <c r="LKT932" s="18"/>
      <c r="LKU932" s="18"/>
      <c r="LKV932" s="18"/>
      <c r="LKW932" s="18"/>
      <c r="LKX932" s="18"/>
      <c r="LKY932" s="18"/>
      <c r="LKZ932" s="18"/>
      <c r="LLA932" s="18"/>
      <c r="LLB932" s="18"/>
      <c r="LLC932" s="18"/>
      <c r="LLD932" s="18"/>
      <c r="LLE932" s="18"/>
      <c r="LLF932" s="18"/>
      <c r="LLG932" s="18"/>
      <c r="LLH932" s="18"/>
      <c r="LLI932" s="18"/>
      <c r="LLJ932" s="18"/>
      <c r="LLK932" s="18"/>
      <c r="LLL932" s="18"/>
      <c r="LLM932" s="18"/>
      <c r="LLN932" s="18"/>
      <c r="LLO932" s="18"/>
      <c r="LLP932" s="18"/>
      <c r="LLQ932" s="18"/>
      <c r="LLR932" s="18"/>
      <c r="LLS932" s="18"/>
      <c r="LLT932" s="18"/>
      <c r="LLU932" s="18"/>
      <c r="LLV932" s="18"/>
      <c r="LLW932" s="18"/>
      <c r="LLX932" s="18"/>
      <c r="LLY932" s="18"/>
      <c r="LLZ932" s="18"/>
      <c r="LMA932" s="18"/>
      <c r="LMB932" s="18"/>
      <c r="LMC932" s="18"/>
      <c r="LMD932" s="18"/>
      <c r="LME932" s="18"/>
      <c r="LMF932" s="18"/>
      <c r="LMG932" s="18"/>
      <c r="LMH932" s="18"/>
      <c r="LMI932" s="18"/>
      <c r="LMJ932" s="18"/>
      <c r="LMK932" s="18"/>
      <c r="LML932" s="18"/>
      <c r="LMM932" s="18"/>
      <c r="LMN932" s="18"/>
      <c r="LMO932" s="18"/>
      <c r="LMP932" s="18"/>
      <c r="LMQ932" s="18"/>
      <c r="LMR932" s="18"/>
      <c r="LMS932" s="18"/>
      <c r="LMT932" s="18"/>
      <c r="LMU932" s="18"/>
      <c r="LMV932" s="18"/>
      <c r="LMW932" s="18"/>
      <c r="LMX932" s="18"/>
      <c r="LMY932" s="18"/>
      <c r="LMZ932" s="18"/>
      <c r="LNA932" s="18"/>
      <c r="LNB932" s="18"/>
      <c r="LNC932" s="18"/>
      <c r="LND932" s="18"/>
      <c r="LNE932" s="18"/>
      <c r="LNF932" s="18"/>
      <c r="LNG932" s="18"/>
      <c r="LNH932" s="18"/>
      <c r="LNI932" s="18"/>
      <c r="LNJ932" s="18"/>
      <c r="LNK932" s="18"/>
      <c r="LNL932" s="18"/>
      <c r="LNM932" s="18"/>
      <c r="LNN932" s="18"/>
      <c r="LNO932" s="18"/>
      <c r="LNP932" s="18"/>
      <c r="LNQ932" s="18"/>
      <c r="LNR932" s="18"/>
      <c r="LNS932" s="18"/>
      <c r="LNT932" s="18"/>
      <c r="LNU932" s="18"/>
      <c r="LNV932" s="18"/>
      <c r="LNW932" s="18"/>
      <c r="LNX932" s="18"/>
      <c r="LNY932" s="18"/>
      <c r="LNZ932" s="18"/>
      <c r="LOA932" s="18"/>
      <c r="LOB932" s="18"/>
      <c r="LOC932" s="18"/>
      <c r="LOD932" s="18"/>
      <c r="LOE932" s="18"/>
      <c r="LOF932" s="18"/>
      <c r="LOG932" s="18"/>
      <c r="LOH932" s="18"/>
      <c r="LOI932" s="18"/>
      <c r="LOJ932" s="18"/>
      <c r="LOK932" s="18"/>
      <c r="LOL932" s="18"/>
      <c r="LOM932" s="18"/>
      <c r="LON932" s="18"/>
      <c r="LOO932" s="18"/>
      <c r="LOP932" s="18"/>
      <c r="LOQ932" s="18"/>
      <c r="LOR932" s="18"/>
      <c r="LOS932" s="18"/>
      <c r="LOT932" s="18"/>
      <c r="LOU932" s="18"/>
      <c r="LOV932" s="18"/>
      <c r="LOW932" s="18"/>
      <c r="LOX932" s="18"/>
      <c r="LOY932" s="18"/>
      <c r="LOZ932" s="18"/>
      <c r="LPA932" s="18"/>
      <c r="LPB932" s="18"/>
      <c r="LPC932" s="18"/>
      <c r="LPD932" s="18"/>
      <c r="LPE932" s="18"/>
      <c r="LPF932" s="18"/>
      <c r="LPG932" s="18"/>
      <c r="LPH932" s="18"/>
      <c r="LPI932" s="18"/>
      <c r="LPJ932" s="18"/>
      <c r="LPK932" s="18"/>
      <c r="LPL932" s="18"/>
      <c r="LPM932" s="18"/>
      <c r="LPN932" s="18"/>
      <c r="LPO932" s="18"/>
      <c r="LPP932" s="18"/>
      <c r="LPQ932" s="18"/>
      <c r="LPR932" s="18"/>
      <c r="LPS932" s="18"/>
      <c r="LPT932" s="18"/>
      <c r="LPU932" s="18"/>
      <c r="LPV932" s="18"/>
      <c r="LPW932" s="18"/>
      <c r="LPX932" s="18"/>
      <c r="LPY932" s="18"/>
      <c r="LPZ932" s="18"/>
      <c r="LQA932" s="18"/>
      <c r="LQB932" s="18"/>
      <c r="LQC932" s="18"/>
      <c r="LQD932" s="18"/>
      <c r="LQE932" s="18"/>
      <c r="LQF932" s="18"/>
      <c r="LQG932" s="18"/>
      <c r="LQH932" s="18"/>
      <c r="LQI932" s="18"/>
      <c r="LQJ932" s="18"/>
      <c r="LQK932" s="18"/>
      <c r="LQL932" s="18"/>
      <c r="LQM932" s="18"/>
      <c r="LQN932" s="18"/>
      <c r="LQO932" s="18"/>
      <c r="LQP932" s="18"/>
      <c r="LQQ932" s="18"/>
      <c r="LQR932" s="18"/>
      <c r="LQS932" s="18"/>
      <c r="LQT932" s="18"/>
      <c r="LQU932" s="18"/>
      <c r="LQV932" s="18"/>
      <c r="LQW932" s="18"/>
      <c r="LQX932" s="18"/>
      <c r="LQY932" s="18"/>
      <c r="LQZ932" s="18"/>
      <c r="LRA932" s="18"/>
      <c r="LRB932" s="18"/>
      <c r="LRC932" s="18"/>
      <c r="LRD932" s="18"/>
      <c r="LRE932" s="18"/>
      <c r="LRF932" s="18"/>
      <c r="LRG932" s="18"/>
      <c r="LRH932" s="18"/>
      <c r="LRI932" s="18"/>
      <c r="LRJ932" s="18"/>
      <c r="LRK932" s="18"/>
      <c r="LRL932" s="18"/>
      <c r="LRM932" s="18"/>
      <c r="LRN932" s="18"/>
      <c r="LRO932" s="18"/>
      <c r="LRP932" s="18"/>
      <c r="LRQ932" s="18"/>
      <c r="LRR932" s="18"/>
      <c r="LRS932" s="18"/>
      <c r="LRT932" s="18"/>
      <c r="LRU932" s="18"/>
      <c r="LRV932" s="18"/>
      <c r="LRW932" s="18"/>
      <c r="LRX932" s="18"/>
      <c r="LRY932" s="18"/>
      <c r="LRZ932" s="18"/>
      <c r="LSA932" s="18"/>
      <c r="LSB932" s="18"/>
      <c r="LSC932" s="18"/>
      <c r="LSD932" s="18"/>
      <c r="LSE932" s="18"/>
      <c r="LSF932" s="18"/>
      <c r="LSG932" s="18"/>
      <c r="LSH932" s="18"/>
      <c r="LSI932" s="18"/>
      <c r="LSJ932" s="18"/>
      <c r="LSK932" s="18"/>
      <c r="LSL932" s="18"/>
      <c r="LSM932" s="18"/>
      <c r="LSN932" s="18"/>
      <c r="LSO932" s="18"/>
      <c r="LSP932" s="18"/>
      <c r="LSQ932" s="18"/>
      <c r="LSR932" s="18"/>
      <c r="LSS932" s="18"/>
      <c r="LST932" s="18"/>
      <c r="LSU932" s="18"/>
      <c r="LSV932" s="18"/>
      <c r="LSW932" s="18"/>
      <c r="LSX932" s="18"/>
      <c r="LSY932" s="18"/>
      <c r="LSZ932" s="18"/>
      <c r="LTA932" s="18"/>
      <c r="LTB932" s="18"/>
      <c r="LTC932" s="18"/>
      <c r="LTD932" s="18"/>
      <c r="LTE932" s="18"/>
      <c r="LTF932" s="18"/>
      <c r="LTG932" s="18"/>
      <c r="LTH932" s="18"/>
      <c r="LTI932" s="18"/>
      <c r="LTJ932" s="18"/>
      <c r="LTK932" s="18"/>
      <c r="LTL932" s="18"/>
      <c r="LTM932" s="18"/>
      <c r="LTN932" s="18"/>
      <c r="LTO932" s="18"/>
      <c r="LTP932" s="18"/>
      <c r="LTQ932" s="18"/>
      <c r="LTR932" s="18"/>
      <c r="LTS932" s="18"/>
      <c r="LTT932" s="18"/>
      <c r="LTU932" s="18"/>
      <c r="LTV932" s="18"/>
      <c r="LTW932" s="18"/>
      <c r="LTX932" s="18"/>
      <c r="LTY932" s="18"/>
      <c r="LTZ932" s="18"/>
      <c r="LUA932" s="18"/>
      <c r="LUB932" s="18"/>
      <c r="LUC932" s="18"/>
      <c r="LUD932" s="18"/>
      <c r="LUE932" s="18"/>
      <c r="LUF932" s="18"/>
      <c r="LUG932" s="18"/>
      <c r="LUH932" s="18"/>
      <c r="LUI932" s="18"/>
      <c r="LUJ932" s="18"/>
      <c r="LUK932" s="18"/>
      <c r="LUL932" s="18"/>
      <c r="LUM932" s="18"/>
      <c r="LUN932" s="18"/>
      <c r="LUO932" s="18"/>
      <c r="LUP932" s="18"/>
      <c r="LUQ932" s="18"/>
      <c r="LUR932" s="18"/>
      <c r="LUS932" s="18"/>
      <c r="LUT932" s="18"/>
      <c r="LUU932" s="18"/>
      <c r="LUV932" s="18"/>
      <c r="LUW932" s="18"/>
      <c r="LUX932" s="18"/>
      <c r="LUY932" s="18"/>
      <c r="LUZ932" s="18"/>
      <c r="LVA932" s="18"/>
      <c r="LVB932" s="18"/>
      <c r="LVC932" s="18"/>
      <c r="LVD932" s="18"/>
      <c r="LVE932" s="18"/>
      <c r="LVF932" s="18"/>
      <c r="LVG932" s="18"/>
      <c r="LVH932" s="18"/>
      <c r="LVI932" s="18"/>
      <c r="LVJ932" s="18"/>
      <c r="LVK932" s="18"/>
      <c r="LVL932" s="18"/>
      <c r="LVM932" s="18"/>
      <c r="LVN932" s="18"/>
      <c r="LVO932" s="18"/>
      <c r="LVP932" s="18"/>
      <c r="LVQ932" s="18"/>
      <c r="LVR932" s="18"/>
      <c r="LVS932" s="18"/>
      <c r="LVT932" s="18"/>
      <c r="LVU932" s="18"/>
      <c r="LVV932" s="18"/>
      <c r="LVW932" s="18"/>
      <c r="LVX932" s="18"/>
      <c r="LVY932" s="18"/>
      <c r="LVZ932" s="18"/>
      <c r="LWA932" s="18"/>
      <c r="LWB932" s="18"/>
      <c r="LWC932" s="18"/>
      <c r="LWD932" s="18"/>
      <c r="LWE932" s="18"/>
      <c r="LWF932" s="18"/>
      <c r="LWG932" s="18"/>
      <c r="LWH932" s="18"/>
      <c r="LWI932" s="18"/>
      <c r="LWJ932" s="18"/>
      <c r="LWK932" s="18"/>
      <c r="LWL932" s="18"/>
      <c r="LWM932" s="18"/>
      <c r="LWN932" s="18"/>
      <c r="LWO932" s="18"/>
      <c r="LWP932" s="18"/>
      <c r="LWQ932" s="18"/>
      <c r="LWR932" s="18"/>
      <c r="LWS932" s="18"/>
      <c r="LWT932" s="18"/>
      <c r="LWU932" s="18"/>
      <c r="LWV932" s="18"/>
      <c r="LWW932" s="18"/>
      <c r="LWX932" s="18"/>
      <c r="LWY932" s="18"/>
      <c r="LWZ932" s="18"/>
      <c r="LXA932" s="18"/>
      <c r="LXB932" s="18"/>
      <c r="LXC932" s="18"/>
      <c r="LXD932" s="18"/>
      <c r="LXE932" s="18"/>
      <c r="LXF932" s="18"/>
      <c r="LXG932" s="18"/>
      <c r="LXH932" s="18"/>
      <c r="LXI932" s="18"/>
      <c r="LXJ932" s="18"/>
      <c r="LXK932" s="18"/>
      <c r="LXL932" s="18"/>
      <c r="LXM932" s="18"/>
      <c r="LXN932" s="18"/>
      <c r="LXO932" s="18"/>
      <c r="LXP932" s="18"/>
      <c r="LXQ932" s="18"/>
      <c r="LXR932" s="18"/>
      <c r="LXS932" s="18"/>
      <c r="LXT932" s="18"/>
      <c r="LXU932" s="18"/>
      <c r="LXV932" s="18"/>
      <c r="LXW932" s="18"/>
      <c r="LXX932" s="18"/>
      <c r="LXY932" s="18"/>
      <c r="LXZ932" s="18"/>
      <c r="LYA932" s="18"/>
      <c r="LYB932" s="18"/>
      <c r="LYC932" s="18"/>
      <c r="LYD932" s="18"/>
      <c r="LYE932" s="18"/>
      <c r="LYF932" s="18"/>
      <c r="LYG932" s="18"/>
      <c r="LYH932" s="18"/>
      <c r="LYI932" s="18"/>
      <c r="LYJ932" s="18"/>
      <c r="LYK932" s="18"/>
      <c r="LYL932" s="18"/>
      <c r="LYM932" s="18"/>
      <c r="LYN932" s="18"/>
      <c r="LYO932" s="18"/>
      <c r="LYP932" s="18"/>
      <c r="LYQ932" s="18"/>
      <c r="LYR932" s="18"/>
      <c r="LYS932" s="18"/>
      <c r="LYT932" s="18"/>
      <c r="LYU932" s="18"/>
      <c r="LYV932" s="18"/>
      <c r="LYW932" s="18"/>
      <c r="LYX932" s="18"/>
      <c r="LYY932" s="18"/>
      <c r="LYZ932" s="18"/>
      <c r="LZA932" s="18"/>
      <c r="LZB932" s="18"/>
      <c r="LZC932" s="18"/>
      <c r="LZD932" s="18"/>
      <c r="LZE932" s="18"/>
      <c r="LZF932" s="18"/>
      <c r="LZG932" s="18"/>
      <c r="LZH932" s="18"/>
      <c r="LZI932" s="18"/>
      <c r="LZJ932" s="18"/>
      <c r="LZK932" s="18"/>
      <c r="LZL932" s="18"/>
      <c r="LZM932" s="18"/>
      <c r="LZN932" s="18"/>
      <c r="LZO932" s="18"/>
      <c r="LZP932" s="18"/>
      <c r="LZQ932" s="18"/>
      <c r="LZR932" s="18"/>
      <c r="LZS932" s="18"/>
      <c r="LZT932" s="18"/>
      <c r="LZU932" s="18"/>
      <c r="LZV932" s="18"/>
      <c r="LZW932" s="18"/>
      <c r="LZX932" s="18"/>
      <c r="LZY932" s="18"/>
      <c r="LZZ932" s="18"/>
      <c r="MAA932" s="18"/>
      <c r="MAB932" s="18"/>
      <c r="MAC932" s="18"/>
      <c r="MAD932" s="18"/>
      <c r="MAE932" s="18"/>
      <c r="MAF932" s="18"/>
      <c r="MAG932" s="18"/>
      <c r="MAH932" s="18"/>
      <c r="MAI932" s="18"/>
      <c r="MAJ932" s="18"/>
      <c r="MAK932" s="18"/>
      <c r="MAL932" s="18"/>
      <c r="MAM932" s="18"/>
      <c r="MAN932" s="18"/>
      <c r="MAO932" s="18"/>
      <c r="MAP932" s="18"/>
      <c r="MAQ932" s="18"/>
      <c r="MAR932" s="18"/>
      <c r="MAS932" s="18"/>
      <c r="MAT932" s="18"/>
      <c r="MAU932" s="18"/>
      <c r="MAV932" s="18"/>
      <c r="MAW932" s="18"/>
      <c r="MAX932" s="18"/>
      <c r="MAY932" s="18"/>
      <c r="MAZ932" s="18"/>
      <c r="MBA932" s="18"/>
      <c r="MBB932" s="18"/>
      <c r="MBC932" s="18"/>
      <c r="MBD932" s="18"/>
      <c r="MBE932" s="18"/>
      <c r="MBF932" s="18"/>
      <c r="MBG932" s="18"/>
      <c r="MBH932" s="18"/>
      <c r="MBI932" s="18"/>
      <c r="MBJ932" s="18"/>
      <c r="MBK932" s="18"/>
      <c r="MBL932" s="18"/>
      <c r="MBM932" s="18"/>
      <c r="MBN932" s="18"/>
      <c r="MBO932" s="18"/>
      <c r="MBP932" s="18"/>
      <c r="MBQ932" s="18"/>
      <c r="MBR932" s="18"/>
      <c r="MBS932" s="18"/>
      <c r="MBT932" s="18"/>
      <c r="MBU932" s="18"/>
      <c r="MBV932" s="18"/>
      <c r="MBW932" s="18"/>
      <c r="MBX932" s="18"/>
      <c r="MBY932" s="18"/>
      <c r="MBZ932" s="18"/>
      <c r="MCA932" s="18"/>
      <c r="MCB932" s="18"/>
      <c r="MCC932" s="18"/>
      <c r="MCD932" s="18"/>
      <c r="MCE932" s="18"/>
      <c r="MCF932" s="18"/>
      <c r="MCG932" s="18"/>
      <c r="MCH932" s="18"/>
      <c r="MCI932" s="18"/>
      <c r="MCJ932" s="18"/>
      <c r="MCK932" s="18"/>
      <c r="MCL932" s="18"/>
      <c r="MCM932" s="18"/>
      <c r="MCN932" s="18"/>
      <c r="MCO932" s="18"/>
      <c r="MCP932" s="18"/>
      <c r="MCQ932" s="18"/>
      <c r="MCR932" s="18"/>
      <c r="MCS932" s="18"/>
      <c r="MCT932" s="18"/>
      <c r="MCU932" s="18"/>
      <c r="MCV932" s="18"/>
      <c r="MCW932" s="18"/>
      <c r="MCX932" s="18"/>
      <c r="MCY932" s="18"/>
      <c r="MCZ932" s="18"/>
      <c r="MDA932" s="18"/>
      <c r="MDB932" s="18"/>
      <c r="MDC932" s="18"/>
      <c r="MDD932" s="18"/>
      <c r="MDE932" s="18"/>
      <c r="MDF932" s="18"/>
      <c r="MDG932" s="18"/>
      <c r="MDH932" s="18"/>
      <c r="MDI932" s="18"/>
      <c r="MDJ932" s="18"/>
      <c r="MDK932" s="18"/>
      <c r="MDL932" s="18"/>
      <c r="MDM932" s="18"/>
      <c r="MDN932" s="18"/>
      <c r="MDO932" s="18"/>
      <c r="MDP932" s="18"/>
      <c r="MDQ932" s="18"/>
      <c r="MDR932" s="18"/>
      <c r="MDS932" s="18"/>
      <c r="MDT932" s="18"/>
      <c r="MDU932" s="18"/>
      <c r="MDV932" s="18"/>
      <c r="MDW932" s="18"/>
      <c r="MDX932" s="18"/>
      <c r="MDY932" s="18"/>
      <c r="MDZ932" s="18"/>
      <c r="MEA932" s="18"/>
      <c r="MEB932" s="18"/>
      <c r="MEC932" s="18"/>
      <c r="MED932" s="18"/>
      <c r="MEE932" s="18"/>
      <c r="MEF932" s="18"/>
      <c r="MEG932" s="18"/>
      <c r="MEH932" s="18"/>
      <c r="MEI932" s="18"/>
      <c r="MEJ932" s="18"/>
      <c r="MEK932" s="18"/>
      <c r="MEL932" s="18"/>
      <c r="MEM932" s="18"/>
      <c r="MEN932" s="18"/>
      <c r="MEO932" s="18"/>
      <c r="MEP932" s="18"/>
      <c r="MEQ932" s="18"/>
      <c r="MER932" s="18"/>
      <c r="MES932" s="18"/>
      <c r="MET932" s="18"/>
      <c r="MEU932" s="18"/>
      <c r="MEV932" s="18"/>
      <c r="MEW932" s="18"/>
      <c r="MEX932" s="18"/>
      <c r="MEY932" s="18"/>
      <c r="MEZ932" s="18"/>
      <c r="MFA932" s="18"/>
      <c r="MFB932" s="18"/>
      <c r="MFC932" s="18"/>
      <c r="MFD932" s="18"/>
      <c r="MFE932" s="18"/>
      <c r="MFF932" s="18"/>
      <c r="MFG932" s="18"/>
      <c r="MFH932" s="18"/>
      <c r="MFI932" s="18"/>
      <c r="MFJ932" s="18"/>
      <c r="MFK932" s="18"/>
      <c r="MFL932" s="18"/>
      <c r="MFM932" s="18"/>
      <c r="MFN932" s="18"/>
      <c r="MFO932" s="18"/>
      <c r="MFP932" s="18"/>
      <c r="MFQ932" s="18"/>
      <c r="MFR932" s="18"/>
      <c r="MFS932" s="18"/>
      <c r="MFT932" s="18"/>
      <c r="MFU932" s="18"/>
      <c r="MFV932" s="18"/>
      <c r="MFW932" s="18"/>
      <c r="MFX932" s="18"/>
      <c r="MFY932" s="18"/>
      <c r="MFZ932" s="18"/>
      <c r="MGA932" s="18"/>
      <c r="MGB932" s="18"/>
      <c r="MGC932" s="18"/>
      <c r="MGD932" s="18"/>
      <c r="MGE932" s="18"/>
      <c r="MGF932" s="18"/>
      <c r="MGG932" s="18"/>
      <c r="MGH932" s="18"/>
      <c r="MGI932" s="18"/>
      <c r="MGJ932" s="18"/>
      <c r="MGK932" s="18"/>
      <c r="MGL932" s="18"/>
      <c r="MGM932" s="18"/>
      <c r="MGN932" s="18"/>
      <c r="MGO932" s="18"/>
      <c r="MGP932" s="18"/>
      <c r="MGQ932" s="18"/>
      <c r="MGR932" s="18"/>
      <c r="MGS932" s="18"/>
      <c r="MGT932" s="18"/>
      <c r="MGU932" s="18"/>
      <c r="MGV932" s="18"/>
      <c r="MGW932" s="18"/>
      <c r="MGX932" s="18"/>
      <c r="MGY932" s="18"/>
      <c r="MGZ932" s="18"/>
      <c r="MHA932" s="18"/>
      <c r="MHB932" s="18"/>
      <c r="MHC932" s="18"/>
      <c r="MHD932" s="18"/>
      <c r="MHE932" s="18"/>
      <c r="MHF932" s="18"/>
      <c r="MHG932" s="18"/>
      <c r="MHH932" s="18"/>
      <c r="MHI932" s="18"/>
      <c r="MHJ932" s="18"/>
      <c r="MHK932" s="18"/>
      <c r="MHL932" s="18"/>
      <c r="MHM932" s="18"/>
      <c r="MHN932" s="18"/>
      <c r="MHO932" s="18"/>
      <c r="MHP932" s="18"/>
      <c r="MHQ932" s="18"/>
      <c r="MHR932" s="18"/>
      <c r="MHS932" s="18"/>
      <c r="MHT932" s="18"/>
      <c r="MHU932" s="18"/>
      <c r="MHV932" s="18"/>
      <c r="MHW932" s="18"/>
      <c r="MHX932" s="18"/>
      <c r="MHY932" s="18"/>
      <c r="MHZ932" s="18"/>
      <c r="MIA932" s="18"/>
      <c r="MIB932" s="18"/>
      <c r="MIC932" s="18"/>
      <c r="MID932" s="18"/>
      <c r="MIE932" s="18"/>
      <c r="MIF932" s="18"/>
      <c r="MIG932" s="18"/>
      <c r="MIH932" s="18"/>
      <c r="MII932" s="18"/>
      <c r="MIJ932" s="18"/>
      <c r="MIK932" s="18"/>
      <c r="MIL932" s="18"/>
      <c r="MIM932" s="18"/>
      <c r="MIN932" s="18"/>
      <c r="MIO932" s="18"/>
      <c r="MIP932" s="18"/>
      <c r="MIQ932" s="18"/>
      <c r="MIR932" s="18"/>
      <c r="MIS932" s="18"/>
      <c r="MIT932" s="18"/>
      <c r="MIU932" s="18"/>
      <c r="MIV932" s="18"/>
      <c r="MIW932" s="18"/>
      <c r="MIX932" s="18"/>
      <c r="MIY932" s="18"/>
      <c r="MIZ932" s="18"/>
      <c r="MJA932" s="18"/>
      <c r="MJB932" s="18"/>
      <c r="MJC932" s="18"/>
      <c r="MJD932" s="18"/>
      <c r="MJE932" s="18"/>
      <c r="MJF932" s="18"/>
      <c r="MJG932" s="18"/>
      <c r="MJH932" s="18"/>
      <c r="MJI932" s="18"/>
      <c r="MJJ932" s="18"/>
      <c r="MJK932" s="18"/>
      <c r="MJL932" s="18"/>
      <c r="MJM932" s="18"/>
      <c r="MJN932" s="18"/>
      <c r="MJO932" s="18"/>
      <c r="MJP932" s="18"/>
      <c r="MJQ932" s="18"/>
      <c r="MJR932" s="18"/>
      <c r="MJS932" s="18"/>
      <c r="MJT932" s="18"/>
      <c r="MJU932" s="18"/>
      <c r="MJV932" s="18"/>
      <c r="MJW932" s="18"/>
      <c r="MJX932" s="18"/>
      <c r="MJY932" s="18"/>
      <c r="MJZ932" s="18"/>
      <c r="MKA932" s="18"/>
      <c r="MKB932" s="18"/>
      <c r="MKC932" s="18"/>
      <c r="MKD932" s="18"/>
      <c r="MKE932" s="18"/>
      <c r="MKF932" s="18"/>
      <c r="MKG932" s="18"/>
      <c r="MKH932" s="18"/>
      <c r="MKI932" s="18"/>
      <c r="MKJ932" s="18"/>
      <c r="MKK932" s="18"/>
      <c r="MKL932" s="18"/>
      <c r="MKM932" s="18"/>
      <c r="MKN932" s="18"/>
      <c r="MKO932" s="18"/>
      <c r="MKP932" s="18"/>
      <c r="MKQ932" s="18"/>
      <c r="MKR932" s="18"/>
      <c r="MKS932" s="18"/>
      <c r="MKT932" s="18"/>
      <c r="MKU932" s="18"/>
      <c r="MKV932" s="18"/>
      <c r="MKW932" s="18"/>
      <c r="MKX932" s="18"/>
      <c r="MKY932" s="18"/>
      <c r="MKZ932" s="18"/>
      <c r="MLA932" s="18"/>
      <c r="MLB932" s="18"/>
      <c r="MLC932" s="18"/>
      <c r="MLD932" s="18"/>
      <c r="MLE932" s="18"/>
      <c r="MLF932" s="18"/>
      <c r="MLG932" s="18"/>
      <c r="MLH932" s="18"/>
      <c r="MLI932" s="18"/>
      <c r="MLJ932" s="18"/>
      <c r="MLK932" s="18"/>
      <c r="MLL932" s="18"/>
      <c r="MLM932" s="18"/>
      <c r="MLN932" s="18"/>
      <c r="MLO932" s="18"/>
      <c r="MLP932" s="18"/>
      <c r="MLQ932" s="18"/>
      <c r="MLR932" s="18"/>
      <c r="MLS932" s="18"/>
      <c r="MLT932" s="18"/>
      <c r="MLU932" s="18"/>
      <c r="MLV932" s="18"/>
      <c r="MLW932" s="18"/>
      <c r="MLX932" s="18"/>
      <c r="MLY932" s="18"/>
      <c r="MLZ932" s="18"/>
      <c r="MMA932" s="18"/>
      <c r="MMB932" s="18"/>
      <c r="MMC932" s="18"/>
      <c r="MMD932" s="18"/>
      <c r="MME932" s="18"/>
      <c r="MMF932" s="18"/>
      <c r="MMG932" s="18"/>
      <c r="MMH932" s="18"/>
      <c r="MMI932" s="18"/>
      <c r="MMJ932" s="18"/>
      <c r="MMK932" s="18"/>
      <c r="MML932" s="18"/>
      <c r="MMM932" s="18"/>
      <c r="MMN932" s="18"/>
      <c r="MMO932" s="18"/>
      <c r="MMP932" s="18"/>
      <c r="MMQ932" s="18"/>
      <c r="MMR932" s="18"/>
      <c r="MMS932" s="18"/>
      <c r="MMT932" s="18"/>
      <c r="MMU932" s="18"/>
      <c r="MMV932" s="18"/>
      <c r="MMW932" s="18"/>
      <c r="MMX932" s="18"/>
      <c r="MMY932" s="18"/>
      <c r="MMZ932" s="18"/>
      <c r="MNA932" s="18"/>
      <c r="MNB932" s="18"/>
      <c r="MNC932" s="18"/>
      <c r="MND932" s="18"/>
      <c r="MNE932" s="18"/>
      <c r="MNF932" s="18"/>
      <c r="MNG932" s="18"/>
      <c r="MNH932" s="18"/>
      <c r="MNI932" s="18"/>
      <c r="MNJ932" s="18"/>
      <c r="MNK932" s="18"/>
      <c r="MNL932" s="18"/>
      <c r="MNM932" s="18"/>
      <c r="MNN932" s="18"/>
      <c r="MNO932" s="18"/>
      <c r="MNP932" s="18"/>
      <c r="MNQ932" s="18"/>
      <c r="MNR932" s="18"/>
      <c r="MNS932" s="18"/>
      <c r="MNT932" s="18"/>
      <c r="MNU932" s="18"/>
      <c r="MNV932" s="18"/>
      <c r="MNW932" s="18"/>
      <c r="MNX932" s="18"/>
      <c r="MNY932" s="18"/>
      <c r="MNZ932" s="18"/>
      <c r="MOA932" s="18"/>
      <c r="MOB932" s="18"/>
      <c r="MOC932" s="18"/>
      <c r="MOD932" s="18"/>
      <c r="MOE932" s="18"/>
      <c r="MOF932" s="18"/>
      <c r="MOG932" s="18"/>
      <c r="MOH932" s="18"/>
      <c r="MOI932" s="18"/>
      <c r="MOJ932" s="18"/>
      <c r="MOK932" s="18"/>
      <c r="MOL932" s="18"/>
      <c r="MOM932" s="18"/>
      <c r="MON932" s="18"/>
      <c r="MOO932" s="18"/>
      <c r="MOP932" s="18"/>
      <c r="MOQ932" s="18"/>
      <c r="MOR932" s="18"/>
      <c r="MOS932" s="18"/>
      <c r="MOT932" s="18"/>
      <c r="MOU932" s="18"/>
      <c r="MOV932" s="18"/>
      <c r="MOW932" s="18"/>
      <c r="MOX932" s="18"/>
      <c r="MOY932" s="18"/>
      <c r="MOZ932" s="18"/>
      <c r="MPA932" s="18"/>
      <c r="MPB932" s="18"/>
      <c r="MPC932" s="18"/>
      <c r="MPD932" s="18"/>
      <c r="MPE932" s="18"/>
      <c r="MPF932" s="18"/>
      <c r="MPG932" s="18"/>
      <c r="MPH932" s="18"/>
      <c r="MPI932" s="18"/>
      <c r="MPJ932" s="18"/>
      <c r="MPK932" s="18"/>
      <c r="MPL932" s="18"/>
      <c r="MPM932" s="18"/>
      <c r="MPN932" s="18"/>
      <c r="MPO932" s="18"/>
      <c r="MPP932" s="18"/>
      <c r="MPQ932" s="18"/>
      <c r="MPR932" s="18"/>
      <c r="MPS932" s="18"/>
      <c r="MPT932" s="18"/>
      <c r="MPU932" s="18"/>
      <c r="MPV932" s="18"/>
      <c r="MPW932" s="18"/>
      <c r="MPX932" s="18"/>
      <c r="MPY932" s="18"/>
      <c r="MPZ932" s="18"/>
      <c r="MQA932" s="18"/>
      <c r="MQB932" s="18"/>
      <c r="MQC932" s="18"/>
      <c r="MQD932" s="18"/>
      <c r="MQE932" s="18"/>
      <c r="MQF932" s="18"/>
      <c r="MQG932" s="18"/>
      <c r="MQH932" s="18"/>
      <c r="MQI932" s="18"/>
      <c r="MQJ932" s="18"/>
      <c r="MQK932" s="18"/>
      <c r="MQL932" s="18"/>
      <c r="MQM932" s="18"/>
      <c r="MQN932" s="18"/>
      <c r="MQO932" s="18"/>
      <c r="MQP932" s="18"/>
      <c r="MQQ932" s="18"/>
      <c r="MQR932" s="18"/>
      <c r="MQS932" s="18"/>
      <c r="MQT932" s="18"/>
      <c r="MQU932" s="18"/>
      <c r="MQV932" s="18"/>
      <c r="MQW932" s="18"/>
      <c r="MQX932" s="18"/>
      <c r="MQY932" s="18"/>
      <c r="MQZ932" s="18"/>
      <c r="MRA932" s="18"/>
      <c r="MRB932" s="18"/>
      <c r="MRC932" s="18"/>
      <c r="MRD932" s="18"/>
      <c r="MRE932" s="18"/>
      <c r="MRF932" s="18"/>
      <c r="MRG932" s="18"/>
      <c r="MRH932" s="18"/>
      <c r="MRI932" s="18"/>
      <c r="MRJ932" s="18"/>
      <c r="MRK932" s="18"/>
      <c r="MRL932" s="18"/>
      <c r="MRM932" s="18"/>
      <c r="MRN932" s="18"/>
      <c r="MRO932" s="18"/>
      <c r="MRP932" s="18"/>
      <c r="MRQ932" s="18"/>
      <c r="MRR932" s="18"/>
      <c r="MRS932" s="18"/>
      <c r="MRT932" s="18"/>
      <c r="MRU932" s="18"/>
      <c r="MRV932" s="18"/>
      <c r="MRW932" s="18"/>
      <c r="MRX932" s="18"/>
      <c r="MRY932" s="18"/>
      <c r="MRZ932" s="18"/>
      <c r="MSA932" s="18"/>
      <c r="MSB932" s="18"/>
      <c r="MSC932" s="18"/>
      <c r="MSD932" s="18"/>
      <c r="MSE932" s="18"/>
      <c r="MSF932" s="18"/>
      <c r="MSG932" s="18"/>
      <c r="MSH932" s="18"/>
      <c r="MSI932" s="18"/>
      <c r="MSJ932" s="18"/>
      <c r="MSK932" s="18"/>
      <c r="MSL932" s="18"/>
      <c r="MSM932" s="18"/>
      <c r="MSN932" s="18"/>
      <c r="MSO932" s="18"/>
      <c r="MSP932" s="18"/>
      <c r="MSQ932" s="18"/>
      <c r="MSR932" s="18"/>
      <c r="MSS932" s="18"/>
      <c r="MST932" s="18"/>
      <c r="MSU932" s="18"/>
      <c r="MSV932" s="18"/>
      <c r="MSW932" s="18"/>
      <c r="MSX932" s="18"/>
      <c r="MSY932" s="18"/>
      <c r="MSZ932" s="18"/>
      <c r="MTA932" s="18"/>
      <c r="MTB932" s="18"/>
      <c r="MTC932" s="18"/>
      <c r="MTD932" s="18"/>
      <c r="MTE932" s="18"/>
      <c r="MTF932" s="18"/>
      <c r="MTG932" s="18"/>
      <c r="MTH932" s="18"/>
      <c r="MTI932" s="18"/>
      <c r="MTJ932" s="18"/>
      <c r="MTK932" s="18"/>
      <c r="MTL932" s="18"/>
      <c r="MTM932" s="18"/>
      <c r="MTN932" s="18"/>
      <c r="MTO932" s="18"/>
      <c r="MTP932" s="18"/>
      <c r="MTQ932" s="18"/>
      <c r="MTR932" s="18"/>
      <c r="MTS932" s="18"/>
      <c r="MTT932" s="18"/>
      <c r="MTU932" s="18"/>
      <c r="MTV932" s="18"/>
      <c r="MTW932" s="18"/>
      <c r="MTX932" s="18"/>
      <c r="MTY932" s="18"/>
      <c r="MTZ932" s="18"/>
      <c r="MUA932" s="18"/>
      <c r="MUB932" s="18"/>
      <c r="MUC932" s="18"/>
      <c r="MUD932" s="18"/>
      <c r="MUE932" s="18"/>
      <c r="MUF932" s="18"/>
      <c r="MUG932" s="18"/>
      <c r="MUH932" s="18"/>
      <c r="MUI932" s="18"/>
      <c r="MUJ932" s="18"/>
      <c r="MUK932" s="18"/>
      <c r="MUL932" s="18"/>
      <c r="MUM932" s="18"/>
      <c r="MUN932" s="18"/>
      <c r="MUO932" s="18"/>
      <c r="MUP932" s="18"/>
      <c r="MUQ932" s="18"/>
      <c r="MUR932" s="18"/>
      <c r="MUS932" s="18"/>
      <c r="MUT932" s="18"/>
      <c r="MUU932" s="18"/>
      <c r="MUV932" s="18"/>
      <c r="MUW932" s="18"/>
      <c r="MUX932" s="18"/>
      <c r="MUY932" s="18"/>
      <c r="MUZ932" s="18"/>
      <c r="MVA932" s="18"/>
      <c r="MVB932" s="18"/>
      <c r="MVC932" s="18"/>
      <c r="MVD932" s="18"/>
      <c r="MVE932" s="18"/>
      <c r="MVF932" s="18"/>
      <c r="MVG932" s="18"/>
      <c r="MVH932" s="18"/>
      <c r="MVI932" s="18"/>
      <c r="MVJ932" s="18"/>
      <c r="MVK932" s="18"/>
      <c r="MVL932" s="18"/>
      <c r="MVM932" s="18"/>
      <c r="MVN932" s="18"/>
      <c r="MVO932" s="18"/>
      <c r="MVP932" s="18"/>
      <c r="MVQ932" s="18"/>
      <c r="MVR932" s="18"/>
      <c r="MVS932" s="18"/>
      <c r="MVT932" s="18"/>
      <c r="MVU932" s="18"/>
      <c r="MVV932" s="18"/>
      <c r="MVW932" s="18"/>
      <c r="MVX932" s="18"/>
      <c r="MVY932" s="18"/>
      <c r="MVZ932" s="18"/>
      <c r="MWA932" s="18"/>
      <c r="MWB932" s="18"/>
      <c r="MWC932" s="18"/>
      <c r="MWD932" s="18"/>
      <c r="MWE932" s="18"/>
      <c r="MWF932" s="18"/>
      <c r="MWG932" s="18"/>
      <c r="MWH932" s="18"/>
      <c r="MWI932" s="18"/>
      <c r="MWJ932" s="18"/>
      <c r="MWK932" s="18"/>
      <c r="MWL932" s="18"/>
      <c r="MWM932" s="18"/>
      <c r="MWN932" s="18"/>
      <c r="MWO932" s="18"/>
      <c r="MWP932" s="18"/>
      <c r="MWQ932" s="18"/>
      <c r="MWR932" s="18"/>
      <c r="MWS932" s="18"/>
      <c r="MWT932" s="18"/>
      <c r="MWU932" s="18"/>
      <c r="MWV932" s="18"/>
      <c r="MWW932" s="18"/>
      <c r="MWX932" s="18"/>
      <c r="MWY932" s="18"/>
      <c r="MWZ932" s="18"/>
      <c r="MXA932" s="18"/>
      <c r="MXB932" s="18"/>
      <c r="MXC932" s="18"/>
      <c r="MXD932" s="18"/>
      <c r="MXE932" s="18"/>
      <c r="MXF932" s="18"/>
      <c r="MXG932" s="18"/>
      <c r="MXH932" s="18"/>
      <c r="MXI932" s="18"/>
      <c r="MXJ932" s="18"/>
      <c r="MXK932" s="18"/>
      <c r="MXL932" s="18"/>
      <c r="MXM932" s="18"/>
      <c r="MXN932" s="18"/>
      <c r="MXO932" s="18"/>
      <c r="MXP932" s="18"/>
      <c r="MXQ932" s="18"/>
      <c r="MXR932" s="18"/>
      <c r="MXS932" s="18"/>
      <c r="MXT932" s="18"/>
      <c r="MXU932" s="18"/>
      <c r="MXV932" s="18"/>
      <c r="MXW932" s="18"/>
      <c r="MXX932" s="18"/>
      <c r="MXY932" s="18"/>
      <c r="MXZ932" s="18"/>
      <c r="MYA932" s="18"/>
      <c r="MYB932" s="18"/>
      <c r="MYC932" s="18"/>
      <c r="MYD932" s="18"/>
      <c r="MYE932" s="18"/>
      <c r="MYF932" s="18"/>
      <c r="MYG932" s="18"/>
      <c r="MYH932" s="18"/>
      <c r="MYI932" s="18"/>
      <c r="MYJ932" s="18"/>
      <c r="MYK932" s="18"/>
      <c r="MYL932" s="18"/>
      <c r="MYM932" s="18"/>
      <c r="MYN932" s="18"/>
      <c r="MYO932" s="18"/>
      <c r="MYP932" s="18"/>
      <c r="MYQ932" s="18"/>
      <c r="MYR932" s="18"/>
      <c r="MYS932" s="18"/>
      <c r="MYT932" s="18"/>
      <c r="MYU932" s="18"/>
      <c r="MYV932" s="18"/>
      <c r="MYW932" s="18"/>
      <c r="MYX932" s="18"/>
      <c r="MYY932" s="18"/>
      <c r="MYZ932" s="18"/>
      <c r="MZA932" s="18"/>
      <c r="MZB932" s="18"/>
      <c r="MZC932" s="18"/>
      <c r="MZD932" s="18"/>
      <c r="MZE932" s="18"/>
      <c r="MZF932" s="18"/>
      <c r="MZG932" s="18"/>
      <c r="MZH932" s="18"/>
      <c r="MZI932" s="18"/>
      <c r="MZJ932" s="18"/>
      <c r="MZK932" s="18"/>
      <c r="MZL932" s="18"/>
      <c r="MZM932" s="18"/>
      <c r="MZN932" s="18"/>
      <c r="MZO932" s="18"/>
      <c r="MZP932" s="18"/>
      <c r="MZQ932" s="18"/>
      <c r="MZR932" s="18"/>
      <c r="MZS932" s="18"/>
      <c r="MZT932" s="18"/>
      <c r="MZU932" s="18"/>
      <c r="MZV932" s="18"/>
      <c r="MZW932" s="18"/>
      <c r="MZX932" s="18"/>
      <c r="MZY932" s="18"/>
      <c r="MZZ932" s="18"/>
      <c r="NAA932" s="18"/>
      <c r="NAB932" s="18"/>
      <c r="NAC932" s="18"/>
      <c r="NAD932" s="18"/>
      <c r="NAE932" s="18"/>
      <c r="NAF932" s="18"/>
      <c r="NAG932" s="18"/>
      <c r="NAH932" s="18"/>
      <c r="NAI932" s="18"/>
      <c r="NAJ932" s="18"/>
      <c r="NAK932" s="18"/>
      <c r="NAL932" s="18"/>
      <c r="NAM932" s="18"/>
      <c r="NAN932" s="18"/>
      <c r="NAO932" s="18"/>
      <c r="NAP932" s="18"/>
      <c r="NAQ932" s="18"/>
      <c r="NAR932" s="18"/>
      <c r="NAS932" s="18"/>
      <c r="NAT932" s="18"/>
      <c r="NAU932" s="18"/>
      <c r="NAV932" s="18"/>
      <c r="NAW932" s="18"/>
      <c r="NAX932" s="18"/>
      <c r="NAY932" s="18"/>
      <c r="NAZ932" s="18"/>
      <c r="NBA932" s="18"/>
      <c r="NBB932" s="18"/>
      <c r="NBC932" s="18"/>
      <c r="NBD932" s="18"/>
      <c r="NBE932" s="18"/>
      <c r="NBF932" s="18"/>
      <c r="NBG932" s="18"/>
      <c r="NBH932" s="18"/>
      <c r="NBI932" s="18"/>
      <c r="NBJ932" s="18"/>
      <c r="NBK932" s="18"/>
      <c r="NBL932" s="18"/>
      <c r="NBM932" s="18"/>
      <c r="NBN932" s="18"/>
      <c r="NBO932" s="18"/>
      <c r="NBP932" s="18"/>
      <c r="NBQ932" s="18"/>
      <c r="NBR932" s="18"/>
      <c r="NBS932" s="18"/>
      <c r="NBT932" s="18"/>
      <c r="NBU932" s="18"/>
      <c r="NBV932" s="18"/>
      <c r="NBW932" s="18"/>
      <c r="NBX932" s="18"/>
      <c r="NBY932" s="18"/>
      <c r="NBZ932" s="18"/>
      <c r="NCA932" s="18"/>
      <c r="NCB932" s="18"/>
      <c r="NCC932" s="18"/>
      <c r="NCD932" s="18"/>
      <c r="NCE932" s="18"/>
      <c r="NCF932" s="18"/>
      <c r="NCG932" s="18"/>
      <c r="NCH932" s="18"/>
      <c r="NCI932" s="18"/>
      <c r="NCJ932" s="18"/>
      <c r="NCK932" s="18"/>
      <c r="NCL932" s="18"/>
      <c r="NCM932" s="18"/>
      <c r="NCN932" s="18"/>
      <c r="NCO932" s="18"/>
      <c r="NCP932" s="18"/>
      <c r="NCQ932" s="18"/>
      <c r="NCR932" s="18"/>
      <c r="NCS932" s="18"/>
      <c r="NCT932" s="18"/>
      <c r="NCU932" s="18"/>
      <c r="NCV932" s="18"/>
      <c r="NCW932" s="18"/>
      <c r="NCX932" s="18"/>
      <c r="NCY932" s="18"/>
      <c r="NCZ932" s="18"/>
      <c r="NDA932" s="18"/>
      <c r="NDB932" s="18"/>
      <c r="NDC932" s="18"/>
      <c r="NDD932" s="18"/>
      <c r="NDE932" s="18"/>
      <c r="NDF932" s="18"/>
      <c r="NDG932" s="18"/>
      <c r="NDH932" s="18"/>
      <c r="NDI932" s="18"/>
      <c r="NDJ932" s="18"/>
      <c r="NDK932" s="18"/>
      <c r="NDL932" s="18"/>
      <c r="NDM932" s="18"/>
      <c r="NDN932" s="18"/>
      <c r="NDO932" s="18"/>
      <c r="NDP932" s="18"/>
      <c r="NDQ932" s="18"/>
      <c r="NDR932" s="18"/>
      <c r="NDS932" s="18"/>
      <c r="NDT932" s="18"/>
      <c r="NDU932" s="18"/>
      <c r="NDV932" s="18"/>
      <c r="NDW932" s="18"/>
      <c r="NDX932" s="18"/>
      <c r="NDY932" s="18"/>
      <c r="NDZ932" s="18"/>
      <c r="NEA932" s="18"/>
      <c r="NEB932" s="18"/>
      <c r="NEC932" s="18"/>
      <c r="NED932" s="18"/>
      <c r="NEE932" s="18"/>
      <c r="NEF932" s="18"/>
      <c r="NEG932" s="18"/>
      <c r="NEH932" s="18"/>
      <c r="NEI932" s="18"/>
      <c r="NEJ932" s="18"/>
      <c r="NEK932" s="18"/>
      <c r="NEL932" s="18"/>
      <c r="NEM932" s="18"/>
      <c r="NEN932" s="18"/>
      <c r="NEO932" s="18"/>
      <c r="NEP932" s="18"/>
      <c r="NEQ932" s="18"/>
      <c r="NER932" s="18"/>
      <c r="NES932" s="18"/>
      <c r="NET932" s="18"/>
      <c r="NEU932" s="18"/>
      <c r="NEV932" s="18"/>
      <c r="NEW932" s="18"/>
      <c r="NEX932" s="18"/>
      <c r="NEY932" s="18"/>
      <c r="NEZ932" s="18"/>
      <c r="NFA932" s="18"/>
      <c r="NFB932" s="18"/>
      <c r="NFC932" s="18"/>
      <c r="NFD932" s="18"/>
      <c r="NFE932" s="18"/>
      <c r="NFF932" s="18"/>
      <c r="NFG932" s="18"/>
      <c r="NFH932" s="18"/>
      <c r="NFI932" s="18"/>
      <c r="NFJ932" s="18"/>
      <c r="NFK932" s="18"/>
      <c r="NFL932" s="18"/>
      <c r="NFM932" s="18"/>
      <c r="NFN932" s="18"/>
      <c r="NFO932" s="18"/>
      <c r="NFP932" s="18"/>
      <c r="NFQ932" s="18"/>
      <c r="NFR932" s="18"/>
      <c r="NFS932" s="18"/>
      <c r="NFT932" s="18"/>
      <c r="NFU932" s="18"/>
      <c r="NFV932" s="18"/>
      <c r="NFW932" s="18"/>
      <c r="NFX932" s="18"/>
      <c r="NFY932" s="18"/>
      <c r="NFZ932" s="18"/>
      <c r="NGA932" s="18"/>
      <c r="NGB932" s="18"/>
      <c r="NGC932" s="18"/>
      <c r="NGD932" s="18"/>
      <c r="NGE932" s="18"/>
      <c r="NGF932" s="18"/>
      <c r="NGG932" s="18"/>
      <c r="NGH932" s="18"/>
      <c r="NGI932" s="18"/>
      <c r="NGJ932" s="18"/>
      <c r="NGK932" s="18"/>
      <c r="NGL932" s="18"/>
      <c r="NGM932" s="18"/>
      <c r="NGN932" s="18"/>
      <c r="NGO932" s="18"/>
      <c r="NGP932" s="18"/>
      <c r="NGQ932" s="18"/>
      <c r="NGR932" s="18"/>
      <c r="NGS932" s="18"/>
      <c r="NGT932" s="18"/>
      <c r="NGU932" s="18"/>
      <c r="NGV932" s="18"/>
      <c r="NGW932" s="18"/>
      <c r="NGX932" s="18"/>
      <c r="NGY932" s="18"/>
      <c r="NGZ932" s="18"/>
      <c r="NHA932" s="18"/>
      <c r="NHB932" s="18"/>
      <c r="NHC932" s="18"/>
      <c r="NHD932" s="18"/>
      <c r="NHE932" s="18"/>
      <c r="NHF932" s="18"/>
      <c r="NHG932" s="18"/>
      <c r="NHH932" s="18"/>
      <c r="NHI932" s="18"/>
      <c r="NHJ932" s="18"/>
      <c r="NHK932" s="18"/>
      <c r="NHL932" s="18"/>
      <c r="NHM932" s="18"/>
      <c r="NHN932" s="18"/>
      <c r="NHO932" s="18"/>
      <c r="NHP932" s="18"/>
      <c r="NHQ932" s="18"/>
      <c r="NHR932" s="18"/>
      <c r="NHS932" s="18"/>
      <c r="NHT932" s="18"/>
      <c r="NHU932" s="18"/>
      <c r="NHV932" s="18"/>
      <c r="NHW932" s="18"/>
      <c r="NHX932" s="18"/>
      <c r="NHY932" s="18"/>
      <c r="NHZ932" s="18"/>
      <c r="NIA932" s="18"/>
      <c r="NIB932" s="18"/>
      <c r="NIC932" s="18"/>
      <c r="NID932" s="18"/>
      <c r="NIE932" s="18"/>
      <c r="NIF932" s="18"/>
      <c r="NIG932" s="18"/>
      <c r="NIH932" s="18"/>
      <c r="NII932" s="18"/>
      <c r="NIJ932" s="18"/>
      <c r="NIK932" s="18"/>
      <c r="NIL932" s="18"/>
      <c r="NIM932" s="18"/>
      <c r="NIN932" s="18"/>
      <c r="NIO932" s="18"/>
      <c r="NIP932" s="18"/>
      <c r="NIQ932" s="18"/>
      <c r="NIR932" s="18"/>
      <c r="NIS932" s="18"/>
      <c r="NIT932" s="18"/>
      <c r="NIU932" s="18"/>
      <c r="NIV932" s="18"/>
      <c r="NIW932" s="18"/>
      <c r="NIX932" s="18"/>
      <c r="NIY932" s="18"/>
      <c r="NIZ932" s="18"/>
      <c r="NJA932" s="18"/>
      <c r="NJB932" s="18"/>
      <c r="NJC932" s="18"/>
      <c r="NJD932" s="18"/>
      <c r="NJE932" s="18"/>
      <c r="NJF932" s="18"/>
      <c r="NJG932" s="18"/>
      <c r="NJH932" s="18"/>
      <c r="NJI932" s="18"/>
      <c r="NJJ932" s="18"/>
      <c r="NJK932" s="18"/>
      <c r="NJL932" s="18"/>
      <c r="NJM932" s="18"/>
      <c r="NJN932" s="18"/>
      <c r="NJO932" s="18"/>
      <c r="NJP932" s="18"/>
      <c r="NJQ932" s="18"/>
      <c r="NJR932" s="18"/>
      <c r="NJS932" s="18"/>
      <c r="NJT932" s="18"/>
      <c r="NJU932" s="18"/>
      <c r="NJV932" s="18"/>
      <c r="NJW932" s="18"/>
      <c r="NJX932" s="18"/>
      <c r="NJY932" s="18"/>
      <c r="NJZ932" s="18"/>
      <c r="NKA932" s="18"/>
      <c r="NKB932" s="18"/>
      <c r="NKC932" s="18"/>
      <c r="NKD932" s="18"/>
      <c r="NKE932" s="18"/>
      <c r="NKF932" s="18"/>
      <c r="NKG932" s="18"/>
      <c r="NKH932" s="18"/>
      <c r="NKI932" s="18"/>
      <c r="NKJ932" s="18"/>
      <c r="NKK932" s="18"/>
      <c r="NKL932" s="18"/>
      <c r="NKM932" s="18"/>
      <c r="NKN932" s="18"/>
      <c r="NKO932" s="18"/>
      <c r="NKP932" s="18"/>
      <c r="NKQ932" s="18"/>
      <c r="NKR932" s="18"/>
      <c r="NKS932" s="18"/>
      <c r="NKT932" s="18"/>
      <c r="NKU932" s="18"/>
      <c r="NKV932" s="18"/>
      <c r="NKW932" s="18"/>
      <c r="NKX932" s="18"/>
      <c r="NKY932" s="18"/>
      <c r="NKZ932" s="18"/>
      <c r="NLA932" s="18"/>
      <c r="NLB932" s="18"/>
      <c r="NLC932" s="18"/>
      <c r="NLD932" s="18"/>
      <c r="NLE932" s="18"/>
      <c r="NLF932" s="18"/>
      <c r="NLG932" s="18"/>
      <c r="NLH932" s="18"/>
      <c r="NLI932" s="18"/>
      <c r="NLJ932" s="18"/>
      <c r="NLK932" s="18"/>
      <c r="NLL932" s="18"/>
      <c r="NLM932" s="18"/>
      <c r="NLN932" s="18"/>
      <c r="NLO932" s="18"/>
      <c r="NLP932" s="18"/>
      <c r="NLQ932" s="18"/>
      <c r="NLR932" s="18"/>
      <c r="NLS932" s="18"/>
      <c r="NLT932" s="18"/>
      <c r="NLU932" s="18"/>
      <c r="NLV932" s="18"/>
      <c r="NLW932" s="18"/>
      <c r="NLX932" s="18"/>
      <c r="NLY932" s="18"/>
      <c r="NLZ932" s="18"/>
      <c r="NMA932" s="18"/>
      <c r="NMB932" s="18"/>
      <c r="NMC932" s="18"/>
      <c r="NMD932" s="18"/>
      <c r="NME932" s="18"/>
      <c r="NMF932" s="18"/>
      <c r="NMG932" s="18"/>
      <c r="NMH932" s="18"/>
      <c r="NMI932" s="18"/>
      <c r="NMJ932" s="18"/>
      <c r="NMK932" s="18"/>
      <c r="NML932" s="18"/>
      <c r="NMM932" s="18"/>
      <c r="NMN932" s="18"/>
      <c r="NMO932" s="18"/>
      <c r="NMP932" s="18"/>
      <c r="NMQ932" s="18"/>
      <c r="NMR932" s="18"/>
      <c r="NMS932" s="18"/>
      <c r="NMT932" s="18"/>
      <c r="NMU932" s="18"/>
      <c r="NMV932" s="18"/>
      <c r="NMW932" s="18"/>
      <c r="NMX932" s="18"/>
      <c r="NMY932" s="18"/>
      <c r="NMZ932" s="18"/>
      <c r="NNA932" s="18"/>
      <c r="NNB932" s="18"/>
      <c r="NNC932" s="18"/>
      <c r="NND932" s="18"/>
      <c r="NNE932" s="18"/>
      <c r="NNF932" s="18"/>
      <c r="NNG932" s="18"/>
      <c r="NNH932" s="18"/>
      <c r="NNI932" s="18"/>
      <c r="NNJ932" s="18"/>
      <c r="NNK932" s="18"/>
      <c r="NNL932" s="18"/>
      <c r="NNM932" s="18"/>
      <c r="NNN932" s="18"/>
      <c r="NNO932" s="18"/>
      <c r="NNP932" s="18"/>
      <c r="NNQ932" s="18"/>
      <c r="NNR932" s="18"/>
      <c r="NNS932" s="18"/>
      <c r="NNT932" s="18"/>
      <c r="NNU932" s="18"/>
      <c r="NNV932" s="18"/>
      <c r="NNW932" s="18"/>
      <c r="NNX932" s="18"/>
      <c r="NNY932" s="18"/>
      <c r="NNZ932" s="18"/>
      <c r="NOA932" s="18"/>
      <c r="NOB932" s="18"/>
      <c r="NOC932" s="18"/>
      <c r="NOD932" s="18"/>
      <c r="NOE932" s="18"/>
      <c r="NOF932" s="18"/>
      <c r="NOG932" s="18"/>
      <c r="NOH932" s="18"/>
      <c r="NOI932" s="18"/>
      <c r="NOJ932" s="18"/>
      <c r="NOK932" s="18"/>
      <c r="NOL932" s="18"/>
      <c r="NOM932" s="18"/>
      <c r="NON932" s="18"/>
      <c r="NOO932" s="18"/>
      <c r="NOP932" s="18"/>
      <c r="NOQ932" s="18"/>
      <c r="NOR932" s="18"/>
      <c r="NOS932" s="18"/>
      <c r="NOT932" s="18"/>
      <c r="NOU932" s="18"/>
      <c r="NOV932" s="18"/>
      <c r="NOW932" s="18"/>
      <c r="NOX932" s="18"/>
      <c r="NOY932" s="18"/>
      <c r="NOZ932" s="18"/>
      <c r="NPA932" s="18"/>
      <c r="NPB932" s="18"/>
      <c r="NPC932" s="18"/>
      <c r="NPD932" s="18"/>
      <c r="NPE932" s="18"/>
      <c r="NPF932" s="18"/>
      <c r="NPG932" s="18"/>
      <c r="NPH932" s="18"/>
      <c r="NPI932" s="18"/>
      <c r="NPJ932" s="18"/>
      <c r="NPK932" s="18"/>
      <c r="NPL932" s="18"/>
      <c r="NPM932" s="18"/>
      <c r="NPN932" s="18"/>
      <c r="NPO932" s="18"/>
      <c r="NPP932" s="18"/>
      <c r="NPQ932" s="18"/>
      <c r="NPR932" s="18"/>
      <c r="NPS932" s="18"/>
      <c r="NPT932" s="18"/>
      <c r="NPU932" s="18"/>
      <c r="NPV932" s="18"/>
      <c r="NPW932" s="18"/>
      <c r="NPX932" s="18"/>
      <c r="NPY932" s="18"/>
      <c r="NPZ932" s="18"/>
      <c r="NQA932" s="18"/>
      <c r="NQB932" s="18"/>
      <c r="NQC932" s="18"/>
      <c r="NQD932" s="18"/>
      <c r="NQE932" s="18"/>
      <c r="NQF932" s="18"/>
      <c r="NQG932" s="18"/>
      <c r="NQH932" s="18"/>
      <c r="NQI932" s="18"/>
      <c r="NQJ932" s="18"/>
      <c r="NQK932" s="18"/>
      <c r="NQL932" s="18"/>
      <c r="NQM932" s="18"/>
      <c r="NQN932" s="18"/>
      <c r="NQO932" s="18"/>
      <c r="NQP932" s="18"/>
      <c r="NQQ932" s="18"/>
      <c r="NQR932" s="18"/>
      <c r="NQS932" s="18"/>
      <c r="NQT932" s="18"/>
      <c r="NQU932" s="18"/>
      <c r="NQV932" s="18"/>
      <c r="NQW932" s="18"/>
      <c r="NQX932" s="18"/>
      <c r="NQY932" s="18"/>
      <c r="NQZ932" s="18"/>
      <c r="NRA932" s="18"/>
      <c r="NRB932" s="18"/>
      <c r="NRC932" s="18"/>
      <c r="NRD932" s="18"/>
      <c r="NRE932" s="18"/>
      <c r="NRF932" s="18"/>
      <c r="NRG932" s="18"/>
      <c r="NRH932" s="18"/>
      <c r="NRI932" s="18"/>
      <c r="NRJ932" s="18"/>
      <c r="NRK932" s="18"/>
      <c r="NRL932" s="18"/>
      <c r="NRM932" s="18"/>
      <c r="NRN932" s="18"/>
      <c r="NRO932" s="18"/>
      <c r="NRP932" s="18"/>
      <c r="NRQ932" s="18"/>
      <c r="NRR932" s="18"/>
      <c r="NRS932" s="18"/>
      <c r="NRT932" s="18"/>
      <c r="NRU932" s="18"/>
      <c r="NRV932" s="18"/>
      <c r="NRW932" s="18"/>
      <c r="NRX932" s="18"/>
      <c r="NRY932" s="18"/>
      <c r="NRZ932" s="18"/>
      <c r="NSA932" s="18"/>
      <c r="NSB932" s="18"/>
      <c r="NSC932" s="18"/>
      <c r="NSD932" s="18"/>
      <c r="NSE932" s="18"/>
      <c r="NSF932" s="18"/>
      <c r="NSG932" s="18"/>
      <c r="NSH932" s="18"/>
      <c r="NSI932" s="18"/>
      <c r="NSJ932" s="18"/>
      <c r="NSK932" s="18"/>
      <c r="NSL932" s="18"/>
      <c r="NSM932" s="18"/>
      <c r="NSN932" s="18"/>
      <c r="NSO932" s="18"/>
      <c r="NSP932" s="18"/>
      <c r="NSQ932" s="18"/>
      <c r="NSR932" s="18"/>
      <c r="NSS932" s="18"/>
      <c r="NST932" s="18"/>
      <c r="NSU932" s="18"/>
      <c r="NSV932" s="18"/>
      <c r="NSW932" s="18"/>
      <c r="NSX932" s="18"/>
      <c r="NSY932" s="18"/>
      <c r="NSZ932" s="18"/>
      <c r="NTA932" s="18"/>
      <c r="NTB932" s="18"/>
      <c r="NTC932" s="18"/>
      <c r="NTD932" s="18"/>
      <c r="NTE932" s="18"/>
      <c r="NTF932" s="18"/>
      <c r="NTG932" s="18"/>
      <c r="NTH932" s="18"/>
      <c r="NTI932" s="18"/>
      <c r="NTJ932" s="18"/>
      <c r="NTK932" s="18"/>
      <c r="NTL932" s="18"/>
      <c r="NTM932" s="18"/>
      <c r="NTN932" s="18"/>
      <c r="NTO932" s="18"/>
      <c r="NTP932" s="18"/>
      <c r="NTQ932" s="18"/>
      <c r="NTR932" s="18"/>
      <c r="NTS932" s="18"/>
      <c r="NTT932" s="18"/>
      <c r="NTU932" s="18"/>
      <c r="NTV932" s="18"/>
      <c r="NTW932" s="18"/>
      <c r="NTX932" s="18"/>
      <c r="NTY932" s="18"/>
      <c r="NTZ932" s="18"/>
      <c r="NUA932" s="18"/>
      <c r="NUB932" s="18"/>
      <c r="NUC932" s="18"/>
      <c r="NUD932" s="18"/>
      <c r="NUE932" s="18"/>
      <c r="NUF932" s="18"/>
      <c r="NUG932" s="18"/>
      <c r="NUH932" s="18"/>
      <c r="NUI932" s="18"/>
      <c r="NUJ932" s="18"/>
      <c r="NUK932" s="18"/>
      <c r="NUL932" s="18"/>
      <c r="NUM932" s="18"/>
      <c r="NUN932" s="18"/>
      <c r="NUO932" s="18"/>
      <c r="NUP932" s="18"/>
      <c r="NUQ932" s="18"/>
      <c r="NUR932" s="18"/>
      <c r="NUS932" s="18"/>
      <c r="NUT932" s="18"/>
      <c r="NUU932" s="18"/>
      <c r="NUV932" s="18"/>
      <c r="NUW932" s="18"/>
      <c r="NUX932" s="18"/>
      <c r="NUY932" s="18"/>
      <c r="NUZ932" s="18"/>
      <c r="NVA932" s="18"/>
      <c r="NVB932" s="18"/>
      <c r="NVC932" s="18"/>
      <c r="NVD932" s="18"/>
      <c r="NVE932" s="18"/>
      <c r="NVF932" s="18"/>
      <c r="NVG932" s="18"/>
      <c r="NVH932" s="18"/>
      <c r="NVI932" s="18"/>
      <c r="NVJ932" s="18"/>
      <c r="NVK932" s="18"/>
      <c r="NVL932" s="18"/>
      <c r="NVM932" s="18"/>
      <c r="NVN932" s="18"/>
      <c r="NVO932" s="18"/>
      <c r="NVP932" s="18"/>
      <c r="NVQ932" s="18"/>
      <c r="NVR932" s="18"/>
      <c r="NVS932" s="18"/>
      <c r="NVT932" s="18"/>
      <c r="NVU932" s="18"/>
      <c r="NVV932" s="18"/>
      <c r="NVW932" s="18"/>
      <c r="NVX932" s="18"/>
      <c r="NVY932" s="18"/>
      <c r="NVZ932" s="18"/>
      <c r="NWA932" s="18"/>
      <c r="NWB932" s="18"/>
      <c r="NWC932" s="18"/>
      <c r="NWD932" s="18"/>
      <c r="NWE932" s="18"/>
      <c r="NWF932" s="18"/>
      <c r="NWG932" s="18"/>
      <c r="NWH932" s="18"/>
      <c r="NWI932" s="18"/>
      <c r="NWJ932" s="18"/>
      <c r="NWK932" s="18"/>
      <c r="NWL932" s="18"/>
      <c r="NWM932" s="18"/>
      <c r="NWN932" s="18"/>
      <c r="NWO932" s="18"/>
      <c r="NWP932" s="18"/>
      <c r="NWQ932" s="18"/>
      <c r="NWR932" s="18"/>
      <c r="NWS932" s="18"/>
      <c r="NWT932" s="18"/>
      <c r="NWU932" s="18"/>
      <c r="NWV932" s="18"/>
      <c r="NWW932" s="18"/>
      <c r="NWX932" s="18"/>
      <c r="NWY932" s="18"/>
      <c r="NWZ932" s="18"/>
      <c r="NXA932" s="18"/>
      <c r="NXB932" s="18"/>
      <c r="NXC932" s="18"/>
      <c r="NXD932" s="18"/>
      <c r="NXE932" s="18"/>
      <c r="NXF932" s="18"/>
      <c r="NXG932" s="18"/>
      <c r="NXH932" s="18"/>
      <c r="NXI932" s="18"/>
      <c r="NXJ932" s="18"/>
      <c r="NXK932" s="18"/>
      <c r="NXL932" s="18"/>
      <c r="NXM932" s="18"/>
      <c r="NXN932" s="18"/>
      <c r="NXO932" s="18"/>
      <c r="NXP932" s="18"/>
      <c r="NXQ932" s="18"/>
      <c r="NXR932" s="18"/>
      <c r="NXS932" s="18"/>
      <c r="NXT932" s="18"/>
      <c r="NXU932" s="18"/>
      <c r="NXV932" s="18"/>
      <c r="NXW932" s="18"/>
      <c r="NXX932" s="18"/>
      <c r="NXY932" s="18"/>
      <c r="NXZ932" s="18"/>
      <c r="NYA932" s="18"/>
      <c r="NYB932" s="18"/>
      <c r="NYC932" s="18"/>
      <c r="NYD932" s="18"/>
      <c r="NYE932" s="18"/>
      <c r="NYF932" s="18"/>
      <c r="NYG932" s="18"/>
      <c r="NYH932" s="18"/>
      <c r="NYI932" s="18"/>
      <c r="NYJ932" s="18"/>
      <c r="NYK932" s="18"/>
      <c r="NYL932" s="18"/>
      <c r="NYM932" s="18"/>
      <c r="NYN932" s="18"/>
      <c r="NYO932" s="18"/>
      <c r="NYP932" s="18"/>
      <c r="NYQ932" s="18"/>
      <c r="NYR932" s="18"/>
      <c r="NYS932" s="18"/>
      <c r="NYT932" s="18"/>
      <c r="NYU932" s="18"/>
      <c r="NYV932" s="18"/>
      <c r="NYW932" s="18"/>
      <c r="NYX932" s="18"/>
      <c r="NYY932" s="18"/>
      <c r="NYZ932" s="18"/>
      <c r="NZA932" s="18"/>
      <c r="NZB932" s="18"/>
      <c r="NZC932" s="18"/>
      <c r="NZD932" s="18"/>
      <c r="NZE932" s="18"/>
      <c r="NZF932" s="18"/>
      <c r="NZG932" s="18"/>
      <c r="NZH932" s="18"/>
      <c r="NZI932" s="18"/>
      <c r="NZJ932" s="18"/>
      <c r="NZK932" s="18"/>
      <c r="NZL932" s="18"/>
      <c r="NZM932" s="18"/>
      <c r="NZN932" s="18"/>
      <c r="NZO932" s="18"/>
      <c r="NZP932" s="18"/>
      <c r="NZQ932" s="18"/>
      <c r="NZR932" s="18"/>
      <c r="NZS932" s="18"/>
      <c r="NZT932" s="18"/>
      <c r="NZU932" s="18"/>
      <c r="NZV932" s="18"/>
      <c r="NZW932" s="18"/>
      <c r="NZX932" s="18"/>
      <c r="NZY932" s="18"/>
      <c r="NZZ932" s="18"/>
      <c r="OAA932" s="18"/>
      <c r="OAB932" s="18"/>
      <c r="OAC932" s="18"/>
      <c r="OAD932" s="18"/>
      <c r="OAE932" s="18"/>
      <c r="OAF932" s="18"/>
      <c r="OAG932" s="18"/>
      <c r="OAH932" s="18"/>
      <c r="OAI932" s="18"/>
      <c r="OAJ932" s="18"/>
      <c r="OAK932" s="18"/>
      <c r="OAL932" s="18"/>
      <c r="OAM932" s="18"/>
      <c r="OAN932" s="18"/>
      <c r="OAO932" s="18"/>
      <c r="OAP932" s="18"/>
      <c r="OAQ932" s="18"/>
      <c r="OAR932" s="18"/>
      <c r="OAS932" s="18"/>
      <c r="OAT932" s="18"/>
      <c r="OAU932" s="18"/>
      <c r="OAV932" s="18"/>
      <c r="OAW932" s="18"/>
      <c r="OAX932" s="18"/>
      <c r="OAY932" s="18"/>
      <c r="OAZ932" s="18"/>
      <c r="OBA932" s="18"/>
      <c r="OBB932" s="18"/>
      <c r="OBC932" s="18"/>
      <c r="OBD932" s="18"/>
      <c r="OBE932" s="18"/>
      <c r="OBF932" s="18"/>
      <c r="OBG932" s="18"/>
      <c r="OBH932" s="18"/>
      <c r="OBI932" s="18"/>
      <c r="OBJ932" s="18"/>
      <c r="OBK932" s="18"/>
      <c r="OBL932" s="18"/>
      <c r="OBM932" s="18"/>
      <c r="OBN932" s="18"/>
      <c r="OBO932" s="18"/>
      <c r="OBP932" s="18"/>
      <c r="OBQ932" s="18"/>
      <c r="OBR932" s="18"/>
      <c r="OBS932" s="18"/>
      <c r="OBT932" s="18"/>
      <c r="OBU932" s="18"/>
      <c r="OBV932" s="18"/>
      <c r="OBW932" s="18"/>
      <c r="OBX932" s="18"/>
      <c r="OBY932" s="18"/>
      <c r="OBZ932" s="18"/>
      <c r="OCA932" s="18"/>
      <c r="OCB932" s="18"/>
      <c r="OCC932" s="18"/>
      <c r="OCD932" s="18"/>
      <c r="OCE932" s="18"/>
      <c r="OCF932" s="18"/>
      <c r="OCG932" s="18"/>
      <c r="OCH932" s="18"/>
      <c r="OCI932" s="18"/>
      <c r="OCJ932" s="18"/>
      <c r="OCK932" s="18"/>
      <c r="OCL932" s="18"/>
      <c r="OCM932" s="18"/>
      <c r="OCN932" s="18"/>
      <c r="OCO932" s="18"/>
      <c r="OCP932" s="18"/>
      <c r="OCQ932" s="18"/>
      <c r="OCR932" s="18"/>
      <c r="OCS932" s="18"/>
      <c r="OCT932" s="18"/>
      <c r="OCU932" s="18"/>
      <c r="OCV932" s="18"/>
      <c r="OCW932" s="18"/>
      <c r="OCX932" s="18"/>
      <c r="OCY932" s="18"/>
      <c r="OCZ932" s="18"/>
      <c r="ODA932" s="18"/>
      <c r="ODB932" s="18"/>
      <c r="ODC932" s="18"/>
      <c r="ODD932" s="18"/>
      <c r="ODE932" s="18"/>
      <c r="ODF932" s="18"/>
      <c r="ODG932" s="18"/>
      <c r="ODH932" s="18"/>
      <c r="ODI932" s="18"/>
      <c r="ODJ932" s="18"/>
      <c r="ODK932" s="18"/>
      <c r="ODL932" s="18"/>
      <c r="ODM932" s="18"/>
      <c r="ODN932" s="18"/>
      <c r="ODO932" s="18"/>
      <c r="ODP932" s="18"/>
      <c r="ODQ932" s="18"/>
      <c r="ODR932" s="18"/>
      <c r="ODS932" s="18"/>
      <c r="ODT932" s="18"/>
      <c r="ODU932" s="18"/>
      <c r="ODV932" s="18"/>
      <c r="ODW932" s="18"/>
      <c r="ODX932" s="18"/>
      <c r="ODY932" s="18"/>
      <c r="ODZ932" s="18"/>
      <c r="OEA932" s="18"/>
      <c r="OEB932" s="18"/>
      <c r="OEC932" s="18"/>
      <c r="OED932" s="18"/>
      <c r="OEE932" s="18"/>
      <c r="OEF932" s="18"/>
      <c r="OEG932" s="18"/>
      <c r="OEH932" s="18"/>
      <c r="OEI932" s="18"/>
      <c r="OEJ932" s="18"/>
      <c r="OEK932" s="18"/>
      <c r="OEL932" s="18"/>
      <c r="OEM932" s="18"/>
      <c r="OEN932" s="18"/>
      <c r="OEO932" s="18"/>
      <c r="OEP932" s="18"/>
      <c r="OEQ932" s="18"/>
      <c r="OER932" s="18"/>
      <c r="OES932" s="18"/>
      <c r="OET932" s="18"/>
      <c r="OEU932" s="18"/>
      <c r="OEV932" s="18"/>
      <c r="OEW932" s="18"/>
      <c r="OEX932" s="18"/>
      <c r="OEY932" s="18"/>
      <c r="OEZ932" s="18"/>
      <c r="OFA932" s="18"/>
      <c r="OFB932" s="18"/>
      <c r="OFC932" s="18"/>
      <c r="OFD932" s="18"/>
      <c r="OFE932" s="18"/>
      <c r="OFF932" s="18"/>
      <c r="OFG932" s="18"/>
      <c r="OFH932" s="18"/>
      <c r="OFI932" s="18"/>
      <c r="OFJ932" s="18"/>
      <c r="OFK932" s="18"/>
      <c r="OFL932" s="18"/>
      <c r="OFM932" s="18"/>
      <c r="OFN932" s="18"/>
      <c r="OFO932" s="18"/>
      <c r="OFP932" s="18"/>
      <c r="OFQ932" s="18"/>
      <c r="OFR932" s="18"/>
      <c r="OFS932" s="18"/>
      <c r="OFT932" s="18"/>
      <c r="OFU932" s="18"/>
      <c r="OFV932" s="18"/>
      <c r="OFW932" s="18"/>
      <c r="OFX932" s="18"/>
      <c r="OFY932" s="18"/>
      <c r="OFZ932" s="18"/>
      <c r="OGA932" s="18"/>
      <c r="OGB932" s="18"/>
      <c r="OGC932" s="18"/>
      <c r="OGD932" s="18"/>
      <c r="OGE932" s="18"/>
      <c r="OGF932" s="18"/>
      <c r="OGG932" s="18"/>
      <c r="OGH932" s="18"/>
      <c r="OGI932" s="18"/>
      <c r="OGJ932" s="18"/>
      <c r="OGK932" s="18"/>
      <c r="OGL932" s="18"/>
      <c r="OGM932" s="18"/>
      <c r="OGN932" s="18"/>
      <c r="OGO932" s="18"/>
      <c r="OGP932" s="18"/>
      <c r="OGQ932" s="18"/>
      <c r="OGR932" s="18"/>
      <c r="OGS932" s="18"/>
      <c r="OGT932" s="18"/>
      <c r="OGU932" s="18"/>
      <c r="OGV932" s="18"/>
      <c r="OGW932" s="18"/>
      <c r="OGX932" s="18"/>
      <c r="OGY932" s="18"/>
      <c r="OGZ932" s="18"/>
      <c r="OHA932" s="18"/>
      <c r="OHB932" s="18"/>
      <c r="OHC932" s="18"/>
      <c r="OHD932" s="18"/>
      <c r="OHE932" s="18"/>
      <c r="OHF932" s="18"/>
      <c r="OHG932" s="18"/>
      <c r="OHH932" s="18"/>
      <c r="OHI932" s="18"/>
      <c r="OHJ932" s="18"/>
      <c r="OHK932" s="18"/>
      <c r="OHL932" s="18"/>
      <c r="OHM932" s="18"/>
      <c r="OHN932" s="18"/>
      <c r="OHO932" s="18"/>
      <c r="OHP932" s="18"/>
      <c r="OHQ932" s="18"/>
      <c r="OHR932" s="18"/>
      <c r="OHS932" s="18"/>
      <c r="OHT932" s="18"/>
      <c r="OHU932" s="18"/>
      <c r="OHV932" s="18"/>
      <c r="OHW932" s="18"/>
      <c r="OHX932" s="18"/>
      <c r="OHY932" s="18"/>
      <c r="OHZ932" s="18"/>
      <c r="OIA932" s="18"/>
      <c r="OIB932" s="18"/>
      <c r="OIC932" s="18"/>
      <c r="OID932" s="18"/>
      <c r="OIE932" s="18"/>
      <c r="OIF932" s="18"/>
      <c r="OIG932" s="18"/>
      <c r="OIH932" s="18"/>
      <c r="OII932" s="18"/>
      <c r="OIJ932" s="18"/>
      <c r="OIK932" s="18"/>
      <c r="OIL932" s="18"/>
      <c r="OIM932" s="18"/>
      <c r="OIN932" s="18"/>
      <c r="OIO932" s="18"/>
      <c r="OIP932" s="18"/>
      <c r="OIQ932" s="18"/>
      <c r="OIR932" s="18"/>
      <c r="OIS932" s="18"/>
      <c r="OIT932" s="18"/>
      <c r="OIU932" s="18"/>
      <c r="OIV932" s="18"/>
      <c r="OIW932" s="18"/>
      <c r="OIX932" s="18"/>
      <c r="OIY932" s="18"/>
      <c r="OIZ932" s="18"/>
      <c r="OJA932" s="18"/>
      <c r="OJB932" s="18"/>
      <c r="OJC932" s="18"/>
      <c r="OJD932" s="18"/>
      <c r="OJE932" s="18"/>
      <c r="OJF932" s="18"/>
      <c r="OJG932" s="18"/>
      <c r="OJH932" s="18"/>
      <c r="OJI932" s="18"/>
      <c r="OJJ932" s="18"/>
      <c r="OJK932" s="18"/>
      <c r="OJL932" s="18"/>
      <c r="OJM932" s="18"/>
      <c r="OJN932" s="18"/>
      <c r="OJO932" s="18"/>
      <c r="OJP932" s="18"/>
      <c r="OJQ932" s="18"/>
      <c r="OJR932" s="18"/>
      <c r="OJS932" s="18"/>
      <c r="OJT932" s="18"/>
      <c r="OJU932" s="18"/>
      <c r="OJV932" s="18"/>
      <c r="OJW932" s="18"/>
      <c r="OJX932" s="18"/>
      <c r="OJY932" s="18"/>
      <c r="OJZ932" s="18"/>
      <c r="OKA932" s="18"/>
      <c r="OKB932" s="18"/>
      <c r="OKC932" s="18"/>
      <c r="OKD932" s="18"/>
      <c r="OKE932" s="18"/>
      <c r="OKF932" s="18"/>
      <c r="OKG932" s="18"/>
      <c r="OKH932" s="18"/>
      <c r="OKI932" s="18"/>
      <c r="OKJ932" s="18"/>
      <c r="OKK932" s="18"/>
      <c r="OKL932" s="18"/>
      <c r="OKM932" s="18"/>
      <c r="OKN932" s="18"/>
      <c r="OKO932" s="18"/>
      <c r="OKP932" s="18"/>
      <c r="OKQ932" s="18"/>
      <c r="OKR932" s="18"/>
      <c r="OKS932" s="18"/>
      <c r="OKT932" s="18"/>
      <c r="OKU932" s="18"/>
      <c r="OKV932" s="18"/>
      <c r="OKW932" s="18"/>
      <c r="OKX932" s="18"/>
      <c r="OKY932" s="18"/>
      <c r="OKZ932" s="18"/>
      <c r="OLA932" s="18"/>
      <c r="OLB932" s="18"/>
      <c r="OLC932" s="18"/>
      <c r="OLD932" s="18"/>
      <c r="OLE932" s="18"/>
      <c r="OLF932" s="18"/>
      <c r="OLG932" s="18"/>
      <c r="OLH932" s="18"/>
      <c r="OLI932" s="18"/>
      <c r="OLJ932" s="18"/>
      <c r="OLK932" s="18"/>
      <c r="OLL932" s="18"/>
      <c r="OLM932" s="18"/>
      <c r="OLN932" s="18"/>
      <c r="OLO932" s="18"/>
      <c r="OLP932" s="18"/>
      <c r="OLQ932" s="18"/>
      <c r="OLR932" s="18"/>
      <c r="OLS932" s="18"/>
      <c r="OLT932" s="18"/>
      <c r="OLU932" s="18"/>
      <c r="OLV932" s="18"/>
      <c r="OLW932" s="18"/>
      <c r="OLX932" s="18"/>
      <c r="OLY932" s="18"/>
      <c r="OLZ932" s="18"/>
      <c r="OMA932" s="18"/>
      <c r="OMB932" s="18"/>
      <c r="OMC932" s="18"/>
      <c r="OMD932" s="18"/>
      <c r="OME932" s="18"/>
      <c r="OMF932" s="18"/>
      <c r="OMG932" s="18"/>
      <c r="OMH932" s="18"/>
      <c r="OMI932" s="18"/>
      <c r="OMJ932" s="18"/>
      <c r="OMK932" s="18"/>
      <c r="OML932" s="18"/>
      <c r="OMM932" s="18"/>
      <c r="OMN932" s="18"/>
      <c r="OMO932" s="18"/>
      <c r="OMP932" s="18"/>
      <c r="OMQ932" s="18"/>
      <c r="OMR932" s="18"/>
      <c r="OMS932" s="18"/>
      <c r="OMT932" s="18"/>
      <c r="OMU932" s="18"/>
      <c r="OMV932" s="18"/>
      <c r="OMW932" s="18"/>
      <c r="OMX932" s="18"/>
      <c r="OMY932" s="18"/>
      <c r="OMZ932" s="18"/>
      <c r="ONA932" s="18"/>
      <c r="ONB932" s="18"/>
      <c r="ONC932" s="18"/>
      <c r="OND932" s="18"/>
      <c r="ONE932" s="18"/>
      <c r="ONF932" s="18"/>
      <c r="ONG932" s="18"/>
      <c r="ONH932" s="18"/>
      <c r="ONI932" s="18"/>
      <c r="ONJ932" s="18"/>
      <c r="ONK932" s="18"/>
      <c r="ONL932" s="18"/>
      <c r="ONM932" s="18"/>
      <c r="ONN932" s="18"/>
      <c r="ONO932" s="18"/>
      <c r="ONP932" s="18"/>
      <c r="ONQ932" s="18"/>
      <c r="ONR932" s="18"/>
      <c r="ONS932" s="18"/>
      <c r="ONT932" s="18"/>
      <c r="ONU932" s="18"/>
      <c r="ONV932" s="18"/>
      <c r="ONW932" s="18"/>
      <c r="ONX932" s="18"/>
      <c r="ONY932" s="18"/>
      <c r="ONZ932" s="18"/>
      <c r="OOA932" s="18"/>
      <c r="OOB932" s="18"/>
      <c r="OOC932" s="18"/>
      <c r="OOD932" s="18"/>
      <c r="OOE932" s="18"/>
      <c r="OOF932" s="18"/>
      <c r="OOG932" s="18"/>
      <c r="OOH932" s="18"/>
      <c r="OOI932" s="18"/>
      <c r="OOJ932" s="18"/>
      <c r="OOK932" s="18"/>
      <c r="OOL932" s="18"/>
      <c r="OOM932" s="18"/>
      <c r="OON932" s="18"/>
      <c r="OOO932" s="18"/>
      <c r="OOP932" s="18"/>
      <c r="OOQ932" s="18"/>
      <c r="OOR932" s="18"/>
      <c r="OOS932" s="18"/>
      <c r="OOT932" s="18"/>
      <c r="OOU932" s="18"/>
      <c r="OOV932" s="18"/>
      <c r="OOW932" s="18"/>
      <c r="OOX932" s="18"/>
      <c r="OOY932" s="18"/>
      <c r="OOZ932" s="18"/>
      <c r="OPA932" s="18"/>
      <c r="OPB932" s="18"/>
      <c r="OPC932" s="18"/>
      <c r="OPD932" s="18"/>
      <c r="OPE932" s="18"/>
      <c r="OPF932" s="18"/>
      <c r="OPG932" s="18"/>
      <c r="OPH932" s="18"/>
      <c r="OPI932" s="18"/>
      <c r="OPJ932" s="18"/>
      <c r="OPK932" s="18"/>
      <c r="OPL932" s="18"/>
      <c r="OPM932" s="18"/>
      <c r="OPN932" s="18"/>
      <c r="OPO932" s="18"/>
      <c r="OPP932" s="18"/>
      <c r="OPQ932" s="18"/>
      <c r="OPR932" s="18"/>
      <c r="OPS932" s="18"/>
      <c r="OPT932" s="18"/>
      <c r="OPU932" s="18"/>
      <c r="OPV932" s="18"/>
      <c r="OPW932" s="18"/>
      <c r="OPX932" s="18"/>
      <c r="OPY932" s="18"/>
      <c r="OPZ932" s="18"/>
      <c r="OQA932" s="18"/>
      <c r="OQB932" s="18"/>
      <c r="OQC932" s="18"/>
      <c r="OQD932" s="18"/>
      <c r="OQE932" s="18"/>
      <c r="OQF932" s="18"/>
      <c r="OQG932" s="18"/>
      <c r="OQH932" s="18"/>
      <c r="OQI932" s="18"/>
      <c r="OQJ932" s="18"/>
      <c r="OQK932" s="18"/>
      <c r="OQL932" s="18"/>
      <c r="OQM932" s="18"/>
      <c r="OQN932" s="18"/>
      <c r="OQO932" s="18"/>
      <c r="OQP932" s="18"/>
      <c r="OQQ932" s="18"/>
      <c r="OQR932" s="18"/>
      <c r="OQS932" s="18"/>
      <c r="OQT932" s="18"/>
      <c r="OQU932" s="18"/>
      <c r="OQV932" s="18"/>
      <c r="OQW932" s="18"/>
      <c r="OQX932" s="18"/>
      <c r="OQY932" s="18"/>
      <c r="OQZ932" s="18"/>
      <c r="ORA932" s="18"/>
      <c r="ORB932" s="18"/>
      <c r="ORC932" s="18"/>
      <c r="ORD932" s="18"/>
      <c r="ORE932" s="18"/>
      <c r="ORF932" s="18"/>
      <c r="ORG932" s="18"/>
      <c r="ORH932" s="18"/>
      <c r="ORI932" s="18"/>
      <c r="ORJ932" s="18"/>
      <c r="ORK932" s="18"/>
      <c r="ORL932" s="18"/>
      <c r="ORM932" s="18"/>
      <c r="ORN932" s="18"/>
      <c r="ORO932" s="18"/>
      <c r="ORP932" s="18"/>
      <c r="ORQ932" s="18"/>
      <c r="ORR932" s="18"/>
      <c r="ORS932" s="18"/>
      <c r="ORT932" s="18"/>
      <c r="ORU932" s="18"/>
      <c r="ORV932" s="18"/>
      <c r="ORW932" s="18"/>
      <c r="ORX932" s="18"/>
      <c r="ORY932" s="18"/>
      <c r="ORZ932" s="18"/>
      <c r="OSA932" s="18"/>
      <c r="OSB932" s="18"/>
      <c r="OSC932" s="18"/>
      <c r="OSD932" s="18"/>
      <c r="OSE932" s="18"/>
      <c r="OSF932" s="18"/>
      <c r="OSG932" s="18"/>
      <c r="OSH932" s="18"/>
      <c r="OSI932" s="18"/>
      <c r="OSJ932" s="18"/>
      <c r="OSK932" s="18"/>
      <c r="OSL932" s="18"/>
      <c r="OSM932" s="18"/>
      <c r="OSN932" s="18"/>
      <c r="OSO932" s="18"/>
      <c r="OSP932" s="18"/>
      <c r="OSQ932" s="18"/>
      <c r="OSR932" s="18"/>
      <c r="OSS932" s="18"/>
      <c r="OST932" s="18"/>
      <c r="OSU932" s="18"/>
      <c r="OSV932" s="18"/>
      <c r="OSW932" s="18"/>
      <c r="OSX932" s="18"/>
      <c r="OSY932" s="18"/>
      <c r="OSZ932" s="18"/>
      <c r="OTA932" s="18"/>
      <c r="OTB932" s="18"/>
      <c r="OTC932" s="18"/>
      <c r="OTD932" s="18"/>
      <c r="OTE932" s="18"/>
      <c r="OTF932" s="18"/>
      <c r="OTG932" s="18"/>
      <c r="OTH932" s="18"/>
      <c r="OTI932" s="18"/>
      <c r="OTJ932" s="18"/>
      <c r="OTK932" s="18"/>
      <c r="OTL932" s="18"/>
      <c r="OTM932" s="18"/>
      <c r="OTN932" s="18"/>
      <c r="OTO932" s="18"/>
      <c r="OTP932" s="18"/>
      <c r="OTQ932" s="18"/>
      <c r="OTR932" s="18"/>
      <c r="OTS932" s="18"/>
      <c r="OTT932" s="18"/>
      <c r="OTU932" s="18"/>
      <c r="OTV932" s="18"/>
      <c r="OTW932" s="18"/>
      <c r="OTX932" s="18"/>
      <c r="OTY932" s="18"/>
      <c r="OTZ932" s="18"/>
      <c r="OUA932" s="18"/>
      <c r="OUB932" s="18"/>
      <c r="OUC932" s="18"/>
      <c r="OUD932" s="18"/>
      <c r="OUE932" s="18"/>
      <c r="OUF932" s="18"/>
      <c r="OUG932" s="18"/>
      <c r="OUH932" s="18"/>
      <c r="OUI932" s="18"/>
      <c r="OUJ932" s="18"/>
      <c r="OUK932" s="18"/>
      <c r="OUL932" s="18"/>
      <c r="OUM932" s="18"/>
      <c r="OUN932" s="18"/>
      <c r="OUO932" s="18"/>
      <c r="OUP932" s="18"/>
      <c r="OUQ932" s="18"/>
      <c r="OUR932" s="18"/>
      <c r="OUS932" s="18"/>
      <c r="OUT932" s="18"/>
      <c r="OUU932" s="18"/>
      <c r="OUV932" s="18"/>
      <c r="OUW932" s="18"/>
      <c r="OUX932" s="18"/>
      <c r="OUY932" s="18"/>
      <c r="OUZ932" s="18"/>
      <c r="OVA932" s="18"/>
      <c r="OVB932" s="18"/>
      <c r="OVC932" s="18"/>
      <c r="OVD932" s="18"/>
      <c r="OVE932" s="18"/>
      <c r="OVF932" s="18"/>
      <c r="OVG932" s="18"/>
      <c r="OVH932" s="18"/>
      <c r="OVI932" s="18"/>
      <c r="OVJ932" s="18"/>
      <c r="OVK932" s="18"/>
      <c r="OVL932" s="18"/>
      <c r="OVM932" s="18"/>
      <c r="OVN932" s="18"/>
      <c r="OVO932" s="18"/>
      <c r="OVP932" s="18"/>
      <c r="OVQ932" s="18"/>
      <c r="OVR932" s="18"/>
      <c r="OVS932" s="18"/>
      <c r="OVT932" s="18"/>
      <c r="OVU932" s="18"/>
      <c r="OVV932" s="18"/>
      <c r="OVW932" s="18"/>
      <c r="OVX932" s="18"/>
      <c r="OVY932" s="18"/>
      <c r="OVZ932" s="18"/>
      <c r="OWA932" s="18"/>
      <c r="OWB932" s="18"/>
      <c r="OWC932" s="18"/>
      <c r="OWD932" s="18"/>
      <c r="OWE932" s="18"/>
      <c r="OWF932" s="18"/>
      <c r="OWG932" s="18"/>
      <c r="OWH932" s="18"/>
      <c r="OWI932" s="18"/>
      <c r="OWJ932" s="18"/>
      <c r="OWK932" s="18"/>
      <c r="OWL932" s="18"/>
      <c r="OWM932" s="18"/>
      <c r="OWN932" s="18"/>
      <c r="OWO932" s="18"/>
      <c r="OWP932" s="18"/>
      <c r="OWQ932" s="18"/>
      <c r="OWR932" s="18"/>
      <c r="OWS932" s="18"/>
      <c r="OWT932" s="18"/>
      <c r="OWU932" s="18"/>
      <c r="OWV932" s="18"/>
      <c r="OWW932" s="18"/>
      <c r="OWX932" s="18"/>
      <c r="OWY932" s="18"/>
      <c r="OWZ932" s="18"/>
      <c r="OXA932" s="18"/>
      <c r="OXB932" s="18"/>
      <c r="OXC932" s="18"/>
      <c r="OXD932" s="18"/>
      <c r="OXE932" s="18"/>
      <c r="OXF932" s="18"/>
      <c r="OXG932" s="18"/>
      <c r="OXH932" s="18"/>
      <c r="OXI932" s="18"/>
      <c r="OXJ932" s="18"/>
      <c r="OXK932" s="18"/>
      <c r="OXL932" s="18"/>
      <c r="OXM932" s="18"/>
      <c r="OXN932" s="18"/>
      <c r="OXO932" s="18"/>
      <c r="OXP932" s="18"/>
      <c r="OXQ932" s="18"/>
      <c r="OXR932" s="18"/>
      <c r="OXS932" s="18"/>
      <c r="OXT932" s="18"/>
      <c r="OXU932" s="18"/>
      <c r="OXV932" s="18"/>
      <c r="OXW932" s="18"/>
      <c r="OXX932" s="18"/>
      <c r="OXY932" s="18"/>
      <c r="OXZ932" s="18"/>
      <c r="OYA932" s="18"/>
      <c r="OYB932" s="18"/>
      <c r="OYC932" s="18"/>
      <c r="OYD932" s="18"/>
      <c r="OYE932" s="18"/>
      <c r="OYF932" s="18"/>
      <c r="OYG932" s="18"/>
      <c r="OYH932" s="18"/>
      <c r="OYI932" s="18"/>
      <c r="OYJ932" s="18"/>
      <c r="OYK932" s="18"/>
      <c r="OYL932" s="18"/>
      <c r="OYM932" s="18"/>
      <c r="OYN932" s="18"/>
      <c r="OYO932" s="18"/>
      <c r="OYP932" s="18"/>
      <c r="OYQ932" s="18"/>
      <c r="OYR932" s="18"/>
      <c r="OYS932" s="18"/>
      <c r="OYT932" s="18"/>
      <c r="OYU932" s="18"/>
      <c r="OYV932" s="18"/>
      <c r="OYW932" s="18"/>
      <c r="OYX932" s="18"/>
      <c r="OYY932" s="18"/>
      <c r="OYZ932" s="18"/>
      <c r="OZA932" s="18"/>
      <c r="OZB932" s="18"/>
      <c r="OZC932" s="18"/>
      <c r="OZD932" s="18"/>
      <c r="OZE932" s="18"/>
      <c r="OZF932" s="18"/>
      <c r="OZG932" s="18"/>
      <c r="OZH932" s="18"/>
      <c r="OZI932" s="18"/>
      <c r="OZJ932" s="18"/>
      <c r="OZK932" s="18"/>
      <c r="OZL932" s="18"/>
      <c r="OZM932" s="18"/>
      <c r="OZN932" s="18"/>
      <c r="OZO932" s="18"/>
      <c r="OZP932" s="18"/>
      <c r="OZQ932" s="18"/>
      <c r="OZR932" s="18"/>
      <c r="OZS932" s="18"/>
      <c r="OZT932" s="18"/>
      <c r="OZU932" s="18"/>
      <c r="OZV932" s="18"/>
      <c r="OZW932" s="18"/>
      <c r="OZX932" s="18"/>
      <c r="OZY932" s="18"/>
      <c r="OZZ932" s="18"/>
      <c r="PAA932" s="18"/>
      <c r="PAB932" s="18"/>
      <c r="PAC932" s="18"/>
      <c r="PAD932" s="18"/>
      <c r="PAE932" s="18"/>
      <c r="PAF932" s="18"/>
      <c r="PAG932" s="18"/>
      <c r="PAH932" s="18"/>
      <c r="PAI932" s="18"/>
      <c r="PAJ932" s="18"/>
      <c r="PAK932" s="18"/>
      <c r="PAL932" s="18"/>
      <c r="PAM932" s="18"/>
      <c r="PAN932" s="18"/>
      <c r="PAO932" s="18"/>
      <c r="PAP932" s="18"/>
      <c r="PAQ932" s="18"/>
      <c r="PAR932" s="18"/>
      <c r="PAS932" s="18"/>
      <c r="PAT932" s="18"/>
      <c r="PAU932" s="18"/>
      <c r="PAV932" s="18"/>
      <c r="PAW932" s="18"/>
      <c r="PAX932" s="18"/>
      <c r="PAY932" s="18"/>
      <c r="PAZ932" s="18"/>
      <c r="PBA932" s="18"/>
      <c r="PBB932" s="18"/>
      <c r="PBC932" s="18"/>
      <c r="PBD932" s="18"/>
      <c r="PBE932" s="18"/>
      <c r="PBF932" s="18"/>
      <c r="PBG932" s="18"/>
      <c r="PBH932" s="18"/>
      <c r="PBI932" s="18"/>
      <c r="PBJ932" s="18"/>
      <c r="PBK932" s="18"/>
      <c r="PBL932" s="18"/>
      <c r="PBM932" s="18"/>
      <c r="PBN932" s="18"/>
      <c r="PBO932" s="18"/>
      <c r="PBP932" s="18"/>
      <c r="PBQ932" s="18"/>
      <c r="PBR932" s="18"/>
      <c r="PBS932" s="18"/>
      <c r="PBT932" s="18"/>
      <c r="PBU932" s="18"/>
      <c r="PBV932" s="18"/>
      <c r="PBW932" s="18"/>
      <c r="PBX932" s="18"/>
      <c r="PBY932" s="18"/>
      <c r="PBZ932" s="18"/>
      <c r="PCA932" s="18"/>
      <c r="PCB932" s="18"/>
      <c r="PCC932" s="18"/>
      <c r="PCD932" s="18"/>
      <c r="PCE932" s="18"/>
      <c r="PCF932" s="18"/>
      <c r="PCG932" s="18"/>
      <c r="PCH932" s="18"/>
      <c r="PCI932" s="18"/>
      <c r="PCJ932" s="18"/>
      <c r="PCK932" s="18"/>
      <c r="PCL932" s="18"/>
      <c r="PCM932" s="18"/>
      <c r="PCN932" s="18"/>
      <c r="PCO932" s="18"/>
      <c r="PCP932" s="18"/>
      <c r="PCQ932" s="18"/>
      <c r="PCR932" s="18"/>
      <c r="PCS932" s="18"/>
      <c r="PCT932" s="18"/>
      <c r="PCU932" s="18"/>
      <c r="PCV932" s="18"/>
      <c r="PCW932" s="18"/>
      <c r="PCX932" s="18"/>
      <c r="PCY932" s="18"/>
      <c r="PCZ932" s="18"/>
      <c r="PDA932" s="18"/>
      <c r="PDB932" s="18"/>
      <c r="PDC932" s="18"/>
      <c r="PDD932" s="18"/>
      <c r="PDE932" s="18"/>
      <c r="PDF932" s="18"/>
      <c r="PDG932" s="18"/>
      <c r="PDH932" s="18"/>
      <c r="PDI932" s="18"/>
      <c r="PDJ932" s="18"/>
      <c r="PDK932" s="18"/>
      <c r="PDL932" s="18"/>
      <c r="PDM932" s="18"/>
      <c r="PDN932" s="18"/>
      <c r="PDO932" s="18"/>
      <c r="PDP932" s="18"/>
      <c r="PDQ932" s="18"/>
      <c r="PDR932" s="18"/>
      <c r="PDS932" s="18"/>
      <c r="PDT932" s="18"/>
      <c r="PDU932" s="18"/>
      <c r="PDV932" s="18"/>
      <c r="PDW932" s="18"/>
      <c r="PDX932" s="18"/>
      <c r="PDY932" s="18"/>
      <c r="PDZ932" s="18"/>
      <c r="PEA932" s="18"/>
      <c r="PEB932" s="18"/>
      <c r="PEC932" s="18"/>
      <c r="PED932" s="18"/>
      <c r="PEE932" s="18"/>
      <c r="PEF932" s="18"/>
      <c r="PEG932" s="18"/>
      <c r="PEH932" s="18"/>
      <c r="PEI932" s="18"/>
      <c r="PEJ932" s="18"/>
      <c r="PEK932" s="18"/>
      <c r="PEL932" s="18"/>
      <c r="PEM932" s="18"/>
      <c r="PEN932" s="18"/>
      <c r="PEO932" s="18"/>
      <c r="PEP932" s="18"/>
      <c r="PEQ932" s="18"/>
      <c r="PER932" s="18"/>
      <c r="PES932" s="18"/>
      <c r="PET932" s="18"/>
      <c r="PEU932" s="18"/>
      <c r="PEV932" s="18"/>
      <c r="PEW932" s="18"/>
      <c r="PEX932" s="18"/>
      <c r="PEY932" s="18"/>
      <c r="PEZ932" s="18"/>
      <c r="PFA932" s="18"/>
      <c r="PFB932" s="18"/>
      <c r="PFC932" s="18"/>
      <c r="PFD932" s="18"/>
      <c r="PFE932" s="18"/>
      <c r="PFF932" s="18"/>
      <c r="PFG932" s="18"/>
      <c r="PFH932" s="18"/>
      <c r="PFI932" s="18"/>
      <c r="PFJ932" s="18"/>
      <c r="PFK932" s="18"/>
      <c r="PFL932" s="18"/>
      <c r="PFM932" s="18"/>
      <c r="PFN932" s="18"/>
      <c r="PFO932" s="18"/>
      <c r="PFP932" s="18"/>
      <c r="PFQ932" s="18"/>
      <c r="PFR932" s="18"/>
      <c r="PFS932" s="18"/>
      <c r="PFT932" s="18"/>
      <c r="PFU932" s="18"/>
      <c r="PFV932" s="18"/>
      <c r="PFW932" s="18"/>
      <c r="PFX932" s="18"/>
      <c r="PFY932" s="18"/>
      <c r="PFZ932" s="18"/>
      <c r="PGA932" s="18"/>
      <c r="PGB932" s="18"/>
      <c r="PGC932" s="18"/>
      <c r="PGD932" s="18"/>
      <c r="PGE932" s="18"/>
      <c r="PGF932" s="18"/>
      <c r="PGG932" s="18"/>
      <c r="PGH932" s="18"/>
      <c r="PGI932" s="18"/>
      <c r="PGJ932" s="18"/>
      <c r="PGK932" s="18"/>
      <c r="PGL932" s="18"/>
      <c r="PGM932" s="18"/>
      <c r="PGN932" s="18"/>
      <c r="PGO932" s="18"/>
      <c r="PGP932" s="18"/>
      <c r="PGQ932" s="18"/>
      <c r="PGR932" s="18"/>
      <c r="PGS932" s="18"/>
      <c r="PGT932" s="18"/>
      <c r="PGU932" s="18"/>
      <c r="PGV932" s="18"/>
      <c r="PGW932" s="18"/>
      <c r="PGX932" s="18"/>
      <c r="PGY932" s="18"/>
      <c r="PGZ932" s="18"/>
      <c r="PHA932" s="18"/>
      <c r="PHB932" s="18"/>
      <c r="PHC932" s="18"/>
      <c r="PHD932" s="18"/>
      <c r="PHE932" s="18"/>
      <c r="PHF932" s="18"/>
      <c r="PHG932" s="18"/>
      <c r="PHH932" s="18"/>
      <c r="PHI932" s="18"/>
      <c r="PHJ932" s="18"/>
      <c r="PHK932" s="18"/>
      <c r="PHL932" s="18"/>
      <c r="PHM932" s="18"/>
      <c r="PHN932" s="18"/>
      <c r="PHO932" s="18"/>
      <c r="PHP932" s="18"/>
      <c r="PHQ932" s="18"/>
      <c r="PHR932" s="18"/>
      <c r="PHS932" s="18"/>
      <c r="PHT932" s="18"/>
      <c r="PHU932" s="18"/>
      <c r="PHV932" s="18"/>
      <c r="PHW932" s="18"/>
      <c r="PHX932" s="18"/>
      <c r="PHY932" s="18"/>
      <c r="PHZ932" s="18"/>
      <c r="PIA932" s="18"/>
      <c r="PIB932" s="18"/>
      <c r="PIC932" s="18"/>
      <c r="PID932" s="18"/>
      <c r="PIE932" s="18"/>
      <c r="PIF932" s="18"/>
      <c r="PIG932" s="18"/>
      <c r="PIH932" s="18"/>
      <c r="PII932" s="18"/>
      <c r="PIJ932" s="18"/>
      <c r="PIK932" s="18"/>
      <c r="PIL932" s="18"/>
      <c r="PIM932" s="18"/>
      <c r="PIN932" s="18"/>
      <c r="PIO932" s="18"/>
      <c r="PIP932" s="18"/>
      <c r="PIQ932" s="18"/>
      <c r="PIR932" s="18"/>
      <c r="PIS932" s="18"/>
      <c r="PIT932" s="18"/>
      <c r="PIU932" s="18"/>
      <c r="PIV932" s="18"/>
      <c r="PIW932" s="18"/>
      <c r="PIX932" s="18"/>
      <c r="PIY932" s="18"/>
      <c r="PIZ932" s="18"/>
      <c r="PJA932" s="18"/>
      <c r="PJB932" s="18"/>
      <c r="PJC932" s="18"/>
      <c r="PJD932" s="18"/>
      <c r="PJE932" s="18"/>
      <c r="PJF932" s="18"/>
      <c r="PJG932" s="18"/>
      <c r="PJH932" s="18"/>
      <c r="PJI932" s="18"/>
      <c r="PJJ932" s="18"/>
      <c r="PJK932" s="18"/>
      <c r="PJL932" s="18"/>
      <c r="PJM932" s="18"/>
      <c r="PJN932" s="18"/>
      <c r="PJO932" s="18"/>
      <c r="PJP932" s="18"/>
      <c r="PJQ932" s="18"/>
      <c r="PJR932" s="18"/>
      <c r="PJS932" s="18"/>
      <c r="PJT932" s="18"/>
      <c r="PJU932" s="18"/>
      <c r="PJV932" s="18"/>
      <c r="PJW932" s="18"/>
      <c r="PJX932" s="18"/>
      <c r="PJY932" s="18"/>
      <c r="PJZ932" s="18"/>
      <c r="PKA932" s="18"/>
      <c r="PKB932" s="18"/>
      <c r="PKC932" s="18"/>
      <c r="PKD932" s="18"/>
      <c r="PKE932" s="18"/>
      <c r="PKF932" s="18"/>
      <c r="PKG932" s="18"/>
      <c r="PKH932" s="18"/>
      <c r="PKI932" s="18"/>
      <c r="PKJ932" s="18"/>
      <c r="PKK932" s="18"/>
      <c r="PKL932" s="18"/>
      <c r="PKM932" s="18"/>
      <c r="PKN932" s="18"/>
      <c r="PKO932" s="18"/>
      <c r="PKP932" s="18"/>
      <c r="PKQ932" s="18"/>
      <c r="PKR932" s="18"/>
      <c r="PKS932" s="18"/>
      <c r="PKT932" s="18"/>
      <c r="PKU932" s="18"/>
      <c r="PKV932" s="18"/>
      <c r="PKW932" s="18"/>
      <c r="PKX932" s="18"/>
      <c r="PKY932" s="18"/>
      <c r="PKZ932" s="18"/>
      <c r="PLA932" s="18"/>
      <c r="PLB932" s="18"/>
      <c r="PLC932" s="18"/>
      <c r="PLD932" s="18"/>
      <c r="PLE932" s="18"/>
      <c r="PLF932" s="18"/>
      <c r="PLG932" s="18"/>
      <c r="PLH932" s="18"/>
      <c r="PLI932" s="18"/>
      <c r="PLJ932" s="18"/>
      <c r="PLK932" s="18"/>
      <c r="PLL932" s="18"/>
      <c r="PLM932" s="18"/>
      <c r="PLN932" s="18"/>
      <c r="PLO932" s="18"/>
      <c r="PLP932" s="18"/>
      <c r="PLQ932" s="18"/>
      <c r="PLR932" s="18"/>
      <c r="PLS932" s="18"/>
      <c r="PLT932" s="18"/>
      <c r="PLU932" s="18"/>
      <c r="PLV932" s="18"/>
      <c r="PLW932" s="18"/>
      <c r="PLX932" s="18"/>
      <c r="PLY932" s="18"/>
      <c r="PLZ932" s="18"/>
      <c r="PMA932" s="18"/>
      <c r="PMB932" s="18"/>
      <c r="PMC932" s="18"/>
      <c r="PMD932" s="18"/>
      <c r="PME932" s="18"/>
      <c r="PMF932" s="18"/>
      <c r="PMG932" s="18"/>
      <c r="PMH932" s="18"/>
      <c r="PMI932" s="18"/>
      <c r="PMJ932" s="18"/>
      <c r="PMK932" s="18"/>
      <c r="PML932" s="18"/>
      <c r="PMM932" s="18"/>
      <c r="PMN932" s="18"/>
      <c r="PMO932" s="18"/>
      <c r="PMP932" s="18"/>
      <c r="PMQ932" s="18"/>
      <c r="PMR932" s="18"/>
      <c r="PMS932" s="18"/>
      <c r="PMT932" s="18"/>
      <c r="PMU932" s="18"/>
      <c r="PMV932" s="18"/>
      <c r="PMW932" s="18"/>
      <c r="PMX932" s="18"/>
      <c r="PMY932" s="18"/>
      <c r="PMZ932" s="18"/>
      <c r="PNA932" s="18"/>
      <c r="PNB932" s="18"/>
      <c r="PNC932" s="18"/>
      <c r="PND932" s="18"/>
      <c r="PNE932" s="18"/>
      <c r="PNF932" s="18"/>
      <c r="PNG932" s="18"/>
      <c r="PNH932" s="18"/>
      <c r="PNI932" s="18"/>
      <c r="PNJ932" s="18"/>
      <c r="PNK932" s="18"/>
      <c r="PNL932" s="18"/>
      <c r="PNM932" s="18"/>
      <c r="PNN932" s="18"/>
      <c r="PNO932" s="18"/>
      <c r="PNP932" s="18"/>
      <c r="PNQ932" s="18"/>
      <c r="PNR932" s="18"/>
      <c r="PNS932" s="18"/>
      <c r="PNT932" s="18"/>
      <c r="PNU932" s="18"/>
      <c r="PNV932" s="18"/>
      <c r="PNW932" s="18"/>
      <c r="PNX932" s="18"/>
      <c r="PNY932" s="18"/>
      <c r="PNZ932" s="18"/>
      <c r="POA932" s="18"/>
      <c r="POB932" s="18"/>
      <c r="POC932" s="18"/>
      <c r="POD932" s="18"/>
      <c r="POE932" s="18"/>
      <c r="POF932" s="18"/>
      <c r="POG932" s="18"/>
      <c r="POH932" s="18"/>
      <c r="POI932" s="18"/>
      <c r="POJ932" s="18"/>
      <c r="POK932" s="18"/>
      <c r="POL932" s="18"/>
      <c r="POM932" s="18"/>
      <c r="PON932" s="18"/>
      <c r="POO932" s="18"/>
      <c r="POP932" s="18"/>
      <c r="POQ932" s="18"/>
      <c r="POR932" s="18"/>
      <c r="POS932" s="18"/>
      <c r="POT932" s="18"/>
      <c r="POU932" s="18"/>
      <c r="POV932" s="18"/>
      <c r="POW932" s="18"/>
      <c r="POX932" s="18"/>
      <c r="POY932" s="18"/>
      <c r="POZ932" s="18"/>
      <c r="PPA932" s="18"/>
      <c r="PPB932" s="18"/>
      <c r="PPC932" s="18"/>
      <c r="PPD932" s="18"/>
      <c r="PPE932" s="18"/>
      <c r="PPF932" s="18"/>
      <c r="PPG932" s="18"/>
      <c r="PPH932" s="18"/>
      <c r="PPI932" s="18"/>
      <c r="PPJ932" s="18"/>
      <c r="PPK932" s="18"/>
      <c r="PPL932" s="18"/>
      <c r="PPM932" s="18"/>
      <c r="PPN932" s="18"/>
      <c r="PPO932" s="18"/>
      <c r="PPP932" s="18"/>
      <c r="PPQ932" s="18"/>
      <c r="PPR932" s="18"/>
      <c r="PPS932" s="18"/>
      <c r="PPT932" s="18"/>
      <c r="PPU932" s="18"/>
      <c r="PPV932" s="18"/>
      <c r="PPW932" s="18"/>
      <c r="PPX932" s="18"/>
      <c r="PPY932" s="18"/>
      <c r="PPZ932" s="18"/>
      <c r="PQA932" s="18"/>
      <c r="PQB932" s="18"/>
      <c r="PQC932" s="18"/>
      <c r="PQD932" s="18"/>
      <c r="PQE932" s="18"/>
      <c r="PQF932" s="18"/>
      <c r="PQG932" s="18"/>
      <c r="PQH932" s="18"/>
      <c r="PQI932" s="18"/>
      <c r="PQJ932" s="18"/>
      <c r="PQK932" s="18"/>
      <c r="PQL932" s="18"/>
      <c r="PQM932" s="18"/>
      <c r="PQN932" s="18"/>
      <c r="PQO932" s="18"/>
      <c r="PQP932" s="18"/>
      <c r="PQQ932" s="18"/>
      <c r="PQR932" s="18"/>
      <c r="PQS932" s="18"/>
      <c r="PQT932" s="18"/>
      <c r="PQU932" s="18"/>
      <c r="PQV932" s="18"/>
      <c r="PQW932" s="18"/>
      <c r="PQX932" s="18"/>
      <c r="PQY932" s="18"/>
      <c r="PQZ932" s="18"/>
      <c r="PRA932" s="18"/>
      <c r="PRB932" s="18"/>
      <c r="PRC932" s="18"/>
      <c r="PRD932" s="18"/>
      <c r="PRE932" s="18"/>
      <c r="PRF932" s="18"/>
      <c r="PRG932" s="18"/>
      <c r="PRH932" s="18"/>
      <c r="PRI932" s="18"/>
      <c r="PRJ932" s="18"/>
      <c r="PRK932" s="18"/>
      <c r="PRL932" s="18"/>
      <c r="PRM932" s="18"/>
      <c r="PRN932" s="18"/>
      <c r="PRO932" s="18"/>
      <c r="PRP932" s="18"/>
      <c r="PRQ932" s="18"/>
      <c r="PRR932" s="18"/>
      <c r="PRS932" s="18"/>
      <c r="PRT932" s="18"/>
      <c r="PRU932" s="18"/>
      <c r="PRV932" s="18"/>
      <c r="PRW932" s="18"/>
      <c r="PRX932" s="18"/>
      <c r="PRY932" s="18"/>
      <c r="PRZ932" s="18"/>
      <c r="PSA932" s="18"/>
      <c r="PSB932" s="18"/>
      <c r="PSC932" s="18"/>
      <c r="PSD932" s="18"/>
      <c r="PSE932" s="18"/>
      <c r="PSF932" s="18"/>
      <c r="PSG932" s="18"/>
      <c r="PSH932" s="18"/>
      <c r="PSI932" s="18"/>
      <c r="PSJ932" s="18"/>
      <c r="PSK932" s="18"/>
      <c r="PSL932" s="18"/>
      <c r="PSM932" s="18"/>
      <c r="PSN932" s="18"/>
      <c r="PSO932" s="18"/>
      <c r="PSP932" s="18"/>
      <c r="PSQ932" s="18"/>
      <c r="PSR932" s="18"/>
      <c r="PSS932" s="18"/>
      <c r="PST932" s="18"/>
      <c r="PSU932" s="18"/>
      <c r="PSV932" s="18"/>
      <c r="PSW932" s="18"/>
      <c r="PSX932" s="18"/>
      <c r="PSY932" s="18"/>
      <c r="PSZ932" s="18"/>
      <c r="PTA932" s="18"/>
      <c r="PTB932" s="18"/>
      <c r="PTC932" s="18"/>
      <c r="PTD932" s="18"/>
      <c r="PTE932" s="18"/>
      <c r="PTF932" s="18"/>
      <c r="PTG932" s="18"/>
      <c r="PTH932" s="18"/>
      <c r="PTI932" s="18"/>
      <c r="PTJ932" s="18"/>
      <c r="PTK932" s="18"/>
      <c r="PTL932" s="18"/>
      <c r="PTM932" s="18"/>
      <c r="PTN932" s="18"/>
      <c r="PTO932" s="18"/>
      <c r="PTP932" s="18"/>
      <c r="PTQ932" s="18"/>
      <c r="PTR932" s="18"/>
      <c r="PTS932" s="18"/>
      <c r="PTT932" s="18"/>
      <c r="PTU932" s="18"/>
      <c r="PTV932" s="18"/>
      <c r="PTW932" s="18"/>
      <c r="PTX932" s="18"/>
      <c r="PTY932" s="18"/>
      <c r="PTZ932" s="18"/>
      <c r="PUA932" s="18"/>
      <c r="PUB932" s="18"/>
      <c r="PUC932" s="18"/>
      <c r="PUD932" s="18"/>
      <c r="PUE932" s="18"/>
      <c r="PUF932" s="18"/>
      <c r="PUG932" s="18"/>
      <c r="PUH932" s="18"/>
      <c r="PUI932" s="18"/>
      <c r="PUJ932" s="18"/>
      <c r="PUK932" s="18"/>
      <c r="PUL932" s="18"/>
      <c r="PUM932" s="18"/>
      <c r="PUN932" s="18"/>
      <c r="PUO932" s="18"/>
      <c r="PUP932" s="18"/>
      <c r="PUQ932" s="18"/>
      <c r="PUR932" s="18"/>
      <c r="PUS932" s="18"/>
      <c r="PUT932" s="18"/>
      <c r="PUU932" s="18"/>
      <c r="PUV932" s="18"/>
      <c r="PUW932" s="18"/>
      <c r="PUX932" s="18"/>
      <c r="PUY932" s="18"/>
      <c r="PUZ932" s="18"/>
      <c r="PVA932" s="18"/>
      <c r="PVB932" s="18"/>
      <c r="PVC932" s="18"/>
      <c r="PVD932" s="18"/>
      <c r="PVE932" s="18"/>
      <c r="PVF932" s="18"/>
      <c r="PVG932" s="18"/>
      <c r="PVH932" s="18"/>
      <c r="PVI932" s="18"/>
      <c r="PVJ932" s="18"/>
      <c r="PVK932" s="18"/>
      <c r="PVL932" s="18"/>
      <c r="PVM932" s="18"/>
      <c r="PVN932" s="18"/>
      <c r="PVO932" s="18"/>
      <c r="PVP932" s="18"/>
      <c r="PVQ932" s="18"/>
      <c r="PVR932" s="18"/>
      <c r="PVS932" s="18"/>
      <c r="PVT932" s="18"/>
      <c r="PVU932" s="18"/>
      <c r="PVV932" s="18"/>
      <c r="PVW932" s="18"/>
      <c r="PVX932" s="18"/>
      <c r="PVY932" s="18"/>
      <c r="PVZ932" s="18"/>
      <c r="PWA932" s="18"/>
      <c r="PWB932" s="18"/>
      <c r="PWC932" s="18"/>
      <c r="PWD932" s="18"/>
      <c r="PWE932" s="18"/>
      <c r="PWF932" s="18"/>
      <c r="PWG932" s="18"/>
      <c r="PWH932" s="18"/>
      <c r="PWI932" s="18"/>
      <c r="PWJ932" s="18"/>
      <c r="PWK932" s="18"/>
      <c r="PWL932" s="18"/>
      <c r="PWM932" s="18"/>
      <c r="PWN932" s="18"/>
      <c r="PWO932" s="18"/>
      <c r="PWP932" s="18"/>
      <c r="PWQ932" s="18"/>
      <c r="PWR932" s="18"/>
      <c r="PWS932" s="18"/>
      <c r="PWT932" s="18"/>
      <c r="PWU932" s="18"/>
      <c r="PWV932" s="18"/>
      <c r="PWW932" s="18"/>
      <c r="PWX932" s="18"/>
      <c r="PWY932" s="18"/>
      <c r="PWZ932" s="18"/>
      <c r="PXA932" s="18"/>
      <c r="PXB932" s="18"/>
      <c r="PXC932" s="18"/>
      <c r="PXD932" s="18"/>
      <c r="PXE932" s="18"/>
      <c r="PXF932" s="18"/>
      <c r="PXG932" s="18"/>
      <c r="PXH932" s="18"/>
      <c r="PXI932" s="18"/>
      <c r="PXJ932" s="18"/>
      <c r="PXK932" s="18"/>
      <c r="PXL932" s="18"/>
      <c r="PXM932" s="18"/>
      <c r="PXN932" s="18"/>
      <c r="PXO932" s="18"/>
      <c r="PXP932" s="18"/>
      <c r="PXQ932" s="18"/>
      <c r="PXR932" s="18"/>
      <c r="PXS932" s="18"/>
      <c r="PXT932" s="18"/>
      <c r="PXU932" s="18"/>
      <c r="PXV932" s="18"/>
      <c r="PXW932" s="18"/>
      <c r="PXX932" s="18"/>
      <c r="PXY932" s="18"/>
      <c r="PXZ932" s="18"/>
      <c r="PYA932" s="18"/>
      <c r="PYB932" s="18"/>
      <c r="PYC932" s="18"/>
      <c r="PYD932" s="18"/>
      <c r="PYE932" s="18"/>
      <c r="PYF932" s="18"/>
      <c r="PYG932" s="18"/>
      <c r="PYH932" s="18"/>
      <c r="PYI932" s="18"/>
      <c r="PYJ932" s="18"/>
      <c r="PYK932" s="18"/>
      <c r="PYL932" s="18"/>
      <c r="PYM932" s="18"/>
      <c r="PYN932" s="18"/>
      <c r="PYO932" s="18"/>
      <c r="PYP932" s="18"/>
      <c r="PYQ932" s="18"/>
      <c r="PYR932" s="18"/>
      <c r="PYS932" s="18"/>
      <c r="PYT932" s="18"/>
      <c r="PYU932" s="18"/>
      <c r="PYV932" s="18"/>
      <c r="PYW932" s="18"/>
      <c r="PYX932" s="18"/>
      <c r="PYY932" s="18"/>
      <c r="PYZ932" s="18"/>
      <c r="PZA932" s="18"/>
      <c r="PZB932" s="18"/>
      <c r="PZC932" s="18"/>
      <c r="PZD932" s="18"/>
      <c r="PZE932" s="18"/>
      <c r="PZF932" s="18"/>
      <c r="PZG932" s="18"/>
      <c r="PZH932" s="18"/>
      <c r="PZI932" s="18"/>
      <c r="PZJ932" s="18"/>
      <c r="PZK932" s="18"/>
      <c r="PZL932" s="18"/>
      <c r="PZM932" s="18"/>
      <c r="PZN932" s="18"/>
      <c r="PZO932" s="18"/>
      <c r="PZP932" s="18"/>
      <c r="PZQ932" s="18"/>
      <c r="PZR932" s="18"/>
      <c r="PZS932" s="18"/>
      <c r="PZT932" s="18"/>
      <c r="PZU932" s="18"/>
      <c r="PZV932" s="18"/>
      <c r="PZW932" s="18"/>
      <c r="PZX932" s="18"/>
      <c r="PZY932" s="18"/>
      <c r="PZZ932" s="18"/>
      <c r="QAA932" s="18"/>
      <c r="QAB932" s="18"/>
      <c r="QAC932" s="18"/>
      <c r="QAD932" s="18"/>
      <c r="QAE932" s="18"/>
      <c r="QAF932" s="18"/>
      <c r="QAG932" s="18"/>
      <c r="QAH932" s="18"/>
      <c r="QAI932" s="18"/>
      <c r="QAJ932" s="18"/>
      <c r="QAK932" s="18"/>
      <c r="QAL932" s="18"/>
      <c r="QAM932" s="18"/>
      <c r="QAN932" s="18"/>
      <c r="QAO932" s="18"/>
      <c r="QAP932" s="18"/>
      <c r="QAQ932" s="18"/>
      <c r="QAR932" s="18"/>
      <c r="QAS932" s="18"/>
      <c r="QAT932" s="18"/>
      <c r="QAU932" s="18"/>
      <c r="QAV932" s="18"/>
      <c r="QAW932" s="18"/>
      <c r="QAX932" s="18"/>
      <c r="QAY932" s="18"/>
      <c r="QAZ932" s="18"/>
      <c r="QBA932" s="18"/>
      <c r="QBB932" s="18"/>
      <c r="QBC932" s="18"/>
      <c r="QBD932" s="18"/>
      <c r="QBE932" s="18"/>
      <c r="QBF932" s="18"/>
      <c r="QBG932" s="18"/>
      <c r="QBH932" s="18"/>
      <c r="QBI932" s="18"/>
      <c r="QBJ932" s="18"/>
      <c r="QBK932" s="18"/>
      <c r="QBL932" s="18"/>
      <c r="QBM932" s="18"/>
      <c r="QBN932" s="18"/>
      <c r="QBO932" s="18"/>
      <c r="QBP932" s="18"/>
      <c r="QBQ932" s="18"/>
      <c r="QBR932" s="18"/>
      <c r="QBS932" s="18"/>
      <c r="QBT932" s="18"/>
      <c r="QBU932" s="18"/>
      <c r="QBV932" s="18"/>
      <c r="QBW932" s="18"/>
      <c r="QBX932" s="18"/>
      <c r="QBY932" s="18"/>
      <c r="QBZ932" s="18"/>
      <c r="QCA932" s="18"/>
      <c r="QCB932" s="18"/>
      <c r="QCC932" s="18"/>
      <c r="QCD932" s="18"/>
      <c r="QCE932" s="18"/>
      <c r="QCF932" s="18"/>
      <c r="QCG932" s="18"/>
      <c r="QCH932" s="18"/>
      <c r="QCI932" s="18"/>
      <c r="QCJ932" s="18"/>
      <c r="QCK932" s="18"/>
      <c r="QCL932" s="18"/>
      <c r="QCM932" s="18"/>
      <c r="QCN932" s="18"/>
      <c r="QCO932" s="18"/>
      <c r="QCP932" s="18"/>
      <c r="QCQ932" s="18"/>
      <c r="QCR932" s="18"/>
      <c r="QCS932" s="18"/>
      <c r="QCT932" s="18"/>
      <c r="QCU932" s="18"/>
      <c r="QCV932" s="18"/>
      <c r="QCW932" s="18"/>
      <c r="QCX932" s="18"/>
      <c r="QCY932" s="18"/>
      <c r="QCZ932" s="18"/>
      <c r="QDA932" s="18"/>
      <c r="QDB932" s="18"/>
      <c r="QDC932" s="18"/>
      <c r="QDD932" s="18"/>
      <c r="QDE932" s="18"/>
      <c r="QDF932" s="18"/>
      <c r="QDG932" s="18"/>
      <c r="QDH932" s="18"/>
      <c r="QDI932" s="18"/>
      <c r="QDJ932" s="18"/>
      <c r="QDK932" s="18"/>
      <c r="QDL932" s="18"/>
      <c r="QDM932" s="18"/>
      <c r="QDN932" s="18"/>
      <c r="QDO932" s="18"/>
      <c r="QDP932" s="18"/>
      <c r="QDQ932" s="18"/>
      <c r="QDR932" s="18"/>
      <c r="QDS932" s="18"/>
      <c r="QDT932" s="18"/>
      <c r="QDU932" s="18"/>
      <c r="QDV932" s="18"/>
      <c r="QDW932" s="18"/>
      <c r="QDX932" s="18"/>
      <c r="QDY932" s="18"/>
      <c r="QDZ932" s="18"/>
      <c r="QEA932" s="18"/>
      <c r="QEB932" s="18"/>
      <c r="QEC932" s="18"/>
      <c r="QED932" s="18"/>
      <c r="QEE932" s="18"/>
      <c r="QEF932" s="18"/>
      <c r="QEG932" s="18"/>
      <c r="QEH932" s="18"/>
      <c r="QEI932" s="18"/>
      <c r="QEJ932" s="18"/>
      <c r="QEK932" s="18"/>
      <c r="QEL932" s="18"/>
      <c r="QEM932" s="18"/>
      <c r="QEN932" s="18"/>
      <c r="QEO932" s="18"/>
      <c r="QEP932" s="18"/>
      <c r="QEQ932" s="18"/>
      <c r="QER932" s="18"/>
      <c r="QES932" s="18"/>
      <c r="QET932" s="18"/>
      <c r="QEU932" s="18"/>
      <c r="QEV932" s="18"/>
      <c r="QEW932" s="18"/>
      <c r="QEX932" s="18"/>
      <c r="QEY932" s="18"/>
      <c r="QEZ932" s="18"/>
      <c r="QFA932" s="18"/>
      <c r="QFB932" s="18"/>
      <c r="QFC932" s="18"/>
      <c r="QFD932" s="18"/>
      <c r="QFE932" s="18"/>
      <c r="QFF932" s="18"/>
      <c r="QFG932" s="18"/>
      <c r="QFH932" s="18"/>
      <c r="QFI932" s="18"/>
      <c r="QFJ932" s="18"/>
      <c r="QFK932" s="18"/>
      <c r="QFL932" s="18"/>
      <c r="QFM932" s="18"/>
      <c r="QFN932" s="18"/>
      <c r="QFO932" s="18"/>
      <c r="QFP932" s="18"/>
      <c r="QFQ932" s="18"/>
      <c r="QFR932" s="18"/>
      <c r="QFS932" s="18"/>
      <c r="QFT932" s="18"/>
      <c r="QFU932" s="18"/>
      <c r="QFV932" s="18"/>
      <c r="QFW932" s="18"/>
      <c r="QFX932" s="18"/>
      <c r="QFY932" s="18"/>
      <c r="QFZ932" s="18"/>
      <c r="QGA932" s="18"/>
      <c r="QGB932" s="18"/>
      <c r="QGC932" s="18"/>
      <c r="QGD932" s="18"/>
      <c r="QGE932" s="18"/>
      <c r="QGF932" s="18"/>
      <c r="QGG932" s="18"/>
      <c r="QGH932" s="18"/>
      <c r="QGI932" s="18"/>
      <c r="QGJ932" s="18"/>
      <c r="QGK932" s="18"/>
      <c r="QGL932" s="18"/>
      <c r="QGM932" s="18"/>
      <c r="QGN932" s="18"/>
      <c r="QGO932" s="18"/>
      <c r="QGP932" s="18"/>
      <c r="QGQ932" s="18"/>
      <c r="QGR932" s="18"/>
      <c r="QGS932" s="18"/>
      <c r="QGT932" s="18"/>
      <c r="QGU932" s="18"/>
      <c r="QGV932" s="18"/>
      <c r="QGW932" s="18"/>
      <c r="QGX932" s="18"/>
      <c r="QGY932" s="18"/>
      <c r="QGZ932" s="18"/>
      <c r="QHA932" s="18"/>
      <c r="QHB932" s="18"/>
      <c r="QHC932" s="18"/>
      <c r="QHD932" s="18"/>
      <c r="QHE932" s="18"/>
      <c r="QHF932" s="18"/>
      <c r="QHG932" s="18"/>
      <c r="QHH932" s="18"/>
      <c r="QHI932" s="18"/>
      <c r="QHJ932" s="18"/>
      <c r="QHK932" s="18"/>
      <c r="QHL932" s="18"/>
      <c r="QHM932" s="18"/>
      <c r="QHN932" s="18"/>
      <c r="QHO932" s="18"/>
      <c r="QHP932" s="18"/>
      <c r="QHQ932" s="18"/>
      <c r="QHR932" s="18"/>
      <c r="QHS932" s="18"/>
      <c r="QHT932" s="18"/>
      <c r="QHU932" s="18"/>
      <c r="QHV932" s="18"/>
      <c r="QHW932" s="18"/>
      <c r="QHX932" s="18"/>
      <c r="QHY932" s="18"/>
      <c r="QHZ932" s="18"/>
      <c r="QIA932" s="18"/>
      <c r="QIB932" s="18"/>
      <c r="QIC932" s="18"/>
      <c r="QID932" s="18"/>
      <c r="QIE932" s="18"/>
      <c r="QIF932" s="18"/>
      <c r="QIG932" s="18"/>
      <c r="QIH932" s="18"/>
      <c r="QII932" s="18"/>
      <c r="QIJ932" s="18"/>
      <c r="QIK932" s="18"/>
      <c r="QIL932" s="18"/>
      <c r="QIM932" s="18"/>
      <c r="QIN932" s="18"/>
      <c r="QIO932" s="18"/>
      <c r="QIP932" s="18"/>
      <c r="QIQ932" s="18"/>
      <c r="QIR932" s="18"/>
      <c r="QIS932" s="18"/>
      <c r="QIT932" s="18"/>
      <c r="QIU932" s="18"/>
      <c r="QIV932" s="18"/>
      <c r="QIW932" s="18"/>
      <c r="QIX932" s="18"/>
      <c r="QIY932" s="18"/>
      <c r="QIZ932" s="18"/>
      <c r="QJA932" s="18"/>
      <c r="QJB932" s="18"/>
      <c r="QJC932" s="18"/>
      <c r="QJD932" s="18"/>
      <c r="QJE932" s="18"/>
      <c r="QJF932" s="18"/>
      <c r="QJG932" s="18"/>
      <c r="QJH932" s="18"/>
      <c r="QJI932" s="18"/>
      <c r="QJJ932" s="18"/>
      <c r="QJK932" s="18"/>
      <c r="QJL932" s="18"/>
      <c r="QJM932" s="18"/>
      <c r="QJN932" s="18"/>
      <c r="QJO932" s="18"/>
      <c r="QJP932" s="18"/>
      <c r="QJQ932" s="18"/>
      <c r="QJR932" s="18"/>
      <c r="QJS932" s="18"/>
      <c r="QJT932" s="18"/>
      <c r="QJU932" s="18"/>
      <c r="QJV932" s="18"/>
      <c r="QJW932" s="18"/>
      <c r="QJX932" s="18"/>
      <c r="QJY932" s="18"/>
      <c r="QJZ932" s="18"/>
      <c r="QKA932" s="18"/>
      <c r="QKB932" s="18"/>
      <c r="QKC932" s="18"/>
      <c r="QKD932" s="18"/>
      <c r="QKE932" s="18"/>
      <c r="QKF932" s="18"/>
      <c r="QKG932" s="18"/>
      <c r="QKH932" s="18"/>
      <c r="QKI932" s="18"/>
      <c r="QKJ932" s="18"/>
      <c r="QKK932" s="18"/>
      <c r="QKL932" s="18"/>
      <c r="QKM932" s="18"/>
      <c r="QKN932" s="18"/>
      <c r="QKO932" s="18"/>
      <c r="QKP932" s="18"/>
      <c r="QKQ932" s="18"/>
      <c r="QKR932" s="18"/>
      <c r="QKS932" s="18"/>
      <c r="QKT932" s="18"/>
      <c r="QKU932" s="18"/>
      <c r="QKV932" s="18"/>
      <c r="QKW932" s="18"/>
      <c r="QKX932" s="18"/>
      <c r="QKY932" s="18"/>
      <c r="QKZ932" s="18"/>
      <c r="QLA932" s="18"/>
      <c r="QLB932" s="18"/>
      <c r="QLC932" s="18"/>
      <c r="QLD932" s="18"/>
      <c r="QLE932" s="18"/>
      <c r="QLF932" s="18"/>
      <c r="QLG932" s="18"/>
      <c r="QLH932" s="18"/>
      <c r="QLI932" s="18"/>
      <c r="QLJ932" s="18"/>
      <c r="QLK932" s="18"/>
      <c r="QLL932" s="18"/>
      <c r="QLM932" s="18"/>
      <c r="QLN932" s="18"/>
      <c r="QLO932" s="18"/>
      <c r="QLP932" s="18"/>
      <c r="QLQ932" s="18"/>
      <c r="QLR932" s="18"/>
      <c r="QLS932" s="18"/>
      <c r="QLT932" s="18"/>
      <c r="QLU932" s="18"/>
      <c r="QLV932" s="18"/>
      <c r="QLW932" s="18"/>
      <c r="QLX932" s="18"/>
      <c r="QLY932" s="18"/>
      <c r="QLZ932" s="18"/>
      <c r="QMA932" s="18"/>
      <c r="QMB932" s="18"/>
      <c r="QMC932" s="18"/>
      <c r="QMD932" s="18"/>
      <c r="QME932" s="18"/>
      <c r="QMF932" s="18"/>
      <c r="QMG932" s="18"/>
      <c r="QMH932" s="18"/>
      <c r="QMI932" s="18"/>
      <c r="QMJ932" s="18"/>
      <c r="QMK932" s="18"/>
      <c r="QML932" s="18"/>
      <c r="QMM932" s="18"/>
      <c r="QMN932" s="18"/>
      <c r="QMO932" s="18"/>
      <c r="QMP932" s="18"/>
      <c r="QMQ932" s="18"/>
      <c r="QMR932" s="18"/>
      <c r="QMS932" s="18"/>
      <c r="QMT932" s="18"/>
      <c r="QMU932" s="18"/>
      <c r="QMV932" s="18"/>
      <c r="QMW932" s="18"/>
      <c r="QMX932" s="18"/>
      <c r="QMY932" s="18"/>
      <c r="QMZ932" s="18"/>
      <c r="QNA932" s="18"/>
      <c r="QNB932" s="18"/>
      <c r="QNC932" s="18"/>
      <c r="QND932" s="18"/>
      <c r="QNE932" s="18"/>
      <c r="QNF932" s="18"/>
      <c r="QNG932" s="18"/>
      <c r="QNH932" s="18"/>
      <c r="QNI932" s="18"/>
      <c r="QNJ932" s="18"/>
      <c r="QNK932" s="18"/>
      <c r="QNL932" s="18"/>
      <c r="QNM932" s="18"/>
      <c r="QNN932" s="18"/>
      <c r="QNO932" s="18"/>
      <c r="QNP932" s="18"/>
      <c r="QNQ932" s="18"/>
      <c r="QNR932" s="18"/>
      <c r="QNS932" s="18"/>
      <c r="QNT932" s="18"/>
      <c r="QNU932" s="18"/>
      <c r="QNV932" s="18"/>
      <c r="QNW932" s="18"/>
      <c r="QNX932" s="18"/>
      <c r="QNY932" s="18"/>
      <c r="QNZ932" s="18"/>
      <c r="QOA932" s="18"/>
      <c r="QOB932" s="18"/>
      <c r="QOC932" s="18"/>
      <c r="QOD932" s="18"/>
      <c r="QOE932" s="18"/>
      <c r="QOF932" s="18"/>
      <c r="QOG932" s="18"/>
      <c r="QOH932" s="18"/>
      <c r="QOI932" s="18"/>
      <c r="QOJ932" s="18"/>
      <c r="QOK932" s="18"/>
      <c r="QOL932" s="18"/>
      <c r="QOM932" s="18"/>
      <c r="QON932" s="18"/>
      <c r="QOO932" s="18"/>
      <c r="QOP932" s="18"/>
      <c r="QOQ932" s="18"/>
      <c r="QOR932" s="18"/>
      <c r="QOS932" s="18"/>
      <c r="QOT932" s="18"/>
      <c r="QOU932" s="18"/>
      <c r="QOV932" s="18"/>
      <c r="QOW932" s="18"/>
      <c r="QOX932" s="18"/>
      <c r="QOY932" s="18"/>
      <c r="QOZ932" s="18"/>
      <c r="QPA932" s="18"/>
      <c r="QPB932" s="18"/>
      <c r="QPC932" s="18"/>
      <c r="QPD932" s="18"/>
      <c r="QPE932" s="18"/>
      <c r="QPF932" s="18"/>
      <c r="QPG932" s="18"/>
      <c r="QPH932" s="18"/>
      <c r="QPI932" s="18"/>
      <c r="QPJ932" s="18"/>
      <c r="QPK932" s="18"/>
      <c r="QPL932" s="18"/>
      <c r="QPM932" s="18"/>
      <c r="QPN932" s="18"/>
      <c r="QPO932" s="18"/>
      <c r="QPP932" s="18"/>
      <c r="QPQ932" s="18"/>
      <c r="QPR932" s="18"/>
      <c r="QPS932" s="18"/>
      <c r="QPT932" s="18"/>
      <c r="QPU932" s="18"/>
      <c r="QPV932" s="18"/>
      <c r="QPW932" s="18"/>
      <c r="QPX932" s="18"/>
      <c r="QPY932" s="18"/>
      <c r="QPZ932" s="18"/>
      <c r="QQA932" s="18"/>
      <c r="QQB932" s="18"/>
      <c r="QQC932" s="18"/>
      <c r="QQD932" s="18"/>
      <c r="QQE932" s="18"/>
      <c r="QQF932" s="18"/>
      <c r="QQG932" s="18"/>
      <c r="QQH932" s="18"/>
      <c r="QQI932" s="18"/>
      <c r="QQJ932" s="18"/>
      <c r="QQK932" s="18"/>
      <c r="QQL932" s="18"/>
      <c r="QQM932" s="18"/>
      <c r="QQN932" s="18"/>
      <c r="QQO932" s="18"/>
      <c r="QQP932" s="18"/>
      <c r="QQQ932" s="18"/>
      <c r="QQR932" s="18"/>
      <c r="QQS932" s="18"/>
      <c r="QQT932" s="18"/>
      <c r="QQU932" s="18"/>
      <c r="QQV932" s="18"/>
      <c r="QQW932" s="18"/>
      <c r="QQX932" s="18"/>
      <c r="QQY932" s="18"/>
      <c r="QQZ932" s="18"/>
      <c r="QRA932" s="18"/>
      <c r="QRB932" s="18"/>
      <c r="QRC932" s="18"/>
      <c r="QRD932" s="18"/>
      <c r="QRE932" s="18"/>
      <c r="QRF932" s="18"/>
      <c r="QRG932" s="18"/>
      <c r="QRH932" s="18"/>
      <c r="QRI932" s="18"/>
      <c r="QRJ932" s="18"/>
      <c r="QRK932" s="18"/>
      <c r="QRL932" s="18"/>
      <c r="QRM932" s="18"/>
      <c r="QRN932" s="18"/>
      <c r="QRO932" s="18"/>
      <c r="QRP932" s="18"/>
      <c r="QRQ932" s="18"/>
      <c r="QRR932" s="18"/>
      <c r="QRS932" s="18"/>
      <c r="QRT932" s="18"/>
      <c r="QRU932" s="18"/>
      <c r="QRV932" s="18"/>
      <c r="QRW932" s="18"/>
      <c r="QRX932" s="18"/>
      <c r="QRY932" s="18"/>
      <c r="QRZ932" s="18"/>
      <c r="QSA932" s="18"/>
      <c r="QSB932" s="18"/>
      <c r="QSC932" s="18"/>
      <c r="QSD932" s="18"/>
      <c r="QSE932" s="18"/>
      <c r="QSF932" s="18"/>
      <c r="QSG932" s="18"/>
      <c r="QSH932" s="18"/>
      <c r="QSI932" s="18"/>
      <c r="QSJ932" s="18"/>
      <c r="QSK932" s="18"/>
      <c r="QSL932" s="18"/>
      <c r="QSM932" s="18"/>
      <c r="QSN932" s="18"/>
      <c r="QSO932" s="18"/>
      <c r="QSP932" s="18"/>
      <c r="QSQ932" s="18"/>
      <c r="QSR932" s="18"/>
      <c r="QSS932" s="18"/>
      <c r="QST932" s="18"/>
      <c r="QSU932" s="18"/>
      <c r="QSV932" s="18"/>
      <c r="QSW932" s="18"/>
      <c r="QSX932" s="18"/>
      <c r="QSY932" s="18"/>
      <c r="QSZ932" s="18"/>
      <c r="QTA932" s="18"/>
      <c r="QTB932" s="18"/>
      <c r="QTC932" s="18"/>
      <c r="QTD932" s="18"/>
      <c r="QTE932" s="18"/>
      <c r="QTF932" s="18"/>
      <c r="QTG932" s="18"/>
      <c r="QTH932" s="18"/>
      <c r="QTI932" s="18"/>
      <c r="QTJ932" s="18"/>
      <c r="QTK932" s="18"/>
      <c r="QTL932" s="18"/>
      <c r="QTM932" s="18"/>
      <c r="QTN932" s="18"/>
      <c r="QTO932" s="18"/>
      <c r="QTP932" s="18"/>
      <c r="QTQ932" s="18"/>
      <c r="QTR932" s="18"/>
      <c r="QTS932" s="18"/>
      <c r="QTT932" s="18"/>
      <c r="QTU932" s="18"/>
      <c r="QTV932" s="18"/>
      <c r="QTW932" s="18"/>
      <c r="QTX932" s="18"/>
      <c r="QTY932" s="18"/>
      <c r="QTZ932" s="18"/>
      <c r="QUA932" s="18"/>
      <c r="QUB932" s="18"/>
      <c r="QUC932" s="18"/>
      <c r="QUD932" s="18"/>
      <c r="QUE932" s="18"/>
      <c r="QUF932" s="18"/>
      <c r="QUG932" s="18"/>
      <c r="QUH932" s="18"/>
      <c r="QUI932" s="18"/>
      <c r="QUJ932" s="18"/>
      <c r="QUK932" s="18"/>
      <c r="QUL932" s="18"/>
      <c r="QUM932" s="18"/>
      <c r="QUN932" s="18"/>
      <c r="QUO932" s="18"/>
      <c r="QUP932" s="18"/>
      <c r="QUQ932" s="18"/>
      <c r="QUR932" s="18"/>
      <c r="QUS932" s="18"/>
      <c r="QUT932" s="18"/>
      <c r="QUU932" s="18"/>
      <c r="QUV932" s="18"/>
      <c r="QUW932" s="18"/>
      <c r="QUX932" s="18"/>
      <c r="QUY932" s="18"/>
      <c r="QUZ932" s="18"/>
      <c r="QVA932" s="18"/>
      <c r="QVB932" s="18"/>
      <c r="QVC932" s="18"/>
      <c r="QVD932" s="18"/>
      <c r="QVE932" s="18"/>
      <c r="QVF932" s="18"/>
      <c r="QVG932" s="18"/>
      <c r="QVH932" s="18"/>
      <c r="QVI932" s="18"/>
      <c r="QVJ932" s="18"/>
      <c r="QVK932" s="18"/>
      <c r="QVL932" s="18"/>
      <c r="QVM932" s="18"/>
      <c r="QVN932" s="18"/>
      <c r="QVO932" s="18"/>
      <c r="QVP932" s="18"/>
      <c r="QVQ932" s="18"/>
      <c r="QVR932" s="18"/>
      <c r="QVS932" s="18"/>
      <c r="QVT932" s="18"/>
      <c r="QVU932" s="18"/>
      <c r="QVV932" s="18"/>
      <c r="QVW932" s="18"/>
      <c r="QVX932" s="18"/>
      <c r="QVY932" s="18"/>
      <c r="QVZ932" s="18"/>
      <c r="QWA932" s="18"/>
      <c r="QWB932" s="18"/>
      <c r="QWC932" s="18"/>
      <c r="QWD932" s="18"/>
      <c r="QWE932" s="18"/>
      <c r="QWF932" s="18"/>
      <c r="QWG932" s="18"/>
      <c r="QWH932" s="18"/>
      <c r="QWI932" s="18"/>
      <c r="QWJ932" s="18"/>
      <c r="QWK932" s="18"/>
      <c r="QWL932" s="18"/>
      <c r="QWM932" s="18"/>
      <c r="QWN932" s="18"/>
      <c r="QWO932" s="18"/>
      <c r="QWP932" s="18"/>
      <c r="QWQ932" s="18"/>
      <c r="QWR932" s="18"/>
      <c r="QWS932" s="18"/>
      <c r="QWT932" s="18"/>
      <c r="QWU932" s="18"/>
      <c r="QWV932" s="18"/>
      <c r="QWW932" s="18"/>
      <c r="QWX932" s="18"/>
      <c r="QWY932" s="18"/>
      <c r="QWZ932" s="18"/>
      <c r="QXA932" s="18"/>
      <c r="QXB932" s="18"/>
      <c r="QXC932" s="18"/>
      <c r="QXD932" s="18"/>
      <c r="QXE932" s="18"/>
      <c r="QXF932" s="18"/>
      <c r="QXG932" s="18"/>
      <c r="QXH932" s="18"/>
      <c r="QXI932" s="18"/>
      <c r="QXJ932" s="18"/>
      <c r="QXK932" s="18"/>
      <c r="QXL932" s="18"/>
      <c r="QXM932" s="18"/>
      <c r="QXN932" s="18"/>
      <c r="QXO932" s="18"/>
      <c r="QXP932" s="18"/>
      <c r="QXQ932" s="18"/>
      <c r="QXR932" s="18"/>
      <c r="QXS932" s="18"/>
      <c r="QXT932" s="18"/>
      <c r="QXU932" s="18"/>
      <c r="QXV932" s="18"/>
      <c r="QXW932" s="18"/>
      <c r="QXX932" s="18"/>
      <c r="QXY932" s="18"/>
      <c r="QXZ932" s="18"/>
      <c r="QYA932" s="18"/>
      <c r="QYB932" s="18"/>
      <c r="QYC932" s="18"/>
      <c r="QYD932" s="18"/>
      <c r="QYE932" s="18"/>
      <c r="QYF932" s="18"/>
      <c r="QYG932" s="18"/>
      <c r="QYH932" s="18"/>
      <c r="QYI932" s="18"/>
      <c r="QYJ932" s="18"/>
      <c r="QYK932" s="18"/>
      <c r="QYL932" s="18"/>
      <c r="QYM932" s="18"/>
      <c r="QYN932" s="18"/>
      <c r="QYO932" s="18"/>
      <c r="QYP932" s="18"/>
      <c r="QYQ932" s="18"/>
      <c r="QYR932" s="18"/>
      <c r="QYS932" s="18"/>
      <c r="QYT932" s="18"/>
      <c r="QYU932" s="18"/>
      <c r="QYV932" s="18"/>
      <c r="QYW932" s="18"/>
      <c r="QYX932" s="18"/>
      <c r="QYY932" s="18"/>
      <c r="QYZ932" s="18"/>
      <c r="QZA932" s="18"/>
      <c r="QZB932" s="18"/>
      <c r="QZC932" s="18"/>
      <c r="QZD932" s="18"/>
      <c r="QZE932" s="18"/>
      <c r="QZF932" s="18"/>
      <c r="QZG932" s="18"/>
      <c r="QZH932" s="18"/>
      <c r="QZI932" s="18"/>
      <c r="QZJ932" s="18"/>
      <c r="QZK932" s="18"/>
      <c r="QZL932" s="18"/>
      <c r="QZM932" s="18"/>
      <c r="QZN932" s="18"/>
      <c r="QZO932" s="18"/>
      <c r="QZP932" s="18"/>
      <c r="QZQ932" s="18"/>
      <c r="QZR932" s="18"/>
      <c r="QZS932" s="18"/>
      <c r="QZT932" s="18"/>
      <c r="QZU932" s="18"/>
      <c r="QZV932" s="18"/>
      <c r="QZW932" s="18"/>
      <c r="QZX932" s="18"/>
      <c r="QZY932" s="18"/>
      <c r="QZZ932" s="18"/>
      <c r="RAA932" s="18"/>
      <c r="RAB932" s="18"/>
      <c r="RAC932" s="18"/>
      <c r="RAD932" s="18"/>
      <c r="RAE932" s="18"/>
      <c r="RAF932" s="18"/>
      <c r="RAG932" s="18"/>
      <c r="RAH932" s="18"/>
      <c r="RAI932" s="18"/>
      <c r="RAJ932" s="18"/>
      <c r="RAK932" s="18"/>
      <c r="RAL932" s="18"/>
      <c r="RAM932" s="18"/>
      <c r="RAN932" s="18"/>
      <c r="RAO932" s="18"/>
      <c r="RAP932" s="18"/>
      <c r="RAQ932" s="18"/>
      <c r="RAR932" s="18"/>
      <c r="RAS932" s="18"/>
      <c r="RAT932" s="18"/>
      <c r="RAU932" s="18"/>
      <c r="RAV932" s="18"/>
      <c r="RAW932" s="18"/>
      <c r="RAX932" s="18"/>
      <c r="RAY932" s="18"/>
      <c r="RAZ932" s="18"/>
      <c r="RBA932" s="18"/>
      <c r="RBB932" s="18"/>
      <c r="RBC932" s="18"/>
      <c r="RBD932" s="18"/>
      <c r="RBE932" s="18"/>
      <c r="RBF932" s="18"/>
      <c r="RBG932" s="18"/>
      <c r="RBH932" s="18"/>
      <c r="RBI932" s="18"/>
      <c r="RBJ932" s="18"/>
      <c r="RBK932" s="18"/>
      <c r="RBL932" s="18"/>
      <c r="RBM932" s="18"/>
      <c r="RBN932" s="18"/>
      <c r="RBO932" s="18"/>
      <c r="RBP932" s="18"/>
      <c r="RBQ932" s="18"/>
      <c r="RBR932" s="18"/>
      <c r="RBS932" s="18"/>
      <c r="RBT932" s="18"/>
      <c r="RBU932" s="18"/>
      <c r="RBV932" s="18"/>
      <c r="RBW932" s="18"/>
      <c r="RBX932" s="18"/>
      <c r="RBY932" s="18"/>
      <c r="RBZ932" s="18"/>
      <c r="RCA932" s="18"/>
      <c r="RCB932" s="18"/>
      <c r="RCC932" s="18"/>
      <c r="RCD932" s="18"/>
      <c r="RCE932" s="18"/>
      <c r="RCF932" s="18"/>
      <c r="RCG932" s="18"/>
      <c r="RCH932" s="18"/>
      <c r="RCI932" s="18"/>
      <c r="RCJ932" s="18"/>
      <c r="RCK932" s="18"/>
      <c r="RCL932" s="18"/>
      <c r="RCM932" s="18"/>
      <c r="RCN932" s="18"/>
      <c r="RCO932" s="18"/>
      <c r="RCP932" s="18"/>
      <c r="RCQ932" s="18"/>
      <c r="RCR932" s="18"/>
      <c r="RCS932" s="18"/>
      <c r="RCT932" s="18"/>
      <c r="RCU932" s="18"/>
      <c r="RCV932" s="18"/>
      <c r="RCW932" s="18"/>
      <c r="RCX932" s="18"/>
      <c r="RCY932" s="18"/>
      <c r="RCZ932" s="18"/>
      <c r="RDA932" s="18"/>
      <c r="RDB932" s="18"/>
      <c r="RDC932" s="18"/>
      <c r="RDD932" s="18"/>
      <c r="RDE932" s="18"/>
      <c r="RDF932" s="18"/>
      <c r="RDG932" s="18"/>
      <c r="RDH932" s="18"/>
      <c r="RDI932" s="18"/>
      <c r="RDJ932" s="18"/>
      <c r="RDK932" s="18"/>
      <c r="RDL932" s="18"/>
      <c r="RDM932" s="18"/>
      <c r="RDN932" s="18"/>
      <c r="RDO932" s="18"/>
      <c r="RDP932" s="18"/>
      <c r="RDQ932" s="18"/>
      <c r="RDR932" s="18"/>
      <c r="RDS932" s="18"/>
      <c r="RDT932" s="18"/>
      <c r="RDU932" s="18"/>
      <c r="RDV932" s="18"/>
      <c r="RDW932" s="18"/>
      <c r="RDX932" s="18"/>
      <c r="RDY932" s="18"/>
      <c r="RDZ932" s="18"/>
      <c r="REA932" s="18"/>
      <c r="REB932" s="18"/>
      <c r="REC932" s="18"/>
      <c r="RED932" s="18"/>
      <c r="REE932" s="18"/>
      <c r="REF932" s="18"/>
      <c r="REG932" s="18"/>
      <c r="REH932" s="18"/>
      <c r="REI932" s="18"/>
      <c r="REJ932" s="18"/>
      <c r="REK932" s="18"/>
      <c r="REL932" s="18"/>
      <c r="REM932" s="18"/>
      <c r="REN932" s="18"/>
      <c r="REO932" s="18"/>
      <c r="REP932" s="18"/>
      <c r="REQ932" s="18"/>
      <c r="RER932" s="18"/>
      <c r="RES932" s="18"/>
      <c r="RET932" s="18"/>
      <c r="REU932" s="18"/>
      <c r="REV932" s="18"/>
      <c r="REW932" s="18"/>
      <c r="REX932" s="18"/>
      <c r="REY932" s="18"/>
      <c r="REZ932" s="18"/>
      <c r="RFA932" s="18"/>
      <c r="RFB932" s="18"/>
      <c r="RFC932" s="18"/>
      <c r="RFD932" s="18"/>
      <c r="RFE932" s="18"/>
      <c r="RFF932" s="18"/>
      <c r="RFG932" s="18"/>
      <c r="RFH932" s="18"/>
      <c r="RFI932" s="18"/>
      <c r="RFJ932" s="18"/>
      <c r="RFK932" s="18"/>
      <c r="RFL932" s="18"/>
      <c r="RFM932" s="18"/>
      <c r="RFN932" s="18"/>
      <c r="RFO932" s="18"/>
      <c r="RFP932" s="18"/>
      <c r="RFQ932" s="18"/>
      <c r="RFR932" s="18"/>
      <c r="RFS932" s="18"/>
      <c r="RFT932" s="18"/>
      <c r="RFU932" s="18"/>
      <c r="RFV932" s="18"/>
      <c r="RFW932" s="18"/>
      <c r="RFX932" s="18"/>
      <c r="RFY932" s="18"/>
      <c r="RFZ932" s="18"/>
      <c r="RGA932" s="18"/>
      <c r="RGB932" s="18"/>
      <c r="RGC932" s="18"/>
      <c r="RGD932" s="18"/>
      <c r="RGE932" s="18"/>
      <c r="RGF932" s="18"/>
      <c r="RGG932" s="18"/>
      <c r="RGH932" s="18"/>
      <c r="RGI932" s="18"/>
      <c r="RGJ932" s="18"/>
      <c r="RGK932" s="18"/>
      <c r="RGL932" s="18"/>
      <c r="RGM932" s="18"/>
      <c r="RGN932" s="18"/>
      <c r="RGO932" s="18"/>
      <c r="RGP932" s="18"/>
      <c r="RGQ932" s="18"/>
      <c r="RGR932" s="18"/>
      <c r="RGS932" s="18"/>
      <c r="RGT932" s="18"/>
      <c r="RGU932" s="18"/>
      <c r="RGV932" s="18"/>
      <c r="RGW932" s="18"/>
      <c r="RGX932" s="18"/>
      <c r="RGY932" s="18"/>
      <c r="RGZ932" s="18"/>
      <c r="RHA932" s="18"/>
      <c r="RHB932" s="18"/>
      <c r="RHC932" s="18"/>
      <c r="RHD932" s="18"/>
      <c r="RHE932" s="18"/>
      <c r="RHF932" s="18"/>
      <c r="RHG932" s="18"/>
      <c r="RHH932" s="18"/>
      <c r="RHI932" s="18"/>
      <c r="RHJ932" s="18"/>
      <c r="RHK932" s="18"/>
      <c r="RHL932" s="18"/>
      <c r="RHM932" s="18"/>
      <c r="RHN932" s="18"/>
      <c r="RHO932" s="18"/>
      <c r="RHP932" s="18"/>
      <c r="RHQ932" s="18"/>
      <c r="RHR932" s="18"/>
      <c r="RHS932" s="18"/>
      <c r="RHT932" s="18"/>
      <c r="RHU932" s="18"/>
      <c r="RHV932" s="18"/>
      <c r="RHW932" s="18"/>
      <c r="RHX932" s="18"/>
      <c r="RHY932" s="18"/>
      <c r="RHZ932" s="18"/>
      <c r="RIA932" s="18"/>
      <c r="RIB932" s="18"/>
      <c r="RIC932" s="18"/>
      <c r="RID932" s="18"/>
      <c r="RIE932" s="18"/>
      <c r="RIF932" s="18"/>
      <c r="RIG932" s="18"/>
      <c r="RIH932" s="18"/>
      <c r="RII932" s="18"/>
      <c r="RIJ932" s="18"/>
      <c r="RIK932" s="18"/>
      <c r="RIL932" s="18"/>
      <c r="RIM932" s="18"/>
      <c r="RIN932" s="18"/>
      <c r="RIO932" s="18"/>
      <c r="RIP932" s="18"/>
      <c r="RIQ932" s="18"/>
      <c r="RIR932" s="18"/>
      <c r="RIS932" s="18"/>
      <c r="RIT932" s="18"/>
      <c r="RIU932" s="18"/>
      <c r="RIV932" s="18"/>
      <c r="RIW932" s="18"/>
      <c r="RIX932" s="18"/>
      <c r="RIY932" s="18"/>
      <c r="RIZ932" s="18"/>
      <c r="RJA932" s="18"/>
      <c r="RJB932" s="18"/>
      <c r="RJC932" s="18"/>
      <c r="RJD932" s="18"/>
      <c r="RJE932" s="18"/>
      <c r="RJF932" s="18"/>
      <c r="RJG932" s="18"/>
      <c r="RJH932" s="18"/>
      <c r="RJI932" s="18"/>
      <c r="RJJ932" s="18"/>
      <c r="RJK932" s="18"/>
      <c r="RJL932" s="18"/>
      <c r="RJM932" s="18"/>
      <c r="RJN932" s="18"/>
      <c r="RJO932" s="18"/>
      <c r="RJP932" s="18"/>
      <c r="RJQ932" s="18"/>
      <c r="RJR932" s="18"/>
      <c r="RJS932" s="18"/>
      <c r="RJT932" s="18"/>
      <c r="RJU932" s="18"/>
      <c r="RJV932" s="18"/>
      <c r="RJW932" s="18"/>
      <c r="RJX932" s="18"/>
      <c r="RJY932" s="18"/>
      <c r="RJZ932" s="18"/>
      <c r="RKA932" s="18"/>
      <c r="RKB932" s="18"/>
      <c r="RKC932" s="18"/>
      <c r="RKD932" s="18"/>
      <c r="RKE932" s="18"/>
      <c r="RKF932" s="18"/>
      <c r="RKG932" s="18"/>
      <c r="RKH932" s="18"/>
      <c r="RKI932" s="18"/>
      <c r="RKJ932" s="18"/>
      <c r="RKK932" s="18"/>
      <c r="RKL932" s="18"/>
      <c r="RKM932" s="18"/>
      <c r="RKN932" s="18"/>
      <c r="RKO932" s="18"/>
      <c r="RKP932" s="18"/>
      <c r="RKQ932" s="18"/>
      <c r="RKR932" s="18"/>
      <c r="RKS932" s="18"/>
      <c r="RKT932" s="18"/>
      <c r="RKU932" s="18"/>
      <c r="RKV932" s="18"/>
      <c r="RKW932" s="18"/>
      <c r="RKX932" s="18"/>
      <c r="RKY932" s="18"/>
      <c r="RKZ932" s="18"/>
      <c r="RLA932" s="18"/>
      <c r="RLB932" s="18"/>
      <c r="RLC932" s="18"/>
      <c r="RLD932" s="18"/>
      <c r="RLE932" s="18"/>
      <c r="RLF932" s="18"/>
      <c r="RLG932" s="18"/>
      <c r="RLH932" s="18"/>
      <c r="RLI932" s="18"/>
      <c r="RLJ932" s="18"/>
      <c r="RLK932" s="18"/>
      <c r="RLL932" s="18"/>
      <c r="RLM932" s="18"/>
      <c r="RLN932" s="18"/>
      <c r="RLO932" s="18"/>
      <c r="RLP932" s="18"/>
      <c r="RLQ932" s="18"/>
      <c r="RLR932" s="18"/>
      <c r="RLS932" s="18"/>
      <c r="RLT932" s="18"/>
      <c r="RLU932" s="18"/>
      <c r="RLV932" s="18"/>
      <c r="RLW932" s="18"/>
      <c r="RLX932" s="18"/>
      <c r="RLY932" s="18"/>
      <c r="RLZ932" s="18"/>
      <c r="RMA932" s="18"/>
      <c r="RMB932" s="18"/>
      <c r="RMC932" s="18"/>
      <c r="RMD932" s="18"/>
      <c r="RME932" s="18"/>
      <c r="RMF932" s="18"/>
      <c r="RMG932" s="18"/>
      <c r="RMH932" s="18"/>
      <c r="RMI932" s="18"/>
      <c r="RMJ932" s="18"/>
      <c r="RMK932" s="18"/>
      <c r="RML932" s="18"/>
      <c r="RMM932" s="18"/>
      <c r="RMN932" s="18"/>
      <c r="RMO932" s="18"/>
      <c r="RMP932" s="18"/>
      <c r="RMQ932" s="18"/>
      <c r="RMR932" s="18"/>
      <c r="RMS932" s="18"/>
      <c r="RMT932" s="18"/>
      <c r="RMU932" s="18"/>
      <c r="RMV932" s="18"/>
      <c r="RMW932" s="18"/>
      <c r="RMX932" s="18"/>
      <c r="RMY932" s="18"/>
      <c r="RMZ932" s="18"/>
      <c r="RNA932" s="18"/>
      <c r="RNB932" s="18"/>
      <c r="RNC932" s="18"/>
      <c r="RND932" s="18"/>
      <c r="RNE932" s="18"/>
      <c r="RNF932" s="18"/>
      <c r="RNG932" s="18"/>
      <c r="RNH932" s="18"/>
      <c r="RNI932" s="18"/>
      <c r="RNJ932" s="18"/>
      <c r="RNK932" s="18"/>
      <c r="RNL932" s="18"/>
      <c r="RNM932" s="18"/>
      <c r="RNN932" s="18"/>
      <c r="RNO932" s="18"/>
      <c r="RNP932" s="18"/>
      <c r="RNQ932" s="18"/>
      <c r="RNR932" s="18"/>
      <c r="RNS932" s="18"/>
      <c r="RNT932" s="18"/>
      <c r="RNU932" s="18"/>
      <c r="RNV932" s="18"/>
      <c r="RNW932" s="18"/>
      <c r="RNX932" s="18"/>
      <c r="RNY932" s="18"/>
      <c r="RNZ932" s="18"/>
      <c r="ROA932" s="18"/>
      <c r="ROB932" s="18"/>
      <c r="ROC932" s="18"/>
      <c r="ROD932" s="18"/>
      <c r="ROE932" s="18"/>
      <c r="ROF932" s="18"/>
      <c r="ROG932" s="18"/>
      <c r="ROH932" s="18"/>
      <c r="ROI932" s="18"/>
      <c r="ROJ932" s="18"/>
      <c r="ROK932" s="18"/>
      <c r="ROL932" s="18"/>
      <c r="ROM932" s="18"/>
      <c r="RON932" s="18"/>
      <c r="ROO932" s="18"/>
      <c r="ROP932" s="18"/>
      <c r="ROQ932" s="18"/>
      <c r="ROR932" s="18"/>
      <c r="ROS932" s="18"/>
      <c r="ROT932" s="18"/>
      <c r="ROU932" s="18"/>
      <c r="ROV932" s="18"/>
      <c r="ROW932" s="18"/>
      <c r="ROX932" s="18"/>
      <c r="ROY932" s="18"/>
      <c r="ROZ932" s="18"/>
      <c r="RPA932" s="18"/>
      <c r="RPB932" s="18"/>
      <c r="RPC932" s="18"/>
      <c r="RPD932" s="18"/>
      <c r="RPE932" s="18"/>
      <c r="RPF932" s="18"/>
      <c r="RPG932" s="18"/>
      <c r="RPH932" s="18"/>
      <c r="RPI932" s="18"/>
      <c r="RPJ932" s="18"/>
      <c r="RPK932" s="18"/>
      <c r="RPL932" s="18"/>
      <c r="RPM932" s="18"/>
      <c r="RPN932" s="18"/>
      <c r="RPO932" s="18"/>
      <c r="RPP932" s="18"/>
      <c r="RPQ932" s="18"/>
      <c r="RPR932" s="18"/>
      <c r="RPS932" s="18"/>
      <c r="RPT932" s="18"/>
      <c r="RPU932" s="18"/>
      <c r="RPV932" s="18"/>
      <c r="RPW932" s="18"/>
      <c r="RPX932" s="18"/>
      <c r="RPY932" s="18"/>
      <c r="RPZ932" s="18"/>
      <c r="RQA932" s="18"/>
      <c r="RQB932" s="18"/>
      <c r="RQC932" s="18"/>
      <c r="RQD932" s="18"/>
      <c r="RQE932" s="18"/>
      <c r="RQF932" s="18"/>
      <c r="RQG932" s="18"/>
      <c r="RQH932" s="18"/>
      <c r="RQI932" s="18"/>
      <c r="RQJ932" s="18"/>
      <c r="RQK932" s="18"/>
      <c r="RQL932" s="18"/>
      <c r="RQM932" s="18"/>
      <c r="RQN932" s="18"/>
      <c r="RQO932" s="18"/>
      <c r="RQP932" s="18"/>
      <c r="RQQ932" s="18"/>
      <c r="RQR932" s="18"/>
      <c r="RQS932" s="18"/>
      <c r="RQT932" s="18"/>
      <c r="RQU932" s="18"/>
      <c r="RQV932" s="18"/>
      <c r="RQW932" s="18"/>
      <c r="RQX932" s="18"/>
      <c r="RQY932" s="18"/>
      <c r="RQZ932" s="18"/>
      <c r="RRA932" s="18"/>
      <c r="RRB932" s="18"/>
      <c r="RRC932" s="18"/>
      <c r="RRD932" s="18"/>
      <c r="RRE932" s="18"/>
      <c r="RRF932" s="18"/>
      <c r="RRG932" s="18"/>
      <c r="RRH932" s="18"/>
      <c r="RRI932" s="18"/>
      <c r="RRJ932" s="18"/>
      <c r="RRK932" s="18"/>
      <c r="RRL932" s="18"/>
      <c r="RRM932" s="18"/>
      <c r="RRN932" s="18"/>
      <c r="RRO932" s="18"/>
      <c r="RRP932" s="18"/>
      <c r="RRQ932" s="18"/>
      <c r="RRR932" s="18"/>
      <c r="RRS932" s="18"/>
      <c r="RRT932" s="18"/>
      <c r="RRU932" s="18"/>
      <c r="RRV932" s="18"/>
      <c r="RRW932" s="18"/>
      <c r="RRX932" s="18"/>
      <c r="RRY932" s="18"/>
      <c r="RRZ932" s="18"/>
      <c r="RSA932" s="18"/>
      <c r="RSB932" s="18"/>
      <c r="RSC932" s="18"/>
      <c r="RSD932" s="18"/>
      <c r="RSE932" s="18"/>
      <c r="RSF932" s="18"/>
      <c r="RSG932" s="18"/>
      <c r="RSH932" s="18"/>
      <c r="RSI932" s="18"/>
      <c r="RSJ932" s="18"/>
      <c r="RSK932" s="18"/>
      <c r="RSL932" s="18"/>
      <c r="RSM932" s="18"/>
      <c r="RSN932" s="18"/>
      <c r="RSO932" s="18"/>
      <c r="RSP932" s="18"/>
      <c r="RSQ932" s="18"/>
      <c r="RSR932" s="18"/>
      <c r="RSS932" s="18"/>
      <c r="RST932" s="18"/>
      <c r="RSU932" s="18"/>
      <c r="RSV932" s="18"/>
      <c r="RSW932" s="18"/>
      <c r="RSX932" s="18"/>
      <c r="RSY932" s="18"/>
      <c r="RSZ932" s="18"/>
      <c r="RTA932" s="18"/>
      <c r="RTB932" s="18"/>
      <c r="RTC932" s="18"/>
      <c r="RTD932" s="18"/>
      <c r="RTE932" s="18"/>
      <c r="RTF932" s="18"/>
      <c r="RTG932" s="18"/>
      <c r="RTH932" s="18"/>
      <c r="RTI932" s="18"/>
      <c r="RTJ932" s="18"/>
      <c r="RTK932" s="18"/>
      <c r="RTL932" s="18"/>
      <c r="RTM932" s="18"/>
      <c r="RTN932" s="18"/>
      <c r="RTO932" s="18"/>
      <c r="RTP932" s="18"/>
      <c r="RTQ932" s="18"/>
      <c r="RTR932" s="18"/>
      <c r="RTS932" s="18"/>
      <c r="RTT932" s="18"/>
      <c r="RTU932" s="18"/>
      <c r="RTV932" s="18"/>
      <c r="RTW932" s="18"/>
      <c r="RTX932" s="18"/>
      <c r="RTY932" s="18"/>
      <c r="RTZ932" s="18"/>
      <c r="RUA932" s="18"/>
      <c r="RUB932" s="18"/>
      <c r="RUC932" s="18"/>
      <c r="RUD932" s="18"/>
      <c r="RUE932" s="18"/>
      <c r="RUF932" s="18"/>
      <c r="RUG932" s="18"/>
      <c r="RUH932" s="18"/>
      <c r="RUI932" s="18"/>
      <c r="RUJ932" s="18"/>
      <c r="RUK932" s="18"/>
      <c r="RUL932" s="18"/>
      <c r="RUM932" s="18"/>
      <c r="RUN932" s="18"/>
      <c r="RUO932" s="18"/>
      <c r="RUP932" s="18"/>
      <c r="RUQ932" s="18"/>
      <c r="RUR932" s="18"/>
      <c r="RUS932" s="18"/>
      <c r="RUT932" s="18"/>
      <c r="RUU932" s="18"/>
      <c r="RUV932" s="18"/>
      <c r="RUW932" s="18"/>
      <c r="RUX932" s="18"/>
      <c r="RUY932" s="18"/>
      <c r="RUZ932" s="18"/>
      <c r="RVA932" s="18"/>
      <c r="RVB932" s="18"/>
      <c r="RVC932" s="18"/>
      <c r="RVD932" s="18"/>
      <c r="RVE932" s="18"/>
      <c r="RVF932" s="18"/>
      <c r="RVG932" s="18"/>
      <c r="RVH932" s="18"/>
      <c r="RVI932" s="18"/>
      <c r="RVJ932" s="18"/>
      <c r="RVK932" s="18"/>
      <c r="RVL932" s="18"/>
      <c r="RVM932" s="18"/>
      <c r="RVN932" s="18"/>
      <c r="RVO932" s="18"/>
      <c r="RVP932" s="18"/>
      <c r="RVQ932" s="18"/>
      <c r="RVR932" s="18"/>
      <c r="RVS932" s="18"/>
      <c r="RVT932" s="18"/>
      <c r="RVU932" s="18"/>
      <c r="RVV932" s="18"/>
      <c r="RVW932" s="18"/>
      <c r="RVX932" s="18"/>
      <c r="RVY932" s="18"/>
      <c r="RVZ932" s="18"/>
      <c r="RWA932" s="18"/>
      <c r="RWB932" s="18"/>
      <c r="RWC932" s="18"/>
      <c r="RWD932" s="18"/>
      <c r="RWE932" s="18"/>
      <c r="RWF932" s="18"/>
      <c r="RWG932" s="18"/>
      <c r="RWH932" s="18"/>
      <c r="RWI932" s="18"/>
      <c r="RWJ932" s="18"/>
      <c r="RWK932" s="18"/>
      <c r="RWL932" s="18"/>
      <c r="RWM932" s="18"/>
      <c r="RWN932" s="18"/>
      <c r="RWO932" s="18"/>
      <c r="RWP932" s="18"/>
      <c r="RWQ932" s="18"/>
      <c r="RWR932" s="18"/>
      <c r="RWS932" s="18"/>
      <c r="RWT932" s="18"/>
      <c r="RWU932" s="18"/>
      <c r="RWV932" s="18"/>
      <c r="RWW932" s="18"/>
      <c r="RWX932" s="18"/>
      <c r="RWY932" s="18"/>
      <c r="RWZ932" s="18"/>
      <c r="RXA932" s="18"/>
      <c r="RXB932" s="18"/>
      <c r="RXC932" s="18"/>
      <c r="RXD932" s="18"/>
      <c r="RXE932" s="18"/>
      <c r="RXF932" s="18"/>
      <c r="RXG932" s="18"/>
      <c r="RXH932" s="18"/>
      <c r="RXI932" s="18"/>
      <c r="RXJ932" s="18"/>
      <c r="RXK932" s="18"/>
      <c r="RXL932" s="18"/>
      <c r="RXM932" s="18"/>
      <c r="RXN932" s="18"/>
      <c r="RXO932" s="18"/>
      <c r="RXP932" s="18"/>
      <c r="RXQ932" s="18"/>
      <c r="RXR932" s="18"/>
      <c r="RXS932" s="18"/>
      <c r="RXT932" s="18"/>
      <c r="RXU932" s="18"/>
      <c r="RXV932" s="18"/>
      <c r="RXW932" s="18"/>
      <c r="RXX932" s="18"/>
      <c r="RXY932" s="18"/>
      <c r="RXZ932" s="18"/>
      <c r="RYA932" s="18"/>
      <c r="RYB932" s="18"/>
      <c r="RYC932" s="18"/>
      <c r="RYD932" s="18"/>
      <c r="RYE932" s="18"/>
      <c r="RYF932" s="18"/>
      <c r="RYG932" s="18"/>
      <c r="RYH932" s="18"/>
      <c r="RYI932" s="18"/>
      <c r="RYJ932" s="18"/>
      <c r="RYK932" s="18"/>
      <c r="RYL932" s="18"/>
      <c r="RYM932" s="18"/>
      <c r="RYN932" s="18"/>
      <c r="RYO932" s="18"/>
      <c r="RYP932" s="18"/>
      <c r="RYQ932" s="18"/>
      <c r="RYR932" s="18"/>
      <c r="RYS932" s="18"/>
      <c r="RYT932" s="18"/>
      <c r="RYU932" s="18"/>
      <c r="RYV932" s="18"/>
      <c r="RYW932" s="18"/>
      <c r="RYX932" s="18"/>
      <c r="RYY932" s="18"/>
      <c r="RYZ932" s="18"/>
      <c r="RZA932" s="18"/>
      <c r="RZB932" s="18"/>
      <c r="RZC932" s="18"/>
      <c r="RZD932" s="18"/>
      <c r="RZE932" s="18"/>
      <c r="RZF932" s="18"/>
      <c r="RZG932" s="18"/>
      <c r="RZH932" s="18"/>
      <c r="RZI932" s="18"/>
      <c r="RZJ932" s="18"/>
      <c r="RZK932" s="18"/>
      <c r="RZL932" s="18"/>
      <c r="RZM932" s="18"/>
      <c r="RZN932" s="18"/>
      <c r="RZO932" s="18"/>
      <c r="RZP932" s="18"/>
      <c r="RZQ932" s="18"/>
      <c r="RZR932" s="18"/>
      <c r="RZS932" s="18"/>
      <c r="RZT932" s="18"/>
      <c r="RZU932" s="18"/>
      <c r="RZV932" s="18"/>
      <c r="RZW932" s="18"/>
      <c r="RZX932" s="18"/>
      <c r="RZY932" s="18"/>
      <c r="RZZ932" s="18"/>
      <c r="SAA932" s="18"/>
      <c r="SAB932" s="18"/>
      <c r="SAC932" s="18"/>
      <c r="SAD932" s="18"/>
      <c r="SAE932" s="18"/>
      <c r="SAF932" s="18"/>
      <c r="SAG932" s="18"/>
      <c r="SAH932" s="18"/>
      <c r="SAI932" s="18"/>
      <c r="SAJ932" s="18"/>
      <c r="SAK932" s="18"/>
      <c r="SAL932" s="18"/>
      <c r="SAM932" s="18"/>
      <c r="SAN932" s="18"/>
      <c r="SAO932" s="18"/>
      <c r="SAP932" s="18"/>
      <c r="SAQ932" s="18"/>
      <c r="SAR932" s="18"/>
      <c r="SAS932" s="18"/>
      <c r="SAT932" s="18"/>
      <c r="SAU932" s="18"/>
      <c r="SAV932" s="18"/>
      <c r="SAW932" s="18"/>
      <c r="SAX932" s="18"/>
      <c r="SAY932" s="18"/>
      <c r="SAZ932" s="18"/>
      <c r="SBA932" s="18"/>
      <c r="SBB932" s="18"/>
      <c r="SBC932" s="18"/>
      <c r="SBD932" s="18"/>
      <c r="SBE932" s="18"/>
      <c r="SBF932" s="18"/>
      <c r="SBG932" s="18"/>
      <c r="SBH932" s="18"/>
      <c r="SBI932" s="18"/>
      <c r="SBJ932" s="18"/>
      <c r="SBK932" s="18"/>
      <c r="SBL932" s="18"/>
      <c r="SBM932" s="18"/>
      <c r="SBN932" s="18"/>
      <c r="SBO932" s="18"/>
      <c r="SBP932" s="18"/>
      <c r="SBQ932" s="18"/>
      <c r="SBR932" s="18"/>
      <c r="SBS932" s="18"/>
      <c r="SBT932" s="18"/>
      <c r="SBU932" s="18"/>
      <c r="SBV932" s="18"/>
      <c r="SBW932" s="18"/>
      <c r="SBX932" s="18"/>
      <c r="SBY932" s="18"/>
      <c r="SBZ932" s="18"/>
      <c r="SCA932" s="18"/>
      <c r="SCB932" s="18"/>
      <c r="SCC932" s="18"/>
      <c r="SCD932" s="18"/>
      <c r="SCE932" s="18"/>
      <c r="SCF932" s="18"/>
      <c r="SCG932" s="18"/>
      <c r="SCH932" s="18"/>
      <c r="SCI932" s="18"/>
      <c r="SCJ932" s="18"/>
      <c r="SCK932" s="18"/>
      <c r="SCL932" s="18"/>
      <c r="SCM932" s="18"/>
      <c r="SCN932" s="18"/>
      <c r="SCO932" s="18"/>
      <c r="SCP932" s="18"/>
      <c r="SCQ932" s="18"/>
      <c r="SCR932" s="18"/>
      <c r="SCS932" s="18"/>
      <c r="SCT932" s="18"/>
      <c r="SCU932" s="18"/>
      <c r="SCV932" s="18"/>
      <c r="SCW932" s="18"/>
      <c r="SCX932" s="18"/>
      <c r="SCY932" s="18"/>
      <c r="SCZ932" s="18"/>
      <c r="SDA932" s="18"/>
      <c r="SDB932" s="18"/>
      <c r="SDC932" s="18"/>
      <c r="SDD932" s="18"/>
      <c r="SDE932" s="18"/>
      <c r="SDF932" s="18"/>
      <c r="SDG932" s="18"/>
      <c r="SDH932" s="18"/>
      <c r="SDI932" s="18"/>
      <c r="SDJ932" s="18"/>
      <c r="SDK932" s="18"/>
      <c r="SDL932" s="18"/>
      <c r="SDM932" s="18"/>
      <c r="SDN932" s="18"/>
      <c r="SDO932" s="18"/>
      <c r="SDP932" s="18"/>
      <c r="SDQ932" s="18"/>
      <c r="SDR932" s="18"/>
      <c r="SDS932" s="18"/>
      <c r="SDT932" s="18"/>
      <c r="SDU932" s="18"/>
      <c r="SDV932" s="18"/>
      <c r="SDW932" s="18"/>
      <c r="SDX932" s="18"/>
      <c r="SDY932" s="18"/>
      <c r="SDZ932" s="18"/>
      <c r="SEA932" s="18"/>
      <c r="SEB932" s="18"/>
      <c r="SEC932" s="18"/>
      <c r="SED932" s="18"/>
      <c r="SEE932" s="18"/>
      <c r="SEF932" s="18"/>
      <c r="SEG932" s="18"/>
      <c r="SEH932" s="18"/>
      <c r="SEI932" s="18"/>
      <c r="SEJ932" s="18"/>
      <c r="SEK932" s="18"/>
      <c r="SEL932" s="18"/>
      <c r="SEM932" s="18"/>
      <c r="SEN932" s="18"/>
      <c r="SEO932" s="18"/>
      <c r="SEP932" s="18"/>
      <c r="SEQ932" s="18"/>
      <c r="SER932" s="18"/>
      <c r="SES932" s="18"/>
      <c r="SET932" s="18"/>
      <c r="SEU932" s="18"/>
      <c r="SEV932" s="18"/>
      <c r="SEW932" s="18"/>
      <c r="SEX932" s="18"/>
      <c r="SEY932" s="18"/>
      <c r="SEZ932" s="18"/>
      <c r="SFA932" s="18"/>
      <c r="SFB932" s="18"/>
      <c r="SFC932" s="18"/>
      <c r="SFD932" s="18"/>
      <c r="SFE932" s="18"/>
      <c r="SFF932" s="18"/>
      <c r="SFG932" s="18"/>
      <c r="SFH932" s="18"/>
      <c r="SFI932" s="18"/>
      <c r="SFJ932" s="18"/>
      <c r="SFK932" s="18"/>
      <c r="SFL932" s="18"/>
      <c r="SFM932" s="18"/>
      <c r="SFN932" s="18"/>
      <c r="SFO932" s="18"/>
      <c r="SFP932" s="18"/>
      <c r="SFQ932" s="18"/>
      <c r="SFR932" s="18"/>
      <c r="SFS932" s="18"/>
      <c r="SFT932" s="18"/>
      <c r="SFU932" s="18"/>
      <c r="SFV932" s="18"/>
      <c r="SFW932" s="18"/>
      <c r="SFX932" s="18"/>
      <c r="SFY932" s="18"/>
      <c r="SFZ932" s="18"/>
      <c r="SGA932" s="18"/>
      <c r="SGB932" s="18"/>
      <c r="SGC932" s="18"/>
      <c r="SGD932" s="18"/>
      <c r="SGE932" s="18"/>
      <c r="SGF932" s="18"/>
      <c r="SGG932" s="18"/>
      <c r="SGH932" s="18"/>
      <c r="SGI932" s="18"/>
      <c r="SGJ932" s="18"/>
      <c r="SGK932" s="18"/>
      <c r="SGL932" s="18"/>
      <c r="SGM932" s="18"/>
      <c r="SGN932" s="18"/>
      <c r="SGO932" s="18"/>
      <c r="SGP932" s="18"/>
      <c r="SGQ932" s="18"/>
      <c r="SGR932" s="18"/>
      <c r="SGS932" s="18"/>
      <c r="SGT932" s="18"/>
      <c r="SGU932" s="18"/>
      <c r="SGV932" s="18"/>
      <c r="SGW932" s="18"/>
      <c r="SGX932" s="18"/>
      <c r="SGY932" s="18"/>
      <c r="SGZ932" s="18"/>
      <c r="SHA932" s="18"/>
      <c r="SHB932" s="18"/>
      <c r="SHC932" s="18"/>
      <c r="SHD932" s="18"/>
      <c r="SHE932" s="18"/>
      <c r="SHF932" s="18"/>
      <c r="SHG932" s="18"/>
      <c r="SHH932" s="18"/>
      <c r="SHI932" s="18"/>
      <c r="SHJ932" s="18"/>
      <c r="SHK932" s="18"/>
      <c r="SHL932" s="18"/>
      <c r="SHM932" s="18"/>
      <c r="SHN932" s="18"/>
      <c r="SHO932" s="18"/>
      <c r="SHP932" s="18"/>
      <c r="SHQ932" s="18"/>
      <c r="SHR932" s="18"/>
      <c r="SHS932" s="18"/>
      <c r="SHT932" s="18"/>
      <c r="SHU932" s="18"/>
      <c r="SHV932" s="18"/>
      <c r="SHW932" s="18"/>
      <c r="SHX932" s="18"/>
      <c r="SHY932" s="18"/>
      <c r="SHZ932" s="18"/>
      <c r="SIA932" s="18"/>
      <c r="SIB932" s="18"/>
      <c r="SIC932" s="18"/>
      <c r="SID932" s="18"/>
      <c r="SIE932" s="18"/>
      <c r="SIF932" s="18"/>
      <c r="SIG932" s="18"/>
      <c r="SIH932" s="18"/>
      <c r="SII932" s="18"/>
      <c r="SIJ932" s="18"/>
      <c r="SIK932" s="18"/>
      <c r="SIL932" s="18"/>
      <c r="SIM932" s="18"/>
      <c r="SIN932" s="18"/>
      <c r="SIO932" s="18"/>
      <c r="SIP932" s="18"/>
      <c r="SIQ932" s="18"/>
      <c r="SIR932" s="18"/>
      <c r="SIS932" s="18"/>
      <c r="SIT932" s="18"/>
      <c r="SIU932" s="18"/>
      <c r="SIV932" s="18"/>
      <c r="SIW932" s="18"/>
      <c r="SIX932" s="18"/>
      <c r="SIY932" s="18"/>
      <c r="SIZ932" s="18"/>
      <c r="SJA932" s="18"/>
      <c r="SJB932" s="18"/>
      <c r="SJC932" s="18"/>
      <c r="SJD932" s="18"/>
      <c r="SJE932" s="18"/>
      <c r="SJF932" s="18"/>
      <c r="SJG932" s="18"/>
      <c r="SJH932" s="18"/>
      <c r="SJI932" s="18"/>
      <c r="SJJ932" s="18"/>
      <c r="SJK932" s="18"/>
      <c r="SJL932" s="18"/>
      <c r="SJM932" s="18"/>
      <c r="SJN932" s="18"/>
      <c r="SJO932" s="18"/>
      <c r="SJP932" s="18"/>
      <c r="SJQ932" s="18"/>
      <c r="SJR932" s="18"/>
      <c r="SJS932" s="18"/>
      <c r="SJT932" s="18"/>
      <c r="SJU932" s="18"/>
      <c r="SJV932" s="18"/>
      <c r="SJW932" s="18"/>
      <c r="SJX932" s="18"/>
      <c r="SJY932" s="18"/>
      <c r="SJZ932" s="18"/>
      <c r="SKA932" s="18"/>
      <c r="SKB932" s="18"/>
      <c r="SKC932" s="18"/>
      <c r="SKD932" s="18"/>
      <c r="SKE932" s="18"/>
      <c r="SKF932" s="18"/>
      <c r="SKG932" s="18"/>
      <c r="SKH932" s="18"/>
      <c r="SKI932" s="18"/>
      <c r="SKJ932" s="18"/>
      <c r="SKK932" s="18"/>
      <c r="SKL932" s="18"/>
      <c r="SKM932" s="18"/>
      <c r="SKN932" s="18"/>
      <c r="SKO932" s="18"/>
      <c r="SKP932" s="18"/>
      <c r="SKQ932" s="18"/>
      <c r="SKR932" s="18"/>
      <c r="SKS932" s="18"/>
      <c r="SKT932" s="18"/>
      <c r="SKU932" s="18"/>
      <c r="SKV932" s="18"/>
      <c r="SKW932" s="18"/>
      <c r="SKX932" s="18"/>
      <c r="SKY932" s="18"/>
      <c r="SKZ932" s="18"/>
      <c r="SLA932" s="18"/>
      <c r="SLB932" s="18"/>
      <c r="SLC932" s="18"/>
      <c r="SLD932" s="18"/>
      <c r="SLE932" s="18"/>
      <c r="SLF932" s="18"/>
      <c r="SLG932" s="18"/>
      <c r="SLH932" s="18"/>
      <c r="SLI932" s="18"/>
      <c r="SLJ932" s="18"/>
      <c r="SLK932" s="18"/>
      <c r="SLL932" s="18"/>
      <c r="SLM932" s="18"/>
      <c r="SLN932" s="18"/>
      <c r="SLO932" s="18"/>
      <c r="SLP932" s="18"/>
      <c r="SLQ932" s="18"/>
      <c r="SLR932" s="18"/>
      <c r="SLS932" s="18"/>
      <c r="SLT932" s="18"/>
      <c r="SLU932" s="18"/>
      <c r="SLV932" s="18"/>
      <c r="SLW932" s="18"/>
      <c r="SLX932" s="18"/>
      <c r="SLY932" s="18"/>
      <c r="SLZ932" s="18"/>
      <c r="SMA932" s="18"/>
      <c r="SMB932" s="18"/>
      <c r="SMC932" s="18"/>
      <c r="SMD932" s="18"/>
      <c r="SME932" s="18"/>
      <c r="SMF932" s="18"/>
      <c r="SMG932" s="18"/>
      <c r="SMH932" s="18"/>
      <c r="SMI932" s="18"/>
      <c r="SMJ932" s="18"/>
      <c r="SMK932" s="18"/>
      <c r="SML932" s="18"/>
      <c r="SMM932" s="18"/>
      <c r="SMN932" s="18"/>
      <c r="SMO932" s="18"/>
      <c r="SMP932" s="18"/>
      <c r="SMQ932" s="18"/>
      <c r="SMR932" s="18"/>
      <c r="SMS932" s="18"/>
      <c r="SMT932" s="18"/>
      <c r="SMU932" s="18"/>
      <c r="SMV932" s="18"/>
      <c r="SMW932" s="18"/>
      <c r="SMX932" s="18"/>
      <c r="SMY932" s="18"/>
      <c r="SMZ932" s="18"/>
      <c r="SNA932" s="18"/>
      <c r="SNB932" s="18"/>
      <c r="SNC932" s="18"/>
      <c r="SND932" s="18"/>
      <c r="SNE932" s="18"/>
      <c r="SNF932" s="18"/>
      <c r="SNG932" s="18"/>
      <c r="SNH932" s="18"/>
      <c r="SNI932" s="18"/>
      <c r="SNJ932" s="18"/>
      <c r="SNK932" s="18"/>
      <c r="SNL932" s="18"/>
      <c r="SNM932" s="18"/>
      <c r="SNN932" s="18"/>
      <c r="SNO932" s="18"/>
      <c r="SNP932" s="18"/>
      <c r="SNQ932" s="18"/>
      <c r="SNR932" s="18"/>
      <c r="SNS932" s="18"/>
      <c r="SNT932" s="18"/>
      <c r="SNU932" s="18"/>
      <c r="SNV932" s="18"/>
      <c r="SNW932" s="18"/>
      <c r="SNX932" s="18"/>
      <c r="SNY932" s="18"/>
      <c r="SNZ932" s="18"/>
      <c r="SOA932" s="18"/>
      <c r="SOB932" s="18"/>
      <c r="SOC932" s="18"/>
      <c r="SOD932" s="18"/>
      <c r="SOE932" s="18"/>
      <c r="SOF932" s="18"/>
      <c r="SOG932" s="18"/>
      <c r="SOH932" s="18"/>
      <c r="SOI932" s="18"/>
      <c r="SOJ932" s="18"/>
      <c r="SOK932" s="18"/>
      <c r="SOL932" s="18"/>
      <c r="SOM932" s="18"/>
      <c r="SON932" s="18"/>
      <c r="SOO932" s="18"/>
      <c r="SOP932" s="18"/>
      <c r="SOQ932" s="18"/>
      <c r="SOR932" s="18"/>
      <c r="SOS932" s="18"/>
      <c r="SOT932" s="18"/>
      <c r="SOU932" s="18"/>
      <c r="SOV932" s="18"/>
      <c r="SOW932" s="18"/>
      <c r="SOX932" s="18"/>
      <c r="SOY932" s="18"/>
      <c r="SOZ932" s="18"/>
      <c r="SPA932" s="18"/>
      <c r="SPB932" s="18"/>
      <c r="SPC932" s="18"/>
      <c r="SPD932" s="18"/>
      <c r="SPE932" s="18"/>
      <c r="SPF932" s="18"/>
      <c r="SPG932" s="18"/>
      <c r="SPH932" s="18"/>
      <c r="SPI932" s="18"/>
      <c r="SPJ932" s="18"/>
      <c r="SPK932" s="18"/>
      <c r="SPL932" s="18"/>
      <c r="SPM932" s="18"/>
      <c r="SPN932" s="18"/>
      <c r="SPO932" s="18"/>
      <c r="SPP932" s="18"/>
      <c r="SPQ932" s="18"/>
      <c r="SPR932" s="18"/>
      <c r="SPS932" s="18"/>
      <c r="SPT932" s="18"/>
      <c r="SPU932" s="18"/>
      <c r="SPV932" s="18"/>
      <c r="SPW932" s="18"/>
      <c r="SPX932" s="18"/>
      <c r="SPY932" s="18"/>
      <c r="SPZ932" s="18"/>
      <c r="SQA932" s="18"/>
      <c r="SQB932" s="18"/>
      <c r="SQC932" s="18"/>
      <c r="SQD932" s="18"/>
      <c r="SQE932" s="18"/>
      <c r="SQF932" s="18"/>
      <c r="SQG932" s="18"/>
      <c r="SQH932" s="18"/>
      <c r="SQI932" s="18"/>
      <c r="SQJ932" s="18"/>
      <c r="SQK932" s="18"/>
      <c r="SQL932" s="18"/>
      <c r="SQM932" s="18"/>
      <c r="SQN932" s="18"/>
      <c r="SQO932" s="18"/>
      <c r="SQP932" s="18"/>
      <c r="SQQ932" s="18"/>
      <c r="SQR932" s="18"/>
      <c r="SQS932" s="18"/>
      <c r="SQT932" s="18"/>
      <c r="SQU932" s="18"/>
      <c r="SQV932" s="18"/>
      <c r="SQW932" s="18"/>
      <c r="SQX932" s="18"/>
      <c r="SQY932" s="18"/>
      <c r="SQZ932" s="18"/>
      <c r="SRA932" s="18"/>
      <c r="SRB932" s="18"/>
      <c r="SRC932" s="18"/>
      <c r="SRD932" s="18"/>
      <c r="SRE932" s="18"/>
      <c r="SRF932" s="18"/>
      <c r="SRG932" s="18"/>
      <c r="SRH932" s="18"/>
      <c r="SRI932" s="18"/>
      <c r="SRJ932" s="18"/>
      <c r="SRK932" s="18"/>
      <c r="SRL932" s="18"/>
      <c r="SRM932" s="18"/>
      <c r="SRN932" s="18"/>
      <c r="SRO932" s="18"/>
      <c r="SRP932" s="18"/>
      <c r="SRQ932" s="18"/>
      <c r="SRR932" s="18"/>
      <c r="SRS932" s="18"/>
      <c r="SRT932" s="18"/>
      <c r="SRU932" s="18"/>
      <c r="SRV932" s="18"/>
      <c r="SRW932" s="18"/>
      <c r="SRX932" s="18"/>
      <c r="SRY932" s="18"/>
      <c r="SRZ932" s="18"/>
      <c r="SSA932" s="18"/>
      <c r="SSB932" s="18"/>
      <c r="SSC932" s="18"/>
      <c r="SSD932" s="18"/>
      <c r="SSE932" s="18"/>
      <c r="SSF932" s="18"/>
      <c r="SSG932" s="18"/>
      <c r="SSH932" s="18"/>
      <c r="SSI932" s="18"/>
      <c r="SSJ932" s="18"/>
      <c r="SSK932" s="18"/>
      <c r="SSL932" s="18"/>
      <c r="SSM932" s="18"/>
      <c r="SSN932" s="18"/>
      <c r="SSO932" s="18"/>
      <c r="SSP932" s="18"/>
      <c r="SSQ932" s="18"/>
      <c r="SSR932" s="18"/>
      <c r="SSS932" s="18"/>
      <c r="SST932" s="18"/>
      <c r="SSU932" s="18"/>
      <c r="SSV932" s="18"/>
      <c r="SSW932" s="18"/>
      <c r="SSX932" s="18"/>
      <c r="SSY932" s="18"/>
      <c r="SSZ932" s="18"/>
      <c r="STA932" s="18"/>
      <c r="STB932" s="18"/>
      <c r="STC932" s="18"/>
      <c r="STD932" s="18"/>
      <c r="STE932" s="18"/>
      <c r="STF932" s="18"/>
      <c r="STG932" s="18"/>
      <c r="STH932" s="18"/>
      <c r="STI932" s="18"/>
      <c r="STJ932" s="18"/>
      <c r="STK932" s="18"/>
      <c r="STL932" s="18"/>
      <c r="STM932" s="18"/>
      <c r="STN932" s="18"/>
      <c r="STO932" s="18"/>
      <c r="STP932" s="18"/>
      <c r="STQ932" s="18"/>
      <c r="STR932" s="18"/>
      <c r="STS932" s="18"/>
      <c r="STT932" s="18"/>
      <c r="STU932" s="18"/>
      <c r="STV932" s="18"/>
      <c r="STW932" s="18"/>
      <c r="STX932" s="18"/>
      <c r="STY932" s="18"/>
      <c r="STZ932" s="18"/>
      <c r="SUA932" s="18"/>
      <c r="SUB932" s="18"/>
      <c r="SUC932" s="18"/>
      <c r="SUD932" s="18"/>
      <c r="SUE932" s="18"/>
      <c r="SUF932" s="18"/>
      <c r="SUG932" s="18"/>
      <c r="SUH932" s="18"/>
      <c r="SUI932" s="18"/>
      <c r="SUJ932" s="18"/>
      <c r="SUK932" s="18"/>
      <c r="SUL932" s="18"/>
      <c r="SUM932" s="18"/>
      <c r="SUN932" s="18"/>
      <c r="SUO932" s="18"/>
      <c r="SUP932" s="18"/>
      <c r="SUQ932" s="18"/>
      <c r="SUR932" s="18"/>
      <c r="SUS932" s="18"/>
      <c r="SUT932" s="18"/>
      <c r="SUU932" s="18"/>
      <c r="SUV932" s="18"/>
      <c r="SUW932" s="18"/>
      <c r="SUX932" s="18"/>
      <c r="SUY932" s="18"/>
      <c r="SUZ932" s="18"/>
      <c r="SVA932" s="18"/>
      <c r="SVB932" s="18"/>
      <c r="SVC932" s="18"/>
      <c r="SVD932" s="18"/>
      <c r="SVE932" s="18"/>
      <c r="SVF932" s="18"/>
      <c r="SVG932" s="18"/>
      <c r="SVH932" s="18"/>
      <c r="SVI932" s="18"/>
      <c r="SVJ932" s="18"/>
      <c r="SVK932" s="18"/>
      <c r="SVL932" s="18"/>
      <c r="SVM932" s="18"/>
      <c r="SVN932" s="18"/>
      <c r="SVO932" s="18"/>
      <c r="SVP932" s="18"/>
      <c r="SVQ932" s="18"/>
      <c r="SVR932" s="18"/>
      <c r="SVS932" s="18"/>
      <c r="SVT932" s="18"/>
      <c r="SVU932" s="18"/>
      <c r="SVV932" s="18"/>
      <c r="SVW932" s="18"/>
      <c r="SVX932" s="18"/>
      <c r="SVY932" s="18"/>
      <c r="SVZ932" s="18"/>
      <c r="SWA932" s="18"/>
      <c r="SWB932" s="18"/>
      <c r="SWC932" s="18"/>
      <c r="SWD932" s="18"/>
      <c r="SWE932" s="18"/>
      <c r="SWF932" s="18"/>
      <c r="SWG932" s="18"/>
      <c r="SWH932" s="18"/>
      <c r="SWI932" s="18"/>
      <c r="SWJ932" s="18"/>
      <c r="SWK932" s="18"/>
      <c r="SWL932" s="18"/>
      <c r="SWM932" s="18"/>
      <c r="SWN932" s="18"/>
      <c r="SWO932" s="18"/>
      <c r="SWP932" s="18"/>
      <c r="SWQ932" s="18"/>
      <c r="SWR932" s="18"/>
      <c r="SWS932" s="18"/>
      <c r="SWT932" s="18"/>
      <c r="SWU932" s="18"/>
      <c r="SWV932" s="18"/>
      <c r="SWW932" s="18"/>
      <c r="SWX932" s="18"/>
      <c r="SWY932" s="18"/>
      <c r="SWZ932" s="18"/>
      <c r="SXA932" s="18"/>
      <c r="SXB932" s="18"/>
      <c r="SXC932" s="18"/>
      <c r="SXD932" s="18"/>
      <c r="SXE932" s="18"/>
      <c r="SXF932" s="18"/>
      <c r="SXG932" s="18"/>
      <c r="SXH932" s="18"/>
      <c r="SXI932" s="18"/>
      <c r="SXJ932" s="18"/>
      <c r="SXK932" s="18"/>
      <c r="SXL932" s="18"/>
      <c r="SXM932" s="18"/>
      <c r="SXN932" s="18"/>
      <c r="SXO932" s="18"/>
      <c r="SXP932" s="18"/>
      <c r="SXQ932" s="18"/>
      <c r="SXR932" s="18"/>
      <c r="SXS932" s="18"/>
      <c r="SXT932" s="18"/>
      <c r="SXU932" s="18"/>
      <c r="SXV932" s="18"/>
      <c r="SXW932" s="18"/>
      <c r="SXX932" s="18"/>
      <c r="SXY932" s="18"/>
      <c r="SXZ932" s="18"/>
      <c r="SYA932" s="18"/>
      <c r="SYB932" s="18"/>
      <c r="SYC932" s="18"/>
      <c r="SYD932" s="18"/>
      <c r="SYE932" s="18"/>
      <c r="SYF932" s="18"/>
      <c r="SYG932" s="18"/>
      <c r="SYH932" s="18"/>
      <c r="SYI932" s="18"/>
      <c r="SYJ932" s="18"/>
      <c r="SYK932" s="18"/>
      <c r="SYL932" s="18"/>
      <c r="SYM932" s="18"/>
      <c r="SYN932" s="18"/>
      <c r="SYO932" s="18"/>
      <c r="SYP932" s="18"/>
      <c r="SYQ932" s="18"/>
      <c r="SYR932" s="18"/>
      <c r="SYS932" s="18"/>
      <c r="SYT932" s="18"/>
      <c r="SYU932" s="18"/>
      <c r="SYV932" s="18"/>
      <c r="SYW932" s="18"/>
      <c r="SYX932" s="18"/>
      <c r="SYY932" s="18"/>
      <c r="SYZ932" s="18"/>
      <c r="SZA932" s="18"/>
      <c r="SZB932" s="18"/>
      <c r="SZC932" s="18"/>
      <c r="SZD932" s="18"/>
      <c r="SZE932" s="18"/>
      <c r="SZF932" s="18"/>
      <c r="SZG932" s="18"/>
      <c r="SZH932" s="18"/>
      <c r="SZI932" s="18"/>
      <c r="SZJ932" s="18"/>
      <c r="SZK932" s="18"/>
      <c r="SZL932" s="18"/>
      <c r="SZM932" s="18"/>
      <c r="SZN932" s="18"/>
      <c r="SZO932" s="18"/>
      <c r="SZP932" s="18"/>
      <c r="SZQ932" s="18"/>
      <c r="SZR932" s="18"/>
      <c r="SZS932" s="18"/>
      <c r="SZT932" s="18"/>
      <c r="SZU932" s="18"/>
      <c r="SZV932" s="18"/>
      <c r="SZW932" s="18"/>
      <c r="SZX932" s="18"/>
      <c r="SZY932" s="18"/>
      <c r="SZZ932" s="18"/>
      <c r="TAA932" s="18"/>
      <c r="TAB932" s="18"/>
      <c r="TAC932" s="18"/>
      <c r="TAD932" s="18"/>
      <c r="TAE932" s="18"/>
      <c r="TAF932" s="18"/>
      <c r="TAG932" s="18"/>
      <c r="TAH932" s="18"/>
      <c r="TAI932" s="18"/>
      <c r="TAJ932" s="18"/>
      <c r="TAK932" s="18"/>
      <c r="TAL932" s="18"/>
      <c r="TAM932" s="18"/>
      <c r="TAN932" s="18"/>
      <c r="TAO932" s="18"/>
      <c r="TAP932" s="18"/>
      <c r="TAQ932" s="18"/>
      <c r="TAR932" s="18"/>
      <c r="TAS932" s="18"/>
      <c r="TAT932" s="18"/>
      <c r="TAU932" s="18"/>
      <c r="TAV932" s="18"/>
      <c r="TAW932" s="18"/>
      <c r="TAX932" s="18"/>
      <c r="TAY932" s="18"/>
      <c r="TAZ932" s="18"/>
      <c r="TBA932" s="18"/>
      <c r="TBB932" s="18"/>
      <c r="TBC932" s="18"/>
      <c r="TBD932" s="18"/>
      <c r="TBE932" s="18"/>
      <c r="TBF932" s="18"/>
      <c r="TBG932" s="18"/>
      <c r="TBH932" s="18"/>
      <c r="TBI932" s="18"/>
      <c r="TBJ932" s="18"/>
      <c r="TBK932" s="18"/>
      <c r="TBL932" s="18"/>
      <c r="TBM932" s="18"/>
      <c r="TBN932" s="18"/>
      <c r="TBO932" s="18"/>
      <c r="TBP932" s="18"/>
      <c r="TBQ932" s="18"/>
      <c r="TBR932" s="18"/>
      <c r="TBS932" s="18"/>
      <c r="TBT932" s="18"/>
      <c r="TBU932" s="18"/>
      <c r="TBV932" s="18"/>
      <c r="TBW932" s="18"/>
      <c r="TBX932" s="18"/>
      <c r="TBY932" s="18"/>
      <c r="TBZ932" s="18"/>
      <c r="TCA932" s="18"/>
      <c r="TCB932" s="18"/>
      <c r="TCC932" s="18"/>
      <c r="TCD932" s="18"/>
      <c r="TCE932" s="18"/>
      <c r="TCF932" s="18"/>
      <c r="TCG932" s="18"/>
      <c r="TCH932" s="18"/>
      <c r="TCI932" s="18"/>
      <c r="TCJ932" s="18"/>
      <c r="TCK932" s="18"/>
      <c r="TCL932" s="18"/>
      <c r="TCM932" s="18"/>
      <c r="TCN932" s="18"/>
      <c r="TCO932" s="18"/>
      <c r="TCP932" s="18"/>
      <c r="TCQ932" s="18"/>
      <c r="TCR932" s="18"/>
      <c r="TCS932" s="18"/>
      <c r="TCT932" s="18"/>
      <c r="TCU932" s="18"/>
      <c r="TCV932" s="18"/>
      <c r="TCW932" s="18"/>
      <c r="TCX932" s="18"/>
      <c r="TCY932" s="18"/>
      <c r="TCZ932" s="18"/>
      <c r="TDA932" s="18"/>
      <c r="TDB932" s="18"/>
      <c r="TDC932" s="18"/>
      <c r="TDD932" s="18"/>
      <c r="TDE932" s="18"/>
      <c r="TDF932" s="18"/>
      <c r="TDG932" s="18"/>
      <c r="TDH932" s="18"/>
      <c r="TDI932" s="18"/>
      <c r="TDJ932" s="18"/>
      <c r="TDK932" s="18"/>
      <c r="TDL932" s="18"/>
      <c r="TDM932" s="18"/>
      <c r="TDN932" s="18"/>
      <c r="TDO932" s="18"/>
      <c r="TDP932" s="18"/>
      <c r="TDQ932" s="18"/>
      <c r="TDR932" s="18"/>
      <c r="TDS932" s="18"/>
      <c r="TDT932" s="18"/>
      <c r="TDU932" s="18"/>
      <c r="TDV932" s="18"/>
      <c r="TDW932" s="18"/>
      <c r="TDX932" s="18"/>
      <c r="TDY932" s="18"/>
      <c r="TDZ932" s="18"/>
      <c r="TEA932" s="18"/>
      <c r="TEB932" s="18"/>
      <c r="TEC932" s="18"/>
      <c r="TED932" s="18"/>
      <c r="TEE932" s="18"/>
      <c r="TEF932" s="18"/>
      <c r="TEG932" s="18"/>
      <c r="TEH932" s="18"/>
      <c r="TEI932" s="18"/>
      <c r="TEJ932" s="18"/>
      <c r="TEK932" s="18"/>
      <c r="TEL932" s="18"/>
      <c r="TEM932" s="18"/>
      <c r="TEN932" s="18"/>
      <c r="TEO932" s="18"/>
      <c r="TEP932" s="18"/>
      <c r="TEQ932" s="18"/>
      <c r="TER932" s="18"/>
      <c r="TES932" s="18"/>
      <c r="TET932" s="18"/>
      <c r="TEU932" s="18"/>
      <c r="TEV932" s="18"/>
      <c r="TEW932" s="18"/>
      <c r="TEX932" s="18"/>
      <c r="TEY932" s="18"/>
      <c r="TEZ932" s="18"/>
      <c r="TFA932" s="18"/>
      <c r="TFB932" s="18"/>
      <c r="TFC932" s="18"/>
      <c r="TFD932" s="18"/>
      <c r="TFE932" s="18"/>
      <c r="TFF932" s="18"/>
      <c r="TFG932" s="18"/>
      <c r="TFH932" s="18"/>
      <c r="TFI932" s="18"/>
      <c r="TFJ932" s="18"/>
      <c r="TFK932" s="18"/>
      <c r="TFL932" s="18"/>
      <c r="TFM932" s="18"/>
      <c r="TFN932" s="18"/>
      <c r="TFO932" s="18"/>
      <c r="TFP932" s="18"/>
      <c r="TFQ932" s="18"/>
      <c r="TFR932" s="18"/>
      <c r="TFS932" s="18"/>
      <c r="TFT932" s="18"/>
      <c r="TFU932" s="18"/>
      <c r="TFV932" s="18"/>
      <c r="TFW932" s="18"/>
      <c r="TFX932" s="18"/>
      <c r="TFY932" s="18"/>
      <c r="TFZ932" s="18"/>
      <c r="TGA932" s="18"/>
      <c r="TGB932" s="18"/>
      <c r="TGC932" s="18"/>
      <c r="TGD932" s="18"/>
      <c r="TGE932" s="18"/>
      <c r="TGF932" s="18"/>
      <c r="TGG932" s="18"/>
      <c r="TGH932" s="18"/>
      <c r="TGI932" s="18"/>
      <c r="TGJ932" s="18"/>
      <c r="TGK932" s="18"/>
      <c r="TGL932" s="18"/>
      <c r="TGM932" s="18"/>
      <c r="TGN932" s="18"/>
      <c r="TGO932" s="18"/>
      <c r="TGP932" s="18"/>
      <c r="TGQ932" s="18"/>
      <c r="TGR932" s="18"/>
      <c r="TGS932" s="18"/>
      <c r="TGT932" s="18"/>
      <c r="TGU932" s="18"/>
      <c r="TGV932" s="18"/>
      <c r="TGW932" s="18"/>
      <c r="TGX932" s="18"/>
      <c r="TGY932" s="18"/>
      <c r="TGZ932" s="18"/>
      <c r="THA932" s="18"/>
      <c r="THB932" s="18"/>
      <c r="THC932" s="18"/>
      <c r="THD932" s="18"/>
      <c r="THE932" s="18"/>
      <c r="THF932" s="18"/>
      <c r="THG932" s="18"/>
      <c r="THH932" s="18"/>
      <c r="THI932" s="18"/>
      <c r="THJ932" s="18"/>
      <c r="THK932" s="18"/>
      <c r="THL932" s="18"/>
      <c r="THM932" s="18"/>
      <c r="THN932" s="18"/>
      <c r="THO932" s="18"/>
      <c r="THP932" s="18"/>
      <c r="THQ932" s="18"/>
      <c r="THR932" s="18"/>
      <c r="THS932" s="18"/>
      <c r="THT932" s="18"/>
      <c r="THU932" s="18"/>
      <c r="THV932" s="18"/>
      <c r="THW932" s="18"/>
      <c r="THX932" s="18"/>
      <c r="THY932" s="18"/>
      <c r="THZ932" s="18"/>
      <c r="TIA932" s="18"/>
      <c r="TIB932" s="18"/>
      <c r="TIC932" s="18"/>
      <c r="TID932" s="18"/>
      <c r="TIE932" s="18"/>
      <c r="TIF932" s="18"/>
      <c r="TIG932" s="18"/>
      <c r="TIH932" s="18"/>
      <c r="TII932" s="18"/>
      <c r="TIJ932" s="18"/>
      <c r="TIK932" s="18"/>
      <c r="TIL932" s="18"/>
      <c r="TIM932" s="18"/>
      <c r="TIN932" s="18"/>
      <c r="TIO932" s="18"/>
      <c r="TIP932" s="18"/>
      <c r="TIQ932" s="18"/>
      <c r="TIR932" s="18"/>
      <c r="TIS932" s="18"/>
      <c r="TIT932" s="18"/>
      <c r="TIU932" s="18"/>
      <c r="TIV932" s="18"/>
      <c r="TIW932" s="18"/>
      <c r="TIX932" s="18"/>
      <c r="TIY932" s="18"/>
      <c r="TIZ932" s="18"/>
      <c r="TJA932" s="18"/>
      <c r="TJB932" s="18"/>
      <c r="TJC932" s="18"/>
      <c r="TJD932" s="18"/>
      <c r="TJE932" s="18"/>
      <c r="TJF932" s="18"/>
      <c r="TJG932" s="18"/>
      <c r="TJH932" s="18"/>
      <c r="TJI932" s="18"/>
      <c r="TJJ932" s="18"/>
      <c r="TJK932" s="18"/>
      <c r="TJL932" s="18"/>
      <c r="TJM932" s="18"/>
      <c r="TJN932" s="18"/>
      <c r="TJO932" s="18"/>
      <c r="TJP932" s="18"/>
      <c r="TJQ932" s="18"/>
      <c r="TJR932" s="18"/>
      <c r="TJS932" s="18"/>
      <c r="TJT932" s="18"/>
      <c r="TJU932" s="18"/>
      <c r="TJV932" s="18"/>
      <c r="TJW932" s="18"/>
      <c r="TJX932" s="18"/>
      <c r="TJY932" s="18"/>
      <c r="TJZ932" s="18"/>
      <c r="TKA932" s="18"/>
      <c r="TKB932" s="18"/>
      <c r="TKC932" s="18"/>
      <c r="TKD932" s="18"/>
      <c r="TKE932" s="18"/>
      <c r="TKF932" s="18"/>
      <c r="TKG932" s="18"/>
      <c r="TKH932" s="18"/>
      <c r="TKI932" s="18"/>
      <c r="TKJ932" s="18"/>
      <c r="TKK932" s="18"/>
      <c r="TKL932" s="18"/>
      <c r="TKM932" s="18"/>
      <c r="TKN932" s="18"/>
      <c r="TKO932" s="18"/>
      <c r="TKP932" s="18"/>
      <c r="TKQ932" s="18"/>
      <c r="TKR932" s="18"/>
      <c r="TKS932" s="18"/>
      <c r="TKT932" s="18"/>
      <c r="TKU932" s="18"/>
      <c r="TKV932" s="18"/>
      <c r="TKW932" s="18"/>
      <c r="TKX932" s="18"/>
      <c r="TKY932" s="18"/>
      <c r="TKZ932" s="18"/>
      <c r="TLA932" s="18"/>
      <c r="TLB932" s="18"/>
      <c r="TLC932" s="18"/>
      <c r="TLD932" s="18"/>
      <c r="TLE932" s="18"/>
      <c r="TLF932" s="18"/>
      <c r="TLG932" s="18"/>
      <c r="TLH932" s="18"/>
      <c r="TLI932" s="18"/>
      <c r="TLJ932" s="18"/>
      <c r="TLK932" s="18"/>
      <c r="TLL932" s="18"/>
      <c r="TLM932" s="18"/>
      <c r="TLN932" s="18"/>
      <c r="TLO932" s="18"/>
      <c r="TLP932" s="18"/>
      <c r="TLQ932" s="18"/>
      <c r="TLR932" s="18"/>
      <c r="TLS932" s="18"/>
      <c r="TLT932" s="18"/>
      <c r="TLU932" s="18"/>
      <c r="TLV932" s="18"/>
      <c r="TLW932" s="18"/>
      <c r="TLX932" s="18"/>
      <c r="TLY932" s="18"/>
      <c r="TLZ932" s="18"/>
      <c r="TMA932" s="18"/>
      <c r="TMB932" s="18"/>
      <c r="TMC932" s="18"/>
      <c r="TMD932" s="18"/>
      <c r="TME932" s="18"/>
      <c r="TMF932" s="18"/>
      <c r="TMG932" s="18"/>
      <c r="TMH932" s="18"/>
      <c r="TMI932" s="18"/>
      <c r="TMJ932" s="18"/>
      <c r="TMK932" s="18"/>
      <c r="TML932" s="18"/>
      <c r="TMM932" s="18"/>
      <c r="TMN932" s="18"/>
      <c r="TMO932" s="18"/>
      <c r="TMP932" s="18"/>
      <c r="TMQ932" s="18"/>
      <c r="TMR932" s="18"/>
      <c r="TMS932" s="18"/>
      <c r="TMT932" s="18"/>
      <c r="TMU932" s="18"/>
      <c r="TMV932" s="18"/>
      <c r="TMW932" s="18"/>
      <c r="TMX932" s="18"/>
      <c r="TMY932" s="18"/>
      <c r="TMZ932" s="18"/>
      <c r="TNA932" s="18"/>
      <c r="TNB932" s="18"/>
      <c r="TNC932" s="18"/>
      <c r="TND932" s="18"/>
      <c r="TNE932" s="18"/>
      <c r="TNF932" s="18"/>
      <c r="TNG932" s="18"/>
      <c r="TNH932" s="18"/>
      <c r="TNI932" s="18"/>
      <c r="TNJ932" s="18"/>
      <c r="TNK932" s="18"/>
      <c r="TNL932" s="18"/>
      <c r="TNM932" s="18"/>
      <c r="TNN932" s="18"/>
      <c r="TNO932" s="18"/>
      <c r="TNP932" s="18"/>
      <c r="TNQ932" s="18"/>
      <c r="TNR932" s="18"/>
      <c r="TNS932" s="18"/>
      <c r="TNT932" s="18"/>
      <c r="TNU932" s="18"/>
      <c r="TNV932" s="18"/>
      <c r="TNW932" s="18"/>
      <c r="TNX932" s="18"/>
      <c r="TNY932" s="18"/>
      <c r="TNZ932" s="18"/>
      <c r="TOA932" s="18"/>
      <c r="TOB932" s="18"/>
      <c r="TOC932" s="18"/>
      <c r="TOD932" s="18"/>
      <c r="TOE932" s="18"/>
      <c r="TOF932" s="18"/>
      <c r="TOG932" s="18"/>
      <c r="TOH932" s="18"/>
      <c r="TOI932" s="18"/>
      <c r="TOJ932" s="18"/>
      <c r="TOK932" s="18"/>
      <c r="TOL932" s="18"/>
      <c r="TOM932" s="18"/>
      <c r="TON932" s="18"/>
      <c r="TOO932" s="18"/>
      <c r="TOP932" s="18"/>
      <c r="TOQ932" s="18"/>
      <c r="TOR932" s="18"/>
      <c r="TOS932" s="18"/>
      <c r="TOT932" s="18"/>
      <c r="TOU932" s="18"/>
      <c r="TOV932" s="18"/>
      <c r="TOW932" s="18"/>
      <c r="TOX932" s="18"/>
      <c r="TOY932" s="18"/>
      <c r="TOZ932" s="18"/>
      <c r="TPA932" s="18"/>
      <c r="TPB932" s="18"/>
      <c r="TPC932" s="18"/>
      <c r="TPD932" s="18"/>
      <c r="TPE932" s="18"/>
      <c r="TPF932" s="18"/>
      <c r="TPG932" s="18"/>
      <c r="TPH932" s="18"/>
      <c r="TPI932" s="18"/>
      <c r="TPJ932" s="18"/>
      <c r="TPK932" s="18"/>
      <c r="TPL932" s="18"/>
      <c r="TPM932" s="18"/>
      <c r="TPN932" s="18"/>
      <c r="TPO932" s="18"/>
      <c r="TPP932" s="18"/>
      <c r="TPQ932" s="18"/>
      <c r="TPR932" s="18"/>
      <c r="TPS932" s="18"/>
      <c r="TPT932" s="18"/>
      <c r="TPU932" s="18"/>
      <c r="TPV932" s="18"/>
      <c r="TPW932" s="18"/>
      <c r="TPX932" s="18"/>
      <c r="TPY932" s="18"/>
      <c r="TPZ932" s="18"/>
      <c r="TQA932" s="18"/>
      <c r="TQB932" s="18"/>
      <c r="TQC932" s="18"/>
      <c r="TQD932" s="18"/>
      <c r="TQE932" s="18"/>
      <c r="TQF932" s="18"/>
      <c r="TQG932" s="18"/>
      <c r="TQH932" s="18"/>
      <c r="TQI932" s="18"/>
      <c r="TQJ932" s="18"/>
      <c r="TQK932" s="18"/>
      <c r="TQL932" s="18"/>
      <c r="TQM932" s="18"/>
      <c r="TQN932" s="18"/>
      <c r="TQO932" s="18"/>
      <c r="TQP932" s="18"/>
      <c r="TQQ932" s="18"/>
      <c r="TQR932" s="18"/>
      <c r="TQS932" s="18"/>
      <c r="TQT932" s="18"/>
      <c r="TQU932" s="18"/>
      <c r="TQV932" s="18"/>
      <c r="TQW932" s="18"/>
      <c r="TQX932" s="18"/>
      <c r="TQY932" s="18"/>
      <c r="TQZ932" s="18"/>
      <c r="TRA932" s="18"/>
      <c r="TRB932" s="18"/>
      <c r="TRC932" s="18"/>
      <c r="TRD932" s="18"/>
      <c r="TRE932" s="18"/>
      <c r="TRF932" s="18"/>
      <c r="TRG932" s="18"/>
      <c r="TRH932" s="18"/>
      <c r="TRI932" s="18"/>
      <c r="TRJ932" s="18"/>
      <c r="TRK932" s="18"/>
      <c r="TRL932" s="18"/>
      <c r="TRM932" s="18"/>
      <c r="TRN932" s="18"/>
      <c r="TRO932" s="18"/>
      <c r="TRP932" s="18"/>
      <c r="TRQ932" s="18"/>
      <c r="TRR932" s="18"/>
      <c r="TRS932" s="18"/>
      <c r="TRT932" s="18"/>
      <c r="TRU932" s="18"/>
      <c r="TRV932" s="18"/>
      <c r="TRW932" s="18"/>
      <c r="TRX932" s="18"/>
      <c r="TRY932" s="18"/>
      <c r="TRZ932" s="18"/>
      <c r="TSA932" s="18"/>
      <c r="TSB932" s="18"/>
      <c r="TSC932" s="18"/>
      <c r="TSD932" s="18"/>
      <c r="TSE932" s="18"/>
      <c r="TSF932" s="18"/>
      <c r="TSG932" s="18"/>
      <c r="TSH932" s="18"/>
      <c r="TSI932" s="18"/>
      <c r="TSJ932" s="18"/>
      <c r="TSK932" s="18"/>
      <c r="TSL932" s="18"/>
      <c r="TSM932" s="18"/>
      <c r="TSN932" s="18"/>
      <c r="TSO932" s="18"/>
      <c r="TSP932" s="18"/>
      <c r="TSQ932" s="18"/>
      <c r="TSR932" s="18"/>
      <c r="TSS932" s="18"/>
      <c r="TST932" s="18"/>
      <c r="TSU932" s="18"/>
      <c r="TSV932" s="18"/>
      <c r="TSW932" s="18"/>
      <c r="TSX932" s="18"/>
      <c r="TSY932" s="18"/>
      <c r="TSZ932" s="18"/>
      <c r="TTA932" s="18"/>
      <c r="TTB932" s="18"/>
      <c r="TTC932" s="18"/>
      <c r="TTD932" s="18"/>
      <c r="TTE932" s="18"/>
      <c r="TTF932" s="18"/>
      <c r="TTG932" s="18"/>
      <c r="TTH932" s="18"/>
      <c r="TTI932" s="18"/>
      <c r="TTJ932" s="18"/>
      <c r="TTK932" s="18"/>
      <c r="TTL932" s="18"/>
      <c r="TTM932" s="18"/>
      <c r="TTN932" s="18"/>
      <c r="TTO932" s="18"/>
      <c r="TTP932" s="18"/>
      <c r="TTQ932" s="18"/>
      <c r="TTR932" s="18"/>
      <c r="TTS932" s="18"/>
      <c r="TTT932" s="18"/>
      <c r="TTU932" s="18"/>
      <c r="TTV932" s="18"/>
      <c r="TTW932" s="18"/>
      <c r="TTX932" s="18"/>
      <c r="TTY932" s="18"/>
      <c r="TTZ932" s="18"/>
      <c r="TUA932" s="18"/>
      <c r="TUB932" s="18"/>
      <c r="TUC932" s="18"/>
      <c r="TUD932" s="18"/>
      <c r="TUE932" s="18"/>
      <c r="TUF932" s="18"/>
      <c r="TUG932" s="18"/>
      <c r="TUH932" s="18"/>
      <c r="TUI932" s="18"/>
      <c r="TUJ932" s="18"/>
      <c r="TUK932" s="18"/>
      <c r="TUL932" s="18"/>
      <c r="TUM932" s="18"/>
      <c r="TUN932" s="18"/>
      <c r="TUO932" s="18"/>
      <c r="TUP932" s="18"/>
      <c r="TUQ932" s="18"/>
      <c r="TUR932" s="18"/>
      <c r="TUS932" s="18"/>
      <c r="TUT932" s="18"/>
      <c r="TUU932" s="18"/>
      <c r="TUV932" s="18"/>
      <c r="TUW932" s="18"/>
      <c r="TUX932" s="18"/>
      <c r="TUY932" s="18"/>
      <c r="TUZ932" s="18"/>
      <c r="TVA932" s="18"/>
      <c r="TVB932" s="18"/>
      <c r="TVC932" s="18"/>
      <c r="TVD932" s="18"/>
      <c r="TVE932" s="18"/>
      <c r="TVF932" s="18"/>
      <c r="TVG932" s="18"/>
      <c r="TVH932" s="18"/>
      <c r="TVI932" s="18"/>
      <c r="TVJ932" s="18"/>
      <c r="TVK932" s="18"/>
      <c r="TVL932" s="18"/>
      <c r="TVM932" s="18"/>
      <c r="TVN932" s="18"/>
      <c r="TVO932" s="18"/>
      <c r="TVP932" s="18"/>
      <c r="TVQ932" s="18"/>
      <c r="TVR932" s="18"/>
      <c r="TVS932" s="18"/>
      <c r="TVT932" s="18"/>
      <c r="TVU932" s="18"/>
      <c r="TVV932" s="18"/>
      <c r="TVW932" s="18"/>
      <c r="TVX932" s="18"/>
      <c r="TVY932" s="18"/>
      <c r="TVZ932" s="18"/>
      <c r="TWA932" s="18"/>
      <c r="TWB932" s="18"/>
      <c r="TWC932" s="18"/>
      <c r="TWD932" s="18"/>
      <c r="TWE932" s="18"/>
      <c r="TWF932" s="18"/>
      <c r="TWG932" s="18"/>
      <c r="TWH932" s="18"/>
      <c r="TWI932" s="18"/>
      <c r="TWJ932" s="18"/>
      <c r="TWK932" s="18"/>
      <c r="TWL932" s="18"/>
      <c r="TWM932" s="18"/>
      <c r="TWN932" s="18"/>
      <c r="TWO932" s="18"/>
      <c r="TWP932" s="18"/>
      <c r="TWQ932" s="18"/>
      <c r="TWR932" s="18"/>
      <c r="TWS932" s="18"/>
      <c r="TWT932" s="18"/>
      <c r="TWU932" s="18"/>
      <c r="TWV932" s="18"/>
      <c r="TWW932" s="18"/>
      <c r="TWX932" s="18"/>
      <c r="TWY932" s="18"/>
      <c r="TWZ932" s="18"/>
      <c r="TXA932" s="18"/>
      <c r="TXB932" s="18"/>
      <c r="TXC932" s="18"/>
      <c r="TXD932" s="18"/>
      <c r="TXE932" s="18"/>
      <c r="TXF932" s="18"/>
      <c r="TXG932" s="18"/>
      <c r="TXH932" s="18"/>
      <c r="TXI932" s="18"/>
      <c r="TXJ932" s="18"/>
      <c r="TXK932" s="18"/>
      <c r="TXL932" s="18"/>
      <c r="TXM932" s="18"/>
      <c r="TXN932" s="18"/>
      <c r="TXO932" s="18"/>
      <c r="TXP932" s="18"/>
      <c r="TXQ932" s="18"/>
      <c r="TXR932" s="18"/>
      <c r="TXS932" s="18"/>
      <c r="TXT932" s="18"/>
      <c r="TXU932" s="18"/>
      <c r="TXV932" s="18"/>
      <c r="TXW932" s="18"/>
      <c r="TXX932" s="18"/>
      <c r="TXY932" s="18"/>
      <c r="TXZ932" s="18"/>
      <c r="TYA932" s="18"/>
      <c r="TYB932" s="18"/>
      <c r="TYC932" s="18"/>
      <c r="TYD932" s="18"/>
      <c r="TYE932" s="18"/>
      <c r="TYF932" s="18"/>
      <c r="TYG932" s="18"/>
      <c r="TYH932" s="18"/>
      <c r="TYI932" s="18"/>
      <c r="TYJ932" s="18"/>
      <c r="TYK932" s="18"/>
      <c r="TYL932" s="18"/>
      <c r="TYM932" s="18"/>
      <c r="TYN932" s="18"/>
      <c r="TYO932" s="18"/>
      <c r="TYP932" s="18"/>
      <c r="TYQ932" s="18"/>
      <c r="TYR932" s="18"/>
      <c r="TYS932" s="18"/>
      <c r="TYT932" s="18"/>
      <c r="TYU932" s="18"/>
      <c r="TYV932" s="18"/>
      <c r="TYW932" s="18"/>
      <c r="TYX932" s="18"/>
      <c r="TYY932" s="18"/>
      <c r="TYZ932" s="18"/>
      <c r="TZA932" s="18"/>
      <c r="TZB932" s="18"/>
      <c r="TZC932" s="18"/>
      <c r="TZD932" s="18"/>
      <c r="TZE932" s="18"/>
      <c r="TZF932" s="18"/>
      <c r="TZG932" s="18"/>
      <c r="TZH932" s="18"/>
      <c r="TZI932" s="18"/>
      <c r="TZJ932" s="18"/>
      <c r="TZK932" s="18"/>
      <c r="TZL932" s="18"/>
      <c r="TZM932" s="18"/>
      <c r="TZN932" s="18"/>
      <c r="TZO932" s="18"/>
      <c r="TZP932" s="18"/>
      <c r="TZQ932" s="18"/>
      <c r="TZR932" s="18"/>
      <c r="TZS932" s="18"/>
      <c r="TZT932" s="18"/>
      <c r="TZU932" s="18"/>
      <c r="TZV932" s="18"/>
      <c r="TZW932" s="18"/>
      <c r="TZX932" s="18"/>
      <c r="TZY932" s="18"/>
      <c r="TZZ932" s="18"/>
      <c r="UAA932" s="18"/>
      <c r="UAB932" s="18"/>
      <c r="UAC932" s="18"/>
      <c r="UAD932" s="18"/>
      <c r="UAE932" s="18"/>
      <c r="UAF932" s="18"/>
      <c r="UAG932" s="18"/>
      <c r="UAH932" s="18"/>
      <c r="UAI932" s="18"/>
      <c r="UAJ932" s="18"/>
      <c r="UAK932" s="18"/>
      <c r="UAL932" s="18"/>
      <c r="UAM932" s="18"/>
      <c r="UAN932" s="18"/>
      <c r="UAO932" s="18"/>
      <c r="UAP932" s="18"/>
      <c r="UAQ932" s="18"/>
      <c r="UAR932" s="18"/>
      <c r="UAS932" s="18"/>
      <c r="UAT932" s="18"/>
      <c r="UAU932" s="18"/>
      <c r="UAV932" s="18"/>
      <c r="UAW932" s="18"/>
      <c r="UAX932" s="18"/>
      <c r="UAY932" s="18"/>
      <c r="UAZ932" s="18"/>
      <c r="UBA932" s="18"/>
      <c r="UBB932" s="18"/>
      <c r="UBC932" s="18"/>
      <c r="UBD932" s="18"/>
      <c r="UBE932" s="18"/>
      <c r="UBF932" s="18"/>
      <c r="UBG932" s="18"/>
      <c r="UBH932" s="18"/>
      <c r="UBI932" s="18"/>
      <c r="UBJ932" s="18"/>
      <c r="UBK932" s="18"/>
      <c r="UBL932" s="18"/>
      <c r="UBM932" s="18"/>
      <c r="UBN932" s="18"/>
      <c r="UBO932" s="18"/>
      <c r="UBP932" s="18"/>
      <c r="UBQ932" s="18"/>
      <c r="UBR932" s="18"/>
      <c r="UBS932" s="18"/>
      <c r="UBT932" s="18"/>
      <c r="UBU932" s="18"/>
      <c r="UBV932" s="18"/>
      <c r="UBW932" s="18"/>
      <c r="UBX932" s="18"/>
      <c r="UBY932" s="18"/>
      <c r="UBZ932" s="18"/>
      <c r="UCA932" s="18"/>
      <c r="UCB932" s="18"/>
      <c r="UCC932" s="18"/>
      <c r="UCD932" s="18"/>
      <c r="UCE932" s="18"/>
      <c r="UCF932" s="18"/>
      <c r="UCG932" s="18"/>
      <c r="UCH932" s="18"/>
      <c r="UCI932" s="18"/>
      <c r="UCJ932" s="18"/>
      <c r="UCK932" s="18"/>
      <c r="UCL932" s="18"/>
      <c r="UCM932" s="18"/>
      <c r="UCN932" s="18"/>
      <c r="UCO932" s="18"/>
      <c r="UCP932" s="18"/>
      <c r="UCQ932" s="18"/>
      <c r="UCR932" s="18"/>
      <c r="UCS932" s="18"/>
      <c r="UCT932" s="18"/>
      <c r="UCU932" s="18"/>
      <c r="UCV932" s="18"/>
      <c r="UCW932" s="18"/>
      <c r="UCX932" s="18"/>
      <c r="UCY932" s="18"/>
      <c r="UCZ932" s="18"/>
      <c r="UDA932" s="18"/>
      <c r="UDB932" s="18"/>
      <c r="UDC932" s="18"/>
      <c r="UDD932" s="18"/>
      <c r="UDE932" s="18"/>
      <c r="UDF932" s="18"/>
      <c r="UDG932" s="18"/>
      <c r="UDH932" s="18"/>
      <c r="UDI932" s="18"/>
      <c r="UDJ932" s="18"/>
      <c r="UDK932" s="18"/>
      <c r="UDL932" s="18"/>
      <c r="UDM932" s="18"/>
      <c r="UDN932" s="18"/>
      <c r="UDO932" s="18"/>
      <c r="UDP932" s="18"/>
      <c r="UDQ932" s="18"/>
      <c r="UDR932" s="18"/>
      <c r="UDS932" s="18"/>
      <c r="UDT932" s="18"/>
      <c r="UDU932" s="18"/>
      <c r="UDV932" s="18"/>
      <c r="UDW932" s="18"/>
      <c r="UDX932" s="18"/>
      <c r="UDY932" s="18"/>
      <c r="UDZ932" s="18"/>
      <c r="UEA932" s="18"/>
      <c r="UEB932" s="18"/>
      <c r="UEC932" s="18"/>
      <c r="UED932" s="18"/>
      <c r="UEE932" s="18"/>
      <c r="UEF932" s="18"/>
      <c r="UEG932" s="18"/>
      <c r="UEH932" s="18"/>
      <c r="UEI932" s="18"/>
      <c r="UEJ932" s="18"/>
      <c r="UEK932" s="18"/>
      <c r="UEL932" s="18"/>
      <c r="UEM932" s="18"/>
      <c r="UEN932" s="18"/>
      <c r="UEO932" s="18"/>
      <c r="UEP932" s="18"/>
      <c r="UEQ932" s="18"/>
      <c r="UER932" s="18"/>
      <c r="UES932" s="18"/>
      <c r="UET932" s="18"/>
      <c r="UEU932" s="18"/>
      <c r="UEV932" s="18"/>
      <c r="UEW932" s="18"/>
      <c r="UEX932" s="18"/>
      <c r="UEY932" s="18"/>
      <c r="UEZ932" s="18"/>
      <c r="UFA932" s="18"/>
      <c r="UFB932" s="18"/>
      <c r="UFC932" s="18"/>
      <c r="UFD932" s="18"/>
      <c r="UFE932" s="18"/>
      <c r="UFF932" s="18"/>
      <c r="UFG932" s="18"/>
      <c r="UFH932" s="18"/>
      <c r="UFI932" s="18"/>
      <c r="UFJ932" s="18"/>
      <c r="UFK932" s="18"/>
      <c r="UFL932" s="18"/>
      <c r="UFM932" s="18"/>
      <c r="UFN932" s="18"/>
      <c r="UFO932" s="18"/>
      <c r="UFP932" s="18"/>
      <c r="UFQ932" s="18"/>
      <c r="UFR932" s="18"/>
      <c r="UFS932" s="18"/>
      <c r="UFT932" s="18"/>
      <c r="UFU932" s="18"/>
      <c r="UFV932" s="18"/>
      <c r="UFW932" s="18"/>
      <c r="UFX932" s="18"/>
      <c r="UFY932" s="18"/>
      <c r="UFZ932" s="18"/>
      <c r="UGA932" s="18"/>
      <c r="UGB932" s="18"/>
      <c r="UGC932" s="18"/>
      <c r="UGD932" s="18"/>
      <c r="UGE932" s="18"/>
      <c r="UGF932" s="18"/>
      <c r="UGG932" s="18"/>
      <c r="UGH932" s="18"/>
      <c r="UGI932" s="18"/>
      <c r="UGJ932" s="18"/>
      <c r="UGK932" s="18"/>
      <c r="UGL932" s="18"/>
      <c r="UGM932" s="18"/>
      <c r="UGN932" s="18"/>
      <c r="UGO932" s="18"/>
      <c r="UGP932" s="18"/>
      <c r="UGQ932" s="18"/>
      <c r="UGR932" s="18"/>
      <c r="UGS932" s="18"/>
      <c r="UGT932" s="18"/>
      <c r="UGU932" s="18"/>
      <c r="UGV932" s="18"/>
      <c r="UGW932" s="18"/>
      <c r="UGX932" s="18"/>
      <c r="UGY932" s="18"/>
      <c r="UGZ932" s="18"/>
      <c r="UHA932" s="18"/>
      <c r="UHB932" s="18"/>
      <c r="UHC932" s="18"/>
      <c r="UHD932" s="18"/>
      <c r="UHE932" s="18"/>
      <c r="UHF932" s="18"/>
      <c r="UHG932" s="18"/>
      <c r="UHH932" s="18"/>
      <c r="UHI932" s="18"/>
      <c r="UHJ932" s="18"/>
      <c r="UHK932" s="18"/>
      <c r="UHL932" s="18"/>
      <c r="UHM932" s="18"/>
      <c r="UHN932" s="18"/>
      <c r="UHO932" s="18"/>
      <c r="UHP932" s="18"/>
      <c r="UHQ932" s="18"/>
      <c r="UHR932" s="18"/>
      <c r="UHS932" s="18"/>
      <c r="UHT932" s="18"/>
      <c r="UHU932" s="18"/>
      <c r="UHV932" s="18"/>
      <c r="UHW932" s="18"/>
      <c r="UHX932" s="18"/>
      <c r="UHY932" s="18"/>
      <c r="UHZ932" s="18"/>
      <c r="UIA932" s="18"/>
      <c r="UIB932" s="18"/>
      <c r="UIC932" s="18"/>
      <c r="UID932" s="18"/>
      <c r="UIE932" s="18"/>
      <c r="UIF932" s="18"/>
      <c r="UIG932" s="18"/>
      <c r="UIH932" s="18"/>
      <c r="UII932" s="18"/>
      <c r="UIJ932" s="18"/>
      <c r="UIK932" s="18"/>
      <c r="UIL932" s="18"/>
      <c r="UIM932" s="18"/>
      <c r="UIN932" s="18"/>
      <c r="UIO932" s="18"/>
      <c r="UIP932" s="18"/>
      <c r="UIQ932" s="18"/>
      <c r="UIR932" s="18"/>
      <c r="UIS932" s="18"/>
      <c r="UIT932" s="18"/>
      <c r="UIU932" s="18"/>
      <c r="UIV932" s="18"/>
      <c r="UIW932" s="18"/>
      <c r="UIX932" s="18"/>
      <c r="UIY932" s="18"/>
      <c r="UIZ932" s="18"/>
      <c r="UJA932" s="18"/>
      <c r="UJB932" s="18"/>
      <c r="UJC932" s="18"/>
      <c r="UJD932" s="18"/>
      <c r="UJE932" s="18"/>
      <c r="UJF932" s="18"/>
      <c r="UJG932" s="18"/>
      <c r="UJH932" s="18"/>
      <c r="UJI932" s="18"/>
      <c r="UJJ932" s="18"/>
      <c r="UJK932" s="18"/>
      <c r="UJL932" s="18"/>
      <c r="UJM932" s="18"/>
      <c r="UJN932" s="18"/>
      <c r="UJO932" s="18"/>
      <c r="UJP932" s="18"/>
      <c r="UJQ932" s="18"/>
      <c r="UJR932" s="18"/>
      <c r="UJS932" s="18"/>
      <c r="UJT932" s="18"/>
      <c r="UJU932" s="18"/>
      <c r="UJV932" s="18"/>
      <c r="UJW932" s="18"/>
      <c r="UJX932" s="18"/>
      <c r="UJY932" s="18"/>
      <c r="UJZ932" s="18"/>
      <c r="UKA932" s="18"/>
      <c r="UKB932" s="18"/>
      <c r="UKC932" s="18"/>
      <c r="UKD932" s="18"/>
      <c r="UKE932" s="18"/>
      <c r="UKF932" s="18"/>
      <c r="UKG932" s="18"/>
      <c r="UKH932" s="18"/>
      <c r="UKI932" s="18"/>
      <c r="UKJ932" s="18"/>
      <c r="UKK932" s="18"/>
      <c r="UKL932" s="18"/>
      <c r="UKM932" s="18"/>
      <c r="UKN932" s="18"/>
      <c r="UKO932" s="18"/>
      <c r="UKP932" s="18"/>
      <c r="UKQ932" s="18"/>
      <c r="UKR932" s="18"/>
      <c r="UKS932" s="18"/>
      <c r="UKT932" s="18"/>
      <c r="UKU932" s="18"/>
      <c r="UKV932" s="18"/>
      <c r="UKW932" s="18"/>
      <c r="UKX932" s="18"/>
      <c r="UKY932" s="18"/>
      <c r="UKZ932" s="18"/>
      <c r="ULA932" s="18"/>
      <c r="ULB932" s="18"/>
      <c r="ULC932" s="18"/>
      <c r="ULD932" s="18"/>
      <c r="ULE932" s="18"/>
      <c r="ULF932" s="18"/>
      <c r="ULG932" s="18"/>
      <c r="ULH932" s="18"/>
      <c r="ULI932" s="18"/>
      <c r="ULJ932" s="18"/>
      <c r="ULK932" s="18"/>
      <c r="ULL932" s="18"/>
      <c r="ULM932" s="18"/>
      <c r="ULN932" s="18"/>
      <c r="ULO932" s="18"/>
      <c r="ULP932" s="18"/>
      <c r="ULQ932" s="18"/>
      <c r="ULR932" s="18"/>
      <c r="ULS932" s="18"/>
      <c r="ULT932" s="18"/>
      <c r="ULU932" s="18"/>
      <c r="ULV932" s="18"/>
      <c r="ULW932" s="18"/>
      <c r="ULX932" s="18"/>
      <c r="ULY932" s="18"/>
      <c r="ULZ932" s="18"/>
      <c r="UMA932" s="18"/>
      <c r="UMB932" s="18"/>
      <c r="UMC932" s="18"/>
      <c r="UMD932" s="18"/>
      <c r="UME932" s="18"/>
      <c r="UMF932" s="18"/>
      <c r="UMG932" s="18"/>
      <c r="UMH932" s="18"/>
      <c r="UMI932" s="18"/>
      <c r="UMJ932" s="18"/>
      <c r="UMK932" s="18"/>
      <c r="UML932" s="18"/>
      <c r="UMM932" s="18"/>
      <c r="UMN932" s="18"/>
      <c r="UMO932" s="18"/>
      <c r="UMP932" s="18"/>
      <c r="UMQ932" s="18"/>
      <c r="UMR932" s="18"/>
      <c r="UMS932" s="18"/>
      <c r="UMT932" s="18"/>
      <c r="UMU932" s="18"/>
      <c r="UMV932" s="18"/>
      <c r="UMW932" s="18"/>
      <c r="UMX932" s="18"/>
      <c r="UMY932" s="18"/>
      <c r="UMZ932" s="18"/>
      <c r="UNA932" s="18"/>
      <c r="UNB932" s="18"/>
      <c r="UNC932" s="18"/>
      <c r="UND932" s="18"/>
      <c r="UNE932" s="18"/>
      <c r="UNF932" s="18"/>
      <c r="UNG932" s="18"/>
      <c r="UNH932" s="18"/>
      <c r="UNI932" s="18"/>
      <c r="UNJ932" s="18"/>
      <c r="UNK932" s="18"/>
      <c r="UNL932" s="18"/>
      <c r="UNM932" s="18"/>
      <c r="UNN932" s="18"/>
      <c r="UNO932" s="18"/>
      <c r="UNP932" s="18"/>
      <c r="UNQ932" s="18"/>
      <c r="UNR932" s="18"/>
      <c r="UNS932" s="18"/>
      <c r="UNT932" s="18"/>
      <c r="UNU932" s="18"/>
      <c r="UNV932" s="18"/>
      <c r="UNW932" s="18"/>
      <c r="UNX932" s="18"/>
      <c r="UNY932" s="18"/>
      <c r="UNZ932" s="18"/>
      <c r="UOA932" s="18"/>
      <c r="UOB932" s="18"/>
      <c r="UOC932" s="18"/>
      <c r="UOD932" s="18"/>
      <c r="UOE932" s="18"/>
      <c r="UOF932" s="18"/>
      <c r="UOG932" s="18"/>
      <c r="UOH932" s="18"/>
      <c r="UOI932" s="18"/>
      <c r="UOJ932" s="18"/>
      <c r="UOK932" s="18"/>
      <c r="UOL932" s="18"/>
      <c r="UOM932" s="18"/>
      <c r="UON932" s="18"/>
      <c r="UOO932" s="18"/>
      <c r="UOP932" s="18"/>
      <c r="UOQ932" s="18"/>
      <c r="UOR932" s="18"/>
      <c r="UOS932" s="18"/>
      <c r="UOT932" s="18"/>
      <c r="UOU932" s="18"/>
      <c r="UOV932" s="18"/>
      <c r="UOW932" s="18"/>
      <c r="UOX932" s="18"/>
      <c r="UOY932" s="18"/>
      <c r="UOZ932" s="18"/>
      <c r="UPA932" s="18"/>
      <c r="UPB932" s="18"/>
      <c r="UPC932" s="18"/>
      <c r="UPD932" s="18"/>
      <c r="UPE932" s="18"/>
      <c r="UPF932" s="18"/>
      <c r="UPG932" s="18"/>
      <c r="UPH932" s="18"/>
      <c r="UPI932" s="18"/>
      <c r="UPJ932" s="18"/>
      <c r="UPK932" s="18"/>
      <c r="UPL932" s="18"/>
      <c r="UPM932" s="18"/>
      <c r="UPN932" s="18"/>
      <c r="UPO932" s="18"/>
      <c r="UPP932" s="18"/>
      <c r="UPQ932" s="18"/>
      <c r="UPR932" s="18"/>
      <c r="UPS932" s="18"/>
      <c r="UPT932" s="18"/>
      <c r="UPU932" s="18"/>
      <c r="UPV932" s="18"/>
      <c r="UPW932" s="18"/>
      <c r="UPX932" s="18"/>
      <c r="UPY932" s="18"/>
      <c r="UPZ932" s="18"/>
      <c r="UQA932" s="18"/>
      <c r="UQB932" s="18"/>
      <c r="UQC932" s="18"/>
      <c r="UQD932" s="18"/>
      <c r="UQE932" s="18"/>
      <c r="UQF932" s="18"/>
      <c r="UQG932" s="18"/>
      <c r="UQH932" s="18"/>
      <c r="UQI932" s="18"/>
      <c r="UQJ932" s="18"/>
      <c r="UQK932" s="18"/>
      <c r="UQL932" s="18"/>
      <c r="UQM932" s="18"/>
      <c r="UQN932" s="18"/>
      <c r="UQO932" s="18"/>
      <c r="UQP932" s="18"/>
      <c r="UQQ932" s="18"/>
      <c r="UQR932" s="18"/>
      <c r="UQS932" s="18"/>
      <c r="UQT932" s="18"/>
      <c r="UQU932" s="18"/>
      <c r="UQV932" s="18"/>
      <c r="UQW932" s="18"/>
      <c r="UQX932" s="18"/>
      <c r="UQY932" s="18"/>
      <c r="UQZ932" s="18"/>
      <c r="URA932" s="18"/>
      <c r="URB932" s="18"/>
      <c r="URC932" s="18"/>
      <c r="URD932" s="18"/>
      <c r="URE932" s="18"/>
      <c r="URF932" s="18"/>
      <c r="URG932" s="18"/>
      <c r="URH932" s="18"/>
      <c r="URI932" s="18"/>
      <c r="URJ932" s="18"/>
      <c r="URK932" s="18"/>
      <c r="URL932" s="18"/>
      <c r="URM932" s="18"/>
      <c r="URN932" s="18"/>
      <c r="URO932" s="18"/>
      <c r="URP932" s="18"/>
      <c r="URQ932" s="18"/>
      <c r="URR932" s="18"/>
      <c r="URS932" s="18"/>
      <c r="URT932" s="18"/>
      <c r="URU932" s="18"/>
      <c r="URV932" s="18"/>
      <c r="URW932" s="18"/>
      <c r="URX932" s="18"/>
      <c r="URY932" s="18"/>
      <c r="URZ932" s="18"/>
      <c r="USA932" s="18"/>
      <c r="USB932" s="18"/>
      <c r="USC932" s="18"/>
      <c r="USD932" s="18"/>
      <c r="USE932" s="18"/>
      <c r="USF932" s="18"/>
      <c r="USG932" s="18"/>
      <c r="USH932" s="18"/>
      <c r="USI932" s="18"/>
      <c r="USJ932" s="18"/>
      <c r="USK932" s="18"/>
      <c r="USL932" s="18"/>
      <c r="USM932" s="18"/>
      <c r="USN932" s="18"/>
      <c r="USO932" s="18"/>
      <c r="USP932" s="18"/>
      <c r="USQ932" s="18"/>
      <c r="USR932" s="18"/>
      <c r="USS932" s="18"/>
      <c r="UST932" s="18"/>
      <c r="USU932" s="18"/>
      <c r="USV932" s="18"/>
      <c r="USW932" s="18"/>
      <c r="USX932" s="18"/>
      <c r="USY932" s="18"/>
      <c r="USZ932" s="18"/>
      <c r="UTA932" s="18"/>
      <c r="UTB932" s="18"/>
      <c r="UTC932" s="18"/>
      <c r="UTD932" s="18"/>
      <c r="UTE932" s="18"/>
      <c r="UTF932" s="18"/>
      <c r="UTG932" s="18"/>
      <c r="UTH932" s="18"/>
      <c r="UTI932" s="18"/>
      <c r="UTJ932" s="18"/>
      <c r="UTK932" s="18"/>
      <c r="UTL932" s="18"/>
      <c r="UTM932" s="18"/>
      <c r="UTN932" s="18"/>
      <c r="UTO932" s="18"/>
      <c r="UTP932" s="18"/>
      <c r="UTQ932" s="18"/>
      <c r="UTR932" s="18"/>
      <c r="UTS932" s="18"/>
      <c r="UTT932" s="18"/>
      <c r="UTU932" s="18"/>
      <c r="UTV932" s="18"/>
      <c r="UTW932" s="18"/>
      <c r="UTX932" s="18"/>
      <c r="UTY932" s="18"/>
      <c r="UTZ932" s="18"/>
      <c r="UUA932" s="18"/>
      <c r="UUB932" s="18"/>
      <c r="UUC932" s="18"/>
      <c r="UUD932" s="18"/>
      <c r="UUE932" s="18"/>
      <c r="UUF932" s="18"/>
      <c r="UUG932" s="18"/>
      <c r="UUH932" s="18"/>
      <c r="UUI932" s="18"/>
      <c r="UUJ932" s="18"/>
      <c r="UUK932" s="18"/>
      <c r="UUL932" s="18"/>
      <c r="UUM932" s="18"/>
      <c r="UUN932" s="18"/>
      <c r="UUO932" s="18"/>
      <c r="UUP932" s="18"/>
      <c r="UUQ932" s="18"/>
      <c r="UUR932" s="18"/>
      <c r="UUS932" s="18"/>
      <c r="UUT932" s="18"/>
      <c r="UUU932" s="18"/>
      <c r="UUV932" s="18"/>
      <c r="UUW932" s="18"/>
      <c r="UUX932" s="18"/>
      <c r="UUY932" s="18"/>
      <c r="UUZ932" s="18"/>
      <c r="UVA932" s="18"/>
      <c r="UVB932" s="18"/>
      <c r="UVC932" s="18"/>
      <c r="UVD932" s="18"/>
      <c r="UVE932" s="18"/>
      <c r="UVF932" s="18"/>
      <c r="UVG932" s="18"/>
      <c r="UVH932" s="18"/>
      <c r="UVI932" s="18"/>
      <c r="UVJ932" s="18"/>
      <c r="UVK932" s="18"/>
      <c r="UVL932" s="18"/>
      <c r="UVM932" s="18"/>
      <c r="UVN932" s="18"/>
      <c r="UVO932" s="18"/>
      <c r="UVP932" s="18"/>
      <c r="UVQ932" s="18"/>
      <c r="UVR932" s="18"/>
      <c r="UVS932" s="18"/>
      <c r="UVT932" s="18"/>
      <c r="UVU932" s="18"/>
      <c r="UVV932" s="18"/>
      <c r="UVW932" s="18"/>
      <c r="UVX932" s="18"/>
      <c r="UVY932" s="18"/>
      <c r="UVZ932" s="18"/>
      <c r="UWA932" s="18"/>
      <c r="UWB932" s="18"/>
      <c r="UWC932" s="18"/>
      <c r="UWD932" s="18"/>
      <c r="UWE932" s="18"/>
      <c r="UWF932" s="18"/>
      <c r="UWG932" s="18"/>
      <c r="UWH932" s="18"/>
      <c r="UWI932" s="18"/>
      <c r="UWJ932" s="18"/>
      <c r="UWK932" s="18"/>
      <c r="UWL932" s="18"/>
      <c r="UWM932" s="18"/>
      <c r="UWN932" s="18"/>
      <c r="UWO932" s="18"/>
      <c r="UWP932" s="18"/>
      <c r="UWQ932" s="18"/>
      <c r="UWR932" s="18"/>
      <c r="UWS932" s="18"/>
      <c r="UWT932" s="18"/>
      <c r="UWU932" s="18"/>
      <c r="UWV932" s="18"/>
      <c r="UWW932" s="18"/>
      <c r="UWX932" s="18"/>
      <c r="UWY932" s="18"/>
      <c r="UWZ932" s="18"/>
      <c r="UXA932" s="18"/>
      <c r="UXB932" s="18"/>
      <c r="UXC932" s="18"/>
      <c r="UXD932" s="18"/>
      <c r="UXE932" s="18"/>
      <c r="UXF932" s="18"/>
      <c r="UXG932" s="18"/>
      <c r="UXH932" s="18"/>
      <c r="UXI932" s="18"/>
      <c r="UXJ932" s="18"/>
      <c r="UXK932" s="18"/>
      <c r="UXL932" s="18"/>
      <c r="UXM932" s="18"/>
      <c r="UXN932" s="18"/>
      <c r="UXO932" s="18"/>
      <c r="UXP932" s="18"/>
      <c r="UXQ932" s="18"/>
      <c r="UXR932" s="18"/>
      <c r="UXS932" s="18"/>
      <c r="UXT932" s="18"/>
      <c r="UXU932" s="18"/>
      <c r="UXV932" s="18"/>
      <c r="UXW932" s="18"/>
      <c r="UXX932" s="18"/>
      <c r="UXY932" s="18"/>
      <c r="UXZ932" s="18"/>
      <c r="UYA932" s="18"/>
      <c r="UYB932" s="18"/>
      <c r="UYC932" s="18"/>
      <c r="UYD932" s="18"/>
      <c r="UYE932" s="18"/>
      <c r="UYF932" s="18"/>
      <c r="UYG932" s="18"/>
      <c r="UYH932" s="18"/>
      <c r="UYI932" s="18"/>
      <c r="UYJ932" s="18"/>
      <c r="UYK932" s="18"/>
      <c r="UYL932" s="18"/>
      <c r="UYM932" s="18"/>
      <c r="UYN932" s="18"/>
      <c r="UYO932" s="18"/>
      <c r="UYP932" s="18"/>
      <c r="UYQ932" s="18"/>
      <c r="UYR932" s="18"/>
      <c r="UYS932" s="18"/>
      <c r="UYT932" s="18"/>
      <c r="UYU932" s="18"/>
      <c r="UYV932" s="18"/>
      <c r="UYW932" s="18"/>
      <c r="UYX932" s="18"/>
      <c r="UYY932" s="18"/>
      <c r="UYZ932" s="18"/>
      <c r="UZA932" s="18"/>
      <c r="UZB932" s="18"/>
      <c r="UZC932" s="18"/>
      <c r="UZD932" s="18"/>
      <c r="UZE932" s="18"/>
      <c r="UZF932" s="18"/>
      <c r="UZG932" s="18"/>
      <c r="UZH932" s="18"/>
      <c r="UZI932" s="18"/>
      <c r="UZJ932" s="18"/>
      <c r="UZK932" s="18"/>
      <c r="UZL932" s="18"/>
      <c r="UZM932" s="18"/>
      <c r="UZN932" s="18"/>
      <c r="UZO932" s="18"/>
      <c r="UZP932" s="18"/>
      <c r="UZQ932" s="18"/>
      <c r="UZR932" s="18"/>
      <c r="UZS932" s="18"/>
      <c r="UZT932" s="18"/>
      <c r="UZU932" s="18"/>
      <c r="UZV932" s="18"/>
      <c r="UZW932" s="18"/>
      <c r="UZX932" s="18"/>
      <c r="UZY932" s="18"/>
      <c r="UZZ932" s="18"/>
      <c r="VAA932" s="18"/>
      <c r="VAB932" s="18"/>
      <c r="VAC932" s="18"/>
      <c r="VAD932" s="18"/>
      <c r="VAE932" s="18"/>
      <c r="VAF932" s="18"/>
      <c r="VAG932" s="18"/>
      <c r="VAH932" s="18"/>
      <c r="VAI932" s="18"/>
      <c r="VAJ932" s="18"/>
      <c r="VAK932" s="18"/>
      <c r="VAL932" s="18"/>
      <c r="VAM932" s="18"/>
      <c r="VAN932" s="18"/>
      <c r="VAO932" s="18"/>
      <c r="VAP932" s="18"/>
      <c r="VAQ932" s="18"/>
      <c r="VAR932" s="18"/>
      <c r="VAS932" s="18"/>
      <c r="VAT932" s="18"/>
      <c r="VAU932" s="18"/>
      <c r="VAV932" s="18"/>
      <c r="VAW932" s="18"/>
      <c r="VAX932" s="18"/>
      <c r="VAY932" s="18"/>
      <c r="VAZ932" s="18"/>
      <c r="VBA932" s="18"/>
      <c r="VBB932" s="18"/>
      <c r="VBC932" s="18"/>
      <c r="VBD932" s="18"/>
      <c r="VBE932" s="18"/>
      <c r="VBF932" s="18"/>
      <c r="VBG932" s="18"/>
      <c r="VBH932" s="18"/>
      <c r="VBI932" s="18"/>
      <c r="VBJ932" s="18"/>
      <c r="VBK932" s="18"/>
      <c r="VBL932" s="18"/>
      <c r="VBM932" s="18"/>
      <c r="VBN932" s="18"/>
      <c r="VBO932" s="18"/>
      <c r="VBP932" s="18"/>
      <c r="VBQ932" s="18"/>
      <c r="VBR932" s="18"/>
      <c r="VBS932" s="18"/>
      <c r="VBT932" s="18"/>
      <c r="VBU932" s="18"/>
      <c r="VBV932" s="18"/>
      <c r="VBW932" s="18"/>
      <c r="VBX932" s="18"/>
      <c r="VBY932" s="18"/>
      <c r="VBZ932" s="18"/>
      <c r="VCA932" s="18"/>
      <c r="VCB932" s="18"/>
      <c r="VCC932" s="18"/>
      <c r="VCD932" s="18"/>
      <c r="VCE932" s="18"/>
      <c r="VCF932" s="18"/>
      <c r="VCG932" s="18"/>
      <c r="VCH932" s="18"/>
      <c r="VCI932" s="18"/>
      <c r="VCJ932" s="18"/>
      <c r="VCK932" s="18"/>
      <c r="VCL932" s="18"/>
      <c r="VCM932" s="18"/>
      <c r="VCN932" s="18"/>
      <c r="VCO932" s="18"/>
      <c r="VCP932" s="18"/>
      <c r="VCQ932" s="18"/>
      <c r="VCR932" s="18"/>
      <c r="VCS932" s="18"/>
      <c r="VCT932" s="18"/>
      <c r="VCU932" s="18"/>
      <c r="VCV932" s="18"/>
      <c r="VCW932" s="18"/>
      <c r="VCX932" s="18"/>
      <c r="VCY932" s="18"/>
      <c r="VCZ932" s="18"/>
      <c r="VDA932" s="18"/>
      <c r="VDB932" s="18"/>
      <c r="VDC932" s="18"/>
      <c r="VDD932" s="18"/>
      <c r="VDE932" s="18"/>
      <c r="VDF932" s="18"/>
      <c r="VDG932" s="18"/>
      <c r="VDH932" s="18"/>
      <c r="VDI932" s="18"/>
      <c r="VDJ932" s="18"/>
      <c r="VDK932" s="18"/>
      <c r="VDL932" s="18"/>
      <c r="VDM932" s="18"/>
      <c r="VDN932" s="18"/>
      <c r="VDO932" s="18"/>
      <c r="VDP932" s="18"/>
      <c r="VDQ932" s="18"/>
      <c r="VDR932" s="18"/>
      <c r="VDS932" s="18"/>
      <c r="VDT932" s="18"/>
      <c r="VDU932" s="18"/>
      <c r="VDV932" s="18"/>
      <c r="VDW932" s="18"/>
      <c r="VDX932" s="18"/>
      <c r="VDY932" s="18"/>
      <c r="VDZ932" s="18"/>
      <c r="VEA932" s="18"/>
      <c r="VEB932" s="18"/>
      <c r="VEC932" s="18"/>
      <c r="VED932" s="18"/>
      <c r="VEE932" s="18"/>
      <c r="VEF932" s="18"/>
      <c r="VEG932" s="18"/>
      <c r="VEH932" s="18"/>
      <c r="VEI932" s="18"/>
      <c r="VEJ932" s="18"/>
      <c r="VEK932" s="18"/>
      <c r="VEL932" s="18"/>
      <c r="VEM932" s="18"/>
      <c r="VEN932" s="18"/>
      <c r="VEO932" s="18"/>
      <c r="VEP932" s="18"/>
      <c r="VEQ932" s="18"/>
      <c r="VER932" s="18"/>
      <c r="VES932" s="18"/>
      <c r="VET932" s="18"/>
      <c r="VEU932" s="18"/>
      <c r="VEV932" s="18"/>
      <c r="VEW932" s="18"/>
      <c r="VEX932" s="18"/>
      <c r="VEY932" s="18"/>
      <c r="VEZ932" s="18"/>
      <c r="VFA932" s="18"/>
      <c r="VFB932" s="18"/>
      <c r="VFC932" s="18"/>
      <c r="VFD932" s="18"/>
      <c r="VFE932" s="18"/>
      <c r="VFF932" s="18"/>
      <c r="VFG932" s="18"/>
      <c r="VFH932" s="18"/>
      <c r="VFI932" s="18"/>
      <c r="VFJ932" s="18"/>
      <c r="VFK932" s="18"/>
      <c r="VFL932" s="18"/>
      <c r="VFM932" s="18"/>
      <c r="VFN932" s="18"/>
      <c r="VFO932" s="18"/>
      <c r="VFP932" s="18"/>
      <c r="VFQ932" s="18"/>
      <c r="VFR932" s="18"/>
      <c r="VFS932" s="18"/>
      <c r="VFT932" s="18"/>
      <c r="VFU932" s="18"/>
      <c r="VFV932" s="18"/>
      <c r="VFW932" s="18"/>
      <c r="VFX932" s="18"/>
      <c r="VFY932" s="18"/>
      <c r="VFZ932" s="18"/>
      <c r="VGA932" s="18"/>
      <c r="VGB932" s="18"/>
      <c r="VGC932" s="18"/>
      <c r="VGD932" s="18"/>
      <c r="VGE932" s="18"/>
      <c r="VGF932" s="18"/>
      <c r="VGG932" s="18"/>
      <c r="VGH932" s="18"/>
      <c r="VGI932" s="18"/>
      <c r="VGJ932" s="18"/>
      <c r="VGK932" s="18"/>
      <c r="VGL932" s="18"/>
      <c r="VGM932" s="18"/>
      <c r="VGN932" s="18"/>
      <c r="VGO932" s="18"/>
      <c r="VGP932" s="18"/>
      <c r="VGQ932" s="18"/>
      <c r="VGR932" s="18"/>
      <c r="VGS932" s="18"/>
      <c r="VGT932" s="18"/>
      <c r="VGU932" s="18"/>
      <c r="VGV932" s="18"/>
      <c r="VGW932" s="18"/>
      <c r="VGX932" s="18"/>
      <c r="VGY932" s="18"/>
      <c r="VGZ932" s="18"/>
      <c r="VHA932" s="18"/>
      <c r="VHB932" s="18"/>
      <c r="VHC932" s="18"/>
      <c r="VHD932" s="18"/>
      <c r="VHE932" s="18"/>
      <c r="VHF932" s="18"/>
      <c r="VHG932" s="18"/>
      <c r="VHH932" s="18"/>
      <c r="VHI932" s="18"/>
      <c r="VHJ932" s="18"/>
      <c r="VHK932" s="18"/>
      <c r="VHL932" s="18"/>
      <c r="VHM932" s="18"/>
      <c r="VHN932" s="18"/>
      <c r="VHO932" s="18"/>
      <c r="VHP932" s="18"/>
      <c r="VHQ932" s="18"/>
      <c r="VHR932" s="18"/>
      <c r="VHS932" s="18"/>
      <c r="VHT932" s="18"/>
      <c r="VHU932" s="18"/>
      <c r="VHV932" s="18"/>
      <c r="VHW932" s="18"/>
      <c r="VHX932" s="18"/>
      <c r="VHY932" s="18"/>
      <c r="VHZ932" s="18"/>
      <c r="VIA932" s="18"/>
      <c r="VIB932" s="18"/>
      <c r="VIC932" s="18"/>
      <c r="VID932" s="18"/>
      <c r="VIE932" s="18"/>
      <c r="VIF932" s="18"/>
      <c r="VIG932" s="18"/>
      <c r="VIH932" s="18"/>
      <c r="VII932" s="18"/>
      <c r="VIJ932" s="18"/>
      <c r="VIK932" s="18"/>
      <c r="VIL932" s="18"/>
      <c r="VIM932" s="18"/>
      <c r="VIN932" s="18"/>
      <c r="VIO932" s="18"/>
      <c r="VIP932" s="18"/>
      <c r="VIQ932" s="18"/>
      <c r="VIR932" s="18"/>
      <c r="VIS932" s="18"/>
      <c r="VIT932" s="18"/>
      <c r="VIU932" s="18"/>
      <c r="VIV932" s="18"/>
      <c r="VIW932" s="18"/>
      <c r="VIX932" s="18"/>
      <c r="VIY932" s="18"/>
      <c r="VIZ932" s="18"/>
      <c r="VJA932" s="18"/>
      <c r="VJB932" s="18"/>
      <c r="VJC932" s="18"/>
      <c r="VJD932" s="18"/>
      <c r="VJE932" s="18"/>
      <c r="VJF932" s="18"/>
      <c r="VJG932" s="18"/>
      <c r="VJH932" s="18"/>
      <c r="VJI932" s="18"/>
      <c r="VJJ932" s="18"/>
      <c r="VJK932" s="18"/>
      <c r="VJL932" s="18"/>
      <c r="VJM932" s="18"/>
      <c r="VJN932" s="18"/>
      <c r="VJO932" s="18"/>
      <c r="VJP932" s="18"/>
      <c r="VJQ932" s="18"/>
      <c r="VJR932" s="18"/>
      <c r="VJS932" s="18"/>
      <c r="VJT932" s="18"/>
      <c r="VJU932" s="18"/>
      <c r="VJV932" s="18"/>
      <c r="VJW932" s="18"/>
      <c r="VJX932" s="18"/>
      <c r="VJY932" s="18"/>
      <c r="VJZ932" s="18"/>
      <c r="VKA932" s="18"/>
      <c r="VKB932" s="18"/>
      <c r="VKC932" s="18"/>
      <c r="VKD932" s="18"/>
      <c r="VKE932" s="18"/>
      <c r="VKF932" s="18"/>
      <c r="VKG932" s="18"/>
      <c r="VKH932" s="18"/>
      <c r="VKI932" s="18"/>
      <c r="VKJ932" s="18"/>
      <c r="VKK932" s="18"/>
      <c r="VKL932" s="18"/>
      <c r="VKM932" s="18"/>
      <c r="VKN932" s="18"/>
      <c r="VKO932" s="18"/>
      <c r="VKP932" s="18"/>
      <c r="VKQ932" s="18"/>
      <c r="VKR932" s="18"/>
      <c r="VKS932" s="18"/>
      <c r="VKT932" s="18"/>
      <c r="VKU932" s="18"/>
      <c r="VKV932" s="18"/>
      <c r="VKW932" s="18"/>
      <c r="VKX932" s="18"/>
      <c r="VKY932" s="18"/>
      <c r="VKZ932" s="18"/>
      <c r="VLA932" s="18"/>
      <c r="VLB932" s="18"/>
      <c r="VLC932" s="18"/>
      <c r="VLD932" s="18"/>
      <c r="VLE932" s="18"/>
      <c r="VLF932" s="18"/>
      <c r="VLG932" s="18"/>
      <c r="VLH932" s="18"/>
      <c r="VLI932" s="18"/>
      <c r="VLJ932" s="18"/>
      <c r="VLK932" s="18"/>
      <c r="VLL932" s="18"/>
      <c r="VLM932" s="18"/>
      <c r="VLN932" s="18"/>
      <c r="VLO932" s="18"/>
      <c r="VLP932" s="18"/>
      <c r="VLQ932" s="18"/>
      <c r="VLR932" s="18"/>
      <c r="VLS932" s="18"/>
      <c r="VLT932" s="18"/>
      <c r="VLU932" s="18"/>
      <c r="VLV932" s="18"/>
      <c r="VLW932" s="18"/>
      <c r="VLX932" s="18"/>
      <c r="VLY932" s="18"/>
      <c r="VLZ932" s="18"/>
      <c r="VMA932" s="18"/>
      <c r="VMB932" s="18"/>
      <c r="VMC932" s="18"/>
      <c r="VMD932" s="18"/>
      <c r="VME932" s="18"/>
      <c r="VMF932" s="18"/>
      <c r="VMG932" s="18"/>
      <c r="VMH932" s="18"/>
      <c r="VMI932" s="18"/>
      <c r="VMJ932" s="18"/>
      <c r="VMK932" s="18"/>
      <c r="VML932" s="18"/>
      <c r="VMM932" s="18"/>
      <c r="VMN932" s="18"/>
      <c r="VMO932" s="18"/>
      <c r="VMP932" s="18"/>
      <c r="VMQ932" s="18"/>
      <c r="VMR932" s="18"/>
      <c r="VMS932" s="18"/>
      <c r="VMT932" s="18"/>
      <c r="VMU932" s="18"/>
      <c r="VMV932" s="18"/>
      <c r="VMW932" s="18"/>
      <c r="VMX932" s="18"/>
      <c r="VMY932" s="18"/>
      <c r="VMZ932" s="18"/>
      <c r="VNA932" s="18"/>
      <c r="VNB932" s="18"/>
      <c r="VNC932" s="18"/>
      <c r="VND932" s="18"/>
      <c r="VNE932" s="18"/>
      <c r="VNF932" s="18"/>
      <c r="VNG932" s="18"/>
      <c r="VNH932" s="18"/>
      <c r="VNI932" s="18"/>
      <c r="VNJ932" s="18"/>
      <c r="VNK932" s="18"/>
      <c r="VNL932" s="18"/>
      <c r="VNM932" s="18"/>
      <c r="VNN932" s="18"/>
      <c r="VNO932" s="18"/>
      <c r="VNP932" s="18"/>
      <c r="VNQ932" s="18"/>
      <c r="VNR932" s="18"/>
      <c r="VNS932" s="18"/>
      <c r="VNT932" s="18"/>
      <c r="VNU932" s="18"/>
      <c r="VNV932" s="18"/>
      <c r="VNW932" s="18"/>
      <c r="VNX932" s="18"/>
      <c r="VNY932" s="18"/>
      <c r="VNZ932" s="18"/>
      <c r="VOA932" s="18"/>
      <c r="VOB932" s="18"/>
      <c r="VOC932" s="18"/>
      <c r="VOD932" s="18"/>
      <c r="VOE932" s="18"/>
      <c r="VOF932" s="18"/>
      <c r="VOG932" s="18"/>
      <c r="VOH932" s="18"/>
      <c r="VOI932" s="18"/>
      <c r="VOJ932" s="18"/>
      <c r="VOK932" s="18"/>
      <c r="VOL932" s="18"/>
      <c r="VOM932" s="18"/>
      <c r="VON932" s="18"/>
      <c r="VOO932" s="18"/>
      <c r="VOP932" s="18"/>
      <c r="VOQ932" s="18"/>
      <c r="VOR932" s="18"/>
      <c r="VOS932" s="18"/>
      <c r="VOT932" s="18"/>
      <c r="VOU932" s="18"/>
      <c r="VOV932" s="18"/>
      <c r="VOW932" s="18"/>
      <c r="VOX932" s="18"/>
      <c r="VOY932" s="18"/>
      <c r="VOZ932" s="18"/>
      <c r="VPA932" s="18"/>
      <c r="VPB932" s="18"/>
      <c r="VPC932" s="18"/>
      <c r="VPD932" s="18"/>
      <c r="VPE932" s="18"/>
      <c r="VPF932" s="18"/>
      <c r="VPG932" s="18"/>
      <c r="VPH932" s="18"/>
      <c r="VPI932" s="18"/>
      <c r="VPJ932" s="18"/>
      <c r="VPK932" s="18"/>
      <c r="VPL932" s="18"/>
      <c r="VPM932" s="18"/>
      <c r="VPN932" s="18"/>
      <c r="VPO932" s="18"/>
      <c r="VPP932" s="18"/>
      <c r="VPQ932" s="18"/>
      <c r="VPR932" s="18"/>
      <c r="VPS932" s="18"/>
      <c r="VPT932" s="18"/>
      <c r="VPU932" s="18"/>
      <c r="VPV932" s="18"/>
      <c r="VPW932" s="18"/>
      <c r="VPX932" s="18"/>
      <c r="VPY932" s="18"/>
      <c r="VPZ932" s="18"/>
      <c r="VQA932" s="18"/>
      <c r="VQB932" s="18"/>
      <c r="VQC932" s="18"/>
      <c r="VQD932" s="18"/>
      <c r="VQE932" s="18"/>
      <c r="VQF932" s="18"/>
      <c r="VQG932" s="18"/>
      <c r="VQH932" s="18"/>
      <c r="VQI932" s="18"/>
      <c r="VQJ932" s="18"/>
      <c r="VQK932" s="18"/>
      <c r="VQL932" s="18"/>
      <c r="VQM932" s="18"/>
      <c r="VQN932" s="18"/>
      <c r="VQO932" s="18"/>
      <c r="VQP932" s="18"/>
      <c r="VQQ932" s="18"/>
      <c r="VQR932" s="18"/>
      <c r="VQS932" s="18"/>
      <c r="VQT932" s="18"/>
      <c r="VQU932" s="18"/>
      <c r="VQV932" s="18"/>
      <c r="VQW932" s="18"/>
      <c r="VQX932" s="18"/>
      <c r="VQY932" s="18"/>
      <c r="VQZ932" s="18"/>
      <c r="VRA932" s="18"/>
      <c r="VRB932" s="18"/>
      <c r="VRC932" s="18"/>
      <c r="VRD932" s="18"/>
      <c r="VRE932" s="18"/>
      <c r="VRF932" s="18"/>
      <c r="VRG932" s="18"/>
      <c r="VRH932" s="18"/>
      <c r="VRI932" s="18"/>
      <c r="VRJ932" s="18"/>
      <c r="VRK932" s="18"/>
      <c r="VRL932" s="18"/>
      <c r="VRM932" s="18"/>
      <c r="VRN932" s="18"/>
      <c r="VRO932" s="18"/>
      <c r="VRP932" s="18"/>
      <c r="VRQ932" s="18"/>
      <c r="VRR932" s="18"/>
      <c r="VRS932" s="18"/>
      <c r="VRT932" s="18"/>
      <c r="VRU932" s="18"/>
      <c r="VRV932" s="18"/>
      <c r="VRW932" s="18"/>
      <c r="VRX932" s="18"/>
      <c r="VRY932" s="18"/>
      <c r="VRZ932" s="18"/>
      <c r="VSA932" s="18"/>
      <c r="VSB932" s="18"/>
      <c r="VSC932" s="18"/>
      <c r="VSD932" s="18"/>
      <c r="VSE932" s="18"/>
      <c r="VSF932" s="18"/>
      <c r="VSG932" s="18"/>
      <c r="VSH932" s="18"/>
      <c r="VSI932" s="18"/>
      <c r="VSJ932" s="18"/>
      <c r="VSK932" s="18"/>
      <c r="VSL932" s="18"/>
      <c r="VSM932" s="18"/>
      <c r="VSN932" s="18"/>
      <c r="VSO932" s="18"/>
      <c r="VSP932" s="18"/>
      <c r="VSQ932" s="18"/>
      <c r="VSR932" s="18"/>
      <c r="VSS932" s="18"/>
      <c r="VST932" s="18"/>
      <c r="VSU932" s="18"/>
      <c r="VSV932" s="18"/>
      <c r="VSW932" s="18"/>
      <c r="VSX932" s="18"/>
      <c r="VSY932" s="18"/>
      <c r="VSZ932" s="18"/>
      <c r="VTA932" s="18"/>
      <c r="VTB932" s="18"/>
      <c r="VTC932" s="18"/>
      <c r="VTD932" s="18"/>
      <c r="VTE932" s="18"/>
      <c r="VTF932" s="18"/>
      <c r="VTG932" s="18"/>
      <c r="VTH932" s="18"/>
      <c r="VTI932" s="18"/>
      <c r="VTJ932" s="18"/>
      <c r="VTK932" s="18"/>
      <c r="VTL932" s="18"/>
      <c r="VTM932" s="18"/>
      <c r="VTN932" s="18"/>
      <c r="VTO932" s="18"/>
      <c r="VTP932" s="18"/>
      <c r="VTQ932" s="18"/>
      <c r="VTR932" s="18"/>
      <c r="VTS932" s="18"/>
      <c r="VTT932" s="18"/>
      <c r="VTU932" s="18"/>
      <c r="VTV932" s="18"/>
      <c r="VTW932" s="18"/>
      <c r="VTX932" s="18"/>
      <c r="VTY932" s="18"/>
      <c r="VTZ932" s="18"/>
      <c r="VUA932" s="18"/>
      <c r="VUB932" s="18"/>
      <c r="VUC932" s="18"/>
      <c r="VUD932" s="18"/>
      <c r="VUE932" s="18"/>
      <c r="VUF932" s="18"/>
      <c r="VUG932" s="18"/>
      <c r="VUH932" s="18"/>
      <c r="VUI932" s="18"/>
      <c r="VUJ932" s="18"/>
      <c r="VUK932" s="18"/>
      <c r="VUL932" s="18"/>
      <c r="VUM932" s="18"/>
      <c r="VUN932" s="18"/>
      <c r="VUO932" s="18"/>
      <c r="VUP932" s="18"/>
      <c r="VUQ932" s="18"/>
      <c r="VUR932" s="18"/>
      <c r="VUS932" s="18"/>
      <c r="VUT932" s="18"/>
      <c r="VUU932" s="18"/>
      <c r="VUV932" s="18"/>
      <c r="VUW932" s="18"/>
      <c r="VUX932" s="18"/>
      <c r="VUY932" s="18"/>
      <c r="VUZ932" s="18"/>
      <c r="VVA932" s="18"/>
      <c r="VVB932" s="18"/>
      <c r="VVC932" s="18"/>
      <c r="VVD932" s="18"/>
      <c r="VVE932" s="18"/>
      <c r="VVF932" s="18"/>
      <c r="VVG932" s="18"/>
      <c r="VVH932" s="18"/>
      <c r="VVI932" s="18"/>
      <c r="VVJ932" s="18"/>
      <c r="VVK932" s="18"/>
      <c r="VVL932" s="18"/>
      <c r="VVM932" s="18"/>
      <c r="VVN932" s="18"/>
      <c r="VVO932" s="18"/>
      <c r="VVP932" s="18"/>
      <c r="VVQ932" s="18"/>
      <c r="VVR932" s="18"/>
      <c r="VVS932" s="18"/>
      <c r="VVT932" s="18"/>
      <c r="VVU932" s="18"/>
      <c r="VVV932" s="18"/>
      <c r="VVW932" s="18"/>
      <c r="VVX932" s="18"/>
      <c r="VVY932" s="18"/>
      <c r="VVZ932" s="18"/>
      <c r="VWA932" s="18"/>
      <c r="VWB932" s="18"/>
      <c r="VWC932" s="18"/>
      <c r="VWD932" s="18"/>
      <c r="VWE932" s="18"/>
      <c r="VWF932" s="18"/>
      <c r="VWG932" s="18"/>
      <c r="VWH932" s="18"/>
      <c r="VWI932" s="18"/>
      <c r="VWJ932" s="18"/>
      <c r="VWK932" s="18"/>
      <c r="VWL932" s="18"/>
      <c r="VWM932" s="18"/>
      <c r="VWN932" s="18"/>
      <c r="VWO932" s="18"/>
      <c r="VWP932" s="18"/>
      <c r="VWQ932" s="18"/>
      <c r="VWR932" s="18"/>
      <c r="VWS932" s="18"/>
      <c r="VWT932" s="18"/>
      <c r="VWU932" s="18"/>
      <c r="VWV932" s="18"/>
      <c r="VWW932" s="18"/>
      <c r="VWX932" s="18"/>
      <c r="VWY932" s="18"/>
      <c r="VWZ932" s="18"/>
      <c r="VXA932" s="18"/>
      <c r="VXB932" s="18"/>
      <c r="VXC932" s="18"/>
      <c r="VXD932" s="18"/>
      <c r="VXE932" s="18"/>
      <c r="VXF932" s="18"/>
      <c r="VXG932" s="18"/>
      <c r="VXH932" s="18"/>
      <c r="VXI932" s="18"/>
      <c r="VXJ932" s="18"/>
      <c r="VXK932" s="18"/>
      <c r="VXL932" s="18"/>
      <c r="VXM932" s="18"/>
      <c r="VXN932" s="18"/>
      <c r="VXO932" s="18"/>
      <c r="VXP932" s="18"/>
      <c r="VXQ932" s="18"/>
      <c r="VXR932" s="18"/>
      <c r="VXS932" s="18"/>
      <c r="VXT932" s="18"/>
      <c r="VXU932" s="18"/>
      <c r="VXV932" s="18"/>
      <c r="VXW932" s="18"/>
      <c r="VXX932" s="18"/>
      <c r="VXY932" s="18"/>
      <c r="VXZ932" s="18"/>
      <c r="VYA932" s="18"/>
      <c r="VYB932" s="18"/>
      <c r="VYC932" s="18"/>
      <c r="VYD932" s="18"/>
      <c r="VYE932" s="18"/>
      <c r="VYF932" s="18"/>
      <c r="VYG932" s="18"/>
      <c r="VYH932" s="18"/>
      <c r="VYI932" s="18"/>
      <c r="VYJ932" s="18"/>
      <c r="VYK932" s="18"/>
      <c r="VYL932" s="18"/>
      <c r="VYM932" s="18"/>
      <c r="VYN932" s="18"/>
      <c r="VYO932" s="18"/>
      <c r="VYP932" s="18"/>
      <c r="VYQ932" s="18"/>
      <c r="VYR932" s="18"/>
      <c r="VYS932" s="18"/>
      <c r="VYT932" s="18"/>
      <c r="VYU932" s="18"/>
      <c r="VYV932" s="18"/>
      <c r="VYW932" s="18"/>
      <c r="VYX932" s="18"/>
      <c r="VYY932" s="18"/>
      <c r="VYZ932" s="18"/>
      <c r="VZA932" s="18"/>
      <c r="VZB932" s="18"/>
      <c r="VZC932" s="18"/>
      <c r="VZD932" s="18"/>
      <c r="VZE932" s="18"/>
      <c r="VZF932" s="18"/>
      <c r="VZG932" s="18"/>
      <c r="VZH932" s="18"/>
      <c r="VZI932" s="18"/>
      <c r="VZJ932" s="18"/>
      <c r="VZK932" s="18"/>
      <c r="VZL932" s="18"/>
      <c r="VZM932" s="18"/>
      <c r="VZN932" s="18"/>
      <c r="VZO932" s="18"/>
      <c r="VZP932" s="18"/>
      <c r="VZQ932" s="18"/>
      <c r="VZR932" s="18"/>
      <c r="VZS932" s="18"/>
      <c r="VZT932" s="18"/>
      <c r="VZU932" s="18"/>
      <c r="VZV932" s="18"/>
      <c r="VZW932" s="18"/>
      <c r="VZX932" s="18"/>
      <c r="VZY932" s="18"/>
      <c r="VZZ932" s="18"/>
      <c r="WAA932" s="18"/>
      <c r="WAB932" s="18"/>
      <c r="WAC932" s="18"/>
      <c r="WAD932" s="18"/>
      <c r="WAE932" s="18"/>
      <c r="WAF932" s="18"/>
      <c r="WAG932" s="18"/>
      <c r="WAH932" s="18"/>
      <c r="WAI932" s="18"/>
      <c r="WAJ932" s="18"/>
      <c r="WAK932" s="18"/>
      <c r="WAL932" s="18"/>
      <c r="WAM932" s="18"/>
      <c r="WAN932" s="18"/>
      <c r="WAO932" s="18"/>
      <c r="WAP932" s="18"/>
      <c r="WAQ932" s="18"/>
      <c r="WAR932" s="18"/>
      <c r="WAS932" s="18"/>
      <c r="WAT932" s="18"/>
      <c r="WAU932" s="18"/>
      <c r="WAV932" s="18"/>
      <c r="WAW932" s="18"/>
      <c r="WAX932" s="18"/>
      <c r="WAY932" s="18"/>
      <c r="WAZ932" s="18"/>
      <c r="WBA932" s="18"/>
      <c r="WBB932" s="18"/>
      <c r="WBC932" s="18"/>
      <c r="WBD932" s="18"/>
      <c r="WBE932" s="18"/>
      <c r="WBF932" s="18"/>
      <c r="WBG932" s="18"/>
      <c r="WBH932" s="18"/>
      <c r="WBI932" s="18"/>
      <c r="WBJ932" s="18"/>
      <c r="WBK932" s="18"/>
      <c r="WBL932" s="18"/>
      <c r="WBM932" s="18"/>
      <c r="WBN932" s="18"/>
      <c r="WBO932" s="18"/>
      <c r="WBP932" s="18"/>
      <c r="WBQ932" s="18"/>
      <c r="WBR932" s="18"/>
      <c r="WBS932" s="18"/>
      <c r="WBT932" s="18"/>
      <c r="WBU932" s="18"/>
      <c r="WBV932" s="18"/>
      <c r="WBW932" s="18"/>
      <c r="WBX932" s="18"/>
      <c r="WBY932" s="18"/>
      <c r="WBZ932" s="18"/>
      <c r="WCA932" s="18"/>
      <c r="WCB932" s="18"/>
      <c r="WCC932" s="18"/>
      <c r="WCD932" s="18"/>
      <c r="WCE932" s="18"/>
      <c r="WCF932" s="18"/>
      <c r="WCG932" s="18"/>
      <c r="WCH932" s="18"/>
      <c r="WCI932" s="18"/>
      <c r="WCJ932" s="18"/>
      <c r="WCK932" s="18"/>
      <c r="WCL932" s="18"/>
      <c r="WCM932" s="18"/>
      <c r="WCN932" s="18"/>
      <c r="WCO932" s="18"/>
      <c r="WCP932" s="18"/>
      <c r="WCQ932" s="18"/>
      <c r="WCR932" s="18"/>
      <c r="WCS932" s="18"/>
      <c r="WCT932" s="18"/>
      <c r="WCU932" s="18"/>
      <c r="WCV932" s="18"/>
      <c r="WCW932" s="18"/>
      <c r="WCX932" s="18"/>
      <c r="WCY932" s="18"/>
      <c r="WCZ932" s="18"/>
      <c r="WDA932" s="18"/>
      <c r="WDB932" s="18"/>
      <c r="WDC932" s="18"/>
      <c r="WDD932" s="18"/>
      <c r="WDE932" s="18"/>
      <c r="WDF932" s="18"/>
      <c r="WDG932" s="18"/>
      <c r="WDH932" s="18"/>
      <c r="WDI932" s="18"/>
      <c r="WDJ932" s="18"/>
      <c r="WDK932" s="18"/>
      <c r="WDL932" s="18"/>
      <c r="WDM932" s="18"/>
      <c r="WDN932" s="18"/>
      <c r="WDO932" s="18"/>
      <c r="WDP932" s="18"/>
      <c r="WDQ932" s="18"/>
      <c r="WDR932" s="18"/>
      <c r="WDS932" s="18"/>
      <c r="WDT932" s="18"/>
      <c r="WDU932" s="18"/>
      <c r="WDV932" s="18"/>
      <c r="WDW932" s="18"/>
      <c r="WDX932" s="18"/>
      <c r="WDY932" s="18"/>
      <c r="WDZ932" s="18"/>
      <c r="WEA932" s="18"/>
      <c r="WEB932" s="18"/>
      <c r="WEC932" s="18"/>
      <c r="WED932" s="18"/>
      <c r="WEE932" s="18"/>
      <c r="WEF932" s="18"/>
      <c r="WEG932" s="18"/>
      <c r="WEH932" s="18"/>
      <c r="WEI932" s="18"/>
      <c r="WEJ932" s="18"/>
      <c r="WEK932" s="18"/>
      <c r="WEL932" s="18"/>
      <c r="WEM932" s="18"/>
      <c r="WEN932" s="18"/>
      <c r="WEO932" s="18"/>
      <c r="WEP932" s="18"/>
      <c r="WEQ932" s="18"/>
      <c r="WER932" s="18"/>
      <c r="WES932" s="18"/>
      <c r="WET932" s="18"/>
      <c r="WEU932" s="18"/>
      <c r="WEV932" s="18"/>
      <c r="WEW932" s="18"/>
      <c r="WEX932" s="18"/>
      <c r="WEY932" s="18"/>
      <c r="WEZ932" s="18"/>
      <c r="WFA932" s="18"/>
      <c r="WFB932" s="18"/>
      <c r="WFC932" s="18"/>
      <c r="WFD932" s="18"/>
      <c r="WFE932" s="18"/>
      <c r="WFF932" s="18"/>
      <c r="WFG932" s="18"/>
      <c r="WFH932" s="18"/>
      <c r="WFI932" s="18"/>
      <c r="WFJ932" s="18"/>
      <c r="WFK932" s="18"/>
      <c r="WFL932" s="18"/>
      <c r="WFM932" s="18"/>
      <c r="WFN932" s="18"/>
      <c r="WFO932" s="18"/>
      <c r="WFP932" s="18"/>
      <c r="WFQ932" s="18"/>
      <c r="WFR932" s="18"/>
      <c r="WFS932" s="18"/>
      <c r="WFT932" s="18"/>
      <c r="WFU932" s="18"/>
      <c r="WFV932" s="18"/>
      <c r="WFW932" s="18"/>
      <c r="WFX932" s="18"/>
      <c r="WFY932" s="18"/>
      <c r="WFZ932" s="18"/>
      <c r="WGA932" s="18"/>
      <c r="WGB932" s="18"/>
      <c r="WGC932" s="18"/>
      <c r="WGD932" s="18"/>
      <c r="WGE932" s="18"/>
      <c r="WGF932" s="18"/>
      <c r="WGG932" s="18"/>
      <c r="WGH932" s="18"/>
      <c r="WGI932" s="18"/>
      <c r="WGJ932" s="18"/>
      <c r="WGK932" s="18"/>
      <c r="WGL932" s="18"/>
      <c r="WGM932" s="18"/>
      <c r="WGN932" s="18"/>
      <c r="WGO932" s="18"/>
      <c r="WGP932" s="18"/>
      <c r="WGQ932" s="18"/>
      <c r="WGR932" s="18"/>
      <c r="WGS932" s="18"/>
      <c r="WGT932" s="18"/>
      <c r="WGU932" s="18"/>
      <c r="WGV932" s="18"/>
      <c r="WGW932" s="18"/>
      <c r="WGX932" s="18"/>
      <c r="WGY932" s="18"/>
      <c r="WGZ932" s="18"/>
      <c r="WHA932" s="18"/>
      <c r="WHB932" s="18"/>
      <c r="WHC932" s="18"/>
      <c r="WHD932" s="18"/>
      <c r="WHE932" s="18"/>
      <c r="WHF932" s="18"/>
      <c r="WHG932" s="18"/>
      <c r="WHH932" s="18"/>
      <c r="WHI932" s="18"/>
      <c r="WHJ932" s="18"/>
      <c r="WHK932" s="18"/>
      <c r="WHL932" s="18"/>
      <c r="WHM932" s="18"/>
      <c r="WHN932" s="18"/>
      <c r="WHO932" s="18"/>
      <c r="WHP932" s="18"/>
      <c r="WHQ932" s="18"/>
      <c r="WHR932" s="18"/>
      <c r="WHS932" s="18"/>
      <c r="WHT932" s="18"/>
      <c r="WHU932" s="18"/>
      <c r="WHV932" s="18"/>
      <c r="WHW932" s="18"/>
      <c r="WHX932" s="18"/>
      <c r="WHY932" s="18"/>
      <c r="WHZ932" s="18"/>
      <c r="WIA932" s="18"/>
      <c r="WIB932" s="18"/>
      <c r="WIC932" s="18"/>
      <c r="WID932" s="18"/>
      <c r="WIE932" s="18"/>
      <c r="WIF932" s="18"/>
      <c r="WIG932" s="18"/>
      <c r="WIH932" s="18"/>
      <c r="WII932" s="18"/>
      <c r="WIJ932" s="18"/>
      <c r="WIK932" s="18"/>
      <c r="WIL932" s="18"/>
      <c r="WIM932" s="18"/>
      <c r="WIN932" s="18"/>
      <c r="WIO932" s="18"/>
      <c r="WIP932" s="18"/>
      <c r="WIQ932" s="18"/>
      <c r="WIR932" s="18"/>
      <c r="WIS932" s="18"/>
      <c r="WIT932" s="18"/>
      <c r="WIU932" s="18"/>
      <c r="WIV932" s="18"/>
      <c r="WIW932" s="18"/>
      <c r="WIX932" s="18"/>
      <c r="WIY932" s="18"/>
      <c r="WIZ932" s="18"/>
      <c r="WJA932" s="18"/>
      <c r="WJB932" s="18"/>
      <c r="WJC932" s="18"/>
      <c r="WJD932" s="18"/>
      <c r="WJE932" s="18"/>
      <c r="WJF932" s="18"/>
      <c r="WJG932" s="18"/>
      <c r="WJH932" s="18"/>
      <c r="WJI932" s="18"/>
      <c r="WJJ932" s="18"/>
      <c r="WJK932" s="18"/>
      <c r="WJL932" s="18"/>
      <c r="WJM932" s="18"/>
      <c r="WJN932" s="18"/>
      <c r="WJO932" s="18"/>
      <c r="WJP932" s="18"/>
      <c r="WJQ932" s="18"/>
      <c r="WJR932" s="18"/>
      <c r="WJS932" s="18"/>
      <c r="WJT932" s="18"/>
      <c r="WJU932" s="18"/>
      <c r="WJV932" s="18"/>
      <c r="WJW932" s="18"/>
      <c r="WJX932" s="18"/>
      <c r="WJY932" s="18"/>
      <c r="WJZ932" s="18"/>
      <c r="WKA932" s="18"/>
      <c r="WKB932" s="18"/>
      <c r="WKC932" s="18"/>
      <c r="WKD932" s="18"/>
      <c r="WKE932" s="18"/>
      <c r="WKF932" s="18"/>
      <c r="WKG932" s="18"/>
      <c r="WKH932" s="18"/>
      <c r="WKI932" s="18"/>
      <c r="WKJ932" s="18"/>
      <c r="WKK932" s="18"/>
      <c r="WKL932" s="18"/>
      <c r="WKM932" s="18"/>
      <c r="WKN932" s="18"/>
      <c r="WKO932" s="18"/>
      <c r="WKP932" s="18"/>
      <c r="WKQ932" s="18"/>
      <c r="WKR932" s="18"/>
      <c r="WKS932" s="18"/>
      <c r="WKT932" s="18"/>
      <c r="WKU932" s="18"/>
      <c r="WKV932" s="18"/>
      <c r="WKW932" s="18"/>
      <c r="WKX932" s="18"/>
      <c r="WKY932" s="18"/>
      <c r="WKZ932" s="18"/>
      <c r="WLA932" s="18"/>
      <c r="WLB932" s="18"/>
      <c r="WLC932" s="18"/>
      <c r="WLD932" s="18"/>
      <c r="WLE932" s="18"/>
      <c r="WLF932" s="18"/>
      <c r="WLG932" s="18"/>
      <c r="WLH932" s="18"/>
      <c r="WLI932" s="18"/>
      <c r="WLJ932" s="18"/>
      <c r="WLK932" s="18"/>
      <c r="WLL932" s="18"/>
      <c r="WLM932" s="18"/>
      <c r="WLN932" s="18"/>
      <c r="WLO932" s="18"/>
      <c r="WLP932" s="18"/>
      <c r="WLQ932" s="18"/>
      <c r="WLR932" s="18"/>
      <c r="WLS932" s="18"/>
      <c r="WLT932" s="18"/>
      <c r="WLU932" s="18"/>
      <c r="WLV932" s="18"/>
      <c r="WLW932" s="18"/>
      <c r="WLX932" s="18"/>
      <c r="WLY932" s="18"/>
      <c r="WLZ932" s="18"/>
      <c r="WMA932" s="18"/>
      <c r="WMB932" s="18"/>
      <c r="WMC932" s="18"/>
      <c r="WMD932" s="18"/>
      <c r="WME932" s="18"/>
      <c r="WMF932" s="18"/>
      <c r="WMG932" s="18"/>
      <c r="WMH932" s="18"/>
      <c r="WMI932" s="18"/>
      <c r="WMJ932" s="18"/>
      <c r="WMK932" s="18"/>
      <c r="WML932" s="18"/>
      <c r="WMM932" s="18"/>
      <c r="WMN932" s="18"/>
      <c r="WMO932" s="18"/>
      <c r="WMP932" s="18"/>
      <c r="WMQ932" s="18"/>
      <c r="WMR932" s="18"/>
      <c r="WMS932" s="18"/>
      <c r="WMT932" s="18"/>
      <c r="WMU932" s="18"/>
      <c r="WMV932" s="18"/>
      <c r="WMW932" s="18"/>
      <c r="WMX932" s="18"/>
      <c r="WMY932" s="18"/>
      <c r="WMZ932" s="18"/>
      <c r="WNA932" s="18"/>
      <c r="WNB932" s="18"/>
      <c r="WNC932" s="18"/>
      <c r="WND932" s="18"/>
      <c r="WNE932" s="18"/>
      <c r="WNF932" s="18"/>
      <c r="WNG932" s="18"/>
      <c r="WNH932" s="18"/>
      <c r="WNI932" s="18"/>
      <c r="WNJ932" s="18"/>
      <c r="WNK932" s="18"/>
      <c r="WNL932" s="18"/>
      <c r="WNM932" s="18"/>
      <c r="WNN932" s="18"/>
      <c r="WNO932" s="18"/>
      <c r="WNP932" s="18"/>
      <c r="WNQ932" s="18"/>
      <c r="WNR932" s="18"/>
      <c r="WNS932" s="18"/>
      <c r="WNT932" s="18"/>
      <c r="WNU932" s="18"/>
      <c r="WNV932" s="18"/>
      <c r="WNW932" s="18"/>
      <c r="WNX932" s="18"/>
      <c r="WNY932" s="18"/>
      <c r="WNZ932" s="18"/>
      <c r="WOA932" s="18"/>
      <c r="WOB932" s="18"/>
      <c r="WOC932" s="18"/>
      <c r="WOD932" s="18"/>
      <c r="WOE932" s="18"/>
      <c r="WOF932" s="18"/>
      <c r="WOG932" s="18"/>
      <c r="WOH932" s="18"/>
      <c r="WOI932" s="18"/>
      <c r="WOJ932" s="18"/>
      <c r="WOK932" s="18"/>
      <c r="WOL932" s="18"/>
      <c r="WOM932" s="18"/>
      <c r="WON932" s="18"/>
      <c r="WOO932" s="18"/>
      <c r="WOP932" s="18"/>
      <c r="WOQ932" s="18"/>
      <c r="WOR932" s="18"/>
      <c r="WOS932" s="18"/>
      <c r="WOT932" s="18"/>
      <c r="WOU932" s="18"/>
      <c r="WOV932" s="18"/>
      <c r="WOW932" s="18"/>
      <c r="WOX932" s="18"/>
      <c r="WOY932" s="18"/>
      <c r="WOZ932" s="18"/>
      <c r="WPA932" s="18"/>
      <c r="WPB932" s="18"/>
      <c r="WPC932" s="18"/>
      <c r="WPD932" s="18"/>
      <c r="WPE932" s="18"/>
      <c r="WPF932" s="18"/>
      <c r="WPG932" s="18"/>
      <c r="WPH932" s="18"/>
      <c r="WPI932" s="18"/>
      <c r="WPJ932" s="18"/>
      <c r="WPK932" s="18"/>
      <c r="WPL932" s="18"/>
      <c r="WPM932" s="18"/>
      <c r="WPN932" s="18"/>
      <c r="WPO932" s="18"/>
      <c r="WPP932" s="18"/>
      <c r="WPQ932" s="18"/>
      <c r="WPR932" s="18"/>
      <c r="WPS932" s="18"/>
      <c r="WPT932" s="18"/>
      <c r="WPU932" s="18"/>
      <c r="WPV932" s="18"/>
      <c r="WPW932" s="18"/>
      <c r="WPX932" s="18"/>
      <c r="WPY932" s="18"/>
      <c r="WPZ932" s="18"/>
      <c r="WQA932" s="18"/>
      <c r="WQB932" s="18"/>
      <c r="WQC932" s="18"/>
      <c r="WQD932" s="18"/>
      <c r="WQE932" s="18"/>
      <c r="WQF932" s="18"/>
      <c r="WQG932" s="18"/>
      <c r="WQH932" s="18"/>
      <c r="WQI932" s="18"/>
      <c r="WQJ932" s="18"/>
      <c r="WQK932" s="18"/>
      <c r="WQL932" s="18"/>
      <c r="WQM932" s="18"/>
      <c r="WQN932" s="18"/>
      <c r="WQO932" s="18"/>
      <c r="WQP932" s="18"/>
      <c r="WQQ932" s="18"/>
      <c r="WQR932" s="18"/>
      <c r="WQS932" s="18"/>
      <c r="WQT932" s="18"/>
      <c r="WQU932" s="18"/>
      <c r="WQV932" s="18"/>
      <c r="WQW932" s="18"/>
      <c r="WQX932" s="18"/>
      <c r="WQY932" s="18"/>
      <c r="WQZ932" s="18"/>
      <c r="WRA932" s="18"/>
      <c r="WRB932" s="18"/>
      <c r="WRC932" s="18"/>
      <c r="WRD932" s="18"/>
      <c r="WRE932" s="18"/>
      <c r="WRF932" s="18"/>
      <c r="WRG932" s="18"/>
      <c r="WRH932" s="18"/>
      <c r="WRI932" s="18"/>
      <c r="WRJ932" s="18"/>
      <c r="WRK932" s="18"/>
      <c r="WRL932" s="18"/>
      <c r="WRM932" s="18"/>
      <c r="WRN932" s="18"/>
      <c r="WRO932" s="18"/>
      <c r="WRP932" s="18"/>
      <c r="WRQ932" s="18"/>
      <c r="WRR932" s="18"/>
      <c r="WRS932" s="18"/>
      <c r="WRT932" s="18"/>
      <c r="WRU932" s="18"/>
      <c r="WRV932" s="18"/>
      <c r="WRW932" s="18"/>
      <c r="WRX932" s="18"/>
      <c r="WRY932" s="18"/>
      <c r="WRZ932" s="18"/>
      <c r="WSA932" s="18"/>
      <c r="WSB932" s="18"/>
      <c r="WSC932" s="18"/>
      <c r="WSD932" s="18"/>
      <c r="WSE932" s="18"/>
      <c r="WSF932" s="18"/>
      <c r="WSG932" s="18"/>
      <c r="WSH932" s="18"/>
      <c r="WSI932" s="18"/>
      <c r="WSJ932" s="18"/>
      <c r="WSK932" s="18"/>
      <c r="WSL932" s="18"/>
      <c r="WSM932" s="18"/>
      <c r="WSN932" s="18"/>
      <c r="WSO932" s="18"/>
      <c r="WSP932" s="18"/>
      <c r="WSQ932" s="18"/>
      <c r="WSR932" s="18"/>
      <c r="WSS932" s="18"/>
      <c r="WST932" s="18"/>
      <c r="WSU932" s="18"/>
      <c r="WSV932" s="18"/>
      <c r="WSW932" s="18"/>
      <c r="WSX932" s="18"/>
      <c r="WSY932" s="18"/>
      <c r="WSZ932" s="18"/>
      <c r="WTA932" s="18"/>
      <c r="WTB932" s="18"/>
      <c r="WTC932" s="18"/>
      <c r="WTD932" s="18"/>
      <c r="WTE932" s="18"/>
      <c r="WTF932" s="18"/>
      <c r="WTG932" s="18"/>
      <c r="WTH932" s="18"/>
      <c r="WTI932" s="18"/>
      <c r="WTJ932" s="18"/>
      <c r="WTK932" s="18"/>
      <c r="WTL932" s="18"/>
      <c r="WTM932" s="18"/>
      <c r="WTN932" s="18"/>
      <c r="WTO932" s="18"/>
      <c r="WTP932" s="18"/>
      <c r="WTQ932" s="18"/>
      <c r="WTR932" s="18"/>
      <c r="WTS932" s="18"/>
      <c r="WTT932" s="18"/>
      <c r="WTU932" s="18"/>
      <c r="WTV932" s="18"/>
      <c r="WTW932" s="18"/>
      <c r="WTX932" s="18"/>
      <c r="WTY932" s="18"/>
      <c r="WTZ932" s="18"/>
      <c r="WUA932" s="18"/>
      <c r="WUB932" s="18"/>
      <c r="WUC932" s="18"/>
      <c r="WUD932" s="18"/>
      <c r="WUE932" s="18"/>
      <c r="WUF932" s="18"/>
      <c r="WUG932" s="18"/>
      <c r="WUH932" s="18"/>
      <c r="WUI932" s="18"/>
      <c r="WUJ932" s="18"/>
      <c r="WUK932" s="18"/>
      <c r="WUL932" s="18"/>
      <c r="WUM932" s="18"/>
      <c r="WUN932" s="18"/>
      <c r="WUO932" s="18"/>
      <c r="WUP932" s="18"/>
      <c r="WUQ932" s="18"/>
      <c r="WUR932" s="18"/>
      <c r="WUS932" s="18"/>
      <c r="WUT932" s="18"/>
      <c r="WUU932" s="18"/>
      <c r="WUV932" s="18"/>
      <c r="WUW932" s="18"/>
      <c r="WUX932" s="18"/>
      <c r="WUY932" s="18"/>
      <c r="WUZ932" s="18"/>
      <c r="WVA932" s="18"/>
      <c r="WVB932" s="18"/>
      <c r="WVC932" s="18"/>
      <c r="WVD932" s="18"/>
      <c r="WVE932" s="18"/>
      <c r="WVF932" s="18"/>
      <c r="WVG932" s="18"/>
      <c r="WVH932" s="18"/>
      <c r="WVI932" s="18"/>
      <c r="WVJ932" s="18"/>
      <c r="WVK932" s="18"/>
      <c r="WVL932" s="18"/>
      <c r="WVM932" s="18"/>
      <c r="WVN932" s="18"/>
      <c r="WVO932" s="18"/>
      <c r="WVP932" s="18"/>
      <c r="WVQ932" s="18"/>
      <c r="WVR932" s="18"/>
    </row>
    <row r="933" spans="1:16138" s="619" customFormat="1">
      <c r="A933" s="18"/>
      <c r="B933" s="18"/>
      <c r="C933" s="832"/>
      <c r="D933" s="833"/>
      <c r="F933" s="466"/>
      <c r="G933" s="1185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  <c r="AV933" s="18"/>
      <c r="AW933" s="18"/>
      <c r="AX933" s="18"/>
      <c r="AY933" s="18"/>
      <c r="AZ933" s="18"/>
      <c r="BA933" s="18"/>
      <c r="BB933" s="18"/>
      <c r="BC933" s="18"/>
      <c r="BD933" s="18"/>
      <c r="BE933" s="18"/>
      <c r="BF933" s="18"/>
      <c r="BG933" s="18"/>
      <c r="BH933" s="18"/>
      <c r="BI933" s="18"/>
      <c r="BJ933" s="18"/>
      <c r="BK933" s="18"/>
      <c r="BL933" s="18"/>
      <c r="BM933" s="18"/>
      <c r="BN933" s="18"/>
      <c r="BO933" s="18"/>
      <c r="BP933" s="18"/>
      <c r="BQ933" s="18"/>
      <c r="BR933" s="18"/>
      <c r="BS933" s="18"/>
      <c r="BT933" s="18"/>
      <c r="BU933" s="18"/>
      <c r="BV933" s="18"/>
      <c r="BW933" s="18"/>
      <c r="BX933" s="18"/>
      <c r="BY933" s="18"/>
      <c r="BZ933" s="18"/>
      <c r="CA933" s="18"/>
      <c r="CB933" s="18"/>
      <c r="CC933" s="18"/>
      <c r="CD933" s="18"/>
      <c r="CE933" s="18"/>
      <c r="CF933" s="18"/>
      <c r="CG933" s="18"/>
      <c r="CH933" s="18"/>
      <c r="CI933" s="18"/>
      <c r="CJ933" s="18"/>
      <c r="CK933" s="18"/>
      <c r="CL933" s="18"/>
      <c r="CM933" s="18"/>
      <c r="CN933" s="18"/>
      <c r="CO933" s="18"/>
      <c r="CP933" s="18"/>
      <c r="CQ933" s="18"/>
      <c r="CR933" s="18"/>
      <c r="CS933" s="18"/>
      <c r="CT933" s="18"/>
      <c r="CU933" s="18"/>
      <c r="CV933" s="18"/>
      <c r="CW933" s="18"/>
      <c r="CX933" s="18"/>
      <c r="CY933" s="18"/>
      <c r="CZ933" s="18"/>
      <c r="DA933" s="18"/>
      <c r="DB933" s="18"/>
      <c r="DC933" s="18"/>
      <c r="DD933" s="18"/>
      <c r="DE933" s="18"/>
      <c r="DF933" s="18"/>
      <c r="DG933" s="18"/>
      <c r="DH933" s="18"/>
      <c r="DI933" s="18"/>
      <c r="DJ933" s="18"/>
      <c r="DK933" s="18"/>
      <c r="DL933" s="18"/>
      <c r="DM933" s="18"/>
      <c r="DN933" s="18"/>
      <c r="DO933" s="18"/>
      <c r="DP933" s="18"/>
      <c r="DQ933" s="18"/>
      <c r="DR933" s="18"/>
      <c r="DS933" s="18"/>
      <c r="DT933" s="18"/>
      <c r="DU933" s="18"/>
      <c r="DV933" s="18"/>
      <c r="DW933" s="18"/>
      <c r="DX933" s="18"/>
      <c r="DY933" s="18"/>
      <c r="DZ933" s="18"/>
      <c r="EA933" s="18"/>
      <c r="EB933" s="18"/>
      <c r="EC933" s="18"/>
      <c r="ED933" s="18"/>
      <c r="EE933" s="18"/>
      <c r="EF933" s="18"/>
      <c r="EG933" s="18"/>
      <c r="EH933" s="18"/>
      <c r="EI933" s="18"/>
      <c r="EJ933" s="18"/>
      <c r="EK933" s="18"/>
      <c r="EL933" s="18"/>
      <c r="EM933" s="18"/>
      <c r="EN933" s="18"/>
      <c r="EO933" s="18"/>
      <c r="EP933" s="18"/>
      <c r="EQ933" s="18"/>
      <c r="ER933" s="18"/>
      <c r="ES933" s="18"/>
      <c r="ET933" s="18"/>
      <c r="EU933" s="18"/>
      <c r="EV933" s="18"/>
      <c r="EW933" s="18"/>
      <c r="EX933" s="18"/>
      <c r="EY933" s="18"/>
      <c r="EZ933" s="18"/>
      <c r="FA933" s="18"/>
      <c r="FB933" s="18"/>
      <c r="FC933" s="18"/>
      <c r="FD933" s="18"/>
      <c r="FE933" s="18"/>
      <c r="FF933" s="18"/>
      <c r="FG933" s="18"/>
      <c r="FH933" s="18"/>
      <c r="FI933" s="18"/>
      <c r="FJ933" s="18"/>
      <c r="FK933" s="18"/>
      <c r="FL933" s="18"/>
      <c r="FM933" s="18"/>
      <c r="FN933" s="18"/>
      <c r="FO933" s="18"/>
      <c r="FP933" s="18"/>
      <c r="FQ933" s="18"/>
      <c r="FR933" s="18"/>
      <c r="FS933" s="18"/>
      <c r="FT933" s="18"/>
      <c r="FU933" s="18"/>
      <c r="FV933" s="18"/>
      <c r="FW933" s="18"/>
      <c r="FX933" s="18"/>
      <c r="FY933" s="18"/>
      <c r="FZ933" s="18"/>
      <c r="GA933" s="18"/>
      <c r="GB933" s="18"/>
      <c r="GC933" s="18"/>
      <c r="GD933" s="18"/>
      <c r="GE933" s="18"/>
      <c r="GF933" s="18"/>
      <c r="GG933" s="18"/>
      <c r="GH933" s="18"/>
      <c r="GI933" s="18"/>
      <c r="GJ933" s="18"/>
      <c r="GK933" s="18"/>
      <c r="GL933" s="18"/>
      <c r="GM933" s="18"/>
      <c r="GN933" s="18"/>
      <c r="GO933" s="18"/>
      <c r="GP933" s="18"/>
      <c r="GQ933" s="18"/>
      <c r="GR933" s="18"/>
      <c r="GS933" s="18"/>
      <c r="GT933" s="18"/>
      <c r="GU933" s="18"/>
      <c r="GV933" s="18"/>
      <c r="GW933" s="18"/>
      <c r="GX933" s="18"/>
      <c r="GY933" s="18"/>
      <c r="GZ933" s="18"/>
      <c r="HA933" s="18"/>
      <c r="HB933" s="18"/>
      <c r="HC933" s="18"/>
      <c r="HD933" s="18"/>
      <c r="HE933" s="18"/>
      <c r="HF933" s="18"/>
      <c r="HG933" s="18"/>
      <c r="HH933" s="18"/>
      <c r="HI933" s="18"/>
      <c r="HJ933" s="18"/>
      <c r="HK933" s="18"/>
      <c r="HL933" s="18"/>
      <c r="HM933" s="18"/>
      <c r="HN933" s="18"/>
      <c r="HO933" s="18"/>
      <c r="HP933" s="18"/>
      <c r="HQ933" s="18"/>
      <c r="HR933" s="18"/>
      <c r="HS933" s="18"/>
      <c r="HT933" s="18"/>
      <c r="HU933" s="18"/>
      <c r="HV933" s="18"/>
      <c r="HW933" s="18"/>
      <c r="HX933" s="18"/>
      <c r="HY933" s="18"/>
      <c r="HZ933" s="18"/>
      <c r="IA933" s="18"/>
      <c r="IB933" s="18"/>
      <c r="IC933" s="18"/>
      <c r="ID933" s="18"/>
      <c r="IE933" s="18"/>
      <c r="IF933" s="18"/>
      <c r="IG933" s="18"/>
      <c r="IH933" s="18"/>
      <c r="II933" s="18"/>
      <c r="IJ933" s="18"/>
      <c r="IK933" s="18"/>
      <c r="IL933" s="18"/>
      <c r="IM933" s="18"/>
      <c r="IN933" s="18"/>
      <c r="IO933" s="18"/>
      <c r="IP933" s="18"/>
      <c r="IQ933" s="18"/>
      <c r="IR933" s="18"/>
      <c r="IS933" s="18"/>
      <c r="IT933" s="18"/>
      <c r="IU933" s="18"/>
      <c r="IV933" s="18"/>
      <c r="IW933" s="18"/>
      <c r="IX933" s="18"/>
      <c r="IY933" s="18"/>
      <c r="IZ933" s="18"/>
      <c r="JA933" s="18"/>
      <c r="JB933" s="18"/>
      <c r="JC933" s="18"/>
      <c r="JD933" s="18"/>
      <c r="JE933" s="18"/>
      <c r="JF933" s="18"/>
      <c r="JG933" s="18"/>
      <c r="JH933" s="18"/>
      <c r="JI933" s="18"/>
      <c r="JJ933" s="18"/>
      <c r="JK933" s="18"/>
      <c r="JL933" s="18"/>
      <c r="JM933" s="18"/>
      <c r="JN933" s="18"/>
      <c r="JO933" s="18"/>
      <c r="JP933" s="18"/>
      <c r="JQ933" s="18"/>
      <c r="JR933" s="18"/>
      <c r="JS933" s="18"/>
      <c r="JT933" s="18"/>
      <c r="JU933" s="18"/>
      <c r="JV933" s="18"/>
      <c r="JW933" s="18"/>
      <c r="JX933" s="18"/>
      <c r="JY933" s="18"/>
      <c r="JZ933" s="18"/>
      <c r="KA933" s="18"/>
      <c r="KB933" s="18"/>
      <c r="KC933" s="18"/>
      <c r="KD933" s="18"/>
      <c r="KE933" s="18"/>
      <c r="KF933" s="18"/>
      <c r="KG933" s="18"/>
      <c r="KH933" s="18"/>
      <c r="KI933" s="18"/>
      <c r="KJ933" s="18"/>
      <c r="KK933" s="18"/>
      <c r="KL933" s="18"/>
      <c r="KM933" s="18"/>
      <c r="KN933" s="18"/>
      <c r="KO933" s="18"/>
      <c r="KP933" s="18"/>
      <c r="KQ933" s="18"/>
      <c r="KR933" s="18"/>
      <c r="KS933" s="18"/>
      <c r="KT933" s="18"/>
      <c r="KU933" s="18"/>
      <c r="KV933" s="18"/>
      <c r="KW933" s="18"/>
      <c r="KX933" s="18"/>
      <c r="KY933" s="18"/>
      <c r="KZ933" s="18"/>
      <c r="LA933" s="18"/>
      <c r="LB933" s="18"/>
      <c r="LC933" s="18"/>
      <c r="LD933" s="18"/>
      <c r="LE933" s="18"/>
      <c r="LF933" s="18"/>
      <c r="LG933" s="18"/>
      <c r="LH933" s="18"/>
      <c r="LI933" s="18"/>
      <c r="LJ933" s="18"/>
      <c r="LK933" s="18"/>
      <c r="LL933" s="18"/>
      <c r="LM933" s="18"/>
      <c r="LN933" s="18"/>
      <c r="LO933" s="18"/>
      <c r="LP933" s="18"/>
      <c r="LQ933" s="18"/>
      <c r="LR933" s="18"/>
      <c r="LS933" s="18"/>
      <c r="LT933" s="18"/>
      <c r="LU933" s="18"/>
      <c r="LV933" s="18"/>
      <c r="LW933" s="18"/>
      <c r="LX933" s="18"/>
      <c r="LY933" s="18"/>
      <c r="LZ933" s="18"/>
      <c r="MA933" s="18"/>
      <c r="MB933" s="18"/>
      <c r="MC933" s="18"/>
      <c r="MD933" s="18"/>
      <c r="ME933" s="18"/>
      <c r="MF933" s="18"/>
      <c r="MG933" s="18"/>
      <c r="MH933" s="18"/>
      <c r="MI933" s="18"/>
      <c r="MJ933" s="18"/>
      <c r="MK933" s="18"/>
      <c r="ML933" s="18"/>
      <c r="MM933" s="18"/>
      <c r="MN933" s="18"/>
      <c r="MO933" s="18"/>
      <c r="MP933" s="18"/>
      <c r="MQ933" s="18"/>
      <c r="MR933" s="18"/>
      <c r="MS933" s="18"/>
      <c r="MT933" s="18"/>
      <c r="MU933" s="18"/>
      <c r="MV933" s="18"/>
      <c r="MW933" s="18"/>
      <c r="MX933" s="18"/>
      <c r="MY933" s="18"/>
      <c r="MZ933" s="18"/>
      <c r="NA933" s="18"/>
      <c r="NB933" s="18"/>
      <c r="NC933" s="18"/>
      <c r="ND933" s="18"/>
      <c r="NE933" s="18"/>
      <c r="NF933" s="18"/>
      <c r="NG933" s="18"/>
      <c r="NH933" s="18"/>
      <c r="NI933" s="18"/>
      <c r="NJ933" s="18"/>
      <c r="NK933" s="18"/>
      <c r="NL933" s="18"/>
      <c r="NM933" s="18"/>
      <c r="NN933" s="18"/>
      <c r="NO933" s="18"/>
      <c r="NP933" s="18"/>
      <c r="NQ933" s="18"/>
      <c r="NR933" s="18"/>
      <c r="NS933" s="18"/>
      <c r="NT933" s="18"/>
      <c r="NU933" s="18"/>
      <c r="NV933" s="18"/>
      <c r="NW933" s="18"/>
      <c r="NX933" s="18"/>
      <c r="NY933" s="18"/>
      <c r="NZ933" s="18"/>
      <c r="OA933" s="18"/>
      <c r="OB933" s="18"/>
      <c r="OC933" s="18"/>
      <c r="OD933" s="18"/>
      <c r="OE933" s="18"/>
      <c r="OF933" s="18"/>
      <c r="OG933" s="18"/>
      <c r="OH933" s="18"/>
      <c r="OI933" s="18"/>
      <c r="OJ933" s="18"/>
      <c r="OK933" s="18"/>
      <c r="OL933" s="18"/>
      <c r="OM933" s="18"/>
      <c r="ON933" s="18"/>
      <c r="OO933" s="18"/>
      <c r="OP933" s="18"/>
      <c r="OQ933" s="18"/>
      <c r="OR933" s="18"/>
      <c r="OS933" s="18"/>
      <c r="OT933" s="18"/>
      <c r="OU933" s="18"/>
      <c r="OV933" s="18"/>
      <c r="OW933" s="18"/>
      <c r="OX933" s="18"/>
      <c r="OY933" s="18"/>
      <c r="OZ933" s="18"/>
      <c r="PA933" s="18"/>
      <c r="PB933" s="18"/>
      <c r="PC933" s="18"/>
      <c r="PD933" s="18"/>
      <c r="PE933" s="18"/>
      <c r="PF933" s="18"/>
      <c r="PG933" s="18"/>
      <c r="PH933" s="18"/>
      <c r="PI933" s="18"/>
      <c r="PJ933" s="18"/>
      <c r="PK933" s="18"/>
      <c r="PL933" s="18"/>
      <c r="PM933" s="18"/>
      <c r="PN933" s="18"/>
      <c r="PO933" s="18"/>
      <c r="PP933" s="18"/>
      <c r="PQ933" s="18"/>
      <c r="PR933" s="18"/>
      <c r="PS933" s="18"/>
      <c r="PT933" s="18"/>
      <c r="PU933" s="18"/>
      <c r="PV933" s="18"/>
      <c r="PW933" s="18"/>
      <c r="PX933" s="18"/>
      <c r="PY933" s="18"/>
      <c r="PZ933" s="18"/>
      <c r="QA933" s="18"/>
      <c r="QB933" s="18"/>
      <c r="QC933" s="18"/>
      <c r="QD933" s="18"/>
      <c r="QE933" s="18"/>
      <c r="QF933" s="18"/>
      <c r="QG933" s="18"/>
      <c r="QH933" s="18"/>
      <c r="QI933" s="18"/>
      <c r="QJ933" s="18"/>
      <c r="QK933" s="18"/>
      <c r="QL933" s="18"/>
      <c r="QM933" s="18"/>
      <c r="QN933" s="18"/>
      <c r="QO933" s="18"/>
      <c r="QP933" s="18"/>
      <c r="QQ933" s="18"/>
      <c r="QR933" s="18"/>
      <c r="QS933" s="18"/>
      <c r="QT933" s="18"/>
      <c r="QU933" s="18"/>
      <c r="QV933" s="18"/>
      <c r="QW933" s="18"/>
      <c r="QX933" s="18"/>
      <c r="QY933" s="18"/>
      <c r="QZ933" s="18"/>
      <c r="RA933" s="18"/>
      <c r="RB933" s="18"/>
      <c r="RC933" s="18"/>
      <c r="RD933" s="18"/>
      <c r="RE933" s="18"/>
      <c r="RF933" s="18"/>
      <c r="RG933" s="18"/>
      <c r="RH933" s="18"/>
      <c r="RI933" s="18"/>
      <c r="RJ933" s="18"/>
      <c r="RK933" s="18"/>
      <c r="RL933" s="18"/>
      <c r="RM933" s="18"/>
      <c r="RN933" s="18"/>
      <c r="RO933" s="18"/>
      <c r="RP933" s="18"/>
      <c r="RQ933" s="18"/>
      <c r="RR933" s="18"/>
      <c r="RS933" s="18"/>
      <c r="RT933" s="18"/>
      <c r="RU933" s="18"/>
      <c r="RV933" s="18"/>
      <c r="RW933" s="18"/>
      <c r="RX933" s="18"/>
      <c r="RY933" s="18"/>
      <c r="RZ933" s="18"/>
      <c r="SA933" s="18"/>
      <c r="SB933" s="18"/>
      <c r="SC933" s="18"/>
      <c r="SD933" s="18"/>
      <c r="SE933" s="18"/>
      <c r="SF933" s="18"/>
      <c r="SG933" s="18"/>
      <c r="SH933" s="18"/>
      <c r="SI933" s="18"/>
      <c r="SJ933" s="18"/>
      <c r="SK933" s="18"/>
      <c r="SL933" s="18"/>
      <c r="SM933" s="18"/>
      <c r="SN933" s="18"/>
      <c r="SO933" s="18"/>
      <c r="SP933" s="18"/>
      <c r="SQ933" s="18"/>
      <c r="SR933" s="18"/>
      <c r="SS933" s="18"/>
      <c r="ST933" s="18"/>
      <c r="SU933" s="18"/>
      <c r="SV933" s="18"/>
      <c r="SW933" s="18"/>
      <c r="SX933" s="18"/>
      <c r="SY933" s="18"/>
      <c r="SZ933" s="18"/>
      <c r="TA933" s="18"/>
      <c r="TB933" s="18"/>
      <c r="TC933" s="18"/>
      <c r="TD933" s="18"/>
      <c r="TE933" s="18"/>
      <c r="TF933" s="18"/>
      <c r="TG933" s="18"/>
      <c r="TH933" s="18"/>
      <c r="TI933" s="18"/>
      <c r="TJ933" s="18"/>
      <c r="TK933" s="18"/>
      <c r="TL933" s="18"/>
      <c r="TM933" s="18"/>
      <c r="TN933" s="18"/>
      <c r="TO933" s="18"/>
      <c r="TP933" s="18"/>
      <c r="TQ933" s="18"/>
      <c r="TR933" s="18"/>
      <c r="TS933" s="18"/>
      <c r="TT933" s="18"/>
      <c r="TU933" s="18"/>
      <c r="TV933" s="18"/>
      <c r="TW933" s="18"/>
      <c r="TX933" s="18"/>
      <c r="TY933" s="18"/>
      <c r="TZ933" s="18"/>
      <c r="UA933" s="18"/>
      <c r="UB933" s="18"/>
      <c r="UC933" s="18"/>
      <c r="UD933" s="18"/>
      <c r="UE933" s="18"/>
      <c r="UF933" s="18"/>
      <c r="UG933" s="18"/>
      <c r="UH933" s="18"/>
      <c r="UI933" s="18"/>
      <c r="UJ933" s="18"/>
      <c r="UK933" s="18"/>
      <c r="UL933" s="18"/>
      <c r="UM933" s="18"/>
      <c r="UN933" s="18"/>
      <c r="UO933" s="18"/>
      <c r="UP933" s="18"/>
      <c r="UQ933" s="18"/>
      <c r="UR933" s="18"/>
      <c r="US933" s="18"/>
      <c r="UT933" s="18"/>
      <c r="UU933" s="18"/>
      <c r="UV933" s="18"/>
      <c r="UW933" s="18"/>
      <c r="UX933" s="18"/>
      <c r="UY933" s="18"/>
      <c r="UZ933" s="18"/>
      <c r="VA933" s="18"/>
      <c r="VB933" s="18"/>
      <c r="VC933" s="18"/>
      <c r="VD933" s="18"/>
      <c r="VE933" s="18"/>
      <c r="VF933" s="18"/>
      <c r="VG933" s="18"/>
      <c r="VH933" s="18"/>
      <c r="VI933" s="18"/>
      <c r="VJ933" s="18"/>
      <c r="VK933" s="18"/>
      <c r="VL933" s="18"/>
      <c r="VM933" s="18"/>
      <c r="VN933" s="18"/>
      <c r="VO933" s="18"/>
      <c r="VP933" s="18"/>
      <c r="VQ933" s="18"/>
      <c r="VR933" s="18"/>
      <c r="VS933" s="18"/>
      <c r="VT933" s="18"/>
      <c r="VU933" s="18"/>
      <c r="VV933" s="18"/>
      <c r="VW933" s="18"/>
      <c r="VX933" s="18"/>
      <c r="VY933" s="18"/>
      <c r="VZ933" s="18"/>
      <c r="WA933" s="18"/>
      <c r="WB933" s="18"/>
      <c r="WC933" s="18"/>
      <c r="WD933" s="18"/>
      <c r="WE933" s="18"/>
      <c r="WF933" s="18"/>
      <c r="WG933" s="18"/>
      <c r="WH933" s="18"/>
      <c r="WI933" s="18"/>
      <c r="WJ933" s="18"/>
      <c r="WK933" s="18"/>
      <c r="WL933" s="18"/>
      <c r="WM933" s="18"/>
      <c r="WN933" s="18"/>
      <c r="WO933" s="18"/>
      <c r="WP933" s="18"/>
      <c r="WQ933" s="18"/>
      <c r="WR933" s="18"/>
      <c r="WS933" s="18"/>
      <c r="WT933" s="18"/>
      <c r="WU933" s="18"/>
      <c r="WV933" s="18"/>
      <c r="WW933" s="18"/>
      <c r="WX933" s="18"/>
      <c r="WY933" s="18"/>
      <c r="WZ933" s="18"/>
      <c r="XA933" s="18"/>
      <c r="XB933" s="18"/>
      <c r="XC933" s="18"/>
      <c r="XD933" s="18"/>
      <c r="XE933" s="18"/>
      <c r="XF933" s="18"/>
      <c r="XG933" s="18"/>
      <c r="XH933" s="18"/>
      <c r="XI933" s="18"/>
      <c r="XJ933" s="18"/>
      <c r="XK933" s="18"/>
      <c r="XL933" s="18"/>
      <c r="XM933" s="18"/>
      <c r="XN933" s="18"/>
      <c r="XO933" s="18"/>
      <c r="XP933" s="18"/>
      <c r="XQ933" s="18"/>
      <c r="XR933" s="18"/>
      <c r="XS933" s="18"/>
      <c r="XT933" s="18"/>
      <c r="XU933" s="18"/>
      <c r="XV933" s="18"/>
      <c r="XW933" s="18"/>
      <c r="XX933" s="18"/>
      <c r="XY933" s="18"/>
      <c r="XZ933" s="18"/>
      <c r="YA933" s="18"/>
      <c r="YB933" s="18"/>
      <c r="YC933" s="18"/>
      <c r="YD933" s="18"/>
      <c r="YE933" s="18"/>
      <c r="YF933" s="18"/>
      <c r="YG933" s="18"/>
      <c r="YH933" s="18"/>
      <c r="YI933" s="18"/>
      <c r="YJ933" s="18"/>
      <c r="YK933" s="18"/>
      <c r="YL933" s="18"/>
      <c r="YM933" s="18"/>
      <c r="YN933" s="18"/>
      <c r="YO933" s="18"/>
      <c r="YP933" s="18"/>
      <c r="YQ933" s="18"/>
      <c r="YR933" s="18"/>
      <c r="YS933" s="18"/>
      <c r="YT933" s="18"/>
      <c r="YU933" s="18"/>
      <c r="YV933" s="18"/>
      <c r="YW933" s="18"/>
      <c r="YX933" s="18"/>
      <c r="YY933" s="18"/>
      <c r="YZ933" s="18"/>
      <c r="ZA933" s="18"/>
      <c r="ZB933" s="18"/>
      <c r="ZC933" s="18"/>
      <c r="ZD933" s="18"/>
      <c r="ZE933" s="18"/>
      <c r="ZF933" s="18"/>
      <c r="ZG933" s="18"/>
      <c r="ZH933" s="18"/>
      <c r="ZI933" s="18"/>
      <c r="ZJ933" s="18"/>
      <c r="ZK933" s="18"/>
      <c r="ZL933" s="18"/>
      <c r="ZM933" s="18"/>
      <c r="ZN933" s="18"/>
      <c r="ZO933" s="18"/>
      <c r="ZP933" s="18"/>
      <c r="ZQ933" s="18"/>
      <c r="ZR933" s="18"/>
      <c r="ZS933" s="18"/>
      <c r="ZT933" s="18"/>
      <c r="ZU933" s="18"/>
      <c r="ZV933" s="18"/>
      <c r="ZW933" s="18"/>
      <c r="ZX933" s="18"/>
      <c r="ZY933" s="18"/>
      <c r="ZZ933" s="18"/>
      <c r="AAA933" s="18"/>
      <c r="AAB933" s="18"/>
      <c r="AAC933" s="18"/>
      <c r="AAD933" s="18"/>
      <c r="AAE933" s="18"/>
      <c r="AAF933" s="18"/>
      <c r="AAG933" s="18"/>
      <c r="AAH933" s="18"/>
      <c r="AAI933" s="18"/>
      <c r="AAJ933" s="18"/>
      <c r="AAK933" s="18"/>
      <c r="AAL933" s="18"/>
      <c r="AAM933" s="18"/>
      <c r="AAN933" s="18"/>
      <c r="AAO933" s="18"/>
      <c r="AAP933" s="18"/>
      <c r="AAQ933" s="18"/>
      <c r="AAR933" s="18"/>
      <c r="AAS933" s="18"/>
      <c r="AAT933" s="18"/>
      <c r="AAU933" s="18"/>
      <c r="AAV933" s="18"/>
      <c r="AAW933" s="18"/>
      <c r="AAX933" s="18"/>
      <c r="AAY933" s="18"/>
      <c r="AAZ933" s="18"/>
      <c r="ABA933" s="18"/>
      <c r="ABB933" s="18"/>
      <c r="ABC933" s="18"/>
      <c r="ABD933" s="18"/>
      <c r="ABE933" s="18"/>
      <c r="ABF933" s="18"/>
      <c r="ABG933" s="18"/>
      <c r="ABH933" s="18"/>
      <c r="ABI933" s="18"/>
      <c r="ABJ933" s="18"/>
      <c r="ABK933" s="18"/>
      <c r="ABL933" s="18"/>
      <c r="ABM933" s="18"/>
      <c r="ABN933" s="18"/>
      <c r="ABO933" s="18"/>
      <c r="ABP933" s="18"/>
      <c r="ABQ933" s="18"/>
      <c r="ABR933" s="18"/>
      <c r="ABS933" s="18"/>
      <c r="ABT933" s="18"/>
      <c r="ABU933" s="18"/>
      <c r="ABV933" s="18"/>
      <c r="ABW933" s="18"/>
      <c r="ABX933" s="18"/>
      <c r="ABY933" s="18"/>
      <c r="ABZ933" s="18"/>
      <c r="ACA933" s="18"/>
      <c r="ACB933" s="18"/>
      <c r="ACC933" s="18"/>
      <c r="ACD933" s="18"/>
      <c r="ACE933" s="18"/>
      <c r="ACF933" s="18"/>
      <c r="ACG933" s="18"/>
      <c r="ACH933" s="18"/>
      <c r="ACI933" s="18"/>
      <c r="ACJ933" s="18"/>
      <c r="ACK933" s="18"/>
      <c r="ACL933" s="18"/>
      <c r="ACM933" s="18"/>
      <c r="ACN933" s="18"/>
      <c r="ACO933" s="18"/>
      <c r="ACP933" s="18"/>
      <c r="ACQ933" s="18"/>
      <c r="ACR933" s="18"/>
      <c r="ACS933" s="18"/>
      <c r="ACT933" s="18"/>
      <c r="ACU933" s="18"/>
      <c r="ACV933" s="18"/>
      <c r="ACW933" s="18"/>
      <c r="ACX933" s="18"/>
      <c r="ACY933" s="18"/>
      <c r="ACZ933" s="18"/>
      <c r="ADA933" s="18"/>
      <c r="ADB933" s="18"/>
      <c r="ADC933" s="18"/>
      <c r="ADD933" s="18"/>
      <c r="ADE933" s="18"/>
      <c r="ADF933" s="18"/>
      <c r="ADG933" s="18"/>
      <c r="ADH933" s="18"/>
      <c r="ADI933" s="18"/>
      <c r="ADJ933" s="18"/>
      <c r="ADK933" s="18"/>
      <c r="ADL933" s="18"/>
      <c r="ADM933" s="18"/>
      <c r="ADN933" s="18"/>
      <c r="ADO933" s="18"/>
      <c r="ADP933" s="18"/>
      <c r="ADQ933" s="18"/>
      <c r="ADR933" s="18"/>
      <c r="ADS933" s="18"/>
      <c r="ADT933" s="18"/>
      <c r="ADU933" s="18"/>
      <c r="ADV933" s="18"/>
      <c r="ADW933" s="18"/>
      <c r="ADX933" s="18"/>
      <c r="ADY933" s="18"/>
      <c r="ADZ933" s="18"/>
      <c r="AEA933" s="18"/>
      <c r="AEB933" s="18"/>
      <c r="AEC933" s="18"/>
      <c r="AED933" s="18"/>
      <c r="AEE933" s="18"/>
      <c r="AEF933" s="18"/>
      <c r="AEG933" s="18"/>
      <c r="AEH933" s="18"/>
      <c r="AEI933" s="18"/>
      <c r="AEJ933" s="18"/>
      <c r="AEK933" s="18"/>
      <c r="AEL933" s="18"/>
      <c r="AEM933" s="18"/>
      <c r="AEN933" s="18"/>
      <c r="AEO933" s="18"/>
      <c r="AEP933" s="18"/>
      <c r="AEQ933" s="18"/>
      <c r="AER933" s="18"/>
      <c r="AES933" s="18"/>
      <c r="AET933" s="18"/>
      <c r="AEU933" s="18"/>
      <c r="AEV933" s="18"/>
      <c r="AEW933" s="18"/>
      <c r="AEX933" s="18"/>
      <c r="AEY933" s="18"/>
      <c r="AEZ933" s="18"/>
      <c r="AFA933" s="18"/>
      <c r="AFB933" s="18"/>
      <c r="AFC933" s="18"/>
      <c r="AFD933" s="18"/>
      <c r="AFE933" s="18"/>
      <c r="AFF933" s="18"/>
      <c r="AFG933" s="18"/>
      <c r="AFH933" s="18"/>
      <c r="AFI933" s="18"/>
      <c r="AFJ933" s="18"/>
      <c r="AFK933" s="18"/>
      <c r="AFL933" s="18"/>
      <c r="AFM933" s="18"/>
      <c r="AFN933" s="18"/>
      <c r="AFO933" s="18"/>
      <c r="AFP933" s="18"/>
      <c r="AFQ933" s="18"/>
      <c r="AFR933" s="18"/>
      <c r="AFS933" s="18"/>
      <c r="AFT933" s="18"/>
      <c r="AFU933" s="18"/>
      <c r="AFV933" s="18"/>
      <c r="AFW933" s="18"/>
      <c r="AFX933" s="18"/>
      <c r="AFY933" s="18"/>
      <c r="AFZ933" s="18"/>
      <c r="AGA933" s="18"/>
      <c r="AGB933" s="18"/>
      <c r="AGC933" s="18"/>
      <c r="AGD933" s="18"/>
      <c r="AGE933" s="18"/>
      <c r="AGF933" s="18"/>
      <c r="AGG933" s="18"/>
      <c r="AGH933" s="18"/>
      <c r="AGI933" s="18"/>
      <c r="AGJ933" s="18"/>
      <c r="AGK933" s="18"/>
      <c r="AGL933" s="18"/>
      <c r="AGM933" s="18"/>
      <c r="AGN933" s="18"/>
      <c r="AGO933" s="18"/>
      <c r="AGP933" s="18"/>
      <c r="AGQ933" s="18"/>
      <c r="AGR933" s="18"/>
      <c r="AGS933" s="18"/>
      <c r="AGT933" s="18"/>
      <c r="AGU933" s="18"/>
      <c r="AGV933" s="18"/>
      <c r="AGW933" s="18"/>
      <c r="AGX933" s="18"/>
      <c r="AGY933" s="18"/>
      <c r="AGZ933" s="18"/>
      <c r="AHA933" s="18"/>
      <c r="AHB933" s="18"/>
      <c r="AHC933" s="18"/>
      <c r="AHD933" s="18"/>
      <c r="AHE933" s="18"/>
      <c r="AHF933" s="18"/>
      <c r="AHG933" s="18"/>
      <c r="AHH933" s="18"/>
      <c r="AHI933" s="18"/>
      <c r="AHJ933" s="18"/>
      <c r="AHK933" s="18"/>
      <c r="AHL933" s="18"/>
      <c r="AHM933" s="18"/>
      <c r="AHN933" s="18"/>
      <c r="AHO933" s="18"/>
      <c r="AHP933" s="18"/>
      <c r="AHQ933" s="18"/>
      <c r="AHR933" s="18"/>
      <c r="AHS933" s="18"/>
      <c r="AHT933" s="18"/>
      <c r="AHU933" s="18"/>
      <c r="AHV933" s="18"/>
      <c r="AHW933" s="18"/>
      <c r="AHX933" s="18"/>
      <c r="AHY933" s="18"/>
      <c r="AHZ933" s="18"/>
      <c r="AIA933" s="18"/>
      <c r="AIB933" s="18"/>
      <c r="AIC933" s="18"/>
      <c r="AID933" s="18"/>
      <c r="AIE933" s="18"/>
      <c r="AIF933" s="18"/>
      <c r="AIG933" s="18"/>
      <c r="AIH933" s="18"/>
      <c r="AII933" s="18"/>
      <c r="AIJ933" s="18"/>
      <c r="AIK933" s="18"/>
      <c r="AIL933" s="18"/>
      <c r="AIM933" s="18"/>
      <c r="AIN933" s="18"/>
      <c r="AIO933" s="18"/>
      <c r="AIP933" s="18"/>
      <c r="AIQ933" s="18"/>
      <c r="AIR933" s="18"/>
      <c r="AIS933" s="18"/>
      <c r="AIT933" s="18"/>
      <c r="AIU933" s="18"/>
      <c r="AIV933" s="18"/>
      <c r="AIW933" s="18"/>
      <c r="AIX933" s="18"/>
      <c r="AIY933" s="18"/>
      <c r="AIZ933" s="18"/>
      <c r="AJA933" s="18"/>
      <c r="AJB933" s="18"/>
      <c r="AJC933" s="18"/>
      <c r="AJD933" s="18"/>
      <c r="AJE933" s="18"/>
      <c r="AJF933" s="18"/>
      <c r="AJG933" s="18"/>
      <c r="AJH933" s="18"/>
      <c r="AJI933" s="18"/>
      <c r="AJJ933" s="18"/>
      <c r="AJK933" s="18"/>
      <c r="AJL933" s="18"/>
      <c r="AJM933" s="18"/>
      <c r="AJN933" s="18"/>
      <c r="AJO933" s="18"/>
      <c r="AJP933" s="18"/>
      <c r="AJQ933" s="18"/>
      <c r="AJR933" s="18"/>
      <c r="AJS933" s="18"/>
      <c r="AJT933" s="18"/>
      <c r="AJU933" s="18"/>
      <c r="AJV933" s="18"/>
      <c r="AJW933" s="18"/>
      <c r="AJX933" s="18"/>
      <c r="AJY933" s="18"/>
      <c r="AJZ933" s="18"/>
      <c r="AKA933" s="18"/>
      <c r="AKB933" s="18"/>
      <c r="AKC933" s="18"/>
      <c r="AKD933" s="18"/>
      <c r="AKE933" s="18"/>
      <c r="AKF933" s="18"/>
      <c r="AKG933" s="18"/>
      <c r="AKH933" s="18"/>
      <c r="AKI933" s="18"/>
      <c r="AKJ933" s="18"/>
      <c r="AKK933" s="18"/>
      <c r="AKL933" s="18"/>
      <c r="AKM933" s="18"/>
      <c r="AKN933" s="18"/>
      <c r="AKO933" s="18"/>
      <c r="AKP933" s="18"/>
      <c r="AKQ933" s="18"/>
      <c r="AKR933" s="18"/>
      <c r="AKS933" s="18"/>
      <c r="AKT933" s="18"/>
      <c r="AKU933" s="18"/>
      <c r="AKV933" s="18"/>
      <c r="AKW933" s="18"/>
      <c r="AKX933" s="18"/>
      <c r="AKY933" s="18"/>
      <c r="AKZ933" s="18"/>
      <c r="ALA933" s="18"/>
      <c r="ALB933" s="18"/>
      <c r="ALC933" s="18"/>
      <c r="ALD933" s="18"/>
      <c r="ALE933" s="18"/>
      <c r="ALF933" s="18"/>
      <c r="ALG933" s="18"/>
      <c r="ALH933" s="18"/>
      <c r="ALI933" s="18"/>
      <c r="ALJ933" s="18"/>
      <c r="ALK933" s="18"/>
      <c r="ALL933" s="18"/>
      <c r="ALM933" s="18"/>
      <c r="ALN933" s="18"/>
      <c r="ALO933" s="18"/>
      <c r="ALP933" s="18"/>
      <c r="ALQ933" s="18"/>
      <c r="ALR933" s="18"/>
      <c r="ALS933" s="18"/>
      <c r="ALT933" s="18"/>
      <c r="ALU933" s="18"/>
      <c r="ALV933" s="18"/>
      <c r="ALW933" s="18"/>
      <c r="ALX933" s="18"/>
      <c r="ALY933" s="18"/>
      <c r="ALZ933" s="18"/>
      <c r="AMA933" s="18"/>
      <c r="AMB933" s="18"/>
      <c r="AMC933" s="18"/>
      <c r="AMD933" s="18"/>
      <c r="AME933" s="18"/>
      <c r="AMF933" s="18"/>
      <c r="AMG933" s="18"/>
      <c r="AMH933" s="18"/>
      <c r="AMI933" s="18"/>
      <c r="AMJ933" s="18"/>
      <c r="AMK933" s="18"/>
      <c r="AML933" s="18"/>
      <c r="AMM933" s="18"/>
      <c r="AMN933" s="18"/>
      <c r="AMO933" s="18"/>
      <c r="AMP933" s="18"/>
      <c r="AMQ933" s="18"/>
      <c r="AMR933" s="18"/>
      <c r="AMS933" s="18"/>
      <c r="AMT933" s="18"/>
      <c r="AMU933" s="18"/>
      <c r="AMV933" s="18"/>
      <c r="AMW933" s="18"/>
      <c r="AMX933" s="18"/>
      <c r="AMY933" s="18"/>
      <c r="AMZ933" s="18"/>
      <c r="ANA933" s="18"/>
      <c r="ANB933" s="18"/>
      <c r="ANC933" s="18"/>
      <c r="AND933" s="18"/>
      <c r="ANE933" s="18"/>
      <c r="ANF933" s="18"/>
      <c r="ANG933" s="18"/>
      <c r="ANH933" s="18"/>
      <c r="ANI933" s="18"/>
      <c r="ANJ933" s="18"/>
      <c r="ANK933" s="18"/>
      <c r="ANL933" s="18"/>
      <c r="ANM933" s="18"/>
      <c r="ANN933" s="18"/>
      <c r="ANO933" s="18"/>
      <c r="ANP933" s="18"/>
      <c r="ANQ933" s="18"/>
      <c r="ANR933" s="18"/>
      <c r="ANS933" s="18"/>
      <c r="ANT933" s="18"/>
      <c r="ANU933" s="18"/>
      <c r="ANV933" s="18"/>
      <c r="ANW933" s="18"/>
      <c r="ANX933" s="18"/>
      <c r="ANY933" s="18"/>
      <c r="ANZ933" s="18"/>
      <c r="AOA933" s="18"/>
      <c r="AOB933" s="18"/>
      <c r="AOC933" s="18"/>
      <c r="AOD933" s="18"/>
      <c r="AOE933" s="18"/>
      <c r="AOF933" s="18"/>
      <c r="AOG933" s="18"/>
      <c r="AOH933" s="18"/>
      <c r="AOI933" s="18"/>
      <c r="AOJ933" s="18"/>
      <c r="AOK933" s="18"/>
      <c r="AOL933" s="18"/>
      <c r="AOM933" s="18"/>
      <c r="AON933" s="18"/>
      <c r="AOO933" s="18"/>
      <c r="AOP933" s="18"/>
      <c r="AOQ933" s="18"/>
      <c r="AOR933" s="18"/>
      <c r="AOS933" s="18"/>
      <c r="AOT933" s="18"/>
      <c r="AOU933" s="18"/>
      <c r="AOV933" s="18"/>
      <c r="AOW933" s="18"/>
      <c r="AOX933" s="18"/>
      <c r="AOY933" s="18"/>
      <c r="AOZ933" s="18"/>
      <c r="APA933" s="18"/>
      <c r="APB933" s="18"/>
      <c r="APC933" s="18"/>
      <c r="APD933" s="18"/>
      <c r="APE933" s="18"/>
      <c r="APF933" s="18"/>
      <c r="APG933" s="18"/>
      <c r="APH933" s="18"/>
      <c r="API933" s="18"/>
      <c r="APJ933" s="18"/>
      <c r="APK933" s="18"/>
      <c r="APL933" s="18"/>
      <c r="APM933" s="18"/>
      <c r="APN933" s="18"/>
      <c r="APO933" s="18"/>
      <c r="APP933" s="18"/>
      <c r="APQ933" s="18"/>
      <c r="APR933" s="18"/>
      <c r="APS933" s="18"/>
      <c r="APT933" s="18"/>
      <c r="APU933" s="18"/>
      <c r="APV933" s="18"/>
      <c r="APW933" s="18"/>
      <c r="APX933" s="18"/>
      <c r="APY933" s="18"/>
      <c r="APZ933" s="18"/>
      <c r="AQA933" s="18"/>
      <c r="AQB933" s="18"/>
      <c r="AQC933" s="18"/>
      <c r="AQD933" s="18"/>
      <c r="AQE933" s="18"/>
      <c r="AQF933" s="18"/>
      <c r="AQG933" s="18"/>
      <c r="AQH933" s="18"/>
      <c r="AQI933" s="18"/>
      <c r="AQJ933" s="18"/>
      <c r="AQK933" s="18"/>
      <c r="AQL933" s="18"/>
      <c r="AQM933" s="18"/>
      <c r="AQN933" s="18"/>
      <c r="AQO933" s="18"/>
      <c r="AQP933" s="18"/>
      <c r="AQQ933" s="18"/>
      <c r="AQR933" s="18"/>
      <c r="AQS933" s="18"/>
      <c r="AQT933" s="18"/>
      <c r="AQU933" s="18"/>
      <c r="AQV933" s="18"/>
      <c r="AQW933" s="18"/>
      <c r="AQX933" s="18"/>
      <c r="AQY933" s="18"/>
      <c r="AQZ933" s="18"/>
      <c r="ARA933" s="18"/>
      <c r="ARB933" s="18"/>
      <c r="ARC933" s="18"/>
      <c r="ARD933" s="18"/>
      <c r="ARE933" s="18"/>
      <c r="ARF933" s="18"/>
      <c r="ARG933" s="18"/>
      <c r="ARH933" s="18"/>
      <c r="ARI933" s="18"/>
      <c r="ARJ933" s="18"/>
      <c r="ARK933" s="18"/>
      <c r="ARL933" s="18"/>
      <c r="ARM933" s="18"/>
      <c r="ARN933" s="18"/>
      <c r="ARO933" s="18"/>
      <c r="ARP933" s="18"/>
      <c r="ARQ933" s="18"/>
      <c r="ARR933" s="18"/>
      <c r="ARS933" s="18"/>
      <c r="ART933" s="18"/>
      <c r="ARU933" s="18"/>
      <c r="ARV933" s="18"/>
      <c r="ARW933" s="18"/>
      <c r="ARX933" s="18"/>
      <c r="ARY933" s="18"/>
      <c r="ARZ933" s="18"/>
      <c r="ASA933" s="18"/>
      <c r="ASB933" s="18"/>
      <c r="ASC933" s="18"/>
      <c r="ASD933" s="18"/>
      <c r="ASE933" s="18"/>
      <c r="ASF933" s="18"/>
      <c r="ASG933" s="18"/>
      <c r="ASH933" s="18"/>
      <c r="ASI933" s="18"/>
      <c r="ASJ933" s="18"/>
      <c r="ASK933" s="18"/>
      <c r="ASL933" s="18"/>
      <c r="ASM933" s="18"/>
      <c r="ASN933" s="18"/>
      <c r="ASO933" s="18"/>
      <c r="ASP933" s="18"/>
      <c r="ASQ933" s="18"/>
      <c r="ASR933" s="18"/>
      <c r="ASS933" s="18"/>
      <c r="AST933" s="18"/>
      <c r="ASU933" s="18"/>
      <c r="ASV933" s="18"/>
      <c r="ASW933" s="18"/>
      <c r="ASX933" s="18"/>
      <c r="ASY933" s="18"/>
      <c r="ASZ933" s="18"/>
      <c r="ATA933" s="18"/>
      <c r="ATB933" s="18"/>
      <c r="ATC933" s="18"/>
      <c r="ATD933" s="18"/>
      <c r="ATE933" s="18"/>
      <c r="ATF933" s="18"/>
      <c r="ATG933" s="18"/>
      <c r="ATH933" s="18"/>
      <c r="ATI933" s="18"/>
      <c r="ATJ933" s="18"/>
      <c r="ATK933" s="18"/>
      <c r="ATL933" s="18"/>
      <c r="ATM933" s="18"/>
      <c r="ATN933" s="18"/>
      <c r="ATO933" s="18"/>
      <c r="ATP933" s="18"/>
      <c r="ATQ933" s="18"/>
      <c r="ATR933" s="18"/>
      <c r="ATS933" s="18"/>
      <c r="ATT933" s="18"/>
      <c r="ATU933" s="18"/>
      <c r="ATV933" s="18"/>
      <c r="ATW933" s="18"/>
      <c r="ATX933" s="18"/>
      <c r="ATY933" s="18"/>
      <c r="ATZ933" s="18"/>
      <c r="AUA933" s="18"/>
      <c r="AUB933" s="18"/>
      <c r="AUC933" s="18"/>
      <c r="AUD933" s="18"/>
      <c r="AUE933" s="18"/>
      <c r="AUF933" s="18"/>
      <c r="AUG933" s="18"/>
      <c r="AUH933" s="18"/>
      <c r="AUI933" s="18"/>
      <c r="AUJ933" s="18"/>
      <c r="AUK933" s="18"/>
      <c r="AUL933" s="18"/>
      <c r="AUM933" s="18"/>
      <c r="AUN933" s="18"/>
      <c r="AUO933" s="18"/>
      <c r="AUP933" s="18"/>
      <c r="AUQ933" s="18"/>
      <c r="AUR933" s="18"/>
      <c r="AUS933" s="18"/>
      <c r="AUT933" s="18"/>
      <c r="AUU933" s="18"/>
      <c r="AUV933" s="18"/>
      <c r="AUW933" s="18"/>
      <c r="AUX933" s="18"/>
      <c r="AUY933" s="18"/>
      <c r="AUZ933" s="18"/>
      <c r="AVA933" s="18"/>
      <c r="AVB933" s="18"/>
      <c r="AVC933" s="18"/>
      <c r="AVD933" s="18"/>
      <c r="AVE933" s="18"/>
      <c r="AVF933" s="18"/>
      <c r="AVG933" s="18"/>
      <c r="AVH933" s="18"/>
      <c r="AVI933" s="18"/>
      <c r="AVJ933" s="18"/>
      <c r="AVK933" s="18"/>
      <c r="AVL933" s="18"/>
      <c r="AVM933" s="18"/>
      <c r="AVN933" s="18"/>
      <c r="AVO933" s="18"/>
      <c r="AVP933" s="18"/>
      <c r="AVQ933" s="18"/>
      <c r="AVR933" s="18"/>
      <c r="AVS933" s="18"/>
      <c r="AVT933" s="18"/>
      <c r="AVU933" s="18"/>
      <c r="AVV933" s="18"/>
      <c r="AVW933" s="18"/>
      <c r="AVX933" s="18"/>
      <c r="AVY933" s="18"/>
      <c r="AVZ933" s="18"/>
      <c r="AWA933" s="18"/>
      <c r="AWB933" s="18"/>
      <c r="AWC933" s="18"/>
      <c r="AWD933" s="18"/>
      <c r="AWE933" s="18"/>
      <c r="AWF933" s="18"/>
      <c r="AWG933" s="18"/>
      <c r="AWH933" s="18"/>
      <c r="AWI933" s="18"/>
      <c r="AWJ933" s="18"/>
      <c r="AWK933" s="18"/>
      <c r="AWL933" s="18"/>
      <c r="AWM933" s="18"/>
      <c r="AWN933" s="18"/>
      <c r="AWO933" s="18"/>
      <c r="AWP933" s="18"/>
      <c r="AWQ933" s="18"/>
      <c r="AWR933" s="18"/>
      <c r="AWS933" s="18"/>
      <c r="AWT933" s="18"/>
      <c r="AWU933" s="18"/>
      <c r="AWV933" s="18"/>
      <c r="AWW933" s="18"/>
      <c r="AWX933" s="18"/>
      <c r="AWY933" s="18"/>
      <c r="AWZ933" s="18"/>
      <c r="AXA933" s="18"/>
      <c r="AXB933" s="18"/>
      <c r="AXC933" s="18"/>
      <c r="AXD933" s="18"/>
      <c r="AXE933" s="18"/>
      <c r="AXF933" s="18"/>
      <c r="AXG933" s="18"/>
      <c r="AXH933" s="18"/>
      <c r="AXI933" s="18"/>
      <c r="AXJ933" s="18"/>
      <c r="AXK933" s="18"/>
      <c r="AXL933" s="18"/>
      <c r="AXM933" s="18"/>
      <c r="AXN933" s="18"/>
      <c r="AXO933" s="18"/>
      <c r="AXP933" s="18"/>
      <c r="AXQ933" s="18"/>
      <c r="AXR933" s="18"/>
      <c r="AXS933" s="18"/>
      <c r="AXT933" s="18"/>
      <c r="AXU933" s="18"/>
      <c r="AXV933" s="18"/>
      <c r="AXW933" s="18"/>
      <c r="AXX933" s="18"/>
      <c r="AXY933" s="18"/>
      <c r="AXZ933" s="18"/>
      <c r="AYA933" s="18"/>
      <c r="AYB933" s="18"/>
      <c r="AYC933" s="18"/>
      <c r="AYD933" s="18"/>
      <c r="AYE933" s="18"/>
      <c r="AYF933" s="18"/>
      <c r="AYG933" s="18"/>
      <c r="AYH933" s="18"/>
      <c r="AYI933" s="18"/>
      <c r="AYJ933" s="18"/>
      <c r="AYK933" s="18"/>
      <c r="AYL933" s="18"/>
      <c r="AYM933" s="18"/>
      <c r="AYN933" s="18"/>
      <c r="AYO933" s="18"/>
      <c r="AYP933" s="18"/>
      <c r="AYQ933" s="18"/>
      <c r="AYR933" s="18"/>
      <c r="AYS933" s="18"/>
      <c r="AYT933" s="18"/>
      <c r="AYU933" s="18"/>
      <c r="AYV933" s="18"/>
      <c r="AYW933" s="18"/>
      <c r="AYX933" s="18"/>
      <c r="AYY933" s="18"/>
      <c r="AYZ933" s="18"/>
      <c r="AZA933" s="18"/>
      <c r="AZB933" s="18"/>
      <c r="AZC933" s="18"/>
      <c r="AZD933" s="18"/>
      <c r="AZE933" s="18"/>
      <c r="AZF933" s="18"/>
      <c r="AZG933" s="18"/>
      <c r="AZH933" s="18"/>
      <c r="AZI933" s="18"/>
      <c r="AZJ933" s="18"/>
      <c r="AZK933" s="18"/>
      <c r="AZL933" s="18"/>
      <c r="AZM933" s="18"/>
      <c r="AZN933" s="18"/>
      <c r="AZO933" s="18"/>
      <c r="AZP933" s="18"/>
      <c r="AZQ933" s="18"/>
      <c r="AZR933" s="18"/>
      <c r="AZS933" s="18"/>
      <c r="AZT933" s="18"/>
      <c r="AZU933" s="18"/>
      <c r="AZV933" s="18"/>
      <c r="AZW933" s="18"/>
      <c r="AZX933" s="18"/>
      <c r="AZY933" s="18"/>
      <c r="AZZ933" s="18"/>
      <c r="BAA933" s="18"/>
      <c r="BAB933" s="18"/>
      <c r="BAC933" s="18"/>
      <c r="BAD933" s="18"/>
      <c r="BAE933" s="18"/>
      <c r="BAF933" s="18"/>
      <c r="BAG933" s="18"/>
      <c r="BAH933" s="18"/>
      <c r="BAI933" s="18"/>
      <c r="BAJ933" s="18"/>
      <c r="BAK933" s="18"/>
      <c r="BAL933" s="18"/>
      <c r="BAM933" s="18"/>
      <c r="BAN933" s="18"/>
      <c r="BAO933" s="18"/>
      <c r="BAP933" s="18"/>
      <c r="BAQ933" s="18"/>
      <c r="BAR933" s="18"/>
      <c r="BAS933" s="18"/>
      <c r="BAT933" s="18"/>
      <c r="BAU933" s="18"/>
      <c r="BAV933" s="18"/>
      <c r="BAW933" s="18"/>
      <c r="BAX933" s="18"/>
      <c r="BAY933" s="18"/>
      <c r="BAZ933" s="18"/>
      <c r="BBA933" s="18"/>
      <c r="BBB933" s="18"/>
      <c r="BBC933" s="18"/>
      <c r="BBD933" s="18"/>
      <c r="BBE933" s="18"/>
      <c r="BBF933" s="18"/>
      <c r="BBG933" s="18"/>
      <c r="BBH933" s="18"/>
      <c r="BBI933" s="18"/>
      <c r="BBJ933" s="18"/>
      <c r="BBK933" s="18"/>
      <c r="BBL933" s="18"/>
      <c r="BBM933" s="18"/>
      <c r="BBN933" s="18"/>
      <c r="BBO933" s="18"/>
      <c r="BBP933" s="18"/>
      <c r="BBQ933" s="18"/>
      <c r="BBR933" s="18"/>
      <c r="BBS933" s="18"/>
      <c r="BBT933" s="18"/>
      <c r="BBU933" s="18"/>
      <c r="BBV933" s="18"/>
      <c r="BBW933" s="18"/>
      <c r="BBX933" s="18"/>
      <c r="BBY933" s="18"/>
      <c r="BBZ933" s="18"/>
      <c r="BCA933" s="18"/>
      <c r="BCB933" s="18"/>
      <c r="BCC933" s="18"/>
      <c r="BCD933" s="18"/>
      <c r="BCE933" s="18"/>
      <c r="BCF933" s="18"/>
      <c r="BCG933" s="18"/>
      <c r="BCH933" s="18"/>
      <c r="BCI933" s="18"/>
      <c r="BCJ933" s="18"/>
      <c r="BCK933" s="18"/>
      <c r="BCL933" s="18"/>
      <c r="BCM933" s="18"/>
      <c r="BCN933" s="18"/>
      <c r="BCO933" s="18"/>
      <c r="BCP933" s="18"/>
      <c r="BCQ933" s="18"/>
      <c r="BCR933" s="18"/>
      <c r="BCS933" s="18"/>
      <c r="BCT933" s="18"/>
      <c r="BCU933" s="18"/>
      <c r="BCV933" s="18"/>
      <c r="BCW933" s="18"/>
      <c r="BCX933" s="18"/>
      <c r="BCY933" s="18"/>
      <c r="BCZ933" s="18"/>
      <c r="BDA933" s="18"/>
      <c r="BDB933" s="18"/>
      <c r="BDC933" s="18"/>
      <c r="BDD933" s="18"/>
      <c r="BDE933" s="18"/>
      <c r="BDF933" s="18"/>
      <c r="BDG933" s="18"/>
      <c r="BDH933" s="18"/>
      <c r="BDI933" s="18"/>
      <c r="BDJ933" s="18"/>
      <c r="BDK933" s="18"/>
      <c r="BDL933" s="18"/>
      <c r="BDM933" s="18"/>
      <c r="BDN933" s="18"/>
      <c r="BDO933" s="18"/>
      <c r="BDP933" s="18"/>
      <c r="BDQ933" s="18"/>
      <c r="BDR933" s="18"/>
      <c r="BDS933" s="18"/>
      <c r="BDT933" s="18"/>
      <c r="BDU933" s="18"/>
      <c r="BDV933" s="18"/>
      <c r="BDW933" s="18"/>
      <c r="BDX933" s="18"/>
      <c r="BDY933" s="18"/>
      <c r="BDZ933" s="18"/>
      <c r="BEA933" s="18"/>
      <c r="BEB933" s="18"/>
      <c r="BEC933" s="18"/>
      <c r="BED933" s="18"/>
      <c r="BEE933" s="18"/>
      <c r="BEF933" s="18"/>
      <c r="BEG933" s="18"/>
      <c r="BEH933" s="18"/>
      <c r="BEI933" s="18"/>
      <c r="BEJ933" s="18"/>
      <c r="BEK933" s="18"/>
      <c r="BEL933" s="18"/>
      <c r="BEM933" s="18"/>
      <c r="BEN933" s="18"/>
      <c r="BEO933" s="18"/>
      <c r="BEP933" s="18"/>
      <c r="BEQ933" s="18"/>
      <c r="BER933" s="18"/>
      <c r="BES933" s="18"/>
      <c r="BET933" s="18"/>
      <c r="BEU933" s="18"/>
      <c r="BEV933" s="18"/>
      <c r="BEW933" s="18"/>
      <c r="BEX933" s="18"/>
      <c r="BEY933" s="18"/>
      <c r="BEZ933" s="18"/>
      <c r="BFA933" s="18"/>
      <c r="BFB933" s="18"/>
      <c r="BFC933" s="18"/>
      <c r="BFD933" s="18"/>
      <c r="BFE933" s="18"/>
      <c r="BFF933" s="18"/>
      <c r="BFG933" s="18"/>
      <c r="BFH933" s="18"/>
      <c r="BFI933" s="18"/>
      <c r="BFJ933" s="18"/>
      <c r="BFK933" s="18"/>
      <c r="BFL933" s="18"/>
      <c r="BFM933" s="18"/>
      <c r="BFN933" s="18"/>
      <c r="BFO933" s="18"/>
      <c r="BFP933" s="18"/>
      <c r="BFQ933" s="18"/>
      <c r="BFR933" s="18"/>
      <c r="BFS933" s="18"/>
      <c r="BFT933" s="18"/>
      <c r="BFU933" s="18"/>
      <c r="BFV933" s="18"/>
      <c r="BFW933" s="18"/>
      <c r="BFX933" s="18"/>
      <c r="BFY933" s="18"/>
      <c r="BFZ933" s="18"/>
      <c r="BGA933" s="18"/>
      <c r="BGB933" s="18"/>
      <c r="BGC933" s="18"/>
      <c r="BGD933" s="18"/>
      <c r="BGE933" s="18"/>
      <c r="BGF933" s="18"/>
      <c r="BGG933" s="18"/>
      <c r="BGH933" s="18"/>
      <c r="BGI933" s="18"/>
      <c r="BGJ933" s="18"/>
      <c r="BGK933" s="18"/>
      <c r="BGL933" s="18"/>
      <c r="BGM933" s="18"/>
      <c r="BGN933" s="18"/>
      <c r="BGO933" s="18"/>
      <c r="BGP933" s="18"/>
      <c r="BGQ933" s="18"/>
      <c r="BGR933" s="18"/>
      <c r="BGS933" s="18"/>
      <c r="BGT933" s="18"/>
      <c r="BGU933" s="18"/>
      <c r="BGV933" s="18"/>
      <c r="BGW933" s="18"/>
      <c r="BGX933" s="18"/>
      <c r="BGY933" s="18"/>
      <c r="BGZ933" s="18"/>
      <c r="BHA933" s="18"/>
      <c r="BHB933" s="18"/>
      <c r="BHC933" s="18"/>
      <c r="BHD933" s="18"/>
      <c r="BHE933" s="18"/>
      <c r="BHF933" s="18"/>
      <c r="BHG933" s="18"/>
      <c r="BHH933" s="18"/>
      <c r="BHI933" s="18"/>
      <c r="BHJ933" s="18"/>
      <c r="BHK933" s="18"/>
      <c r="BHL933" s="18"/>
      <c r="BHM933" s="18"/>
      <c r="BHN933" s="18"/>
      <c r="BHO933" s="18"/>
      <c r="BHP933" s="18"/>
      <c r="BHQ933" s="18"/>
      <c r="BHR933" s="18"/>
      <c r="BHS933" s="18"/>
      <c r="BHT933" s="18"/>
      <c r="BHU933" s="18"/>
      <c r="BHV933" s="18"/>
      <c r="BHW933" s="18"/>
      <c r="BHX933" s="18"/>
      <c r="BHY933" s="18"/>
      <c r="BHZ933" s="18"/>
      <c r="BIA933" s="18"/>
      <c r="BIB933" s="18"/>
      <c r="BIC933" s="18"/>
      <c r="BID933" s="18"/>
      <c r="BIE933" s="18"/>
      <c r="BIF933" s="18"/>
      <c r="BIG933" s="18"/>
      <c r="BIH933" s="18"/>
      <c r="BII933" s="18"/>
      <c r="BIJ933" s="18"/>
      <c r="BIK933" s="18"/>
      <c r="BIL933" s="18"/>
      <c r="BIM933" s="18"/>
      <c r="BIN933" s="18"/>
      <c r="BIO933" s="18"/>
      <c r="BIP933" s="18"/>
      <c r="BIQ933" s="18"/>
      <c r="BIR933" s="18"/>
      <c r="BIS933" s="18"/>
      <c r="BIT933" s="18"/>
      <c r="BIU933" s="18"/>
      <c r="BIV933" s="18"/>
      <c r="BIW933" s="18"/>
      <c r="BIX933" s="18"/>
      <c r="BIY933" s="18"/>
      <c r="BIZ933" s="18"/>
      <c r="BJA933" s="18"/>
      <c r="BJB933" s="18"/>
      <c r="BJC933" s="18"/>
      <c r="BJD933" s="18"/>
      <c r="BJE933" s="18"/>
      <c r="BJF933" s="18"/>
      <c r="BJG933" s="18"/>
      <c r="BJH933" s="18"/>
      <c r="BJI933" s="18"/>
      <c r="BJJ933" s="18"/>
      <c r="BJK933" s="18"/>
      <c r="BJL933" s="18"/>
      <c r="BJM933" s="18"/>
      <c r="BJN933" s="18"/>
      <c r="BJO933" s="18"/>
      <c r="BJP933" s="18"/>
      <c r="BJQ933" s="18"/>
      <c r="BJR933" s="18"/>
      <c r="BJS933" s="18"/>
      <c r="BJT933" s="18"/>
      <c r="BJU933" s="18"/>
      <c r="BJV933" s="18"/>
      <c r="BJW933" s="18"/>
      <c r="BJX933" s="18"/>
      <c r="BJY933" s="18"/>
      <c r="BJZ933" s="18"/>
      <c r="BKA933" s="18"/>
      <c r="BKB933" s="18"/>
      <c r="BKC933" s="18"/>
      <c r="BKD933" s="18"/>
      <c r="BKE933" s="18"/>
      <c r="BKF933" s="18"/>
      <c r="BKG933" s="18"/>
      <c r="BKH933" s="18"/>
      <c r="BKI933" s="18"/>
      <c r="BKJ933" s="18"/>
      <c r="BKK933" s="18"/>
      <c r="BKL933" s="18"/>
      <c r="BKM933" s="18"/>
      <c r="BKN933" s="18"/>
      <c r="BKO933" s="18"/>
      <c r="BKP933" s="18"/>
      <c r="BKQ933" s="18"/>
      <c r="BKR933" s="18"/>
      <c r="BKS933" s="18"/>
      <c r="BKT933" s="18"/>
      <c r="BKU933" s="18"/>
      <c r="BKV933" s="18"/>
      <c r="BKW933" s="18"/>
      <c r="BKX933" s="18"/>
      <c r="BKY933" s="18"/>
      <c r="BKZ933" s="18"/>
      <c r="BLA933" s="18"/>
      <c r="BLB933" s="18"/>
      <c r="BLC933" s="18"/>
      <c r="BLD933" s="18"/>
      <c r="BLE933" s="18"/>
      <c r="BLF933" s="18"/>
      <c r="BLG933" s="18"/>
      <c r="BLH933" s="18"/>
      <c r="BLI933" s="18"/>
      <c r="BLJ933" s="18"/>
      <c r="BLK933" s="18"/>
      <c r="BLL933" s="18"/>
      <c r="BLM933" s="18"/>
      <c r="BLN933" s="18"/>
      <c r="BLO933" s="18"/>
      <c r="BLP933" s="18"/>
      <c r="BLQ933" s="18"/>
      <c r="BLR933" s="18"/>
      <c r="BLS933" s="18"/>
      <c r="BLT933" s="18"/>
      <c r="BLU933" s="18"/>
      <c r="BLV933" s="18"/>
      <c r="BLW933" s="18"/>
      <c r="BLX933" s="18"/>
      <c r="BLY933" s="18"/>
      <c r="BLZ933" s="18"/>
      <c r="BMA933" s="18"/>
      <c r="BMB933" s="18"/>
      <c r="BMC933" s="18"/>
      <c r="BMD933" s="18"/>
      <c r="BME933" s="18"/>
      <c r="BMF933" s="18"/>
      <c r="BMG933" s="18"/>
      <c r="BMH933" s="18"/>
      <c r="BMI933" s="18"/>
      <c r="BMJ933" s="18"/>
      <c r="BMK933" s="18"/>
      <c r="BML933" s="18"/>
      <c r="BMM933" s="18"/>
      <c r="BMN933" s="18"/>
      <c r="BMO933" s="18"/>
      <c r="BMP933" s="18"/>
      <c r="BMQ933" s="18"/>
      <c r="BMR933" s="18"/>
      <c r="BMS933" s="18"/>
      <c r="BMT933" s="18"/>
      <c r="BMU933" s="18"/>
      <c r="BMV933" s="18"/>
      <c r="BMW933" s="18"/>
      <c r="BMX933" s="18"/>
      <c r="BMY933" s="18"/>
      <c r="BMZ933" s="18"/>
      <c r="BNA933" s="18"/>
      <c r="BNB933" s="18"/>
      <c r="BNC933" s="18"/>
      <c r="BND933" s="18"/>
      <c r="BNE933" s="18"/>
      <c r="BNF933" s="18"/>
      <c r="BNG933" s="18"/>
      <c r="BNH933" s="18"/>
      <c r="BNI933" s="18"/>
      <c r="BNJ933" s="18"/>
      <c r="BNK933" s="18"/>
      <c r="BNL933" s="18"/>
      <c r="BNM933" s="18"/>
      <c r="BNN933" s="18"/>
      <c r="BNO933" s="18"/>
      <c r="BNP933" s="18"/>
      <c r="BNQ933" s="18"/>
      <c r="BNR933" s="18"/>
      <c r="BNS933" s="18"/>
      <c r="BNT933" s="18"/>
      <c r="BNU933" s="18"/>
      <c r="BNV933" s="18"/>
      <c r="BNW933" s="18"/>
      <c r="BNX933" s="18"/>
      <c r="BNY933" s="18"/>
      <c r="BNZ933" s="18"/>
      <c r="BOA933" s="18"/>
      <c r="BOB933" s="18"/>
      <c r="BOC933" s="18"/>
      <c r="BOD933" s="18"/>
      <c r="BOE933" s="18"/>
      <c r="BOF933" s="18"/>
      <c r="BOG933" s="18"/>
      <c r="BOH933" s="18"/>
      <c r="BOI933" s="18"/>
      <c r="BOJ933" s="18"/>
      <c r="BOK933" s="18"/>
      <c r="BOL933" s="18"/>
      <c r="BOM933" s="18"/>
      <c r="BON933" s="18"/>
      <c r="BOO933" s="18"/>
      <c r="BOP933" s="18"/>
      <c r="BOQ933" s="18"/>
      <c r="BOR933" s="18"/>
      <c r="BOS933" s="18"/>
      <c r="BOT933" s="18"/>
      <c r="BOU933" s="18"/>
      <c r="BOV933" s="18"/>
      <c r="BOW933" s="18"/>
      <c r="BOX933" s="18"/>
      <c r="BOY933" s="18"/>
      <c r="BOZ933" s="18"/>
      <c r="BPA933" s="18"/>
      <c r="BPB933" s="18"/>
      <c r="BPC933" s="18"/>
      <c r="BPD933" s="18"/>
      <c r="BPE933" s="18"/>
      <c r="BPF933" s="18"/>
      <c r="BPG933" s="18"/>
      <c r="BPH933" s="18"/>
      <c r="BPI933" s="18"/>
      <c r="BPJ933" s="18"/>
      <c r="BPK933" s="18"/>
      <c r="BPL933" s="18"/>
      <c r="BPM933" s="18"/>
      <c r="BPN933" s="18"/>
      <c r="BPO933" s="18"/>
      <c r="BPP933" s="18"/>
      <c r="BPQ933" s="18"/>
      <c r="BPR933" s="18"/>
      <c r="BPS933" s="18"/>
      <c r="BPT933" s="18"/>
      <c r="BPU933" s="18"/>
      <c r="BPV933" s="18"/>
      <c r="BPW933" s="18"/>
      <c r="BPX933" s="18"/>
      <c r="BPY933" s="18"/>
      <c r="BPZ933" s="18"/>
      <c r="BQA933" s="18"/>
      <c r="BQB933" s="18"/>
      <c r="BQC933" s="18"/>
      <c r="BQD933" s="18"/>
      <c r="BQE933" s="18"/>
      <c r="BQF933" s="18"/>
      <c r="BQG933" s="18"/>
      <c r="BQH933" s="18"/>
      <c r="BQI933" s="18"/>
      <c r="BQJ933" s="18"/>
      <c r="BQK933" s="18"/>
      <c r="BQL933" s="18"/>
      <c r="BQM933" s="18"/>
      <c r="BQN933" s="18"/>
      <c r="BQO933" s="18"/>
      <c r="BQP933" s="18"/>
      <c r="BQQ933" s="18"/>
      <c r="BQR933" s="18"/>
      <c r="BQS933" s="18"/>
      <c r="BQT933" s="18"/>
      <c r="BQU933" s="18"/>
      <c r="BQV933" s="18"/>
      <c r="BQW933" s="18"/>
      <c r="BQX933" s="18"/>
      <c r="BQY933" s="18"/>
      <c r="BQZ933" s="18"/>
      <c r="BRA933" s="18"/>
      <c r="BRB933" s="18"/>
      <c r="BRC933" s="18"/>
      <c r="BRD933" s="18"/>
      <c r="BRE933" s="18"/>
      <c r="BRF933" s="18"/>
      <c r="BRG933" s="18"/>
      <c r="BRH933" s="18"/>
      <c r="BRI933" s="18"/>
      <c r="BRJ933" s="18"/>
      <c r="BRK933" s="18"/>
      <c r="BRL933" s="18"/>
      <c r="BRM933" s="18"/>
      <c r="BRN933" s="18"/>
      <c r="BRO933" s="18"/>
      <c r="BRP933" s="18"/>
      <c r="BRQ933" s="18"/>
      <c r="BRR933" s="18"/>
      <c r="BRS933" s="18"/>
      <c r="BRT933" s="18"/>
      <c r="BRU933" s="18"/>
      <c r="BRV933" s="18"/>
      <c r="BRW933" s="18"/>
      <c r="BRX933" s="18"/>
      <c r="BRY933" s="18"/>
      <c r="BRZ933" s="18"/>
      <c r="BSA933" s="18"/>
      <c r="BSB933" s="18"/>
      <c r="BSC933" s="18"/>
      <c r="BSD933" s="18"/>
      <c r="BSE933" s="18"/>
      <c r="BSF933" s="18"/>
      <c r="BSG933" s="18"/>
      <c r="BSH933" s="18"/>
      <c r="BSI933" s="18"/>
      <c r="BSJ933" s="18"/>
      <c r="BSK933" s="18"/>
      <c r="BSL933" s="18"/>
      <c r="BSM933" s="18"/>
      <c r="BSN933" s="18"/>
      <c r="BSO933" s="18"/>
      <c r="BSP933" s="18"/>
      <c r="BSQ933" s="18"/>
      <c r="BSR933" s="18"/>
      <c r="BSS933" s="18"/>
      <c r="BST933" s="18"/>
      <c r="BSU933" s="18"/>
      <c r="BSV933" s="18"/>
      <c r="BSW933" s="18"/>
      <c r="BSX933" s="18"/>
      <c r="BSY933" s="18"/>
      <c r="BSZ933" s="18"/>
      <c r="BTA933" s="18"/>
      <c r="BTB933" s="18"/>
      <c r="BTC933" s="18"/>
      <c r="BTD933" s="18"/>
      <c r="BTE933" s="18"/>
      <c r="BTF933" s="18"/>
      <c r="BTG933" s="18"/>
      <c r="BTH933" s="18"/>
      <c r="BTI933" s="18"/>
      <c r="BTJ933" s="18"/>
      <c r="BTK933" s="18"/>
      <c r="BTL933" s="18"/>
      <c r="BTM933" s="18"/>
      <c r="BTN933" s="18"/>
      <c r="BTO933" s="18"/>
      <c r="BTP933" s="18"/>
      <c r="BTQ933" s="18"/>
      <c r="BTR933" s="18"/>
      <c r="BTS933" s="18"/>
      <c r="BTT933" s="18"/>
      <c r="BTU933" s="18"/>
      <c r="BTV933" s="18"/>
      <c r="BTW933" s="18"/>
      <c r="BTX933" s="18"/>
      <c r="BTY933" s="18"/>
      <c r="BTZ933" s="18"/>
      <c r="BUA933" s="18"/>
      <c r="BUB933" s="18"/>
      <c r="BUC933" s="18"/>
      <c r="BUD933" s="18"/>
      <c r="BUE933" s="18"/>
      <c r="BUF933" s="18"/>
      <c r="BUG933" s="18"/>
      <c r="BUH933" s="18"/>
      <c r="BUI933" s="18"/>
      <c r="BUJ933" s="18"/>
      <c r="BUK933" s="18"/>
      <c r="BUL933" s="18"/>
      <c r="BUM933" s="18"/>
      <c r="BUN933" s="18"/>
      <c r="BUO933" s="18"/>
      <c r="BUP933" s="18"/>
      <c r="BUQ933" s="18"/>
      <c r="BUR933" s="18"/>
      <c r="BUS933" s="18"/>
      <c r="BUT933" s="18"/>
      <c r="BUU933" s="18"/>
      <c r="BUV933" s="18"/>
      <c r="BUW933" s="18"/>
      <c r="BUX933" s="18"/>
      <c r="BUY933" s="18"/>
      <c r="BUZ933" s="18"/>
      <c r="BVA933" s="18"/>
      <c r="BVB933" s="18"/>
      <c r="BVC933" s="18"/>
      <c r="BVD933" s="18"/>
      <c r="BVE933" s="18"/>
      <c r="BVF933" s="18"/>
      <c r="BVG933" s="18"/>
      <c r="BVH933" s="18"/>
      <c r="BVI933" s="18"/>
      <c r="BVJ933" s="18"/>
      <c r="BVK933" s="18"/>
      <c r="BVL933" s="18"/>
      <c r="BVM933" s="18"/>
      <c r="BVN933" s="18"/>
      <c r="BVO933" s="18"/>
      <c r="BVP933" s="18"/>
      <c r="BVQ933" s="18"/>
      <c r="BVR933" s="18"/>
      <c r="BVS933" s="18"/>
      <c r="BVT933" s="18"/>
      <c r="BVU933" s="18"/>
      <c r="BVV933" s="18"/>
      <c r="BVW933" s="18"/>
      <c r="BVX933" s="18"/>
      <c r="BVY933" s="18"/>
      <c r="BVZ933" s="18"/>
      <c r="BWA933" s="18"/>
      <c r="BWB933" s="18"/>
      <c r="BWC933" s="18"/>
      <c r="BWD933" s="18"/>
      <c r="BWE933" s="18"/>
      <c r="BWF933" s="18"/>
      <c r="BWG933" s="18"/>
      <c r="BWH933" s="18"/>
      <c r="BWI933" s="18"/>
      <c r="BWJ933" s="18"/>
      <c r="BWK933" s="18"/>
      <c r="BWL933" s="18"/>
      <c r="BWM933" s="18"/>
      <c r="BWN933" s="18"/>
      <c r="BWO933" s="18"/>
      <c r="BWP933" s="18"/>
      <c r="BWQ933" s="18"/>
      <c r="BWR933" s="18"/>
      <c r="BWS933" s="18"/>
      <c r="BWT933" s="18"/>
      <c r="BWU933" s="18"/>
      <c r="BWV933" s="18"/>
      <c r="BWW933" s="18"/>
      <c r="BWX933" s="18"/>
      <c r="BWY933" s="18"/>
      <c r="BWZ933" s="18"/>
      <c r="BXA933" s="18"/>
      <c r="BXB933" s="18"/>
      <c r="BXC933" s="18"/>
      <c r="BXD933" s="18"/>
      <c r="BXE933" s="18"/>
      <c r="BXF933" s="18"/>
      <c r="BXG933" s="18"/>
      <c r="BXH933" s="18"/>
      <c r="BXI933" s="18"/>
      <c r="BXJ933" s="18"/>
      <c r="BXK933" s="18"/>
      <c r="BXL933" s="18"/>
      <c r="BXM933" s="18"/>
      <c r="BXN933" s="18"/>
      <c r="BXO933" s="18"/>
      <c r="BXP933" s="18"/>
      <c r="BXQ933" s="18"/>
      <c r="BXR933" s="18"/>
      <c r="BXS933" s="18"/>
      <c r="BXT933" s="18"/>
      <c r="BXU933" s="18"/>
      <c r="BXV933" s="18"/>
      <c r="BXW933" s="18"/>
      <c r="BXX933" s="18"/>
      <c r="BXY933" s="18"/>
      <c r="BXZ933" s="18"/>
      <c r="BYA933" s="18"/>
      <c r="BYB933" s="18"/>
      <c r="BYC933" s="18"/>
      <c r="BYD933" s="18"/>
      <c r="BYE933" s="18"/>
      <c r="BYF933" s="18"/>
      <c r="BYG933" s="18"/>
      <c r="BYH933" s="18"/>
      <c r="BYI933" s="18"/>
      <c r="BYJ933" s="18"/>
      <c r="BYK933" s="18"/>
      <c r="BYL933" s="18"/>
      <c r="BYM933" s="18"/>
      <c r="BYN933" s="18"/>
      <c r="BYO933" s="18"/>
      <c r="BYP933" s="18"/>
      <c r="BYQ933" s="18"/>
      <c r="BYR933" s="18"/>
      <c r="BYS933" s="18"/>
      <c r="BYT933" s="18"/>
      <c r="BYU933" s="18"/>
      <c r="BYV933" s="18"/>
      <c r="BYW933" s="18"/>
      <c r="BYX933" s="18"/>
      <c r="BYY933" s="18"/>
      <c r="BYZ933" s="18"/>
      <c r="BZA933" s="18"/>
      <c r="BZB933" s="18"/>
      <c r="BZC933" s="18"/>
      <c r="BZD933" s="18"/>
      <c r="BZE933" s="18"/>
      <c r="BZF933" s="18"/>
      <c r="BZG933" s="18"/>
      <c r="BZH933" s="18"/>
      <c r="BZI933" s="18"/>
      <c r="BZJ933" s="18"/>
      <c r="BZK933" s="18"/>
      <c r="BZL933" s="18"/>
      <c r="BZM933" s="18"/>
      <c r="BZN933" s="18"/>
      <c r="BZO933" s="18"/>
      <c r="BZP933" s="18"/>
      <c r="BZQ933" s="18"/>
      <c r="BZR933" s="18"/>
      <c r="BZS933" s="18"/>
      <c r="BZT933" s="18"/>
      <c r="BZU933" s="18"/>
      <c r="BZV933" s="18"/>
      <c r="BZW933" s="18"/>
      <c r="BZX933" s="18"/>
      <c r="BZY933" s="18"/>
      <c r="BZZ933" s="18"/>
      <c r="CAA933" s="18"/>
      <c r="CAB933" s="18"/>
      <c r="CAC933" s="18"/>
      <c r="CAD933" s="18"/>
      <c r="CAE933" s="18"/>
      <c r="CAF933" s="18"/>
      <c r="CAG933" s="18"/>
      <c r="CAH933" s="18"/>
      <c r="CAI933" s="18"/>
      <c r="CAJ933" s="18"/>
      <c r="CAK933" s="18"/>
      <c r="CAL933" s="18"/>
      <c r="CAM933" s="18"/>
      <c r="CAN933" s="18"/>
      <c r="CAO933" s="18"/>
      <c r="CAP933" s="18"/>
      <c r="CAQ933" s="18"/>
      <c r="CAR933" s="18"/>
      <c r="CAS933" s="18"/>
      <c r="CAT933" s="18"/>
      <c r="CAU933" s="18"/>
      <c r="CAV933" s="18"/>
      <c r="CAW933" s="18"/>
      <c r="CAX933" s="18"/>
      <c r="CAY933" s="18"/>
      <c r="CAZ933" s="18"/>
      <c r="CBA933" s="18"/>
      <c r="CBB933" s="18"/>
      <c r="CBC933" s="18"/>
      <c r="CBD933" s="18"/>
      <c r="CBE933" s="18"/>
      <c r="CBF933" s="18"/>
      <c r="CBG933" s="18"/>
      <c r="CBH933" s="18"/>
      <c r="CBI933" s="18"/>
      <c r="CBJ933" s="18"/>
      <c r="CBK933" s="18"/>
      <c r="CBL933" s="18"/>
      <c r="CBM933" s="18"/>
      <c r="CBN933" s="18"/>
      <c r="CBO933" s="18"/>
      <c r="CBP933" s="18"/>
      <c r="CBQ933" s="18"/>
      <c r="CBR933" s="18"/>
      <c r="CBS933" s="18"/>
      <c r="CBT933" s="18"/>
      <c r="CBU933" s="18"/>
      <c r="CBV933" s="18"/>
      <c r="CBW933" s="18"/>
      <c r="CBX933" s="18"/>
      <c r="CBY933" s="18"/>
      <c r="CBZ933" s="18"/>
      <c r="CCA933" s="18"/>
      <c r="CCB933" s="18"/>
      <c r="CCC933" s="18"/>
      <c r="CCD933" s="18"/>
      <c r="CCE933" s="18"/>
      <c r="CCF933" s="18"/>
      <c r="CCG933" s="18"/>
      <c r="CCH933" s="18"/>
      <c r="CCI933" s="18"/>
      <c r="CCJ933" s="18"/>
      <c r="CCK933" s="18"/>
      <c r="CCL933" s="18"/>
      <c r="CCM933" s="18"/>
      <c r="CCN933" s="18"/>
      <c r="CCO933" s="18"/>
      <c r="CCP933" s="18"/>
      <c r="CCQ933" s="18"/>
      <c r="CCR933" s="18"/>
      <c r="CCS933" s="18"/>
      <c r="CCT933" s="18"/>
      <c r="CCU933" s="18"/>
      <c r="CCV933" s="18"/>
      <c r="CCW933" s="18"/>
      <c r="CCX933" s="18"/>
      <c r="CCY933" s="18"/>
      <c r="CCZ933" s="18"/>
      <c r="CDA933" s="18"/>
      <c r="CDB933" s="18"/>
      <c r="CDC933" s="18"/>
      <c r="CDD933" s="18"/>
      <c r="CDE933" s="18"/>
      <c r="CDF933" s="18"/>
      <c r="CDG933" s="18"/>
      <c r="CDH933" s="18"/>
      <c r="CDI933" s="18"/>
      <c r="CDJ933" s="18"/>
      <c r="CDK933" s="18"/>
      <c r="CDL933" s="18"/>
      <c r="CDM933" s="18"/>
      <c r="CDN933" s="18"/>
      <c r="CDO933" s="18"/>
      <c r="CDP933" s="18"/>
      <c r="CDQ933" s="18"/>
      <c r="CDR933" s="18"/>
      <c r="CDS933" s="18"/>
      <c r="CDT933" s="18"/>
      <c r="CDU933" s="18"/>
      <c r="CDV933" s="18"/>
      <c r="CDW933" s="18"/>
      <c r="CDX933" s="18"/>
      <c r="CDY933" s="18"/>
      <c r="CDZ933" s="18"/>
      <c r="CEA933" s="18"/>
      <c r="CEB933" s="18"/>
      <c r="CEC933" s="18"/>
      <c r="CED933" s="18"/>
      <c r="CEE933" s="18"/>
      <c r="CEF933" s="18"/>
      <c r="CEG933" s="18"/>
      <c r="CEH933" s="18"/>
      <c r="CEI933" s="18"/>
      <c r="CEJ933" s="18"/>
      <c r="CEK933" s="18"/>
      <c r="CEL933" s="18"/>
      <c r="CEM933" s="18"/>
      <c r="CEN933" s="18"/>
      <c r="CEO933" s="18"/>
      <c r="CEP933" s="18"/>
      <c r="CEQ933" s="18"/>
      <c r="CER933" s="18"/>
      <c r="CES933" s="18"/>
      <c r="CET933" s="18"/>
      <c r="CEU933" s="18"/>
      <c r="CEV933" s="18"/>
      <c r="CEW933" s="18"/>
      <c r="CEX933" s="18"/>
      <c r="CEY933" s="18"/>
      <c r="CEZ933" s="18"/>
      <c r="CFA933" s="18"/>
      <c r="CFB933" s="18"/>
      <c r="CFC933" s="18"/>
      <c r="CFD933" s="18"/>
      <c r="CFE933" s="18"/>
      <c r="CFF933" s="18"/>
      <c r="CFG933" s="18"/>
      <c r="CFH933" s="18"/>
      <c r="CFI933" s="18"/>
      <c r="CFJ933" s="18"/>
      <c r="CFK933" s="18"/>
      <c r="CFL933" s="18"/>
      <c r="CFM933" s="18"/>
      <c r="CFN933" s="18"/>
      <c r="CFO933" s="18"/>
      <c r="CFP933" s="18"/>
      <c r="CFQ933" s="18"/>
      <c r="CFR933" s="18"/>
      <c r="CFS933" s="18"/>
      <c r="CFT933" s="18"/>
      <c r="CFU933" s="18"/>
      <c r="CFV933" s="18"/>
      <c r="CFW933" s="18"/>
      <c r="CFX933" s="18"/>
      <c r="CFY933" s="18"/>
      <c r="CFZ933" s="18"/>
      <c r="CGA933" s="18"/>
      <c r="CGB933" s="18"/>
      <c r="CGC933" s="18"/>
      <c r="CGD933" s="18"/>
      <c r="CGE933" s="18"/>
      <c r="CGF933" s="18"/>
      <c r="CGG933" s="18"/>
      <c r="CGH933" s="18"/>
      <c r="CGI933" s="18"/>
      <c r="CGJ933" s="18"/>
      <c r="CGK933" s="18"/>
      <c r="CGL933" s="18"/>
      <c r="CGM933" s="18"/>
      <c r="CGN933" s="18"/>
      <c r="CGO933" s="18"/>
      <c r="CGP933" s="18"/>
      <c r="CGQ933" s="18"/>
      <c r="CGR933" s="18"/>
      <c r="CGS933" s="18"/>
      <c r="CGT933" s="18"/>
      <c r="CGU933" s="18"/>
      <c r="CGV933" s="18"/>
      <c r="CGW933" s="18"/>
      <c r="CGX933" s="18"/>
      <c r="CGY933" s="18"/>
      <c r="CGZ933" s="18"/>
      <c r="CHA933" s="18"/>
      <c r="CHB933" s="18"/>
      <c r="CHC933" s="18"/>
      <c r="CHD933" s="18"/>
      <c r="CHE933" s="18"/>
      <c r="CHF933" s="18"/>
      <c r="CHG933" s="18"/>
      <c r="CHH933" s="18"/>
      <c r="CHI933" s="18"/>
      <c r="CHJ933" s="18"/>
      <c r="CHK933" s="18"/>
      <c r="CHL933" s="18"/>
      <c r="CHM933" s="18"/>
      <c r="CHN933" s="18"/>
      <c r="CHO933" s="18"/>
      <c r="CHP933" s="18"/>
      <c r="CHQ933" s="18"/>
      <c r="CHR933" s="18"/>
      <c r="CHS933" s="18"/>
      <c r="CHT933" s="18"/>
      <c r="CHU933" s="18"/>
      <c r="CHV933" s="18"/>
      <c r="CHW933" s="18"/>
      <c r="CHX933" s="18"/>
      <c r="CHY933" s="18"/>
      <c r="CHZ933" s="18"/>
      <c r="CIA933" s="18"/>
      <c r="CIB933" s="18"/>
      <c r="CIC933" s="18"/>
      <c r="CID933" s="18"/>
      <c r="CIE933" s="18"/>
      <c r="CIF933" s="18"/>
      <c r="CIG933" s="18"/>
      <c r="CIH933" s="18"/>
      <c r="CII933" s="18"/>
      <c r="CIJ933" s="18"/>
      <c r="CIK933" s="18"/>
      <c r="CIL933" s="18"/>
      <c r="CIM933" s="18"/>
      <c r="CIN933" s="18"/>
      <c r="CIO933" s="18"/>
      <c r="CIP933" s="18"/>
      <c r="CIQ933" s="18"/>
      <c r="CIR933" s="18"/>
      <c r="CIS933" s="18"/>
      <c r="CIT933" s="18"/>
      <c r="CIU933" s="18"/>
      <c r="CIV933" s="18"/>
      <c r="CIW933" s="18"/>
      <c r="CIX933" s="18"/>
      <c r="CIY933" s="18"/>
      <c r="CIZ933" s="18"/>
      <c r="CJA933" s="18"/>
      <c r="CJB933" s="18"/>
      <c r="CJC933" s="18"/>
      <c r="CJD933" s="18"/>
      <c r="CJE933" s="18"/>
      <c r="CJF933" s="18"/>
      <c r="CJG933" s="18"/>
      <c r="CJH933" s="18"/>
      <c r="CJI933" s="18"/>
      <c r="CJJ933" s="18"/>
      <c r="CJK933" s="18"/>
      <c r="CJL933" s="18"/>
      <c r="CJM933" s="18"/>
      <c r="CJN933" s="18"/>
      <c r="CJO933" s="18"/>
      <c r="CJP933" s="18"/>
      <c r="CJQ933" s="18"/>
      <c r="CJR933" s="18"/>
      <c r="CJS933" s="18"/>
      <c r="CJT933" s="18"/>
      <c r="CJU933" s="18"/>
      <c r="CJV933" s="18"/>
      <c r="CJW933" s="18"/>
      <c r="CJX933" s="18"/>
      <c r="CJY933" s="18"/>
      <c r="CJZ933" s="18"/>
      <c r="CKA933" s="18"/>
      <c r="CKB933" s="18"/>
      <c r="CKC933" s="18"/>
      <c r="CKD933" s="18"/>
      <c r="CKE933" s="18"/>
      <c r="CKF933" s="18"/>
      <c r="CKG933" s="18"/>
      <c r="CKH933" s="18"/>
      <c r="CKI933" s="18"/>
      <c r="CKJ933" s="18"/>
      <c r="CKK933" s="18"/>
      <c r="CKL933" s="18"/>
      <c r="CKM933" s="18"/>
      <c r="CKN933" s="18"/>
      <c r="CKO933" s="18"/>
      <c r="CKP933" s="18"/>
      <c r="CKQ933" s="18"/>
      <c r="CKR933" s="18"/>
      <c r="CKS933" s="18"/>
      <c r="CKT933" s="18"/>
      <c r="CKU933" s="18"/>
      <c r="CKV933" s="18"/>
      <c r="CKW933" s="18"/>
      <c r="CKX933" s="18"/>
      <c r="CKY933" s="18"/>
      <c r="CKZ933" s="18"/>
      <c r="CLA933" s="18"/>
      <c r="CLB933" s="18"/>
      <c r="CLC933" s="18"/>
      <c r="CLD933" s="18"/>
      <c r="CLE933" s="18"/>
      <c r="CLF933" s="18"/>
      <c r="CLG933" s="18"/>
      <c r="CLH933" s="18"/>
      <c r="CLI933" s="18"/>
      <c r="CLJ933" s="18"/>
      <c r="CLK933" s="18"/>
      <c r="CLL933" s="18"/>
      <c r="CLM933" s="18"/>
      <c r="CLN933" s="18"/>
      <c r="CLO933" s="18"/>
      <c r="CLP933" s="18"/>
      <c r="CLQ933" s="18"/>
      <c r="CLR933" s="18"/>
      <c r="CLS933" s="18"/>
      <c r="CLT933" s="18"/>
      <c r="CLU933" s="18"/>
      <c r="CLV933" s="18"/>
      <c r="CLW933" s="18"/>
      <c r="CLX933" s="18"/>
      <c r="CLY933" s="18"/>
      <c r="CLZ933" s="18"/>
      <c r="CMA933" s="18"/>
      <c r="CMB933" s="18"/>
      <c r="CMC933" s="18"/>
      <c r="CMD933" s="18"/>
      <c r="CME933" s="18"/>
      <c r="CMF933" s="18"/>
      <c r="CMG933" s="18"/>
      <c r="CMH933" s="18"/>
      <c r="CMI933" s="18"/>
      <c r="CMJ933" s="18"/>
      <c r="CMK933" s="18"/>
      <c r="CML933" s="18"/>
      <c r="CMM933" s="18"/>
      <c r="CMN933" s="18"/>
      <c r="CMO933" s="18"/>
      <c r="CMP933" s="18"/>
      <c r="CMQ933" s="18"/>
      <c r="CMR933" s="18"/>
      <c r="CMS933" s="18"/>
      <c r="CMT933" s="18"/>
      <c r="CMU933" s="18"/>
      <c r="CMV933" s="18"/>
      <c r="CMW933" s="18"/>
      <c r="CMX933" s="18"/>
      <c r="CMY933" s="18"/>
      <c r="CMZ933" s="18"/>
      <c r="CNA933" s="18"/>
      <c r="CNB933" s="18"/>
      <c r="CNC933" s="18"/>
      <c r="CND933" s="18"/>
      <c r="CNE933" s="18"/>
      <c r="CNF933" s="18"/>
      <c r="CNG933" s="18"/>
      <c r="CNH933" s="18"/>
      <c r="CNI933" s="18"/>
      <c r="CNJ933" s="18"/>
      <c r="CNK933" s="18"/>
      <c r="CNL933" s="18"/>
      <c r="CNM933" s="18"/>
      <c r="CNN933" s="18"/>
      <c r="CNO933" s="18"/>
      <c r="CNP933" s="18"/>
      <c r="CNQ933" s="18"/>
      <c r="CNR933" s="18"/>
      <c r="CNS933" s="18"/>
      <c r="CNT933" s="18"/>
      <c r="CNU933" s="18"/>
      <c r="CNV933" s="18"/>
      <c r="CNW933" s="18"/>
      <c r="CNX933" s="18"/>
      <c r="CNY933" s="18"/>
      <c r="CNZ933" s="18"/>
      <c r="COA933" s="18"/>
      <c r="COB933" s="18"/>
      <c r="COC933" s="18"/>
      <c r="COD933" s="18"/>
      <c r="COE933" s="18"/>
      <c r="COF933" s="18"/>
      <c r="COG933" s="18"/>
      <c r="COH933" s="18"/>
      <c r="COI933" s="18"/>
      <c r="COJ933" s="18"/>
      <c r="COK933" s="18"/>
      <c r="COL933" s="18"/>
      <c r="COM933" s="18"/>
      <c r="CON933" s="18"/>
      <c r="COO933" s="18"/>
      <c r="COP933" s="18"/>
      <c r="COQ933" s="18"/>
      <c r="COR933" s="18"/>
      <c r="COS933" s="18"/>
      <c r="COT933" s="18"/>
      <c r="COU933" s="18"/>
      <c r="COV933" s="18"/>
      <c r="COW933" s="18"/>
      <c r="COX933" s="18"/>
      <c r="COY933" s="18"/>
      <c r="COZ933" s="18"/>
      <c r="CPA933" s="18"/>
      <c r="CPB933" s="18"/>
      <c r="CPC933" s="18"/>
      <c r="CPD933" s="18"/>
      <c r="CPE933" s="18"/>
      <c r="CPF933" s="18"/>
      <c r="CPG933" s="18"/>
      <c r="CPH933" s="18"/>
      <c r="CPI933" s="18"/>
      <c r="CPJ933" s="18"/>
      <c r="CPK933" s="18"/>
      <c r="CPL933" s="18"/>
      <c r="CPM933" s="18"/>
      <c r="CPN933" s="18"/>
      <c r="CPO933" s="18"/>
      <c r="CPP933" s="18"/>
      <c r="CPQ933" s="18"/>
      <c r="CPR933" s="18"/>
      <c r="CPS933" s="18"/>
      <c r="CPT933" s="18"/>
      <c r="CPU933" s="18"/>
      <c r="CPV933" s="18"/>
      <c r="CPW933" s="18"/>
      <c r="CPX933" s="18"/>
      <c r="CPY933" s="18"/>
      <c r="CPZ933" s="18"/>
      <c r="CQA933" s="18"/>
      <c r="CQB933" s="18"/>
      <c r="CQC933" s="18"/>
      <c r="CQD933" s="18"/>
      <c r="CQE933" s="18"/>
      <c r="CQF933" s="18"/>
      <c r="CQG933" s="18"/>
      <c r="CQH933" s="18"/>
      <c r="CQI933" s="18"/>
      <c r="CQJ933" s="18"/>
      <c r="CQK933" s="18"/>
      <c r="CQL933" s="18"/>
      <c r="CQM933" s="18"/>
      <c r="CQN933" s="18"/>
      <c r="CQO933" s="18"/>
      <c r="CQP933" s="18"/>
      <c r="CQQ933" s="18"/>
      <c r="CQR933" s="18"/>
      <c r="CQS933" s="18"/>
      <c r="CQT933" s="18"/>
      <c r="CQU933" s="18"/>
      <c r="CQV933" s="18"/>
      <c r="CQW933" s="18"/>
      <c r="CQX933" s="18"/>
      <c r="CQY933" s="18"/>
      <c r="CQZ933" s="18"/>
      <c r="CRA933" s="18"/>
      <c r="CRB933" s="18"/>
      <c r="CRC933" s="18"/>
      <c r="CRD933" s="18"/>
      <c r="CRE933" s="18"/>
      <c r="CRF933" s="18"/>
      <c r="CRG933" s="18"/>
      <c r="CRH933" s="18"/>
      <c r="CRI933" s="18"/>
      <c r="CRJ933" s="18"/>
      <c r="CRK933" s="18"/>
      <c r="CRL933" s="18"/>
      <c r="CRM933" s="18"/>
      <c r="CRN933" s="18"/>
      <c r="CRO933" s="18"/>
      <c r="CRP933" s="18"/>
      <c r="CRQ933" s="18"/>
      <c r="CRR933" s="18"/>
      <c r="CRS933" s="18"/>
      <c r="CRT933" s="18"/>
      <c r="CRU933" s="18"/>
      <c r="CRV933" s="18"/>
      <c r="CRW933" s="18"/>
      <c r="CRX933" s="18"/>
      <c r="CRY933" s="18"/>
      <c r="CRZ933" s="18"/>
      <c r="CSA933" s="18"/>
      <c r="CSB933" s="18"/>
      <c r="CSC933" s="18"/>
      <c r="CSD933" s="18"/>
      <c r="CSE933" s="18"/>
      <c r="CSF933" s="18"/>
      <c r="CSG933" s="18"/>
      <c r="CSH933" s="18"/>
      <c r="CSI933" s="18"/>
      <c r="CSJ933" s="18"/>
      <c r="CSK933" s="18"/>
      <c r="CSL933" s="18"/>
      <c r="CSM933" s="18"/>
      <c r="CSN933" s="18"/>
      <c r="CSO933" s="18"/>
      <c r="CSP933" s="18"/>
      <c r="CSQ933" s="18"/>
      <c r="CSR933" s="18"/>
      <c r="CSS933" s="18"/>
      <c r="CST933" s="18"/>
      <c r="CSU933" s="18"/>
      <c r="CSV933" s="18"/>
      <c r="CSW933" s="18"/>
      <c r="CSX933" s="18"/>
      <c r="CSY933" s="18"/>
      <c r="CSZ933" s="18"/>
      <c r="CTA933" s="18"/>
      <c r="CTB933" s="18"/>
      <c r="CTC933" s="18"/>
      <c r="CTD933" s="18"/>
      <c r="CTE933" s="18"/>
      <c r="CTF933" s="18"/>
      <c r="CTG933" s="18"/>
      <c r="CTH933" s="18"/>
      <c r="CTI933" s="18"/>
      <c r="CTJ933" s="18"/>
      <c r="CTK933" s="18"/>
      <c r="CTL933" s="18"/>
      <c r="CTM933" s="18"/>
      <c r="CTN933" s="18"/>
      <c r="CTO933" s="18"/>
      <c r="CTP933" s="18"/>
      <c r="CTQ933" s="18"/>
      <c r="CTR933" s="18"/>
      <c r="CTS933" s="18"/>
      <c r="CTT933" s="18"/>
      <c r="CTU933" s="18"/>
      <c r="CTV933" s="18"/>
      <c r="CTW933" s="18"/>
      <c r="CTX933" s="18"/>
      <c r="CTY933" s="18"/>
      <c r="CTZ933" s="18"/>
      <c r="CUA933" s="18"/>
      <c r="CUB933" s="18"/>
      <c r="CUC933" s="18"/>
      <c r="CUD933" s="18"/>
      <c r="CUE933" s="18"/>
      <c r="CUF933" s="18"/>
      <c r="CUG933" s="18"/>
      <c r="CUH933" s="18"/>
      <c r="CUI933" s="18"/>
      <c r="CUJ933" s="18"/>
      <c r="CUK933" s="18"/>
      <c r="CUL933" s="18"/>
      <c r="CUM933" s="18"/>
      <c r="CUN933" s="18"/>
      <c r="CUO933" s="18"/>
      <c r="CUP933" s="18"/>
      <c r="CUQ933" s="18"/>
      <c r="CUR933" s="18"/>
      <c r="CUS933" s="18"/>
      <c r="CUT933" s="18"/>
      <c r="CUU933" s="18"/>
      <c r="CUV933" s="18"/>
      <c r="CUW933" s="18"/>
      <c r="CUX933" s="18"/>
      <c r="CUY933" s="18"/>
      <c r="CUZ933" s="18"/>
      <c r="CVA933" s="18"/>
      <c r="CVB933" s="18"/>
      <c r="CVC933" s="18"/>
      <c r="CVD933" s="18"/>
      <c r="CVE933" s="18"/>
      <c r="CVF933" s="18"/>
      <c r="CVG933" s="18"/>
      <c r="CVH933" s="18"/>
      <c r="CVI933" s="18"/>
      <c r="CVJ933" s="18"/>
      <c r="CVK933" s="18"/>
      <c r="CVL933" s="18"/>
      <c r="CVM933" s="18"/>
      <c r="CVN933" s="18"/>
      <c r="CVO933" s="18"/>
      <c r="CVP933" s="18"/>
      <c r="CVQ933" s="18"/>
      <c r="CVR933" s="18"/>
      <c r="CVS933" s="18"/>
      <c r="CVT933" s="18"/>
      <c r="CVU933" s="18"/>
      <c r="CVV933" s="18"/>
      <c r="CVW933" s="18"/>
      <c r="CVX933" s="18"/>
      <c r="CVY933" s="18"/>
      <c r="CVZ933" s="18"/>
      <c r="CWA933" s="18"/>
      <c r="CWB933" s="18"/>
      <c r="CWC933" s="18"/>
      <c r="CWD933" s="18"/>
      <c r="CWE933" s="18"/>
      <c r="CWF933" s="18"/>
      <c r="CWG933" s="18"/>
      <c r="CWH933" s="18"/>
      <c r="CWI933" s="18"/>
      <c r="CWJ933" s="18"/>
      <c r="CWK933" s="18"/>
      <c r="CWL933" s="18"/>
      <c r="CWM933" s="18"/>
      <c r="CWN933" s="18"/>
      <c r="CWO933" s="18"/>
      <c r="CWP933" s="18"/>
      <c r="CWQ933" s="18"/>
      <c r="CWR933" s="18"/>
      <c r="CWS933" s="18"/>
      <c r="CWT933" s="18"/>
      <c r="CWU933" s="18"/>
      <c r="CWV933" s="18"/>
      <c r="CWW933" s="18"/>
      <c r="CWX933" s="18"/>
      <c r="CWY933" s="18"/>
      <c r="CWZ933" s="18"/>
      <c r="CXA933" s="18"/>
      <c r="CXB933" s="18"/>
      <c r="CXC933" s="18"/>
      <c r="CXD933" s="18"/>
      <c r="CXE933" s="18"/>
      <c r="CXF933" s="18"/>
      <c r="CXG933" s="18"/>
      <c r="CXH933" s="18"/>
      <c r="CXI933" s="18"/>
      <c r="CXJ933" s="18"/>
      <c r="CXK933" s="18"/>
      <c r="CXL933" s="18"/>
      <c r="CXM933" s="18"/>
      <c r="CXN933" s="18"/>
      <c r="CXO933" s="18"/>
      <c r="CXP933" s="18"/>
      <c r="CXQ933" s="18"/>
      <c r="CXR933" s="18"/>
      <c r="CXS933" s="18"/>
      <c r="CXT933" s="18"/>
      <c r="CXU933" s="18"/>
      <c r="CXV933" s="18"/>
      <c r="CXW933" s="18"/>
      <c r="CXX933" s="18"/>
      <c r="CXY933" s="18"/>
      <c r="CXZ933" s="18"/>
      <c r="CYA933" s="18"/>
      <c r="CYB933" s="18"/>
      <c r="CYC933" s="18"/>
      <c r="CYD933" s="18"/>
      <c r="CYE933" s="18"/>
      <c r="CYF933" s="18"/>
      <c r="CYG933" s="18"/>
      <c r="CYH933" s="18"/>
      <c r="CYI933" s="18"/>
      <c r="CYJ933" s="18"/>
      <c r="CYK933" s="18"/>
      <c r="CYL933" s="18"/>
      <c r="CYM933" s="18"/>
      <c r="CYN933" s="18"/>
      <c r="CYO933" s="18"/>
      <c r="CYP933" s="18"/>
      <c r="CYQ933" s="18"/>
      <c r="CYR933" s="18"/>
      <c r="CYS933" s="18"/>
      <c r="CYT933" s="18"/>
      <c r="CYU933" s="18"/>
      <c r="CYV933" s="18"/>
      <c r="CYW933" s="18"/>
      <c r="CYX933" s="18"/>
      <c r="CYY933" s="18"/>
      <c r="CYZ933" s="18"/>
      <c r="CZA933" s="18"/>
      <c r="CZB933" s="18"/>
      <c r="CZC933" s="18"/>
      <c r="CZD933" s="18"/>
      <c r="CZE933" s="18"/>
      <c r="CZF933" s="18"/>
      <c r="CZG933" s="18"/>
      <c r="CZH933" s="18"/>
      <c r="CZI933" s="18"/>
      <c r="CZJ933" s="18"/>
      <c r="CZK933" s="18"/>
      <c r="CZL933" s="18"/>
      <c r="CZM933" s="18"/>
      <c r="CZN933" s="18"/>
      <c r="CZO933" s="18"/>
      <c r="CZP933" s="18"/>
      <c r="CZQ933" s="18"/>
      <c r="CZR933" s="18"/>
      <c r="CZS933" s="18"/>
      <c r="CZT933" s="18"/>
      <c r="CZU933" s="18"/>
      <c r="CZV933" s="18"/>
      <c r="CZW933" s="18"/>
      <c r="CZX933" s="18"/>
      <c r="CZY933" s="18"/>
      <c r="CZZ933" s="18"/>
      <c r="DAA933" s="18"/>
      <c r="DAB933" s="18"/>
      <c r="DAC933" s="18"/>
      <c r="DAD933" s="18"/>
      <c r="DAE933" s="18"/>
      <c r="DAF933" s="18"/>
      <c r="DAG933" s="18"/>
      <c r="DAH933" s="18"/>
      <c r="DAI933" s="18"/>
      <c r="DAJ933" s="18"/>
      <c r="DAK933" s="18"/>
      <c r="DAL933" s="18"/>
      <c r="DAM933" s="18"/>
      <c r="DAN933" s="18"/>
      <c r="DAO933" s="18"/>
      <c r="DAP933" s="18"/>
      <c r="DAQ933" s="18"/>
      <c r="DAR933" s="18"/>
      <c r="DAS933" s="18"/>
      <c r="DAT933" s="18"/>
      <c r="DAU933" s="18"/>
      <c r="DAV933" s="18"/>
      <c r="DAW933" s="18"/>
      <c r="DAX933" s="18"/>
      <c r="DAY933" s="18"/>
      <c r="DAZ933" s="18"/>
      <c r="DBA933" s="18"/>
      <c r="DBB933" s="18"/>
      <c r="DBC933" s="18"/>
      <c r="DBD933" s="18"/>
      <c r="DBE933" s="18"/>
      <c r="DBF933" s="18"/>
      <c r="DBG933" s="18"/>
      <c r="DBH933" s="18"/>
      <c r="DBI933" s="18"/>
      <c r="DBJ933" s="18"/>
      <c r="DBK933" s="18"/>
      <c r="DBL933" s="18"/>
      <c r="DBM933" s="18"/>
      <c r="DBN933" s="18"/>
      <c r="DBO933" s="18"/>
      <c r="DBP933" s="18"/>
      <c r="DBQ933" s="18"/>
      <c r="DBR933" s="18"/>
      <c r="DBS933" s="18"/>
      <c r="DBT933" s="18"/>
      <c r="DBU933" s="18"/>
      <c r="DBV933" s="18"/>
      <c r="DBW933" s="18"/>
      <c r="DBX933" s="18"/>
      <c r="DBY933" s="18"/>
      <c r="DBZ933" s="18"/>
      <c r="DCA933" s="18"/>
      <c r="DCB933" s="18"/>
      <c r="DCC933" s="18"/>
      <c r="DCD933" s="18"/>
      <c r="DCE933" s="18"/>
      <c r="DCF933" s="18"/>
      <c r="DCG933" s="18"/>
      <c r="DCH933" s="18"/>
      <c r="DCI933" s="18"/>
      <c r="DCJ933" s="18"/>
      <c r="DCK933" s="18"/>
      <c r="DCL933" s="18"/>
      <c r="DCM933" s="18"/>
      <c r="DCN933" s="18"/>
      <c r="DCO933" s="18"/>
      <c r="DCP933" s="18"/>
      <c r="DCQ933" s="18"/>
      <c r="DCR933" s="18"/>
      <c r="DCS933" s="18"/>
      <c r="DCT933" s="18"/>
      <c r="DCU933" s="18"/>
      <c r="DCV933" s="18"/>
      <c r="DCW933" s="18"/>
      <c r="DCX933" s="18"/>
      <c r="DCY933" s="18"/>
      <c r="DCZ933" s="18"/>
      <c r="DDA933" s="18"/>
      <c r="DDB933" s="18"/>
      <c r="DDC933" s="18"/>
      <c r="DDD933" s="18"/>
      <c r="DDE933" s="18"/>
      <c r="DDF933" s="18"/>
      <c r="DDG933" s="18"/>
      <c r="DDH933" s="18"/>
      <c r="DDI933" s="18"/>
      <c r="DDJ933" s="18"/>
      <c r="DDK933" s="18"/>
      <c r="DDL933" s="18"/>
      <c r="DDM933" s="18"/>
      <c r="DDN933" s="18"/>
      <c r="DDO933" s="18"/>
      <c r="DDP933" s="18"/>
      <c r="DDQ933" s="18"/>
      <c r="DDR933" s="18"/>
      <c r="DDS933" s="18"/>
      <c r="DDT933" s="18"/>
      <c r="DDU933" s="18"/>
      <c r="DDV933" s="18"/>
      <c r="DDW933" s="18"/>
      <c r="DDX933" s="18"/>
      <c r="DDY933" s="18"/>
      <c r="DDZ933" s="18"/>
      <c r="DEA933" s="18"/>
      <c r="DEB933" s="18"/>
      <c r="DEC933" s="18"/>
      <c r="DED933" s="18"/>
      <c r="DEE933" s="18"/>
      <c r="DEF933" s="18"/>
      <c r="DEG933" s="18"/>
      <c r="DEH933" s="18"/>
      <c r="DEI933" s="18"/>
      <c r="DEJ933" s="18"/>
      <c r="DEK933" s="18"/>
      <c r="DEL933" s="18"/>
      <c r="DEM933" s="18"/>
      <c r="DEN933" s="18"/>
      <c r="DEO933" s="18"/>
      <c r="DEP933" s="18"/>
      <c r="DEQ933" s="18"/>
      <c r="DER933" s="18"/>
      <c r="DES933" s="18"/>
      <c r="DET933" s="18"/>
      <c r="DEU933" s="18"/>
      <c r="DEV933" s="18"/>
      <c r="DEW933" s="18"/>
      <c r="DEX933" s="18"/>
      <c r="DEY933" s="18"/>
      <c r="DEZ933" s="18"/>
      <c r="DFA933" s="18"/>
      <c r="DFB933" s="18"/>
      <c r="DFC933" s="18"/>
      <c r="DFD933" s="18"/>
      <c r="DFE933" s="18"/>
      <c r="DFF933" s="18"/>
      <c r="DFG933" s="18"/>
      <c r="DFH933" s="18"/>
      <c r="DFI933" s="18"/>
      <c r="DFJ933" s="18"/>
      <c r="DFK933" s="18"/>
      <c r="DFL933" s="18"/>
      <c r="DFM933" s="18"/>
      <c r="DFN933" s="18"/>
      <c r="DFO933" s="18"/>
      <c r="DFP933" s="18"/>
      <c r="DFQ933" s="18"/>
      <c r="DFR933" s="18"/>
      <c r="DFS933" s="18"/>
      <c r="DFT933" s="18"/>
      <c r="DFU933" s="18"/>
      <c r="DFV933" s="18"/>
      <c r="DFW933" s="18"/>
      <c r="DFX933" s="18"/>
      <c r="DFY933" s="18"/>
      <c r="DFZ933" s="18"/>
      <c r="DGA933" s="18"/>
      <c r="DGB933" s="18"/>
      <c r="DGC933" s="18"/>
      <c r="DGD933" s="18"/>
      <c r="DGE933" s="18"/>
      <c r="DGF933" s="18"/>
      <c r="DGG933" s="18"/>
      <c r="DGH933" s="18"/>
      <c r="DGI933" s="18"/>
      <c r="DGJ933" s="18"/>
      <c r="DGK933" s="18"/>
      <c r="DGL933" s="18"/>
      <c r="DGM933" s="18"/>
      <c r="DGN933" s="18"/>
      <c r="DGO933" s="18"/>
      <c r="DGP933" s="18"/>
      <c r="DGQ933" s="18"/>
      <c r="DGR933" s="18"/>
      <c r="DGS933" s="18"/>
      <c r="DGT933" s="18"/>
      <c r="DGU933" s="18"/>
      <c r="DGV933" s="18"/>
      <c r="DGW933" s="18"/>
      <c r="DGX933" s="18"/>
      <c r="DGY933" s="18"/>
      <c r="DGZ933" s="18"/>
      <c r="DHA933" s="18"/>
      <c r="DHB933" s="18"/>
      <c r="DHC933" s="18"/>
      <c r="DHD933" s="18"/>
      <c r="DHE933" s="18"/>
      <c r="DHF933" s="18"/>
      <c r="DHG933" s="18"/>
      <c r="DHH933" s="18"/>
      <c r="DHI933" s="18"/>
      <c r="DHJ933" s="18"/>
      <c r="DHK933" s="18"/>
      <c r="DHL933" s="18"/>
      <c r="DHM933" s="18"/>
      <c r="DHN933" s="18"/>
      <c r="DHO933" s="18"/>
      <c r="DHP933" s="18"/>
      <c r="DHQ933" s="18"/>
      <c r="DHR933" s="18"/>
      <c r="DHS933" s="18"/>
      <c r="DHT933" s="18"/>
      <c r="DHU933" s="18"/>
      <c r="DHV933" s="18"/>
      <c r="DHW933" s="18"/>
      <c r="DHX933" s="18"/>
      <c r="DHY933" s="18"/>
      <c r="DHZ933" s="18"/>
      <c r="DIA933" s="18"/>
      <c r="DIB933" s="18"/>
      <c r="DIC933" s="18"/>
      <c r="DID933" s="18"/>
      <c r="DIE933" s="18"/>
      <c r="DIF933" s="18"/>
      <c r="DIG933" s="18"/>
      <c r="DIH933" s="18"/>
      <c r="DII933" s="18"/>
      <c r="DIJ933" s="18"/>
      <c r="DIK933" s="18"/>
      <c r="DIL933" s="18"/>
      <c r="DIM933" s="18"/>
      <c r="DIN933" s="18"/>
      <c r="DIO933" s="18"/>
      <c r="DIP933" s="18"/>
      <c r="DIQ933" s="18"/>
      <c r="DIR933" s="18"/>
      <c r="DIS933" s="18"/>
      <c r="DIT933" s="18"/>
      <c r="DIU933" s="18"/>
      <c r="DIV933" s="18"/>
      <c r="DIW933" s="18"/>
      <c r="DIX933" s="18"/>
      <c r="DIY933" s="18"/>
      <c r="DIZ933" s="18"/>
      <c r="DJA933" s="18"/>
      <c r="DJB933" s="18"/>
      <c r="DJC933" s="18"/>
      <c r="DJD933" s="18"/>
      <c r="DJE933" s="18"/>
      <c r="DJF933" s="18"/>
      <c r="DJG933" s="18"/>
      <c r="DJH933" s="18"/>
      <c r="DJI933" s="18"/>
      <c r="DJJ933" s="18"/>
      <c r="DJK933" s="18"/>
      <c r="DJL933" s="18"/>
      <c r="DJM933" s="18"/>
      <c r="DJN933" s="18"/>
      <c r="DJO933" s="18"/>
      <c r="DJP933" s="18"/>
      <c r="DJQ933" s="18"/>
      <c r="DJR933" s="18"/>
      <c r="DJS933" s="18"/>
      <c r="DJT933" s="18"/>
      <c r="DJU933" s="18"/>
      <c r="DJV933" s="18"/>
      <c r="DJW933" s="18"/>
      <c r="DJX933" s="18"/>
      <c r="DJY933" s="18"/>
      <c r="DJZ933" s="18"/>
      <c r="DKA933" s="18"/>
      <c r="DKB933" s="18"/>
      <c r="DKC933" s="18"/>
      <c r="DKD933" s="18"/>
      <c r="DKE933" s="18"/>
      <c r="DKF933" s="18"/>
      <c r="DKG933" s="18"/>
      <c r="DKH933" s="18"/>
      <c r="DKI933" s="18"/>
      <c r="DKJ933" s="18"/>
      <c r="DKK933" s="18"/>
      <c r="DKL933" s="18"/>
      <c r="DKM933" s="18"/>
      <c r="DKN933" s="18"/>
      <c r="DKO933" s="18"/>
      <c r="DKP933" s="18"/>
      <c r="DKQ933" s="18"/>
      <c r="DKR933" s="18"/>
      <c r="DKS933" s="18"/>
      <c r="DKT933" s="18"/>
      <c r="DKU933" s="18"/>
      <c r="DKV933" s="18"/>
      <c r="DKW933" s="18"/>
      <c r="DKX933" s="18"/>
      <c r="DKY933" s="18"/>
      <c r="DKZ933" s="18"/>
      <c r="DLA933" s="18"/>
      <c r="DLB933" s="18"/>
      <c r="DLC933" s="18"/>
      <c r="DLD933" s="18"/>
      <c r="DLE933" s="18"/>
      <c r="DLF933" s="18"/>
      <c r="DLG933" s="18"/>
      <c r="DLH933" s="18"/>
      <c r="DLI933" s="18"/>
      <c r="DLJ933" s="18"/>
      <c r="DLK933" s="18"/>
      <c r="DLL933" s="18"/>
      <c r="DLM933" s="18"/>
      <c r="DLN933" s="18"/>
      <c r="DLO933" s="18"/>
      <c r="DLP933" s="18"/>
      <c r="DLQ933" s="18"/>
      <c r="DLR933" s="18"/>
      <c r="DLS933" s="18"/>
      <c r="DLT933" s="18"/>
      <c r="DLU933" s="18"/>
      <c r="DLV933" s="18"/>
      <c r="DLW933" s="18"/>
      <c r="DLX933" s="18"/>
      <c r="DLY933" s="18"/>
      <c r="DLZ933" s="18"/>
      <c r="DMA933" s="18"/>
      <c r="DMB933" s="18"/>
      <c r="DMC933" s="18"/>
      <c r="DMD933" s="18"/>
      <c r="DME933" s="18"/>
      <c r="DMF933" s="18"/>
      <c r="DMG933" s="18"/>
      <c r="DMH933" s="18"/>
      <c r="DMI933" s="18"/>
      <c r="DMJ933" s="18"/>
      <c r="DMK933" s="18"/>
      <c r="DML933" s="18"/>
      <c r="DMM933" s="18"/>
      <c r="DMN933" s="18"/>
      <c r="DMO933" s="18"/>
      <c r="DMP933" s="18"/>
      <c r="DMQ933" s="18"/>
      <c r="DMR933" s="18"/>
      <c r="DMS933" s="18"/>
      <c r="DMT933" s="18"/>
      <c r="DMU933" s="18"/>
      <c r="DMV933" s="18"/>
      <c r="DMW933" s="18"/>
      <c r="DMX933" s="18"/>
      <c r="DMY933" s="18"/>
      <c r="DMZ933" s="18"/>
      <c r="DNA933" s="18"/>
      <c r="DNB933" s="18"/>
      <c r="DNC933" s="18"/>
      <c r="DND933" s="18"/>
      <c r="DNE933" s="18"/>
      <c r="DNF933" s="18"/>
      <c r="DNG933" s="18"/>
      <c r="DNH933" s="18"/>
      <c r="DNI933" s="18"/>
      <c r="DNJ933" s="18"/>
      <c r="DNK933" s="18"/>
      <c r="DNL933" s="18"/>
      <c r="DNM933" s="18"/>
      <c r="DNN933" s="18"/>
      <c r="DNO933" s="18"/>
      <c r="DNP933" s="18"/>
      <c r="DNQ933" s="18"/>
      <c r="DNR933" s="18"/>
      <c r="DNS933" s="18"/>
      <c r="DNT933" s="18"/>
      <c r="DNU933" s="18"/>
      <c r="DNV933" s="18"/>
      <c r="DNW933" s="18"/>
      <c r="DNX933" s="18"/>
      <c r="DNY933" s="18"/>
      <c r="DNZ933" s="18"/>
      <c r="DOA933" s="18"/>
      <c r="DOB933" s="18"/>
      <c r="DOC933" s="18"/>
      <c r="DOD933" s="18"/>
      <c r="DOE933" s="18"/>
      <c r="DOF933" s="18"/>
      <c r="DOG933" s="18"/>
      <c r="DOH933" s="18"/>
      <c r="DOI933" s="18"/>
      <c r="DOJ933" s="18"/>
      <c r="DOK933" s="18"/>
      <c r="DOL933" s="18"/>
      <c r="DOM933" s="18"/>
      <c r="DON933" s="18"/>
      <c r="DOO933" s="18"/>
      <c r="DOP933" s="18"/>
      <c r="DOQ933" s="18"/>
      <c r="DOR933" s="18"/>
      <c r="DOS933" s="18"/>
      <c r="DOT933" s="18"/>
      <c r="DOU933" s="18"/>
      <c r="DOV933" s="18"/>
      <c r="DOW933" s="18"/>
      <c r="DOX933" s="18"/>
      <c r="DOY933" s="18"/>
      <c r="DOZ933" s="18"/>
      <c r="DPA933" s="18"/>
      <c r="DPB933" s="18"/>
      <c r="DPC933" s="18"/>
      <c r="DPD933" s="18"/>
      <c r="DPE933" s="18"/>
      <c r="DPF933" s="18"/>
      <c r="DPG933" s="18"/>
      <c r="DPH933" s="18"/>
      <c r="DPI933" s="18"/>
      <c r="DPJ933" s="18"/>
      <c r="DPK933" s="18"/>
      <c r="DPL933" s="18"/>
      <c r="DPM933" s="18"/>
      <c r="DPN933" s="18"/>
      <c r="DPO933" s="18"/>
      <c r="DPP933" s="18"/>
      <c r="DPQ933" s="18"/>
      <c r="DPR933" s="18"/>
      <c r="DPS933" s="18"/>
      <c r="DPT933" s="18"/>
      <c r="DPU933" s="18"/>
      <c r="DPV933" s="18"/>
      <c r="DPW933" s="18"/>
      <c r="DPX933" s="18"/>
      <c r="DPY933" s="18"/>
      <c r="DPZ933" s="18"/>
      <c r="DQA933" s="18"/>
      <c r="DQB933" s="18"/>
      <c r="DQC933" s="18"/>
      <c r="DQD933" s="18"/>
      <c r="DQE933" s="18"/>
      <c r="DQF933" s="18"/>
      <c r="DQG933" s="18"/>
      <c r="DQH933" s="18"/>
      <c r="DQI933" s="18"/>
      <c r="DQJ933" s="18"/>
      <c r="DQK933" s="18"/>
      <c r="DQL933" s="18"/>
      <c r="DQM933" s="18"/>
      <c r="DQN933" s="18"/>
      <c r="DQO933" s="18"/>
      <c r="DQP933" s="18"/>
      <c r="DQQ933" s="18"/>
      <c r="DQR933" s="18"/>
      <c r="DQS933" s="18"/>
      <c r="DQT933" s="18"/>
      <c r="DQU933" s="18"/>
      <c r="DQV933" s="18"/>
      <c r="DQW933" s="18"/>
      <c r="DQX933" s="18"/>
      <c r="DQY933" s="18"/>
      <c r="DQZ933" s="18"/>
      <c r="DRA933" s="18"/>
      <c r="DRB933" s="18"/>
      <c r="DRC933" s="18"/>
      <c r="DRD933" s="18"/>
      <c r="DRE933" s="18"/>
      <c r="DRF933" s="18"/>
      <c r="DRG933" s="18"/>
      <c r="DRH933" s="18"/>
      <c r="DRI933" s="18"/>
      <c r="DRJ933" s="18"/>
      <c r="DRK933" s="18"/>
      <c r="DRL933" s="18"/>
      <c r="DRM933" s="18"/>
      <c r="DRN933" s="18"/>
      <c r="DRO933" s="18"/>
      <c r="DRP933" s="18"/>
      <c r="DRQ933" s="18"/>
      <c r="DRR933" s="18"/>
      <c r="DRS933" s="18"/>
      <c r="DRT933" s="18"/>
      <c r="DRU933" s="18"/>
      <c r="DRV933" s="18"/>
      <c r="DRW933" s="18"/>
      <c r="DRX933" s="18"/>
      <c r="DRY933" s="18"/>
      <c r="DRZ933" s="18"/>
      <c r="DSA933" s="18"/>
      <c r="DSB933" s="18"/>
      <c r="DSC933" s="18"/>
      <c r="DSD933" s="18"/>
      <c r="DSE933" s="18"/>
      <c r="DSF933" s="18"/>
      <c r="DSG933" s="18"/>
      <c r="DSH933" s="18"/>
      <c r="DSI933" s="18"/>
      <c r="DSJ933" s="18"/>
      <c r="DSK933" s="18"/>
      <c r="DSL933" s="18"/>
      <c r="DSM933" s="18"/>
      <c r="DSN933" s="18"/>
      <c r="DSO933" s="18"/>
      <c r="DSP933" s="18"/>
      <c r="DSQ933" s="18"/>
      <c r="DSR933" s="18"/>
      <c r="DSS933" s="18"/>
      <c r="DST933" s="18"/>
      <c r="DSU933" s="18"/>
      <c r="DSV933" s="18"/>
      <c r="DSW933" s="18"/>
      <c r="DSX933" s="18"/>
      <c r="DSY933" s="18"/>
      <c r="DSZ933" s="18"/>
      <c r="DTA933" s="18"/>
      <c r="DTB933" s="18"/>
      <c r="DTC933" s="18"/>
      <c r="DTD933" s="18"/>
      <c r="DTE933" s="18"/>
      <c r="DTF933" s="18"/>
      <c r="DTG933" s="18"/>
      <c r="DTH933" s="18"/>
      <c r="DTI933" s="18"/>
      <c r="DTJ933" s="18"/>
      <c r="DTK933" s="18"/>
      <c r="DTL933" s="18"/>
      <c r="DTM933" s="18"/>
      <c r="DTN933" s="18"/>
      <c r="DTO933" s="18"/>
      <c r="DTP933" s="18"/>
      <c r="DTQ933" s="18"/>
      <c r="DTR933" s="18"/>
      <c r="DTS933" s="18"/>
      <c r="DTT933" s="18"/>
      <c r="DTU933" s="18"/>
      <c r="DTV933" s="18"/>
      <c r="DTW933" s="18"/>
      <c r="DTX933" s="18"/>
      <c r="DTY933" s="18"/>
      <c r="DTZ933" s="18"/>
      <c r="DUA933" s="18"/>
      <c r="DUB933" s="18"/>
      <c r="DUC933" s="18"/>
      <c r="DUD933" s="18"/>
      <c r="DUE933" s="18"/>
      <c r="DUF933" s="18"/>
      <c r="DUG933" s="18"/>
      <c r="DUH933" s="18"/>
      <c r="DUI933" s="18"/>
      <c r="DUJ933" s="18"/>
      <c r="DUK933" s="18"/>
      <c r="DUL933" s="18"/>
      <c r="DUM933" s="18"/>
      <c r="DUN933" s="18"/>
      <c r="DUO933" s="18"/>
      <c r="DUP933" s="18"/>
      <c r="DUQ933" s="18"/>
      <c r="DUR933" s="18"/>
      <c r="DUS933" s="18"/>
      <c r="DUT933" s="18"/>
      <c r="DUU933" s="18"/>
      <c r="DUV933" s="18"/>
      <c r="DUW933" s="18"/>
      <c r="DUX933" s="18"/>
      <c r="DUY933" s="18"/>
      <c r="DUZ933" s="18"/>
      <c r="DVA933" s="18"/>
      <c r="DVB933" s="18"/>
      <c r="DVC933" s="18"/>
      <c r="DVD933" s="18"/>
      <c r="DVE933" s="18"/>
      <c r="DVF933" s="18"/>
      <c r="DVG933" s="18"/>
      <c r="DVH933" s="18"/>
      <c r="DVI933" s="18"/>
      <c r="DVJ933" s="18"/>
      <c r="DVK933" s="18"/>
      <c r="DVL933" s="18"/>
      <c r="DVM933" s="18"/>
      <c r="DVN933" s="18"/>
      <c r="DVO933" s="18"/>
      <c r="DVP933" s="18"/>
      <c r="DVQ933" s="18"/>
      <c r="DVR933" s="18"/>
      <c r="DVS933" s="18"/>
      <c r="DVT933" s="18"/>
      <c r="DVU933" s="18"/>
      <c r="DVV933" s="18"/>
      <c r="DVW933" s="18"/>
      <c r="DVX933" s="18"/>
      <c r="DVY933" s="18"/>
      <c r="DVZ933" s="18"/>
      <c r="DWA933" s="18"/>
      <c r="DWB933" s="18"/>
      <c r="DWC933" s="18"/>
      <c r="DWD933" s="18"/>
      <c r="DWE933" s="18"/>
      <c r="DWF933" s="18"/>
      <c r="DWG933" s="18"/>
      <c r="DWH933" s="18"/>
      <c r="DWI933" s="18"/>
      <c r="DWJ933" s="18"/>
      <c r="DWK933" s="18"/>
      <c r="DWL933" s="18"/>
      <c r="DWM933" s="18"/>
      <c r="DWN933" s="18"/>
      <c r="DWO933" s="18"/>
      <c r="DWP933" s="18"/>
      <c r="DWQ933" s="18"/>
      <c r="DWR933" s="18"/>
      <c r="DWS933" s="18"/>
      <c r="DWT933" s="18"/>
      <c r="DWU933" s="18"/>
      <c r="DWV933" s="18"/>
      <c r="DWW933" s="18"/>
      <c r="DWX933" s="18"/>
      <c r="DWY933" s="18"/>
      <c r="DWZ933" s="18"/>
      <c r="DXA933" s="18"/>
      <c r="DXB933" s="18"/>
      <c r="DXC933" s="18"/>
      <c r="DXD933" s="18"/>
      <c r="DXE933" s="18"/>
      <c r="DXF933" s="18"/>
      <c r="DXG933" s="18"/>
      <c r="DXH933" s="18"/>
      <c r="DXI933" s="18"/>
      <c r="DXJ933" s="18"/>
      <c r="DXK933" s="18"/>
      <c r="DXL933" s="18"/>
      <c r="DXM933" s="18"/>
      <c r="DXN933" s="18"/>
      <c r="DXO933" s="18"/>
      <c r="DXP933" s="18"/>
      <c r="DXQ933" s="18"/>
      <c r="DXR933" s="18"/>
      <c r="DXS933" s="18"/>
      <c r="DXT933" s="18"/>
      <c r="DXU933" s="18"/>
      <c r="DXV933" s="18"/>
      <c r="DXW933" s="18"/>
      <c r="DXX933" s="18"/>
      <c r="DXY933" s="18"/>
      <c r="DXZ933" s="18"/>
      <c r="DYA933" s="18"/>
      <c r="DYB933" s="18"/>
      <c r="DYC933" s="18"/>
      <c r="DYD933" s="18"/>
      <c r="DYE933" s="18"/>
      <c r="DYF933" s="18"/>
      <c r="DYG933" s="18"/>
      <c r="DYH933" s="18"/>
      <c r="DYI933" s="18"/>
      <c r="DYJ933" s="18"/>
      <c r="DYK933" s="18"/>
      <c r="DYL933" s="18"/>
      <c r="DYM933" s="18"/>
      <c r="DYN933" s="18"/>
      <c r="DYO933" s="18"/>
      <c r="DYP933" s="18"/>
      <c r="DYQ933" s="18"/>
      <c r="DYR933" s="18"/>
      <c r="DYS933" s="18"/>
      <c r="DYT933" s="18"/>
      <c r="DYU933" s="18"/>
      <c r="DYV933" s="18"/>
      <c r="DYW933" s="18"/>
      <c r="DYX933" s="18"/>
      <c r="DYY933" s="18"/>
      <c r="DYZ933" s="18"/>
      <c r="DZA933" s="18"/>
      <c r="DZB933" s="18"/>
      <c r="DZC933" s="18"/>
      <c r="DZD933" s="18"/>
      <c r="DZE933" s="18"/>
      <c r="DZF933" s="18"/>
      <c r="DZG933" s="18"/>
      <c r="DZH933" s="18"/>
      <c r="DZI933" s="18"/>
      <c r="DZJ933" s="18"/>
      <c r="DZK933" s="18"/>
      <c r="DZL933" s="18"/>
      <c r="DZM933" s="18"/>
      <c r="DZN933" s="18"/>
      <c r="DZO933" s="18"/>
      <c r="DZP933" s="18"/>
      <c r="DZQ933" s="18"/>
      <c r="DZR933" s="18"/>
      <c r="DZS933" s="18"/>
      <c r="DZT933" s="18"/>
      <c r="DZU933" s="18"/>
      <c r="DZV933" s="18"/>
      <c r="DZW933" s="18"/>
      <c r="DZX933" s="18"/>
      <c r="DZY933" s="18"/>
      <c r="DZZ933" s="18"/>
      <c r="EAA933" s="18"/>
      <c r="EAB933" s="18"/>
      <c r="EAC933" s="18"/>
      <c r="EAD933" s="18"/>
      <c r="EAE933" s="18"/>
      <c r="EAF933" s="18"/>
      <c r="EAG933" s="18"/>
      <c r="EAH933" s="18"/>
      <c r="EAI933" s="18"/>
      <c r="EAJ933" s="18"/>
      <c r="EAK933" s="18"/>
      <c r="EAL933" s="18"/>
      <c r="EAM933" s="18"/>
      <c r="EAN933" s="18"/>
      <c r="EAO933" s="18"/>
      <c r="EAP933" s="18"/>
      <c r="EAQ933" s="18"/>
      <c r="EAR933" s="18"/>
      <c r="EAS933" s="18"/>
      <c r="EAT933" s="18"/>
      <c r="EAU933" s="18"/>
      <c r="EAV933" s="18"/>
      <c r="EAW933" s="18"/>
      <c r="EAX933" s="18"/>
      <c r="EAY933" s="18"/>
      <c r="EAZ933" s="18"/>
      <c r="EBA933" s="18"/>
      <c r="EBB933" s="18"/>
      <c r="EBC933" s="18"/>
      <c r="EBD933" s="18"/>
      <c r="EBE933" s="18"/>
      <c r="EBF933" s="18"/>
      <c r="EBG933" s="18"/>
      <c r="EBH933" s="18"/>
      <c r="EBI933" s="18"/>
      <c r="EBJ933" s="18"/>
      <c r="EBK933" s="18"/>
      <c r="EBL933" s="18"/>
      <c r="EBM933" s="18"/>
      <c r="EBN933" s="18"/>
      <c r="EBO933" s="18"/>
      <c r="EBP933" s="18"/>
      <c r="EBQ933" s="18"/>
      <c r="EBR933" s="18"/>
      <c r="EBS933" s="18"/>
      <c r="EBT933" s="18"/>
      <c r="EBU933" s="18"/>
      <c r="EBV933" s="18"/>
      <c r="EBW933" s="18"/>
      <c r="EBX933" s="18"/>
      <c r="EBY933" s="18"/>
      <c r="EBZ933" s="18"/>
      <c r="ECA933" s="18"/>
      <c r="ECB933" s="18"/>
      <c r="ECC933" s="18"/>
      <c r="ECD933" s="18"/>
      <c r="ECE933" s="18"/>
      <c r="ECF933" s="18"/>
      <c r="ECG933" s="18"/>
      <c r="ECH933" s="18"/>
      <c r="ECI933" s="18"/>
      <c r="ECJ933" s="18"/>
      <c r="ECK933" s="18"/>
      <c r="ECL933" s="18"/>
      <c r="ECM933" s="18"/>
      <c r="ECN933" s="18"/>
      <c r="ECO933" s="18"/>
      <c r="ECP933" s="18"/>
      <c r="ECQ933" s="18"/>
      <c r="ECR933" s="18"/>
      <c r="ECS933" s="18"/>
      <c r="ECT933" s="18"/>
      <c r="ECU933" s="18"/>
      <c r="ECV933" s="18"/>
      <c r="ECW933" s="18"/>
      <c r="ECX933" s="18"/>
      <c r="ECY933" s="18"/>
      <c r="ECZ933" s="18"/>
      <c r="EDA933" s="18"/>
      <c r="EDB933" s="18"/>
      <c r="EDC933" s="18"/>
      <c r="EDD933" s="18"/>
      <c r="EDE933" s="18"/>
      <c r="EDF933" s="18"/>
      <c r="EDG933" s="18"/>
      <c r="EDH933" s="18"/>
      <c r="EDI933" s="18"/>
      <c r="EDJ933" s="18"/>
      <c r="EDK933" s="18"/>
      <c r="EDL933" s="18"/>
      <c r="EDM933" s="18"/>
      <c r="EDN933" s="18"/>
      <c r="EDO933" s="18"/>
      <c r="EDP933" s="18"/>
      <c r="EDQ933" s="18"/>
      <c r="EDR933" s="18"/>
      <c r="EDS933" s="18"/>
      <c r="EDT933" s="18"/>
      <c r="EDU933" s="18"/>
      <c r="EDV933" s="18"/>
      <c r="EDW933" s="18"/>
      <c r="EDX933" s="18"/>
      <c r="EDY933" s="18"/>
      <c r="EDZ933" s="18"/>
      <c r="EEA933" s="18"/>
      <c r="EEB933" s="18"/>
      <c r="EEC933" s="18"/>
      <c r="EED933" s="18"/>
      <c r="EEE933" s="18"/>
      <c r="EEF933" s="18"/>
      <c r="EEG933" s="18"/>
      <c r="EEH933" s="18"/>
      <c r="EEI933" s="18"/>
      <c r="EEJ933" s="18"/>
      <c r="EEK933" s="18"/>
      <c r="EEL933" s="18"/>
      <c r="EEM933" s="18"/>
      <c r="EEN933" s="18"/>
      <c r="EEO933" s="18"/>
      <c r="EEP933" s="18"/>
      <c r="EEQ933" s="18"/>
      <c r="EER933" s="18"/>
      <c r="EES933" s="18"/>
      <c r="EET933" s="18"/>
      <c r="EEU933" s="18"/>
      <c r="EEV933" s="18"/>
      <c r="EEW933" s="18"/>
      <c r="EEX933" s="18"/>
      <c r="EEY933" s="18"/>
      <c r="EEZ933" s="18"/>
      <c r="EFA933" s="18"/>
      <c r="EFB933" s="18"/>
      <c r="EFC933" s="18"/>
      <c r="EFD933" s="18"/>
      <c r="EFE933" s="18"/>
      <c r="EFF933" s="18"/>
      <c r="EFG933" s="18"/>
      <c r="EFH933" s="18"/>
      <c r="EFI933" s="18"/>
      <c r="EFJ933" s="18"/>
      <c r="EFK933" s="18"/>
      <c r="EFL933" s="18"/>
      <c r="EFM933" s="18"/>
      <c r="EFN933" s="18"/>
      <c r="EFO933" s="18"/>
      <c r="EFP933" s="18"/>
      <c r="EFQ933" s="18"/>
      <c r="EFR933" s="18"/>
      <c r="EFS933" s="18"/>
      <c r="EFT933" s="18"/>
      <c r="EFU933" s="18"/>
      <c r="EFV933" s="18"/>
      <c r="EFW933" s="18"/>
      <c r="EFX933" s="18"/>
      <c r="EFY933" s="18"/>
      <c r="EFZ933" s="18"/>
      <c r="EGA933" s="18"/>
      <c r="EGB933" s="18"/>
      <c r="EGC933" s="18"/>
      <c r="EGD933" s="18"/>
      <c r="EGE933" s="18"/>
      <c r="EGF933" s="18"/>
      <c r="EGG933" s="18"/>
      <c r="EGH933" s="18"/>
      <c r="EGI933" s="18"/>
      <c r="EGJ933" s="18"/>
      <c r="EGK933" s="18"/>
      <c r="EGL933" s="18"/>
      <c r="EGM933" s="18"/>
      <c r="EGN933" s="18"/>
      <c r="EGO933" s="18"/>
      <c r="EGP933" s="18"/>
      <c r="EGQ933" s="18"/>
      <c r="EGR933" s="18"/>
      <c r="EGS933" s="18"/>
      <c r="EGT933" s="18"/>
      <c r="EGU933" s="18"/>
      <c r="EGV933" s="18"/>
      <c r="EGW933" s="18"/>
      <c r="EGX933" s="18"/>
      <c r="EGY933" s="18"/>
      <c r="EGZ933" s="18"/>
      <c r="EHA933" s="18"/>
      <c r="EHB933" s="18"/>
      <c r="EHC933" s="18"/>
      <c r="EHD933" s="18"/>
      <c r="EHE933" s="18"/>
      <c r="EHF933" s="18"/>
      <c r="EHG933" s="18"/>
      <c r="EHH933" s="18"/>
      <c r="EHI933" s="18"/>
      <c r="EHJ933" s="18"/>
      <c r="EHK933" s="18"/>
      <c r="EHL933" s="18"/>
      <c r="EHM933" s="18"/>
      <c r="EHN933" s="18"/>
      <c r="EHO933" s="18"/>
      <c r="EHP933" s="18"/>
      <c r="EHQ933" s="18"/>
      <c r="EHR933" s="18"/>
      <c r="EHS933" s="18"/>
      <c r="EHT933" s="18"/>
      <c r="EHU933" s="18"/>
      <c r="EHV933" s="18"/>
      <c r="EHW933" s="18"/>
      <c r="EHX933" s="18"/>
      <c r="EHY933" s="18"/>
      <c r="EHZ933" s="18"/>
      <c r="EIA933" s="18"/>
      <c r="EIB933" s="18"/>
      <c r="EIC933" s="18"/>
      <c r="EID933" s="18"/>
      <c r="EIE933" s="18"/>
      <c r="EIF933" s="18"/>
      <c r="EIG933" s="18"/>
      <c r="EIH933" s="18"/>
      <c r="EII933" s="18"/>
      <c r="EIJ933" s="18"/>
      <c r="EIK933" s="18"/>
      <c r="EIL933" s="18"/>
      <c r="EIM933" s="18"/>
      <c r="EIN933" s="18"/>
      <c r="EIO933" s="18"/>
      <c r="EIP933" s="18"/>
      <c r="EIQ933" s="18"/>
      <c r="EIR933" s="18"/>
      <c r="EIS933" s="18"/>
      <c r="EIT933" s="18"/>
      <c r="EIU933" s="18"/>
      <c r="EIV933" s="18"/>
      <c r="EIW933" s="18"/>
      <c r="EIX933" s="18"/>
      <c r="EIY933" s="18"/>
      <c r="EIZ933" s="18"/>
      <c r="EJA933" s="18"/>
      <c r="EJB933" s="18"/>
      <c r="EJC933" s="18"/>
      <c r="EJD933" s="18"/>
      <c r="EJE933" s="18"/>
      <c r="EJF933" s="18"/>
      <c r="EJG933" s="18"/>
      <c r="EJH933" s="18"/>
      <c r="EJI933" s="18"/>
      <c r="EJJ933" s="18"/>
      <c r="EJK933" s="18"/>
      <c r="EJL933" s="18"/>
      <c r="EJM933" s="18"/>
      <c r="EJN933" s="18"/>
      <c r="EJO933" s="18"/>
      <c r="EJP933" s="18"/>
      <c r="EJQ933" s="18"/>
      <c r="EJR933" s="18"/>
      <c r="EJS933" s="18"/>
      <c r="EJT933" s="18"/>
      <c r="EJU933" s="18"/>
      <c r="EJV933" s="18"/>
      <c r="EJW933" s="18"/>
      <c r="EJX933" s="18"/>
      <c r="EJY933" s="18"/>
      <c r="EJZ933" s="18"/>
      <c r="EKA933" s="18"/>
      <c r="EKB933" s="18"/>
      <c r="EKC933" s="18"/>
      <c r="EKD933" s="18"/>
      <c r="EKE933" s="18"/>
      <c r="EKF933" s="18"/>
      <c r="EKG933" s="18"/>
      <c r="EKH933" s="18"/>
      <c r="EKI933" s="18"/>
      <c r="EKJ933" s="18"/>
      <c r="EKK933" s="18"/>
      <c r="EKL933" s="18"/>
      <c r="EKM933" s="18"/>
      <c r="EKN933" s="18"/>
      <c r="EKO933" s="18"/>
      <c r="EKP933" s="18"/>
      <c r="EKQ933" s="18"/>
      <c r="EKR933" s="18"/>
      <c r="EKS933" s="18"/>
      <c r="EKT933" s="18"/>
      <c r="EKU933" s="18"/>
      <c r="EKV933" s="18"/>
      <c r="EKW933" s="18"/>
      <c r="EKX933" s="18"/>
      <c r="EKY933" s="18"/>
      <c r="EKZ933" s="18"/>
      <c r="ELA933" s="18"/>
      <c r="ELB933" s="18"/>
      <c r="ELC933" s="18"/>
      <c r="ELD933" s="18"/>
      <c r="ELE933" s="18"/>
      <c r="ELF933" s="18"/>
      <c r="ELG933" s="18"/>
      <c r="ELH933" s="18"/>
      <c r="ELI933" s="18"/>
      <c r="ELJ933" s="18"/>
      <c r="ELK933" s="18"/>
      <c r="ELL933" s="18"/>
      <c r="ELM933" s="18"/>
      <c r="ELN933" s="18"/>
      <c r="ELO933" s="18"/>
      <c r="ELP933" s="18"/>
      <c r="ELQ933" s="18"/>
      <c r="ELR933" s="18"/>
      <c r="ELS933" s="18"/>
      <c r="ELT933" s="18"/>
      <c r="ELU933" s="18"/>
      <c r="ELV933" s="18"/>
      <c r="ELW933" s="18"/>
      <c r="ELX933" s="18"/>
      <c r="ELY933" s="18"/>
      <c r="ELZ933" s="18"/>
      <c r="EMA933" s="18"/>
      <c r="EMB933" s="18"/>
      <c r="EMC933" s="18"/>
      <c r="EMD933" s="18"/>
      <c r="EME933" s="18"/>
      <c r="EMF933" s="18"/>
      <c r="EMG933" s="18"/>
      <c r="EMH933" s="18"/>
      <c r="EMI933" s="18"/>
      <c r="EMJ933" s="18"/>
      <c r="EMK933" s="18"/>
      <c r="EML933" s="18"/>
      <c r="EMM933" s="18"/>
      <c r="EMN933" s="18"/>
      <c r="EMO933" s="18"/>
      <c r="EMP933" s="18"/>
      <c r="EMQ933" s="18"/>
      <c r="EMR933" s="18"/>
      <c r="EMS933" s="18"/>
      <c r="EMT933" s="18"/>
      <c r="EMU933" s="18"/>
      <c r="EMV933" s="18"/>
      <c r="EMW933" s="18"/>
      <c r="EMX933" s="18"/>
      <c r="EMY933" s="18"/>
      <c r="EMZ933" s="18"/>
      <c r="ENA933" s="18"/>
      <c r="ENB933" s="18"/>
      <c r="ENC933" s="18"/>
      <c r="END933" s="18"/>
      <c r="ENE933" s="18"/>
      <c r="ENF933" s="18"/>
      <c r="ENG933" s="18"/>
      <c r="ENH933" s="18"/>
      <c r="ENI933" s="18"/>
      <c r="ENJ933" s="18"/>
      <c r="ENK933" s="18"/>
      <c r="ENL933" s="18"/>
      <c r="ENM933" s="18"/>
      <c r="ENN933" s="18"/>
      <c r="ENO933" s="18"/>
      <c r="ENP933" s="18"/>
      <c r="ENQ933" s="18"/>
      <c r="ENR933" s="18"/>
      <c r="ENS933" s="18"/>
      <c r="ENT933" s="18"/>
      <c r="ENU933" s="18"/>
      <c r="ENV933" s="18"/>
      <c r="ENW933" s="18"/>
      <c r="ENX933" s="18"/>
      <c r="ENY933" s="18"/>
      <c r="ENZ933" s="18"/>
      <c r="EOA933" s="18"/>
      <c r="EOB933" s="18"/>
      <c r="EOC933" s="18"/>
      <c r="EOD933" s="18"/>
      <c r="EOE933" s="18"/>
      <c r="EOF933" s="18"/>
      <c r="EOG933" s="18"/>
      <c r="EOH933" s="18"/>
      <c r="EOI933" s="18"/>
      <c r="EOJ933" s="18"/>
      <c r="EOK933" s="18"/>
      <c r="EOL933" s="18"/>
      <c r="EOM933" s="18"/>
      <c r="EON933" s="18"/>
      <c r="EOO933" s="18"/>
      <c r="EOP933" s="18"/>
      <c r="EOQ933" s="18"/>
      <c r="EOR933" s="18"/>
      <c r="EOS933" s="18"/>
      <c r="EOT933" s="18"/>
      <c r="EOU933" s="18"/>
      <c r="EOV933" s="18"/>
      <c r="EOW933" s="18"/>
      <c r="EOX933" s="18"/>
      <c r="EOY933" s="18"/>
      <c r="EOZ933" s="18"/>
      <c r="EPA933" s="18"/>
      <c r="EPB933" s="18"/>
      <c r="EPC933" s="18"/>
      <c r="EPD933" s="18"/>
      <c r="EPE933" s="18"/>
      <c r="EPF933" s="18"/>
      <c r="EPG933" s="18"/>
      <c r="EPH933" s="18"/>
      <c r="EPI933" s="18"/>
      <c r="EPJ933" s="18"/>
      <c r="EPK933" s="18"/>
      <c r="EPL933" s="18"/>
      <c r="EPM933" s="18"/>
      <c r="EPN933" s="18"/>
      <c r="EPO933" s="18"/>
      <c r="EPP933" s="18"/>
      <c r="EPQ933" s="18"/>
      <c r="EPR933" s="18"/>
      <c r="EPS933" s="18"/>
      <c r="EPT933" s="18"/>
      <c r="EPU933" s="18"/>
      <c r="EPV933" s="18"/>
      <c r="EPW933" s="18"/>
      <c r="EPX933" s="18"/>
      <c r="EPY933" s="18"/>
      <c r="EPZ933" s="18"/>
      <c r="EQA933" s="18"/>
      <c r="EQB933" s="18"/>
      <c r="EQC933" s="18"/>
      <c r="EQD933" s="18"/>
      <c r="EQE933" s="18"/>
      <c r="EQF933" s="18"/>
      <c r="EQG933" s="18"/>
      <c r="EQH933" s="18"/>
      <c r="EQI933" s="18"/>
      <c r="EQJ933" s="18"/>
      <c r="EQK933" s="18"/>
      <c r="EQL933" s="18"/>
      <c r="EQM933" s="18"/>
      <c r="EQN933" s="18"/>
      <c r="EQO933" s="18"/>
      <c r="EQP933" s="18"/>
      <c r="EQQ933" s="18"/>
      <c r="EQR933" s="18"/>
      <c r="EQS933" s="18"/>
      <c r="EQT933" s="18"/>
      <c r="EQU933" s="18"/>
      <c r="EQV933" s="18"/>
      <c r="EQW933" s="18"/>
      <c r="EQX933" s="18"/>
      <c r="EQY933" s="18"/>
      <c r="EQZ933" s="18"/>
      <c r="ERA933" s="18"/>
      <c r="ERB933" s="18"/>
      <c r="ERC933" s="18"/>
      <c r="ERD933" s="18"/>
      <c r="ERE933" s="18"/>
      <c r="ERF933" s="18"/>
      <c r="ERG933" s="18"/>
      <c r="ERH933" s="18"/>
      <c r="ERI933" s="18"/>
      <c r="ERJ933" s="18"/>
      <c r="ERK933" s="18"/>
      <c r="ERL933" s="18"/>
      <c r="ERM933" s="18"/>
      <c r="ERN933" s="18"/>
      <c r="ERO933" s="18"/>
      <c r="ERP933" s="18"/>
      <c r="ERQ933" s="18"/>
      <c r="ERR933" s="18"/>
      <c r="ERS933" s="18"/>
      <c r="ERT933" s="18"/>
      <c r="ERU933" s="18"/>
      <c r="ERV933" s="18"/>
      <c r="ERW933" s="18"/>
      <c r="ERX933" s="18"/>
      <c r="ERY933" s="18"/>
      <c r="ERZ933" s="18"/>
      <c r="ESA933" s="18"/>
      <c r="ESB933" s="18"/>
      <c r="ESC933" s="18"/>
      <c r="ESD933" s="18"/>
      <c r="ESE933" s="18"/>
      <c r="ESF933" s="18"/>
      <c r="ESG933" s="18"/>
      <c r="ESH933" s="18"/>
      <c r="ESI933" s="18"/>
      <c r="ESJ933" s="18"/>
      <c r="ESK933" s="18"/>
      <c r="ESL933" s="18"/>
      <c r="ESM933" s="18"/>
      <c r="ESN933" s="18"/>
      <c r="ESO933" s="18"/>
      <c r="ESP933" s="18"/>
      <c r="ESQ933" s="18"/>
      <c r="ESR933" s="18"/>
      <c r="ESS933" s="18"/>
      <c r="EST933" s="18"/>
      <c r="ESU933" s="18"/>
      <c r="ESV933" s="18"/>
      <c r="ESW933" s="18"/>
      <c r="ESX933" s="18"/>
      <c r="ESY933" s="18"/>
      <c r="ESZ933" s="18"/>
      <c r="ETA933" s="18"/>
      <c r="ETB933" s="18"/>
      <c r="ETC933" s="18"/>
      <c r="ETD933" s="18"/>
      <c r="ETE933" s="18"/>
      <c r="ETF933" s="18"/>
      <c r="ETG933" s="18"/>
      <c r="ETH933" s="18"/>
      <c r="ETI933" s="18"/>
      <c r="ETJ933" s="18"/>
      <c r="ETK933" s="18"/>
      <c r="ETL933" s="18"/>
      <c r="ETM933" s="18"/>
      <c r="ETN933" s="18"/>
      <c r="ETO933" s="18"/>
      <c r="ETP933" s="18"/>
      <c r="ETQ933" s="18"/>
      <c r="ETR933" s="18"/>
      <c r="ETS933" s="18"/>
      <c r="ETT933" s="18"/>
      <c r="ETU933" s="18"/>
      <c r="ETV933" s="18"/>
      <c r="ETW933" s="18"/>
      <c r="ETX933" s="18"/>
      <c r="ETY933" s="18"/>
      <c r="ETZ933" s="18"/>
      <c r="EUA933" s="18"/>
      <c r="EUB933" s="18"/>
      <c r="EUC933" s="18"/>
      <c r="EUD933" s="18"/>
      <c r="EUE933" s="18"/>
      <c r="EUF933" s="18"/>
      <c r="EUG933" s="18"/>
      <c r="EUH933" s="18"/>
      <c r="EUI933" s="18"/>
      <c r="EUJ933" s="18"/>
      <c r="EUK933" s="18"/>
      <c r="EUL933" s="18"/>
      <c r="EUM933" s="18"/>
      <c r="EUN933" s="18"/>
      <c r="EUO933" s="18"/>
      <c r="EUP933" s="18"/>
      <c r="EUQ933" s="18"/>
      <c r="EUR933" s="18"/>
      <c r="EUS933" s="18"/>
      <c r="EUT933" s="18"/>
      <c r="EUU933" s="18"/>
      <c r="EUV933" s="18"/>
      <c r="EUW933" s="18"/>
      <c r="EUX933" s="18"/>
      <c r="EUY933" s="18"/>
      <c r="EUZ933" s="18"/>
      <c r="EVA933" s="18"/>
      <c r="EVB933" s="18"/>
      <c r="EVC933" s="18"/>
      <c r="EVD933" s="18"/>
      <c r="EVE933" s="18"/>
      <c r="EVF933" s="18"/>
      <c r="EVG933" s="18"/>
      <c r="EVH933" s="18"/>
      <c r="EVI933" s="18"/>
      <c r="EVJ933" s="18"/>
      <c r="EVK933" s="18"/>
      <c r="EVL933" s="18"/>
      <c r="EVM933" s="18"/>
      <c r="EVN933" s="18"/>
      <c r="EVO933" s="18"/>
      <c r="EVP933" s="18"/>
      <c r="EVQ933" s="18"/>
      <c r="EVR933" s="18"/>
      <c r="EVS933" s="18"/>
      <c r="EVT933" s="18"/>
      <c r="EVU933" s="18"/>
      <c r="EVV933" s="18"/>
      <c r="EVW933" s="18"/>
      <c r="EVX933" s="18"/>
      <c r="EVY933" s="18"/>
      <c r="EVZ933" s="18"/>
      <c r="EWA933" s="18"/>
      <c r="EWB933" s="18"/>
      <c r="EWC933" s="18"/>
      <c r="EWD933" s="18"/>
      <c r="EWE933" s="18"/>
      <c r="EWF933" s="18"/>
      <c r="EWG933" s="18"/>
      <c r="EWH933" s="18"/>
      <c r="EWI933" s="18"/>
      <c r="EWJ933" s="18"/>
      <c r="EWK933" s="18"/>
      <c r="EWL933" s="18"/>
      <c r="EWM933" s="18"/>
      <c r="EWN933" s="18"/>
      <c r="EWO933" s="18"/>
      <c r="EWP933" s="18"/>
      <c r="EWQ933" s="18"/>
      <c r="EWR933" s="18"/>
      <c r="EWS933" s="18"/>
      <c r="EWT933" s="18"/>
      <c r="EWU933" s="18"/>
      <c r="EWV933" s="18"/>
      <c r="EWW933" s="18"/>
      <c r="EWX933" s="18"/>
      <c r="EWY933" s="18"/>
      <c r="EWZ933" s="18"/>
      <c r="EXA933" s="18"/>
      <c r="EXB933" s="18"/>
      <c r="EXC933" s="18"/>
      <c r="EXD933" s="18"/>
      <c r="EXE933" s="18"/>
      <c r="EXF933" s="18"/>
      <c r="EXG933" s="18"/>
      <c r="EXH933" s="18"/>
      <c r="EXI933" s="18"/>
      <c r="EXJ933" s="18"/>
      <c r="EXK933" s="18"/>
      <c r="EXL933" s="18"/>
      <c r="EXM933" s="18"/>
      <c r="EXN933" s="18"/>
      <c r="EXO933" s="18"/>
      <c r="EXP933" s="18"/>
      <c r="EXQ933" s="18"/>
      <c r="EXR933" s="18"/>
      <c r="EXS933" s="18"/>
      <c r="EXT933" s="18"/>
      <c r="EXU933" s="18"/>
      <c r="EXV933" s="18"/>
      <c r="EXW933" s="18"/>
      <c r="EXX933" s="18"/>
      <c r="EXY933" s="18"/>
      <c r="EXZ933" s="18"/>
      <c r="EYA933" s="18"/>
      <c r="EYB933" s="18"/>
      <c r="EYC933" s="18"/>
      <c r="EYD933" s="18"/>
      <c r="EYE933" s="18"/>
      <c r="EYF933" s="18"/>
      <c r="EYG933" s="18"/>
      <c r="EYH933" s="18"/>
      <c r="EYI933" s="18"/>
      <c r="EYJ933" s="18"/>
      <c r="EYK933" s="18"/>
      <c r="EYL933" s="18"/>
      <c r="EYM933" s="18"/>
      <c r="EYN933" s="18"/>
      <c r="EYO933" s="18"/>
      <c r="EYP933" s="18"/>
      <c r="EYQ933" s="18"/>
      <c r="EYR933" s="18"/>
      <c r="EYS933" s="18"/>
      <c r="EYT933" s="18"/>
      <c r="EYU933" s="18"/>
      <c r="EYV933" s="18"/>
      <c r="EYW933" s="18"/>
      <c r="EYX933" s="18"/>
      <c r="EYY933" s="18"/>
      <c r="EYZ933" s="18"/>
      <c r="EZA933" s="18"/>
      <c r="EZB933" s="18"/>
      <c r="EZC933" s="18"/>
      <c r="EZD933" s="18"/>
      <c r="EZE933" s="18"/>
      <c r="EZF933" s="18"/>
      <c r="EZG933" s="18"/>
      <c r="EZH933" s="18"/>
      <c r="EZI933" s="18"/>
      <c r="EZJ933" s="18"/>
      <c r="EZK933" s="18"/>
      <c r="EZL933" s="18"/>
      <c r="EZM933" s="18"/>
      <c r="EZN933" s="18"/>
      <c r="EZO933" s="18"/>
      <c r="EZP933" s="18"/>
      <c r="EZQ933" s="18"/>
      <c r="EZR933" s="18"/>
      <c r="EZS933" s="18"/>
      <c r="EZT933" s="18"/>
      <c r="EZU933" s="18"/>
      <c r="EZV933" s="18"/>
      <c r="EZW933" s="18"/>
      <c r="EZX933" s="18"/>
      <c r="EZY933" s="18"/>
      <c r="EZZ933" s="18"/>
      <c r="FAA933" s="18"/>
      <c r="FAB933" s="18"/>
      <c r="FAC933" s="18"/>
      <c r="FAD933" s="18"/>
      <c r="FAE933" s="18"/>
      <c r="FAF933" s="18"/>
      <c r="FAG933" s="18"/>
      <c r="FAH933" s="18"/>
      <c r="FAI933" s="18"/>
      <c r="FAJ933" s="18"/>
      <c r="FAK933" s="18"/>
      <c r="FAL933" s="18"/>
      <c r="FAM933" s="18"/>
      <c r="FAN933" s="18"/>
      <c r="FAO933" s="18"/>
      <c r="FAP933" s="18"/>
      <c r="FAQ933" s="18"/>
      <c r="FAR933" s="18"/>
      <c r="FAS933" s="18"/>
      <c r="FAT933" s="18"/>
      <c r="FAU933" s="18"/>
      <c r="FAV933" s="18"/>
      <c r="FAW933" s="18"/>
      <c r="FAX933" s="18"/>
      <c r="FAY933" s="18"/>
      <c r="FAZ933" s="18"/>
      <c r="FBA933" s="18"/>
      <c r="FBB933" s="18"/>
      <c r="FBC933" s="18"/>
      <c r="FBD933" s="18"/>
      <c r="FBE933" s="18"/>
      <c r="FBF933" s="18"/>
      <c r="FBG933" s="18"/>
      <c r="FBH933" s="18"/>
      <c r="FBI933" s="18"/>
      <c r="FBJ933" s="18"/>
      <c r="FBK933" s="18"/>
      <c r="FBL933" s="18"/>
      <c r="FBM933" s="18"/>
      <c r="FBN933" s="18"/>
      <c r="FBO933" s="18"/>
      <c r="FBP933" s="18"/>
      <c r="FBQ933" s="18"/>
      <c r="FBR933" s="18"/>
      <c r="FBS933" s="18"/>
      <c r="FBT933" s="18"/>
      <c r="FBU933" s="18"/>
      <c r="FBV933" s="18"/>
      <c r="FBW933" s="18"/>
      <c r="FBX933" s="18"/>
      <c r="FBY933" s="18"/>
      <c r="FBZ933" s="18"/>
      <c r="FCA933" s="18"/>
      <c r="FCB933" s="18"/>
      <c r="FCC933" s="18"/>
      <c r="FCD933" s="18"/>
      <c r="FCE933" s="18"/>
      <c r="FCF933" s="18"/>
      <c r="FCG933" s="18"/>
      <c r="FCH933" s="18"/>
      <c r="FCI933" s="18"/>
      <c r="FCJ933" s="18"/>
      <c r="FCK933" s="18"/>
      <c r="FCL933" s="18"/>
      <c r="FCM933" s="18"/>
      <c r="FCN933" s="18"/>
      <c r="FCO933" s="18"/>
      <c r="FCP933" s="18"/>
      <c r="FCQ933" s="18"/>
      <c r="FCR933" s="18"/>
      <c r="FCS933" s="18"/>
      <c r="FCT933" s="18"/>
      <c r="FCU933" s="18"/>
      <c r="FCV933" s="18"/>
      <c r="FCW933" s="18"/>
      <c r="FCX933" s="18"/>
      <c r="FCY933" s="18"/>
      <c r="FCZ933" s="18"/>
      <c r="FDA933" s="18"/>
      <c r="FDB933" s="18"/>
      <c r="FDC933" s="18"/>
      <c r="FDD933" s="18"/>
      <c r="FDE933" s="18"/>
      <c r="FDF933" s="18"/>
      <c r="FDG933" s="18"/>
      <c r="FDH933" s="18"/>
      <c r="FDI933" s="18"/>
      <c r="FDJ933" s="18"/>
      <c r="FDK933" s="18"/>
      <c r="FDL933" s="18"/>
      <c r="FDM933" s="18"/>
      <c r="FDN933" s="18"/>
      <c r="FDO933" s="18"/>
      <c r="FDP933" s="18"/>
      <c r="FDQ933" s="18"/>
      <c r="FDR933" s="18"/>
      <c r="FDS933" s="18"/>
      <c r="FDT933" s="18"/>
      <c r="FDU933" s="18"/>
      <c r="FDV933" s="18"/>
      <c r="FDW933" s="18"/>
      <c r="FDX933" s="18"/>
      <c r="FDY933" s="18"/>
      <c r="FDZ933" s="18"/>
      <c r="FEA933" s="18"/>
      <c r="FEB933" s="18"/>
      <c r="FEC933" s="18"/>
      <c r="FED933" s="18"/>
      <c r="FEE933" s="18"/>
      <c r="FEF933" s="18"/>
      <c r="FEG933" s="18"/>
      <c r="FEH933" s="18"/>
      <c r="FEI933" s="18"/>
      <c r="FEJ933" s="18"/>
      <c r="FEK933" s="18"/>
      <c r="FEL933" s="18"/>
      <c r="FEM933" s="18"/>
      <c r="FEN933" s="18"/>
      <c r="FEO933" s="18"/>
      <c r="FEP933" s="18"/>
      <c r="FEQ933" s="18"/>
      <c r="FER933" s="18"/>
      <c r="FES933" s="18"/>
      <c r="FET933" s="18"/>
      <c r="FEU933" s="18"/>
      <c r="FEV933" s="18"/>
      <c r="FEW933" s="18"/>
      <c r="FEX933" s="18"/>
      <c r="FEY933" s="18"/>
      <c r="FEZ933" s="18"/>
      <c r="FFA933" s="18"/>
      <c r="FFB933" s="18"/>
      <c r="FFC933" s="18"/>
      <c r="FFD933" s="18"/>
      <c r="FFE933" s="18"/>
      <c r="FFF933" s="18"/>
      <c r="FFG933" s="18"/>
      <c r="FFH933" s="18"/>
      <c r="FFI933" s="18"/>
      <c r="FFJ933" s="18"/>
      <c r="FFK933" s="18"/>
      <c r="FFL933" s="18"/>
      <c r="FFM933" s="18"/>
      <c r="FFN933" s="18"/>
      <c r="FFO933" s="18"/>
      <c r="FFP933" s="18"/>
      <c r="FFQ933" s="18"/>
      <c r="FFR933" s="18"/>
      <c r="FFS933" s="18"/>
      <c r="FFT933" s="18"/>
      <c r="FFU933" s="18"/>
      <c r="FFV933" s="18"/>
      <c r="FFW933" s="18"/>
      <c r="FFX933" s="18"/>
      <c r="FFY933" s="18"/>
      <c r="FFZ933" s="18"/>
      <c r="FGA933" s="18"/>
      <c r="FGB933" s="18"/>
      <c r="FGC933" s="18"/>
      <c r="FGD933" s="18"/>
      <c r="FGE933" s="18"/>
      <c r="FGF933" s="18"/>
      <c r="FGG933" s="18"/>
      <c r="FGH933" s="18"/>
      <c r="FGI933" s="18"/>
      <c r="FGJ933" s="18"/>
      <c r="FGK933" s="18"/>
      <c r="FGL933" s="18"/>
      <c r="FGM933" s="18"/>
      <c r="FGN933" s="18"/>
      <c r="FGO933" s="18"/>
      <c r="FGP933" s="18"/>
      <c r="FGQ933" s="18"/>
      <c r="FGR933" s="18"/>
      <c r="FGS933" s="18"/>
      <c r="FGT933" s="18"/>
      <c r="FGU933" s="18"/>
      <c r="FGV933" s="18"/>
      <c r="FGW933" s="18"/>
      <c r="FGX933" s="18"/>
      <c r="FGY933" s="18"/>
      <c r="FGZ933" s="18"/>
      <c r="FHA933" s="18"/>
      <c r="FHB933" s="18"/>
      <c r="FHC933" s="18"/>
      <c r="FHD933" s="18"/>
      <c r="FHE933" s="18"/>
      <c r="FHF933" s="18"/>
      <c r="FHG933" s="18"/>
      <c r="FHH933" s="18"/>
      <c r="FHI933" s="18"/>
      <c r="FHJ933" s="18"/>
      <c r="FHK933" s="18"/>
      <c r="FHL933" s="18"/>
      <c r="FHM933" s="18"/>
      <c r="FHN933" s="18"/>
      <c r="FHO933" s="18"/>
      <c r="FHP933" s="18"/>
      <c r="FHQ933" s="18"/>
      <c r="FHR933" s="18"/>
      <c r="FHS933" s="18"/>
      <c r="FHT933" s="18"/>
      <c r="FHU933" s="18"/>
      <c r="FHV933" s="18"/>
      <c r="FHW933" s="18"/>
      <c r="FHX933" s="18"/>
      <c r="FHY933" s="18"/>
      <c r="FHZ933" s="18"/>
      <c r="FIA933" s="18"/>
      <c r="FIB933" s="18"/>
      <c r="FIC933" s="18"/>
      <c r="FID933" s="18"/>
      <c r="FIE933" s="18"/>
      <c r="FIF933" s="18"/>
      <c r="FIG933" s="18"/>
      <c r="FIH933" s="18"/>
      <c r="FII933" s="18"/>
      <c r="FIJ933" s="18"/>
      <c r="FIK933" s="18"/>
      <c r="FIL933" s="18"/>
      <c r="FIM933" s="18"/>
      <c r="FIN933" s="18"/>
      <c r="FIO933" s="18"/>
      <c r="FIP933" s="18"/>
      <c r="FIQ933" s="18"/>
      <c r="FIR933" s="18"/>
      <c r="FIS933" s="18"/>
      <c r="FIT933" s="18"/>
      <c r="FIU933" s="18"/>
      <c r="FIV933" s="18"/>
      <c r="FIW933" s="18"/>
      <c r="FIX933" s="18"/>
      <c r="FIY933" s="18"/>
      <c r="FIZ933" s="18"/>
      <c r="FJA933" s="18"/>
      <c r="FJB933" s="18"/>
      <c r="FJC933" s="18"/>
      <c r="FJD933" s="18"/>
      <c r="FJE933" s="18"/>
      <c r="FJF933" s="18"/>
      <c r="FJG933" s="18"/>
      <c r="FJH933" s="18"/>
      <c r="FJI933" s="18"/>
      <c r="FJJ933" s="18"/>
      <c r="FJK933" s="18"/>
      <c r="FJL933" s="18"/>
      <c r="FJM933" s="18"/>
      <c r="FJN933" s="18"/>
      <c r="FJO933" s="18"/>
      <c r="FJP933" s="18"/>
      <c r="FJQ933" s="18"/>
      <c r="FJR933" s="18"/>
      <c r="FJS933" s="18"/>
      <c r="FJT933" s="18"/>
      <c r="FJU933" s="18"/>
      <c r="FJV933" s="18"/>
      <c r="FJW933" s="18"/>
      <c r="FJX933" s="18"/>
      <c r="FJY933" s="18"/>
      <c r="FJZ933" s="18"/>
      <c r="FKA933" s="18"/>
      <c r="FKB933" s="18"/>
      <c r="FKC933" s="18"/>
      <c r="FKD933" s="18"/>
      <c r="FKE933" s="18"/>
      <c r="FKF933" s="18"/>
      <c r="FKG933" s="18"/>
      <c r="FKH933" s="18"/>
      <c r="FKI933" s="18"/>
      <c r="FKJ933" s="18"/>
      <c r="FKK933" s="18"/>
      <c r="FKL933" s="18"/>
      <c r="FKM933" s="18"/>
      <c r="FKN933" s="18"/>
      <c r="FKO933" s="18"/>
      <c r="FKP933" s="18"/>
      <c r="FKQ933" s="18"/>
      <c r="FKR933" s="18"/>
      <c r="FKS933" s="18"/>
      <c r="FKT933" s="18"/>
      <c r="FKU933" s="18"/>
      <c r="FKV933" s="18"/>
      <c r="FKW933" s="18"/>
      <c r="FKX933" s="18"/>
      <c r="FKY933" s="18"/>
      <c r="FKZ933" s="18"/>
      <c r="FLA933" s="18"/>
      <c r="FLB933" s="18"/>
      <c r="FLC933" s="18"/>
      <c r="FLD933" s="18"/>
      <c r="FLE933" s="18"/>
      <c r="FLF933" s="18"/>
      <c r="FLG933" s="18"/>
      <c r="FLH933" s="18"/>
      <c r="FLI933" s="18"/>
      <c r="FLJ933" s="18"/>
      <c r="FLK933" s="18"/>
      <c r="FLL933" s="18"/>
      <c r="FLM933" s="18"/>
      <c r="FLN933" s="18"/>
      <c r="FLO933" s="18"/>
      <c r="FLP933" s="18"/>
      <c r="FLQ933" s="18"/>
      <c r="FLR933" s="18"/>
      <c r="FLS933" s="18"/>
      <c r="FLT933" s="18"/>
      <c r="FLU933" s="18"/>
      <c r="FLV933" s="18"/>
      <c r="FLW933" s="18"/>
      <c r="FLX933" s="18"/>
      <c r="FLY933" s="18"/>
      <c r="FLZ933" s="18"/>
      <c r="FMA933" s="18"/>
      <c r="FMB933" s="18"/>
      <c r="FMC933" s="18"/>
      <c r="FMD933" s="18"/>
      <c r="FME933" s="18"/>
      <c r="FMF933" s="18"/>
      <c r="FMG933" s="18"/>
      <c r="FMH933" s="18"/>
      <c r="FMI933" s="18"/>
      <c r="FMJ933" s="18"/>
      <c r="FMK933" s="18"/>
      <c r="FML933" s="18"/>
      <c r="FMM933" s="18"/>
      <c r="FMN933" s="18"/>
      <c r="FMO933" s="18"/>
      <c r="FMP933" s="18"/>
      <c r="FMQ933" s="18"/>
      <c r="FMR933" s="18"/>
      <c r="FMS933" s="18"/>
      <c r="FMT933" s="18"/>
      <c r="FMU933" s="18"/>
      <c r="FMV933" s="18"/>
      <c r="FMW933" s="18"/>
      <c r="FMX933" s="18"/>
      <c r="FMY933" s="18"/>
      <c r="FMZ933" s="18"/>
      <c r="FNA933" s="18"/>
      <c r="FNB933" s="18"/>
      <c r="FNC933" s="18"/>
      <c r="FND933" s="18"/>
      <c r="FNE933" s="18"/>
      <c r="FNF933" s="18"/>
      <c r="FNG933" s="18"/>
      <c r="FNH933" s="18"/>
      <c r="FNI933" s="18"/>
      <c r="FNJ933" s="18"/>
      <c r="FNK933" s="18"/>
      <c r="FNL933" s="18"/>
      <c r="FNM933" s="18"/>
      <c r="FNN933" s="18"/>
      <c r="FNO933" s="18"/>
      <c r="FNP933" s="18"/>
      <c r="FNQ933" s="18"/>
      <c r="FNR933" s="18"/>
      <c r="FNS933" s="18"/>
      <c r="FNT933" s="18"/>
      <c r="FNU933" s="18"/>
      <c r="FNV933" s="18"/>
      <c r="FNW933" s="18"/>
      <c r="FNX933" s="18"/>
      <c r="FNY933" s="18"/>
      <c r="FNZ933" s="18"/>
      <c r="FOA933" s="18"/>
      <c r="FOB933" s="18"/>
      <c r="FOC933" s="18"/>
      <c r="FOD933" s="18"/>
      <c r="FOE933" s="18"/>
      <c r="FOF933" s="18"/>
      <c r="FOG933" s="18"/>
      <c r="FOH933" s="18"/>
      <c r="FOI933" s="18"/>
      <c r="FOJ933" s="18"/>
      <c r="FOK933" s="18"/>
      <c r="FOL933" s="18"/>
      <c r="FOM933" s="18"/>
      <c r="FON933" s="18"/>
      <c r="FOO933" s="18"/>
      <c r="FOP933" s="18"/>
      <c r="FOQ933" s="18"/>
      <c r="FOR933" s="18"/>
      <c r="FOS933" s="18"/>
      <c r="FOT933" s="18"/>
      <c r="FOU933" s="18"/>
      <c r="FOV933" s="18"/>
      <c r="FOW933" s="18"/>
      <c r="FOX933" s="18"/>
      <c r="FOY933" s="18"/>
      <c r="FOZ933" s="18"/>
      <c r="FPA933" s="18"/>
      <c r="FPB933" s="18"/>
      <c r="FPC933" s="18"/>
      <c r="FPD933" s="18"/>
      <c r="FPE933" s="18"/>
      <c r="FPF933" s="18"/>
      <c r="FPG933" s="18"/>
      <c r="FPH933" s="18"/>
      <c r="FPI933" s="18"/>
      <c r="FPJ933" s="18"/>
      <c r="FPK933" s="18"/>
      <c r="FPL933" s="18"/>
      <c r="FPM933" s="18"/>
      <c r="FPN933" s="18"/>
      <c r="FPO933" s="18"/>
      <c r="FPP933" s="18"/>
      <c r="FPQ933" s="18"/>
      <c r="FPR933" s="18"/>
      <c r="FPS933" s="18"/>
      <c r="FPT933" s="18"/>
      <c r="FPU933" s="18"/>
      <c r="FPV933" s="18"/>
      <c r="FPW933" s="18"/>
      <c r="FPX933" s="18"/>
      <c r="FPY933" s="18"/>
      <c r="FPZ933" s="18"/>
      <c r="FQA933" s="18"/>
      <c r="FQB933" s="18"/>
      <c r="FQC933" s="18"/>
      <c r="FQD933" s="18"/>
      <c r="FQE933" s="18"/>
      <c r="FQF933" s="18"/>
      <c r="FQG933" s="18"/>
      <c r="FQH933" s="18"/>
      <c r="FQI933" s="18"/>
      <c r="FQJ933" s="18"/>
      <c r="FQK933" s="18"/>
      <c r="FQL933" s="18"/>
      <c r="FQM933" s="18"/>
      <c r="FQN933" s="18"/>
      <c r="FQO933" s="18"/>
      <c r="FQP933" s="18"/>
      <c r="FQQ933" s="18"/>
      <c r="FQR933" s="18"/>
      <c r="FQS933" s="18"/>
      <c r="FQT933" s="18"/>
      <c r="FQU933" s="18"/>
      <c r="FQV933" s="18"/>
      <c r="FQW933" s="18"/>
      <c r="FQX933" s="18"/>
      <c r="FQY933" s="18"/>
      <c r="FQZ933" s="18"/>
      <c r="FRA933" s="18"/>
      <c r="FRB933" s="18"/>
      <c r="FRC933" s="18"/>
      <c r="FRD933" s="18"/>
      <c r="FRE933" s="18"/>
      <c r="FRF933" s="18"/>
      <c r="FRG933" s="18"/>
      <c r="FRH933" s="18"/>
      <c r="FRI933" s="18"/>
      <c r="FRJ933" s="18"/>
      <c r="FRK933" s="18"/>
      <c r="FRL933" s="18"/>
      <c r="FRM933" s="18"/>
      <c r="FRN933" s="18"/>
      <c r="FRO933" s="18"/>
      <c r="FRP933" s="18"/>
      <c r="FRQ933" s="18"/>
      <c r="FRR933" s="18"/>
      <c r="FRS933" s="18"/>
      <c r="FRT933" s="18"/>
      <c r="FRU933" s="18"/>
      <c r="FRV933" s="18"/>
      <c r="FRW933" s="18"/>
      <c r="FRX933" s="18"/>
      <c r="FRY933" s="18"/>
      <c r="FRZ933" s="18"/>
      <c r="FSA933" s="18"/>
      <c r="FSB933" s="18"/>
      <c r="FSC933" s="18"/>
      <c r="FSD933" s="18"/>
      <c r="FSE933" s="18"/>
      <c r="FSF933" s="18"/>
      <c r="FSG933" s="18"/>
      <c r="FSH933" s="18"/>
      <c r="FSI933" s="18"/>
      <c r="FSJ933" s="18"/>
      <c r="FSK933" s="18"/>
      <c r="FSL933" s="18"/>
      <c r="FSM933" s="18"/>
      <c r="FSN933" s="18"/>
      <c r="FSO933" s="18"/>
      <c r="FSP933" s="18"/>
      <c r="FSQ933" s="18"/>
      <c r="FSR933" s="18"/>
      <c r="FSS933" s="18"/>
      <c r="FST933" s="18"/>
      <c r="FSU933" s="18"/>
      <c r="FSV933" s="18"/>
      <c r="FSW933" s="18"/>
      <c r="FSX933" s="18"/>
      <c r="FSY933" s="18"/>
      <c r="FSZ933" s="18"/>
      <c r="FTA933" s="18"/>
      <c r="FTB933" s="18"/>
      <c r="FTC933" s="18"/>
      <c r="FTD933" s="18"/>
      <c r="FTE933" s="18"/>
      <c r="FTF933" s="18"/>
      <c r="FTG933" s="18"/>
      <c r="FTH933" s="18"/>
      <c r="FTI933" s="18"/>
      <c r="FTJ933" s="18"/>
      <c r="FTK933" s="18"/>
      <c r="FTL933" s="18"/>
      <c r="FTM933" s="18"/>
      <c r="FTN933" s="18"/>
      <c r="FTO933" s="18"/>
      <c r="FTP933" s="18"/>
      <c r="FTQ933" s="18"/>
      <c r="FTR933" s="18"/>
      <c r="FTS933" s="18"/>
      <c r="FTT933" s="18"/>
      <c r="FTU933" s="18"/>
      <c r="FTV933" s="18"/>
      <c r="FTW933" s="18"/>
      <c r="FTX933" s="18"/>
      <c r="FTY933" s="18"/>
      <c r="FTZ933" s="18"/>
      <c r="FUA933" s="18"/>
      <c r="FUB933" s="18"/>
      <c r="FUC933" s="18"/>
      <c r="FUD933" s="18"/>
      <c r="FUE933" s="18"/>
      <c r="FUF933" s="18"/>
      <c r="FUG933" s="18"/>
      <c r="FUH933" s="18"/>
      <c r="FUI933" s="18"/>
      <c r="FUJ933" s="18"/>
      <c r="FUK933" s="18"/>
      <c r="FUL933" s="18"/>
      <c r="FUM933" s="18"/>
      <c r="FUN933" s="18"/>
      <c r="FUO933" s="18"/>
      <c r="FUP933" s="18"/>
      <c r="FUQ933" s="18"/>
      <c r="FUR933" s="18"/>
      <c r="FUS933" s="18"/>
      <c r="FUT933" s="18"/>
      <c r="FUU933" s="18"/>
      <c r="FUV933" s="18"/>
      <c r="FUW933" s="18"/>
      <c r="FUX933" s="18"/>
      <c r="FUY933" s="18"/>
      <c r="FUZ933" s="18"/>
      <c r="FVA933" s="18"/>
      <c r="FVB933" s="18"/>
      <c r="FVC933" s="18"/>
      <c r="FVD933" s="18"/>
      <c r="FVE933" s="18"/>
      <c r="FVF933" s="18"/>
      <c r="FVG933" s="18"/>
      <c r="FVH933" s="18"/>
      <c r="FVI933" s="18"/>
      <c r="FVJ933" s="18"/>
      <c r="FVK933" s="18"/>
      <c r="FVL933" s="18"/>
      <c r="FVM933" s="18"/>
      <c r="FVN933" s="18"/>
      <c r="FVO933" s="18"/>
      <c r="FVP933" s="18"/>
      <c r="FVQ933" s="18"/>
      <c r="FVR933" s="18"/>
      <c r="FVS933" s="18"/>
      <c r="FVT933" s="18"/>
      <c r="FVU933" s="18"/>
      <c r="FVV933" s="18"/>
      <c r="FVW933" s="18"/>
      <c r="FVX933" s="18"/>
      <c r="FVY933" s="18"/>
      <c r="FVZ933" s="18"/>
      <c r="FWA933" s="18"/>
      <c r="FWB933" s="18"/>
      <c r="FWC933" s="18"/>
      <c r="FWD933" s="18"/>
      <c r="FWE933" s="18"/>
      <c r="FWF933" s="18"/>
      <c r="FWG933" s="18"/>
      <c r="FWH933" s="18"/>
      <c r="FWI933" s="18"/>
      <c r="FWJ933" s="18"/>
      <c r="FWK933" s="18"/>
      <c r="FWL933" s="18"/>
      <c r="FWM933" s="18"/>
      <c r="FWN933" s="18"/>
      <c r="FWO933" s="18"/>
      <c r="FWP933" s="18"/>
      <c r="FWQ933" s="18"/>
      <c r="FWR933" s="18"/>
      <c r="FWS933" s="18"/>
      <c r="FWT933" s="18"/>
      <c r="FWU933" s="18"/>
      <c r="FWV933" s="18"/>
      <c r="FWW933" s="18"/>
      <c r="FWX933" s="18"/>
      <c r="FWY933" s="18"/>
      <c r="FWZ933" s="18"/>
      <c r="FXA933" s="18"/>
      <c r="FXB933" s="18"/>
      <c r="FXC933" s="18"/>
      <c r="FXD933" s="18"/>
      <c r="FXE933" s="18"/>
      <c r="FXF933" s="18"/>
      <c r="FXG933" s="18"/>
      <c r="FXH933" s="18"/>
      <c r="FXI933" s="18"/>
      <c r="FXJ933" s="18"/>
      <c r="FXK933" s="18"/>
      <c r="FXL933" s="18"/>
      <c r="FXM933" s="18"/>
      <c r="FXN933" s="18"/>
      <c r="FXO933" s="18"/>
      <c r="FXP933" s="18"/>
      <c r="FXQ933" s="18"/>
      <c r="FXR933" s="18"/>
      <c r="FXS933" s="18"/>
      <c r="FXT933" s="18"/>
      <c r="FXU933" s="18"/>
      <c r="FXV933" s="18"/>
      <c r="FXW933" s="18"/>
      <c r="FXX933" s="18"/>
      <c r="FXY933" s="18"/>
      <c r="FXZ933" s="18"/>
      <c r="FYA933" s="18"/>
      <c r="FYB933" s="18"/>
      <c r="FYC933" s="18"/>
      <c r="FYD933" s="18"/>
      <c r="FYE933" s="18"/>
      <c r="FYF933" s="18"/>
      <c r="FYG933" s="18"/>
      <c r="FYH933" s="18"/>
      <c r="FYI933" s="18"/>
      <c r="FYJ933" s="18"/>
      <c r="FYK933" s="18"/>
      <c r="FYL933" s="18"/>
      <c r="FYM933" s="18"/>
      <c r="FYN933" s="18"/>
      <c r="FYO933" s="18"/>
      <c r="FYP933" s="18"/>
      <c r="FYQ933" s="18"/>
      <c r="FYR933" s="18"/>
      <c r="FYS933" s="18"/>
      <c r="FYT933" s="18"/>
      <c r="FYU933" s="18"/>
      <c r="FYV933" s="18"/>
      <c r="FYW933" s="18"/>
      <c r="FYX933" s="18"/>
      <c r="FYY933" s="18"/>
      <c r="FYZ933" s="18"/>
      <c r="FZA933" s="18"/>
      <c r="FZB933" s="18"/>
      <c r="FZC933" s="18"/>
      <c r="FZD933" s="18"/>
      <c r="FZE933" s="18"/>
      <c r="FZF933" s="18"/>
      <c r="FZG933" s="18"/>
      <c r="FZH933" s="18"/>
      <c r="FZI933" s="18"/>
      <c r="FZJ933" s="18"/>
      <c r="FZK933" s="18"/>
      <c r="FZL933" s="18"/>
      <c r="FZM933" s="18"/>
      <c r="FZN933" s="18"/>
      <c r="FZO933" s="18"/>
      <c r="FZP933" s="18"/>
      <c r="FZQ933" s="18"/>
      <c r="FZR933" s="18"/>
      <c r="FZS933" s="18"/>
      <c r="FZT933" s="18"/>
      <c r="FZU933" s="18"/>
      <c r="FZV933" s="18"/>
      <c r="FZW933" s="18"/>
      <c r="FZX933" s="18"/>
      <c r="FZY933" s="18"/>
      <c r="FZZ933" s="18"/>
      <c r="GAA933" s="18"/>
      <c r="GAB933" s="18"/>
      <c r="GAC933" s="18"/>
      <c r="GAD933" s="18"/>
      <c r="GAE933" s="18"/>
      <c r="GAF933" s="18"/>
      <c r="GAG933" s="18"/>
      <c r="GAH933" s="18"/>
      <c r="GAI933" s="18"/>
      <c r="GAJ933" s="18"/>
      <c r="GAK933" s="18"/>
      <c r="GAL933" s="18"/>
      <c r="GAM933" s="18"/>
      <c r="GAN933" s="18"/>
      <c r="GAO933" s="18"/>
      <c r="GAP933" s="18"/>
      <c r="GAQ933" s="18"/>
      <c r="GAR933" s="18"/>
      <c r="GAS933" s="18"/>
      <c r="GAT933" s="18"/>
      <c r="GAU933" s="18"/>
      <c r="GAV933" s="18"/>
      <c r="GAW933" s="18"/>
      <c r="GAX933" s="18"/>
      <c r="GAY933" s="18"/>
      <c r="GAZ933" s="18"/>
      <c r="GBA933" s="18"/>
      <c r="GBB933" s="18"/>
      <c r="GBC933" s="18"/>
      <c r="GBD933" s="18"/>
      <c r="GBE933" s="18"/>
      <c r="GBF933" s="18"/>
      <c r="GBG933" s="18"/>
      <c r="GBH933" s="18"/>
      <c r="GBI933" s="18"/>
      <c r="GBJ933" s="18"/>
      <c r="GBK933" s="18"/>
      <c r="GBL933" s="18"/>
      <c r="GBM933" s="18"/>
      <c r="GBN933" s="18"/>
      <c r="GBO933" s="18"/>
      <c r="GBP933" s="18"/>
      <c r="GBQ933" s="18"/>
      <c r="GBR933" s="18"/>
      <c r="GBS933" s="18"/>
      <c r="GBT933" s="18"/>
      <c r="GBU933" s="18"/>
      <c r="GBV933" s="18"/>
      <c r="GBW933" s="18"/>
      <c r="GBX933" s="18"/>
      <c r="GBY933" s="18"/>
      <c r="GBZ933" s="18"/>
      <c r="GCA933" s="18"/>
      <c r="GCB933" s="18"/>
      <c r="GCC933" s="18"/>
      <c r="GCD933" s="18"/>
      <c r="GCE933" s="18"/>
      <c r="GCF933" s="18"/>
      <c r="GCG933" s="18"/>
      <c r="GCH933" s="18"/>
      <c r="GCI933" s="18"/>
      <c r="GCJ933" s="18"/>
      <c r="GCK933" s="18"/>
      <c r="GCL933" s="18"/>
      <c r="GCM933" s="18"/>
      <c r="GCN933" s="18"/>
      <c r="GCO933" s="18"/>
      <c r="GCP933" s="18"/>
      <c r="GCQ933" s="18"/>
      <c r="GCR933" s="18"/>
      <c r="GCS933" s="18"/>
      <c r="GCT933" s="18"/>
      <c r="GCU933" s="18"/>
      <c r="GCV933" s="18"/>
      <c r="GCW933" s="18"/>
      <c r="GCX933" s="18"/>
      <c r="GCY933" s="18"/>
      <c r="GCZ933" s="18"/>
      <c r="GDA933" s="18"/>
      <c r="GDB933" s="18"/>
      <c r="GDC933" s="18"/>
      <c r="GDD933" s="18"/>
      <c r="GDE933" s="18"/>
      <c r="GDF933" s="18"/>
      <c r="GDG933" s="18"/>
      <c r="GDH933" s="18"/>
      <c r="GDI933" s="18"/>
      <c r="GDJ933" s="18"/>
      <c r="GDK933" s="18"/>
      <c r="GDL933" s="18"/>
      <c r="GDM933" s="18"/>
      <c r="GDN933" s="18"/>
      <c r="GDO933" s="18"/>
      <c r="GDP933" s="18"/>
      <c r="GDQ933" s="18"/>
      <c r="GDR933" s="18"/>
      <c r="GDS933" s="18"/>
      <c r="GDT933" s="18"/>
      <c r="GDU933" s="18"/>
      <c r="GDV933" s="18"/>
      <c r="GDW933" s="18"/>
      <c r="GDX933" s="18"/>
      <c r="GDY933" s="18"/>
      <c r="GDZ933" s="18"/>
      <c r="GEA933" s="18"/>
      <c r="GEB933" s="18"/>
      <c r="GEC933" s="18"/>
      <c r="GED933" s="18"/>
      <c r="GEE933" s="18"/>
      <c r="GEF933" s="18"/>
      <c r="GEG933" s="18"/>
      <c r="GEH933" s="18"/>
      <c r="GEI933" s="18"/>
      <c r="GEJ933" s="18"/>
      <c r="GEK933" s="18"/>
      <c r="GEL933" s="18"/>
      <c r="GEM933" s="18"/>
      <c r="GEN933" s="18"/>
      <c r="GEO933" s="18"/>
      <c r="GEP933" s="18"/>
      <c r="GEQ933" s="18"/>
      <c r="GER933" s="18"/>
      <c r="GES933" s="18"/>
      <c r="GET933" s="18"/>
      <c r="GEU933" s="18"/>
      <c r="GEV933" s="18"/>
      <c r="GEW933" s="18"/>
      <c r="GEX933" s="18"/>
      <c r="GEY933" s="18"/>
      <c r="GEZ933" s="18"/>
      <c r="GFA933" s="18"/>
      <c r="GFB933" s="18"/>
      <c r="GFC933" s="18"/>
      <c r="GFD933" s="18"/>
      <c r="GFE933" s="18"/>
      <c r="GFF933" s="18"/>
      <c r="GFG933" s="18"/>
      <c r="GFH933" s="18"/>
      <c r="GFI933" s="18"/>
      <c r="GFJ933" s="18"/>
      <c r="GFK933" s="18"/>
      <c r="GFL933" s="18"/>
      <c r="GFM933" s="18"/>
      <c r="GFN933" s="18"/>
      <c r="GFO933" s="18"/>
      <c r="GFP933" s="18"/>
      <c r="GFQ933" s="18"/>
      <c r="GFR933" s="18"/>
      <c r="GFS933" s="18"/>
      <c r="GFT933" s="18"/>
      <c r="GFU933" s="18"/>
      <c r="GFV933" s="18"/>
      <c r="GFW933" s="18"/>
      <c r="GFX933" s="18"/>
      <c r="GFY933" s="18"/>
      <c r="GFZ933" s="18"/>
      <c r="GGA933" s="18"/>
      <c r="GGB933" s="18"/>
      <c r="GGC933" s="18"/>
      <c r="GGD933" s="18"/>
      <c r="GGE933" s="18"/>
      <c r="GGF933" s="18"/>
      <c r="GGG933" s="18"/>
      <c r="GGH933" s="18"/>
      <c r="GGI933" s="18"/>
      <c r="GGJ933" s="18"/>
      <c r="GGK933" s="18"/>
      <c r="GGL933" s="18"/>
      <c r="GGM933" s="18"/>
      <c r="GGN933" s="18"/>
      <c r="GGO933" s="18"/>
      <c r="GGP933" s="18"/>
      <c r="GGQ933" s="18"/>
      <c r="GGR933" s="18"/>
      <c r="GGS933" s="18"/>
      <c r="GGT933" s="18"/>
      <c r="GGU933" s="18"/>
      <c r="GGV933" s="18"/>
      <c r="GGW933" s="18"/>
      <c r="GGX933" s="18"/>
      <c r="GGY933" s="18"/>
      <c r="GGZ933" s="18"/>
      <c r="GHA933" s="18"/>
      <c r="GHB933" s="18"/>
      <c r="GHC933" s="18"/>
      <c r="GHD933" s="18"/>
      <c r="GHE933" s="18"/>
      <c r="GHF933" s="18"/>
      <c r="GHG933" s="18"/>
      <c r="GHH933" s="18"/>
      <c r="GHI933" s="18"/>
      <c r="GHJ933" s="18"/>
      <c r="GHK933" s="18"/>
      <c r="GHL933" s="18"/>
      <c r="GHM933" s="18"/>
      <c r="GHN933" s="18"/>
      <c r="GHO933" s="18"/>
      <c r="GHP933" s="18"/>
      <c r="GHQ933" s="18"/>
      <c r="GHR933" s="18"/>
      <c r="GHS933" s="18"/>
      <c r="GHT933" s="18"/>
      <c r="GHU933" s="18"/>
      <c r="GHV933" s="18"/>
      <c r="GHW933" s="18"/>
      <c r="GHX933" s="18"/>
      <c r="GHY933" s="18"/>
      <c r="GHZ933" s="18"/>
      <c r="GIA933" s="18"/>
      <c r="GIB933" s="18"/>
      <c r="GIC933" s="18"/>
      <c r="GID933" s="18"/>
      <c r="GIE933" s="18"/>
      <c r="GIF933" s="18"/>
      <c r="GIG933" s="18"/>
      <c r="GIH933" s="18"/>
      <c r="GII933" s="18"/>
      <c r="GIJ933" s="18"/>
      <c r="GIK933" s="18"/>
      <c r="GIL933" s="18"/>
      <c r="GIM933" s="18"/>
      <c r="GIN933" s="18"/>
      <c r="GIO933" s="18"/>
      <c r="GIP933" s="18"/>
      <c r="GIQ933" s="18"/>
      <c r="GIR933" s="18"/>
      <c r="GIS933" s="18"/>
      <c r="GIT933" s="18"/>
      <c r="GIU933" s="18"/>
      <c r="GIV933" s="18"/>
      <c r="GIW933" s="18"/>
      <c r="GIX933" s="18"/>
      <c r="GIY933" s="18"/>
      <c r="GIZ933" s="18"/>
      <c r="GJA933" s="18"/>
      <c r="GJB933" s="18"/>
      <c r="GJC933" s="18"/>
      <c r="GJD933" s="18"/>
      <c r="GJE933" s="18"/>
      <c r="GJF933" s="18"/>
      <c r="GJG933" s="18"/>
      <c r="GJH933" s="18"/>
      <c r="GJI933" s="18"/>
      <c r="GJJ933" s="18"/>
      <c r="GJK933" s="18"/>
      <c r="GJL933" s="18"/>
      <c r="GJM933" s="18"/>
      <c r="GJN933" s="18"/>
      <c r="GJO933" s="18"/>
      <c r="GJP933" s="18"/>
      <c r="GJQ933" s="18"/>
      <c r="GJR933" s="18"/>
      <c r="GJS933" s="18"/>
      <c r="GJT933" s="18"/>
      <c r="GJU933" s="18"/>
      <c r="GJV933" s="18"/>
      <c r="GJW933" s="18"/>
      <c r="GJX933" s="18"/>
      <c r="GJY933" s="18"/>
      <c r="GJZ933" s="18"/>
      <c r="GKA933" s="18"/>
      <c r="GKB933" s="18"/>
      <c r="GKC933" s="18"/>
      <c r="GKD933" s="18"/>
      <c r="GKE933" s="18"/>
      <c r="GKF933" s="18"/>
      <c r="GKG933" s="18"/>
      <c r="GKH933" s="18"/>
      <c r="GKI933" s="18"/>
      <c r="GKJ933" s="18"/>
      <c r="GKK933" s="18"/>
      <c r="GKL933" s="18"/>
      <c r="GKM933" s="18"/>
      <c r="GKN933" s="18"/>
      <c r="GKO933" s="18"/>
      <c r="GKP933" s="18"/>
      <c r="GKQ933" s="18"/>
      <c r="GKR933" s="18"/>
      <c r="GKS933" s="18"/>
      <c r="GKT933" s="18"/>
      <c r="GKU933" s="18"/>
      <c r="GKV933" s="18"/>
      <c r="GKW933" s="18"/>
      <c r="GKX933" s="18"/>
      <c r="GKY933" s="18"/>
      <c r="GKZ933" s="18"/>
      <c r="GLA933" s="18"/>
      <c r="GLB933" s="18"/>
      <c r="GLC933" s="18"/>
      <c r="GLD933" s="18"/>
      <c r="GLE933" s="18"/>
      <c r="GLF933" s="18"/>
      <c r="GLG933" s="18"/>
      <c r="GLH933" s="18"/>
      <c r="GLI933" s="18"/>
      <c r="GLJ933" s="18"/>
      <c r="GLK933" s="18"/>
      <c r="GLL933" s="18"/>
      <c r="GLM933" s="18"/>
      <c r="GLN933" s="18"/>
      <c r="GLO933" s="18"/>
      <c r="GLP933" s="18"/>
      <c r="GLQ933" s="18"/>
      <c r="GLR933" s="18"/>
      <c r="GLS933" s="18"/>
      <c r="GLT933" s="18"/>
      <c r="GLU933" s="18"/>
      <c r="GLV933" s="18"/>
      <c r="GLW933" s="18"/>
      <c r="GLX933" s="18"/>
      <c r="GLY933" s="18"/>
      <c r="GLZ933" s="18"/>
      <c r="GMA933" s="18"/>
      <c r="GMB933" s="18"/>
      <c r="GMC933" s="18"/>
      <c r="GMD933" s="18"/>
      <c r="GME933" s="18"/>
      <c r="GMF933" s="18"/>
      <c r="GMG933" s="18"/>
      <c r="GMH933" s="18"/>
      <c r="GMI933" s="18"/>
      <c r="GMJ933" s="18"/>
      <c r="GMK933" s="18"/>
      <c r="GML933" s="18"/>
      <c r="GMM933" s="18"/>
      <c r="GMN933" s="18"/>
      <c r="GMO933" s="18"/>
      <c r="GMP933" s="18"/>
      <c r="GMQ933" s="18"/>
      <c r="GMR933" s="18"/>
      <c r="GMS933" s="18"/>
      <c r="GMT933" s="18"/>
      <c r="GMU933" s="18"/>
      <c r="GMV933" s="18"/>
      <c r="GMW933" s="18"/>
      <c r="GMX933" s="18"/>
      <c r="GMY933" s="18"/>
      <c r="GMZ933" s="18"/>
      <c r="GNA933" s="18"/>
      <c r="GNB933" s="18"/>
      <c r="GNC933" s="18"/>
      <c r="GND933" s="18"/>
      <c r="GNE933" s="18"/>
      <c r="GNF933" s="18"/>
      <c r="GNG933" s="18"/>
      <c r="GNH933" s="18"/>
      <c r="GNI933" s="18"/>
      <c r="GNJ933" s="18"/>
      <c r="GNK933" s="18"/>
      <c r="GNL933" s="18"/>
      <c r="GNM933" s="18"/>
      <c r="GNN933" s="18"/>
      <c r="GNO933" s="18"/>
      <c r="GNP933" s="18"/>
      <c r="GNQ933" s="18"/>
      <c r="GNR933" s="18"/>
      <c r="GNS933" s="18"/>
      <c r="GNT933" s="18"/>
      <c r="GNU933" s="18"/>
      <c r="GNV933" s="18"/>
      <c r="GNW933" s="18"/>
      <c r="GNX933" s="18"/>
      <c r="GNY933" s="18"/>
      <c r="GNZ933" s="18"/>
      <c r="GOA933" s="18"/>
      <c r="GOB933" s="18"/>
      <c r="GOC933" s="18"/>
      <c r="GOD933" s="18"/>
      <c r="GOE933" s="18"/>
      <c r="GOF933" s="18"/>
      <c r="GOG933" s="18"/>
      <c r="GOH933" s="18"/>
      <c r="GOI933" s="18"/>
      <c r="GOJ933" s="18"/>
      <c r="GOK933" s="18"/>
      <c r="GOL933" s="18"/>
      <c r="GOM933" s="18"/>
      <c r="GON933" s="18"/>
      <c r="GOO933" s="18"/>
      <c r="GOP933" s="18"/>
      <c r="GOQ933" s="18"/>
      <c r="GOR933" s="18"/>
      <c r="GOS933" s="18"/>
      <c r="GOT933" s="18"/>
      <c r="GOU933" s="18"/>
      <c r="GOV933" s="18"/>
      <c r="GOW933" s="18"/>
      <c r="GOX933" s="18"/>
      <c r="GOY933" s="18"/>
      <c r="GOZ933" s="18"/>
      <c r="GPA933" s="18"/>
      <c r="GPB933" s="18"/>
      <c r="GPC933" s="18"/>
      <c r="GPD933" s="18"/>
      <c r="GPE933" s="18"/>
      <c r="GPF933" s="18"/>
      <c r="GPG933" s="18"/>
      <c r="GPH933" s="18"/>
      <c r="GPI933" s="18"/>
      <c r="GPJ933" s="18"/>
      <c r="GPK933" s="18"/>
      <c r="GPL933" s="18"/>
      <c r="GPM933" s="18"/>
      <c r="GPN933" s="18"/>
      <c r="GPO933" s="18"/>
      <c r="GPP933" s="18"/>
      <c r="GPQ933" s="18"/>
      <c r="GPR933" s="18"/>
      <c r="GPS933" s="18"/>
      <c r="GPT933" s="18"/>
      <c r="GPU933" s="18"/>
      <c r="GPV933" s="18"/>
      <c r="GPW933" s="18"/>
      <c r="GPX933" s="18"/>
      <c r="GPY933" s="18"/>
      <c r="GPZ933" s="18"/>
      <c r="GQA933" s="18"/>
      <c r="GQB933" s="18"/>
      <c r="GQC933" s="18"/>
      <c r="GQD933" s="18"/>
      <c r="GQE933" s="18"/>
      <c r="GQF933" s="18"/>
      <c r="GQG933" s="18"/>
      <c r="GQH933" s="18"/>
      <c r="GQI933" s="18"/>
      <c r="GQJ933" s="18"/>
      <c r="GQK933" s="18"/>
      <c r="GQL933" s="18"/>
      <c r="GQM933" s="18"/>
      <c r="GQN933" s="18"/>
      <c r="GQO933" s="18"/>
      <c r="GQP933" s="18"/>
      <c r="GQQ933" s="18"/>
      <c r="GQR933" s="18"/>
      <c r="GQS933" s="18"/>
      <c r="GQT933" s="18"/>
      <c r="GQU933" s="18"/>
      <c r="GQV933" s="18"/>
      <c r="GQW933" s="18"/>
      <c r="GQX933" s="18"/>
      <c r="GQY933" s="18"/>
      <c r="GQZ933" s="18"/>
      <c r="GRA933" s="18"/>
      <c r="GRB933" s="18"/>
      <c r="GRC933" s="18"/>
      <c r="GRD933" s="18"/>
      <c r="GRE933" s="18"/>
      <c r="GRF933" s="18"/>
      <c r="GRG933" s="18"/>
      <c r="GRH933" s="18"/>
      <c r="GRI933" s="18"/>
      <c r="GRJ933" s="18"/>
      <c r="GRK933" s="18"/>
      <c r="GRL933" s="18"/>
      <c r="GRM933" s="18"/>
      <c r="GRN933" s="18"/>
      <c r="GRO933" s="18"/>
      <c r="GRP933" s="18"/>
      <c r="GRQ933" s="18"/>
      <c r="GRR933" s="18"/>
      <c r="GRS933" s="18"/>
      <c r="GRT933" s="18"/>
      <c r="GRU933" s="18"/>
      <c r="GRV933" s="18"/>
      <c r="GRW933" s="18"/>
      <c r="GRX933" s="18"/>
      <c r="GRY933" s="18"/>
      <c r="GRZ933" s="18"/>
      <c r="GSA933" s="18"/>
      <c r="GSB933" s="18"/>
      <c r="GSC933" s="18"/>
      <c r="GSD933" s="18"/>
      <c r="GSE933" s="18"/>
      <c r="GSF933" s="18"/>
      <c r="GSG933" s="18"/>
      <c r="GSH933" s="18"/>
      <c r="GSI933" s="18"/>
      <c r="GSJ933" s="18"/>
      <c r="GSK933" s="18"/>
      <c r="GSL933" s="18"/>
      <c r="GSM933" s="18"/>
      <c r="GSN933" s="18"/>
      <c r="GSO933" s="18"/>
      <c r="GSP933" s="18"/>
      <c r="GSQ933" s="18"/>
      <c r="GSR933" s="18"/>
      <c r="GSS933" s="18"/>
      <c r="GST933" s="18"/>
      <c r="GSU933" s="18"/>
      <c r="GSV933" s="18"/>
      <c r="GSW933" s="18"/>
      <c r="GSX933" s="18"/>
      <c r="GSY933" s="18"/>
      <c r="GSZ933" s="18"/>
      <c r="GTA933" s="18"/>
      <c r="GTB933" s="18"/>
      <c r="GTC933" s="18"/>
      <c r="GTD933" s="18"/>
      <c r="GTE933" s="18"/>
      <c r="GTF933" s="18"/>
      <c r="GTG933" s="18"/>
      <c r="GTH933" s="18"/>
      <c r="GTI933" s="18"/>
      <c r="GTJ933" s="18"/>
      <c r="GTK933" s="18"/>
      <c r="GTL933" s="18"/>
      <c r="GTM933" s="18"/>
      <c r="GTN933" s="18"/>
      <c r="GTO933" s="18"/>
      <c r="GTP933" s="18"/>
      <c r="GTQ933" s="18"/>
      <c r="GTR933" s="18"/>
      <c r="GTS933" s="18"/>
      <c r="GTT933" s="18"/>
      <c r="GTU933" s="18"/>
      <c r="GTV933" s="18"/>
      <c r="GTW933" s="18"/>
      <c r="GTX933" s="18"/>
      <c r="GTY933" s="18"/>
      <c r="GTZ933" s="18"/>
      <c r="GUA933" s="18"/>
      <c r="GUB933" s="18"/>
      <c r="GUC933" s="18"/>
      <c r="GUD933" s="18"/>
      <c r="GUE933" s="18"/>
      <c r="GUF933" s="18"/>
      <c r="GUG933" s="18"/>
      <c r="GUH933" s="18"/>
      <c r="GUI933" s="18"/>
      <c r="GUJ933" s="18"/>
      <c r="GUK933" s="18"/>
      <c r="GUL933" s="18"/>
      <c r="GUM933" s="18"/>
      <c r="GUN933" s="18"/>
      <c r="GUO933" s="18"/>
      <c r="GUP933" s="18"/>
      <c r="GUQ933" s="18"/>
      <c r="GUR933" s="18"/>
      <c r="GUS933" s="18"/>
      <c r="GUT933" s="18"/>
      <c r="GUU933" s="18"/>
      <c r="GUV933" s="18"/>
      <c r="GUW933" s="18"/>
      <c r="GUX933" s="18"/>
      <c r="GUY933" s="18"/>
      <c r="GUZ933" s="18"/>
      <c r="GVA933" s="18"/>
      <c r="GVB933" s="18"/>
      <c r="GVC933" s="18"/>
      <c r="GVD933" s="18"/>
      <c r="GVE933" s="18"/>
      <c r="GVF933" s="18"/>
      <c r="GVG933" s="18"/>
      <c r="GVH933" s="18"/>
      <c r="GVI933" s="18"/>
      <c r="GVJ933" s="18"/>
      <c r="GVK933" s="18"/>
      <c r="GVL933" s="18"/>
      <c r="GVM933" s="18"/>
      <c r="GVN933" s="18"/>
      <c r="GVO933" s="18"/>
      <c r="GVP933" s="18"/>
      <c r="GVQ933" s="18"/>
      <c r="GVR933" s="18"/>
      <c r="GVS933" s="18"/>
      <c r="GVT933" s="18"/>
      <c r="GVU933" s="18"/>
      <c r="GVV933" s="18"/>
      <c r="GVW933" s="18"/>
      <c r="GVX933" s="18"/>
      <c r="GVY933" s="18"/>
      <c r="GVZ933" s="18"/>
      <c r="GWA933" s="18"/>
      <c r="GWB933" s="18"/>
      <c r="GWC933" s="18"/>
      <c r="GWD933" s="18"/>
      <c r="GWE933" s="18"/>
      <c r="GWF933" s="18"/>
      <c r="GWG933" s="18"/>
      <c r="GWH933" s="18"/>
      <c r="GWI933" s="18"/>
      <c r="GWJ933" s="18"/>
      <c r="GWK933" s="18"/>
      <c r="GWL933" s="18"/>
      <c r="GWM933" s="18"/>
      <c r="GWN933" s="18"/>
      <c r="GWO933" s="18"/>
      <c r="GWP933" s="18"/>
      <c r="GWQ933" s="18"/>
      <c r="GWR933" s="18"/>
      <c r="GWS933" s="18"/>
      <c r="GWT933" s="18"/>
      <c r="GWU933" s="18"/>
      <c r="GWV933" s="18"/>
      <c r="GWW933" s="18"/>
      <c r="GWX933" s="18"/>
      <c r="GWY933" s="18"/>
      <c r="GWZ933" s="18"/>
      <c r="GXA933" s="18"/>
      <c r="GXB933" s="18"/>
      <c r="GXC933" s="18"/>
      <c r="GXD933" s="18"/>
      <c r="GXE933" s="18"/>
      <c r="GXF933" s="18"/>
      <c r="GXG933" s="18"/>
      <c r="GXH933" s="18"/>
      <c r="GXI933" s="18"/>
      <c r="GXJ933" s="18"/>
      <c r="GXK933" s="18"/>
      <c r="GXL933" s="18"/>
      <c r="GXM933" s="18"/>
      <c r="GXN933" s="18"/>
      <c r="GXO933" s="18"/>
      <c r="GXP933" s="18"/>
      <c r="GXQ933" s="18"/>
      <c r="GXR933" s="18"/>
      <c r="GXS933" s="18"/>
      <c r="GXT933" s="18"/>
      <c r="GXU933" s="18"/>
      <c r="GXV933" s="18"/>
      <c r="GXW933" s="18"/>
      <c r="GXX933" s="18"/>
      <c r="GXY933" s="18"/>
      <c r="GXZ933" s="18"/>
      <c r="GYA933" s="18"/>
      <c r="GYB933" s="18"/>
      <c r="GYC933" s="18"/>
      <c r="GYD933" s="18"/>
      <c r="GYE933" s="18"/>
      <c r="GYF933" s="18"/>
      <c r="GYG933" s="18"/>
      <c r="GYH933" s="18"/>
      <c r="GYI933" s="18"/>
      <c r="GYJ933" s="18"/>
      <c r="GYK933" s="18"/>
      <c r="GYL933" s="18"/>
      <c r="GYM933" s="18"/>
      <c r="GYN933" s="18"/>
      <c r="GYO933" s="18"/>
      <c r="GYP933" s="18"/>
      <c r="GYQ933" s="18"/>
      <c r="GYR933" s="18"/>
      <c r="GYS933" s="18"/>
      <c r="GYT933" s="18"/>
      <c r="GYU933" s="18"/>
      <c r="GYV933" s="18"/>
      <c r="GYW933" s="18"/>
      <c r="GYX933" s="18"/>
      <c r="GYY933" s="18"/>
      <c r="GYZ933" s="18"/>
      <c r="GZA933" s="18"/>
      <c r="GZB933" s="18"/>
      <c r="GZC933" s="18"/>
      <c r="GZD933" s="18"/>
      <c r="GZE933" s="18"/>
      <c r="GZF933" s="18"/>
      <c r="GZG933" s="18"/>
      <c r="GZH933" s="18"/>
      <c r="GZI933" s="18"/>
      <c r="GZJ933" s="18"/>
      <c r="GZK933" s="18"/>
      <c r="GZL933" s="18"/>
      <c r="GZM933" s="18"/>
      <c r="GZN933" s="18"/>
      <c r="GZO933" s="18"/>
      <c r="GZP933" s="18"/>
      <c r="GZQ933" s="18"/>
      <c r="GZR933" s="18"/>
      <c r="GZS933" s="18"/>
      <c r="GZT933" s="18"/>
      <c r="GZU933" s="18"/>
      <c r="GZV933" s="18"/>
      <c r="GZW933" s="18"/>
      <c r="GZX933" s="18"/>
      <c r="GZY933" s="18"/>
      <c r="GZZ933" s="18"/>
      <c r="HAA933" s="18"/>
      <c r="HAB933" s="18"/>
      <c r="HAC933" s="18"/>
      <c r="HAD933" s="18"/>
      <c r="HAE933" s="18"/>
      <c r="HAF933" s="18"/>
      <c r="HAG933" s="18"/>
      <c r="HAH933" s="18"/>
      <c r="HAI933" s="18"/>
      <c r="HAJ933" s="18"/>
      <c r="HAK933" s="18"/>
      <c r="HAL933" s="18"/>
      <c r="HAM933" s="18"/>
      <c r="HAN933" s="18"/>
      <c r="HAO933" s="18"/>
      <c r="HAP933" s="18"/>
      <c r="HAQ933" s="18"/>
      <c r="HAR933" s="18"/>
      <c r="HAS933" s="18"/>
      <c r="HAT933" s="18"/>
      <c r="HAU933" s="18"/>
      <c r="HAV933" s="18"/>
      <c r="HAW933" s="18"/>
      <c r="HAX933" s="18"/>
      <c r="HAY933" s="18"/>
      <c r="HAZ933" s="18"/>
      <c r="HBA933" s="18"/>
      <c r="HBB933" s="18"/>
      <c r="HBC933" s="18"/>
      <c r="HBD933" s="18"/>
      <c r="HBE933" s="18"/>
      <c r="HBF933" s="18"/>
      <c r="HBG933" s="18"/>
      <c r="HBH933" s="18"/>
      <c r="HBI933" s="18"/>
      <c r="HBJ933" s="18"/>
      <c r="HBK933" s="18"/>
      <c r="HBL933" s="18"/>
      <c r="HBM933" s="18"/>
      <c r="HBN933" s="18"/>
      <c r="HBO933" s="18"/>
      <c r="HBP933" s="18"/>
      <c r="HBQ933" s="18"/>
      <c r="HBR933" s="18"/>
      <c r="HBS933" s="18"/>
      <c r="HBT933" s="18"/>
      <c r="HBU933" s="18"/>
      <c r="HBV933" s="18"/>
      <c r="HBW933" s="18"/>
      <c r="HBX933" s="18"/>
      <c r="HBY933" s="18"/>
      <c r="HBZ933" s="18"/>
      <c r="HCA933" s="18"/>
      <c r="HCB933" s="18"/>
      <c r="HCC933" s="18"/>
      <c r="HCD933" s="18"/>
      <c r="HCE933" s="18"/>
      <c r="HCF933" s="18"/>
      <c r="HCG933" s="18"/>
      <c r="HCH933" s="18"/>
      <c r="HCI933" s="18"/>
      <c r="HCJ933" s="18"/>
      <c r="HCK933" s="18"/>
      <c r="HCL933" s="18"/>
      <c r="HCM933" s="18"/>
      <c r="HCN933" s="18"/>
      <c r="HCO933" s="18"/>
      <c r="HCP933" s="18"/>
      <c r="HCQ933" s="18"/>
      <c r="HCR933" s="18"/>
      <c r="HCS933" s="18"/>
      <c r="HCT933" s="18"/>
      <c r="HCU933" s="18"/>
      <c r="HCV933" s="18"/>
      <c r="HCW933" s="18"/>
      <c r="HCX933" s="18"/>
      <c r="HCY933" s="18"/>
      <c r="HCZ933" s="18"/>
      <c r="HDA933" s="18"/>
      <c r="HDB933" s="18"/>
      <c r="HDC933" s="18"/>
      <c r="HDD933" s="18"/>
      <c r="HDE933" s="18"/>
      <c r="HDF933" s="18"/>
      <c r="HDG933" s="18"/>
      <c r="HDH933" s="18"/>
      <c r="HDI933" s="18"/>
      <c r="HDJ933" s="18"/>
      <c r="HDK933" s="18"/>
      <c r="HDL933" s="18"/>
      <c r="HDM933" s="18"/>
      <c r="HDN933" s="18"/>
      <c r="HDO933" s="18"/>
      <c r="HDP933" s="18"/>
      <c r="HDQ933" s="18"/>
      <c r="HDR933" s="18"/>
      <c r="HDS933" s="18"/>
      <c r="HDT933" s="18"/>
      <c r="HDU933" s="18"/>
      <c r="HDV933" s="18"/>
      <c r="HDW933" s="18"/>
      <c r="HDX933" s="18"/>
      <c r="HDY933" s="18"/>
      <c r="HDZ933" s="18"/>
      <c r="HEA933" s="18"/>
      <c r="HEB933" s="18"/>
      <c r="HEC933" s="18"/>
      <c r="HED933" s="18"/>
      <c r="HEE933" s="18"/>
      <c r="HEF933" s="18"/>
      <c r="HEG933" s="18"/>
      <c r="HEH933" s="18"/>
      <c r="HEI933" s="18"/>
      <c r="HEJ933" s="18"/>
      <c r="HEK933" s="18"/>
      <c r="HEL933" s="18"/>
      <c r="HEM933" s="18"/>
      <c r="HEN933" s="18"/>
      <c r="HEO933" s="18"/>
      <c r="HEP933" s="18"/>
      <c r="HEQ933" s="18"/>
      <c r="HER933" s="18"/>
      <c r="HES933" s="18"/>
      <c r="HET933" s="18"/>
      <c r="HEU933" s="18"/>
      <c r="HEV933" s="18"/>
      <c r="HEW933" s="18"/>
      <c r="HEX933" s="18"/>
      <c r="HEY933" s="18"/>
      <c r="HEZ933" s="18"/>
      <c r="HFA933" s="18"/>
      <c r="HFB933" s="18"/>
      <c r="HFC933" s="18"/>
      <c r="HFD933" s="18"/>
      <c r="HFE933" s="18"/>
      <c r="HFF933" s="18"/>
      <c r="HFG933" s="18"/>
      <c r="HFH933" s="18"/>
      <c r="HFI933" s="18"/>
      <c r="HFJ933" s="18"/>
      <c r="HFK933" s="18"/>
      <c r="HFL933" s="18"/>
      <c r="HFM933" s="18"/>
      <c r="HFN933" s="18"/>
      <c r="HFO933" s="18"/>
      <c r="HFP933" s="18"/>
      <c r="HFQ933" s="18"/>
      <c r="HFR933" s="18"/>
      <c r="HFS933" s="18"/>
      <c r="HFT933" s="18"/>
      <c r="HFU933" s="18"/>
      <c r="HFV933" s="18"/>
      <c r="HFW933" s="18"/>
      <c r="HFX933" s="18"/>
      <c r="HFY933" s="18"/>
      <c r="HFZ933" s="18"/>
      <c r="HGA933" s="18"/>
      <c r="HGB933" s="18"/>
      <c r="HGC933" s="18"/>
      <c r="HGD933" s="18"/>
      <c r="HGE933" s="18"/>
      <c r="HGF933" s="18"/>
      <c r="HGG933" s="18"/>
      <c r="HGH933" s="18"/>
      <c r="HGI933" s="18"/>
      <c r="HGJ933" s="18"/>
      <c r="HGK933" s="18"/>
      <c r="HGL933" s="18"/>
      <c r="HGM933" s="18"/>
      <c r="HGN933" s="18"/>
      <c r="HGO933" s="18"/>
      <c r="HGP933" s="18"/>
      <c r="HGQ933" s="18"/>
      <c r="HGR933" s="18"/>
      <c r="HGS933" s="18"/>
      <c r="HGT933" s="18"/>
      <c r="HGU933" s="18"/>
      <c r="HGV933" s="18"/>
      <c r="HGW933" s="18"/>
      <c r="HGX933" s="18"/>
      <c r="HGY933" s="18"/>
      <c r="HGZ933" s="18"/>
      <c r="HHA933" s="18"/>
      <c r="HHB933" s="18"/>
      <c r="HHC933" s="18"/>
      <c r="HHD933" s="18"/>
      <c r="HHE933" s="18"/>
      <c r="HHF933" s="18"/>
      <c r="HHG933" s="18"/>
      <c r="HHH933" s="18"/>
      <c r="HHI933" s="18"/>
      <c r="HHJ933" s="18"/>
      <c r="HHK933" s="18"/>
      <c r="HHL933" s="18"/>
      <c r="HHM933" s="18"/>
      <c r="HHN933" s="18"/>
      <c r="HHO933" s="18"/>
      <c r="HHP933" s="18"/>
      <c r="HHQ933" s="18"/>
      <c r="HHR933" s="18"/>
      <c r="HHS933" s="18"/>
      <c r="HHT933" s="18"/>
      <c r="HHU933" s="18"/>
      <c r="HHV933" s="18"/>
      <c r="HHW933" s="18"/>
      <c r="HHX933" s="18"/>
      <c r="HHY933" s="18"/>
      <c r="HHZ933" s="18"/>
      <c r="HIA933" s="18"/>
      <c r="HIB933" s="18"/>
      <c r="HIC933" s="18"/>
      <c r="HID933" s="18"/>
      <c r="HIE933" s="18"/>
      <c r="HIF933" s="18"/>
      <c r="HIG933" s="18"/>
      <c r="HIH933" s="18"/>
      <c r="HII933" s="18"/>
      <c r="HIJ933" s="18"/>
      <c r="HIK933" s="18"/>
      <c r="HIL933" s="18"/>
      <c r="HIM933" s="18"/>
      <c r="HIN933" s="18"/>
      <c r="HIO933" s="18"/>
      <c r="HIP933" s="18"/>
      <c r="HIQ933" s="18"/>
      <c r="HIR933" s="18"/>
      <c r="HIS933" s="18"/>
      <c r="HIT933" s="18"/>
      <c r="HIU933" s="18"/>
      <c r="HIV933" s="18"/>
      <c r="HIW933" s="18"/>
      <c r="HIX933" s="18"/>
      <c r="HIY933" s="18"/>
      <c r="HIZ933" s="18"/>
      <c r="HJA933" s="18"/>
      <c r="HJB933" s="18"/>
      <c r="HJC933" s="18"/>
      <c r="HJD933" s="18"/>
      <c r="HJE933" s="18"/>
      <c r="HJF933" s="18"/>
      <c r="HJG933" s="18"/>
      <c r="HJH933" s="18"/>
      <c r="HJI933" s="18"/>
      <c r="HJJ933" s="18"/>
      <c r="HJK933" s="18"/>
      <c r="HJL933" s="18"/>
      <c r="HJM933" s="18"/>
      <c r="HJN933" s="18"/>
      <c r="HJO933" s="18"/>
      <c r="HJP933" s="18"/>
      <c r="HJQ933" s="18"/>
      <c r="HJR933" s="18"/>
      <c r="HJS933" s="18"/>
      <c r="HJT933" s="18"/>
      <c r="HJU933" s="18"/>
      <c r="HJV933" s="18"/>
      <c r="HJW933" s="18"/>
      <c r="HJX933" s="18"/>
      <c r="HJY933" s="18"/>
      <c r="HJZ933" s="18"/>
      <c r="HKA933" s="18"/>
      <c r="HKB933" s="18"/>
      <c r="HKC933" s="18"/>
      <c r="HKD933" s="18"/>
      <c r="HKE933" s="18"/>
      <c r="HKF933" s="18"/>
      <c r="HKG933" s="18"/>
      <c r="HKH933" s="18"/>
      <c r="HKI933" s="18"/>
      <c r="HKJ933" s="18"/>
      <c r="HKK933" s="18"/>
      <c r="HKL933" s="18"/>
      <c r="HKM933" s="18"/>
      <c r="HKN933" s="18"/>
      <c r="HKO933" s="18"/>
      <c r="HKP933" s="18"/>
      <c r="HKQ933" s="18"/>
      <c r="HKR933" s="18"/>
      <c r="HKS933" s="18"/>
      <c r="HKT933" s="18"/>
      <c r="HKU933" s="18"/>
      <c r="HKV933" s="18"/>
      <c r="HKW933" s="18"/>
      <c r="HKX933" s="18"/>
      <c r="HKY933" s="18"/>
      <c r="HKZ933" s="18"/>
      <c r="HLA933" s="18"/>
      <c r="HLB933" s="18"/>
      <c r="HLC933" s="18"/>
      <c r="HLD933" s="18"/>
      <c r="HLE933" s="18"/>
      <c r="HLF933" s="18"/>
      <c r="HLG933" s="18"/>
      <c r="HLH933" s="18"/>
      <c r="HLI933" s="18"/>
      <c r="HLJ933" s="18"/>
      <c r="HLK933" s="18"/>
      <c r="HLL933" s="18"/>
      <c r="HLM933" s="18"/>
      <c r="HLN933" s="18"/>
      <c r="HLO933" s="18"/>
      <c r="HLP933" s="18"/>
      <c r="HLQ933" s="18"/>
      <c r="HLR933" s="18"/>
      <c r="HLS933" s="18"/>
      <c r="HLT933" s="18"/>
      <c r="HLU933" s="18"/>
      <c r="HLV933" s="18"/>
      <c r="HLW933" s="18"/>
      <c r="HLX933" s="18"/>
      <c r="HLY933" s="18"/>
      <c r="HLZ933" s="18"/>
      <c r="HMA933" s="18"/>
      <c r="HMB933" s="18"/>
      <c r="HMC933" s="18"/>
      <c r="HMD933" s="18"/>
      <c r="HME933" s="18"/>
      <c r="HMF933" s="18"/>
      <c r="HMG933" s="18"/>
      <c r="HMH933" s="18"/>
      <c r="HMI933" s="18"/>
      <c r="HMJ933" s="18"/>
      <c r="HMK933" s="18"/>
      <c r="HML933" s="18"/>
      <c r="HMM933" s="18"/>
      <c r="HMN933" s="18"/>
      <c r="HMO933" s="18"/>
      <c r="HMP933" s="18"/>
      <c r="HMQ933" s="18"/>
      <c r="HMR933" s="18"/>
      <c r="HMS933" s="18"/>
      <c r="HMT933" s="18"/>
      <c r="HMU933" s="18"/>
      <c r="HMV933" s="18"/>
      <c r="HMW933" s="18"/>
      <c r="HMX933" s="18"/>
      <c r="HMY933" s="18"/>
      <c r="HMZ933" s="18"/>
      <c r="HNA933" s="18"/>
      <c r="HNB933" s="18"/>
      <c r="HNC933" s="18"/>
      <c r="HND933" s="18"/>
      <c r="HNE933" s="18"/>
      <c r="HNF933" s="18"/>
      <c r="HNG933" s="18"/>
      <c r="HNH933" s="18"/>
      <c r="HNI933" s="18"/>
      <c r="HNJ933" s="18"/>
      <c r="HNK933" s="18"/>
      <c r="HNL933" s="18"/>
      <c r="HNM933" s="18"/>
      <c r="HNN933" s="18"/>
      <c r="HNO933" s="18"/>
      <c r="HNP933" s="18"/>
      <c r="HNQ933" s="18"/>
      <c r="HNR933" s="18"/>
      <c r="HNS933" s="18"/>
      <c r="HNT933" s="18"/>
      <c r="HNU933" s="18"/>
      <c r="HNV933" s="18"/>
      <c r="HNW933" s="18"/>
      <c r="HNX933" s="18"/>
      <c r="HNY933" s="18"/>
      <c r="HNZ933" s="18"/>
      <c r="HOA933" s="18"/>
      <c r="HOB933" s="18"/>
      <c r="HOC933" s="18"/>
      <c r="HOD933" s="18"/>
      <c r="HOE933" s="18"/>
      <c r="HOF933" s="18"/>
      <c r="HOG933" s="18"/>
      <c r="HOH933" s="18"/>
      <c r="HOI933" s="18"/>
      <c r="HOJ933" s="18"/>
      <c r="HOK933" s="18"/>
      <c r="HOL933" s="18"/>
      <c r="HOM933" s="18"/>
      <c r="HON933" s="18"/>
      <c r="HOO933" s="18"/>
      <c r="HOP933" s="18"/>
      <c r="HOQ933" s="18"/>
      <c r="HOR933" s="18"/>
      <c r="HOS933" s="18"/>
      <c r="HOT933" s="18"/>
      <c r="HOU933" s="18"/>
      <c r="HOV933" s="18"/>
      <c r="HOW933" s="18"/>
      <c r="HOX933" s="18"/>
      <c r="HOY933" s="18"/>
      <c r="HOZ933" s="18"/>
      <c r="HPA933" s="18"/>
      <c r="HPB933" s="18"/>
      <c r="HPC933" s="18"/>
      <c r="HPD933" s="18"/>
      <c r="HPE933" s="18"/>
      <c r="HPF933" s="18"/>
      <c r="HPG933" s="18"/>
      <c r="HPH933" s="18"/>
      <c r="HPI933" s="18"/>
      <c r="HPJ933" s="18"/>
      <c r="HPK933" s="18"/>
      <c r="HPL933" s="18"/>
      <c r="HPM933" s="18"/>
      <c r="HPN933" s="18"/>
      <c r="HPO933" s="18"/>
      <c r="HPP933" s="18"/>
      <c r="HPQ933" s="18"/>
      <c r="HPR933" s="18"/>
      <c r="HPS933" s="18"/>
      <c r="HPT933" s="18"/>
      <c r="HPU933" s="18"/>
      <c r="HPV933" s="18"/>
      <c r="HPW933" s="18"/>
      <c r="HPX933" s="18"/>
      <c r="HPY933" s="18"/>
      <c r="HPZ933" s="18"/>
      <c r="HQA933" s="18"/>
      <c r="HQB933" s="18"/>
      <c r="HQC933" s="18"/>
      <c r="HQD933" s="18"/>
      <c r="HQE933" s="18"/>
      <c r="HQF933" s="18"/>
      <c r="HQG933" s="18"/>
      <c r="HQH933" s="18"/>
      <c r="HQI933" s="18"/>
      <c r="HQJ933" s="18"/>
      <c r="HQK933" s="18"/>
      <c r="HQL933" s="18"/>
      <c r="HQM933" s="18"/>
      <c r="HQN933" s="18"/>
      <c r="HQO933" s="18"/>
      <c r="HQP933" s="18"/>
      <c r="HQQ933" s="18"/>
      <c r="HQR933" s="18"/>
      <c r="HQS933" s="18"/>
      <c r="HQT933" s="18"/>
      <c r="HQU933" s="18"/>
      <c r="HQV933" s="18"/>
      <c r="HQW933" s="18"/>
      <c r="HQX933" s="18"/>
      <c r="HQY933" s="18"/>
      <c r="HQZ933" s="18"/>
      <c r="HRA933" s="18"/>
      <c r="HRB933" s="18"/>
      <c r="HRC933" s="18"/>
      <c r="HRD933" s="18"/>
      <c r="HRE933" s="18"/>
      <c r="HRF933" s="18"/>
      <c r="HRG933" s="18"/>
      <c r="HRH933" s="18"/>
      <c r="HRI933" s="18"/>
      <c r="HRJ933" s="18"/>
      <c r="HRK933" s="18"/>
      <c r="HRL933" s="18"/>
      <c r="HRM933" s="18"/>
      <c r="HRN933" s="18"/>
      <c r="HRO933" s="18"/>
      <c r="HRP933" s="18"/>
      <c r="HRQ933" s="18"/>
      <c r="HRR933" s="18"/>
      <c r="HRS933" s="18"/>
      <c r="HRT933" s="18"/>
      <c r="HRU933" s="18"/>
      <c r="HRV933" s="18"/>
      <c r="HRW933" s="18"/>
      <c r="HRX933" s="18"/>
      <c r="HRY933" s="18"/>
      <c r="HRZ933" s="18"/>
      <c r="HSA933" s="18"/>
      <c r="HSB933" s="18"/>
      <c r="HSC933" s="18"/>
      <c r="HSD933" s="18"/>
      <c r="HSE933" s="18"/>
      <c r="HSF933" s="18"/>
      <c r="HSG933" s="18"/>
      <c r="HSH933" s="18"/>
      <c r="HSI933" s="18"/>
      <c r="HSJ933" s="18"/>
      <c r="HSK933" s="18"/>
      <c r="HSL933" s="18"/>
      <c r="HSM933" s="18"/>
      <c r="HSN933" s="18"/>
      <c r="HSO933" s="18"/>
      <c r="HSP933" s="18"/>
      <c r="HSQ933" s="18"/>
      <c r="HSR933" s="18"/>
      <c r="HSS933" s="18"/>
      <c r="HST933" s="18"/>
      <c r="HSU933" s="18"/>
      <c r="HSV933" s="18"/>
      <c r="HSW933" s="18"/>
      <c r="HSX933" s="18"/>
      <c r="HSY933" s="18"/>
      <c r="HSZ933" s="18"/>
      <c r="HTA933" s="18"/>
      <c r="HTB933" s="18"/>
      <c r="HTC933" s="18"/>
      <c r="HTD933" s="18"/>
      <c r="HTE933" s="18"/>
      <c r="HTF933" s="18"/>
      <c r="HTG933" s="18"/>
      <c r="HTH933" s="18"/>
      <c r="HTI933" s="18"/>
      <c r="HTJ933" s="18"/>
      <c r="HTK933" s="18"/>
      <c r="HTL933" s="18"/>
      <c r="HTM933" s="18"/>
      <c r="HTN933" s="18"/>
      <c r="HTO933" s="18"/>
      <c r="HTP933" s="18"/>
      <c r="HTQ933" s="18"/>
      <c r="HTR933" s="18"/>
      <c r="HTS933" s="18"/>
      <c r="HTT933" s="18"/>
      <c r="HTU933" s="18"/>
      <c r="HTV933" s="18"/>
      <c r="HTW933" s="18"/>
      <c r="HTX933" s="18"/>
      <c r="HTY933" s="18"/>
      <c r="HTZ933" s="18"/>
      <c r="HUA933" s="18"/>
      <c r="HUB933" s="18"/>
      <c r="HUC933" s="18"/>
      <c r="HUD933" s="18"/>
      <c r="HUE933" s="18"/>
      <c r="HUF933" s="18"/>
      <c r="HUG933" s="18"/>
      <c r="HUH933" s="18"/>
      <c r="HUI933" s="18"/>
      <c r="HUJ933" s="18"/>
      <c r="HUK933" s="18"/>
      <c r="HUL933" s="18"/>
      <c r="HUM933" s="18"/>
      <c r="HUN933" s="18"/>
      <c r="HUO933" s="18"/>
      <c r="HUP933" s="18"/>
      <c r="HUQ933" s="18"/>
      <c r="HUR933" s="18"/>
      <c r="HUS933" s="18"/>
      <c r="HUT933" s="18"/>
      <c r="HUU933" s="18"/>
      <c r="HUV933" s="18"/>
      <c r="HUW933" s="18"/>
      <c r="HUX933" s="18"/>
      <c r="HUY933" s="18"/>
      <c r="HUZ933" s="18"/>
      <c r="HVA933" s="18"/>
      <c r="HVB933" s="18"/>
      <c r="HVC933" s="18"/>
      <c r="HVD933" s="18"/>
      <c r="HVE933" s="18"/>
      <c r="HVF933" s="18"/>
      <c r="HVG933" s="18"/>
      <c r="HVH933" s="18"/>
      <c r="HVI933" s="18"/>
      <c r="HVJ933" s="18"/>
      <c r="HVK933" s="18"/>
      <c r="HVL933" s="18"/>
      <c r="HVM933" s="18"/>
      <c r="HVN933" s="18"/>
      <c r="HVO933" s="18"/>
      <c r="HVP933" s="18"/>
      <c r="HVQ933" s="18"/>
      <c r="HVR933" s="18"/>
      <c r="HVS933" s="18"/>
      <c r="HVT933" s="18"/>
      <c r="HVU933" s="18"/>
      <c r="HVV933" s="18"/>
      <c r="HVW933" s="18"/>
      <c r="HVX933" s="18"/>
      <c r="HVY933" s="18"/>
      <c r="HVZ933" s="18"/>
      <c r="HWA933" s="18"/>
      <c r="HWB933" s="18"/>
      <c r="HWC933" s="18"/>
      <c r="HWD933" s="18"/>
      <c r="HWE933" s="18"/>
      <c r="HWF933" s="18"/>
      <c r="HWG933" s="18"/>
      <c r="HWH933" s="18"/>
      <c r="HWI933" s="18"/>
      <c r="HWJ933" s="18"/>
      <c r="HWK933" s="18"/>
      <c r="HWL933" s="18"/>
      <c r="HWM933" s="18"/>
      <c r="HWN933" s="18"/>
      <c r="HWO933" s="18"/>
      <c r="HWP933" s="18"/>
      <c r="HWQ933" s="18"/>
      <c r="HWR933" s="18"/>
      <c r="HWS933" s="18"/>
      <c r="HWT933" s="18"/>
      <c r="HWU933" s="18"/>
      <c r="HWV933" s="18"/>
      <c r="HWW933" s="18"/>
      <c r="HWX933" s="18"/>
      <c r="HWY933" s="18"/>
      <c r="HWZ933" s="18"/>
      <c r="HXA933" s="18"/>
      <c r="HXB933" s="18"/>
      <c r="HXC933" s="18"/>
      <c r="HXD933" s="18"/>
      <c r="HXE933" s="18"/>
      <c r="HXF933" s="18"/>
      <c r="HXG933" s="18"/>
      <c r="HXH933" s="18"/>
      <c r="HXI933" s="18"/>
      <c r="HXJ933" s="18"/>
      <c r="HXK933" s="18"/>
      <c r="HXL933" s="18"/>
      <c r="HXM933" s="18"/>
      <c r="HXN933" s="18"/>
      <c r="HXO933" s="18"/>
      <c r="HXP933" s="18"/>
      <c r="HXQ933" s="18"/>
      <c r="HXR933" s="18"/>
      <c r="HXS933" s="18"/>
      <c r="HXT933" s="18"/>
      <c r="HXU933" s="18"/>
      <c r="HXV933" s="18"/>
      <c r="HXW933" s="18"/>
      <c r="HXX933" s="18"/>
      <c r="HXY933" s="18"/>
      <c r="HXZ933" s="18"/>
      <c r="HYA933" s="18"/>
      <c r="HYB933" s="18"/>
      <c r="HYC933" s="18"/>
      <c r="HYD933" s="18"/>
      <c r="HYE933" s="18"/>
      <c r="HYF933" s="18"/>
      <c r="HYG933" s="18"/>
      <c r="HYH933" s="18"/>
      <c r="HYI933" s="18"/>
      <c r="HYJ933" s="18"/>
      <c r="HYK933" s="18"/>
      <c r="HYL933" s="18"/>
      <c r="HYM933" s="18"/>
      <c r="HYN933" s="18"/>
      <c r="HYO933" s="18"/>
      <c r="HYP933" s="18"/>
      <c r="HYQ933" s="18"/>
      <c r="HYR933" s="18"/>
      <c r="HYS933" s="18"/>
      <c r="HYT933" s="18"/>
      <c r="HYU933" s="18"/>
      <c r="HYV933" s="18"/>
      <c r="HYW933" s="18"/>
      <c r="HYX933" s="18"/>
      <c r="HYY933" s="18"/>
      <c r="HYZ933" s="18"/>
      <c r="HZA933" s="18"/>
      <c r="HZB933" s="18"/>
      <c r="HZC933" s="18"/>
      <c r="HZD933" s="18"/>
      <c r="HZE933" s="18"/>
      <c r="HZF933" s="18"/>
      <c r="HZG933" s="18"/>
      <c r="HZH933" s="18"/>
      <c r="HZI933" s="18"/>
      <c r="HZJ933" s="18"/>
      <c r="HZK933" s="18"/>
      <c r="HZL933" s="18"/>
      <c r="HZM933" s="18"/>
      <c r="HZN933" s="18"/>
      <c r="HZO933" s="18"/>
      <c r="HZP933" s="18"/>
      <c r="HZQ933" s="18"/>
      <c r="HZR933" s="18"/>
      <c r="HZS933" s="18"/>
      <c r="HZT933" s="18"/>
      <c r="HZU933" s="18"/>
      <c r="HZV933" s="18"/>
      <c r="HZW933" s="18"/>
      <c r="HZX933" s="18"/>
      <c r="HZY933" s="18"/>
      <c r="HZZ933" s="18"/>
      <c r="IAA933" s="18"/>
      <c r="IAB933" s="18"/>
      <c r="IAC933" s="18"/>
      <c r="IAD933" s="18"/>
      <c r="IAE933" s="18"/>
      <c r="IAF933" s="18"/>
      <c r="IAG933" s="18"/>
      <c r="IAH933" s="18"/>
      <c r="IAI933" s="18"/>
      <c r="IAJ933" s="18"/>
      <c r="IAK933" s="18"/>
      <c r="IAL933" s="18"/>
      <c r="IAM933" s="18"/>
      <c r="IAN933" s="18"/>
      <c r="IAO933" s="18"/>
      <c r="IAP933" s="18"/>
      <c r="IAQ933" s="18"/>
      <c r="IAR933" s="18"/>
      <c r="IAS933" s="18"/>
      <c r="IAT933" s="18"/>
      <c r="IAU933" s="18"/>
      <c r="IAV933" s="18"/>
      <c r="IAW933" s="18"/>
      <c r="IAX933" s="18"/>
      <c r="IAY933" s="18"/>
      <c r="IAZ933" s="18"/>
      <c r="IBA933" s="18"/>
      <c r="IBB933" s="18"/>
      <c r="IBC933" s="18"/>
      <c r="IBD933" s="18"/>
      <c r="IBE933" s="18"/>
      <c r="IBF933" s="18"/>
      <c r="IBG933" s="18"/>
      <c r="IBH933" s="18"/>
      <c r="IBI933" s="18"/>
      <c r="IBJ933" s="18"/>
      <c r="IBK933" s="18"/>
      <c r="IBL933" s="18"/>
      <c r="IBM933" s="18"/>
      <c r="IBN933" s="18"/>
      <c r="IBO933" s="18"/>
      <c r="IBP933" s="18"/>
      <c r="IBQ933" s="18"/>
      <c r="IBR933" s="18"/>
      <c r="IBS933" s="18"/>
      <c r="IBT933" s="18"/>
      <c r="IBU933" s="18"/>
      <c r="IBV933" s="18"/>
      <c r="IBW933" s="18"/>
      <c r="IBX933" s="18"/>
      <c r="IBY933" s="18"/>
      <c r="IBZ933" s="18"/>
      <c r="ICA933" s="18"/>
      <c r="ICB933" s="18"/>
      <c r="ICC933" s="18"/>
      <c r="ICD933" s="18"/>
      <c r="ICE933" s="18"/>
      <c r="ICF933" s="18"/>
      <c r="ICG933" s="18"/>
      <c r="ICH933" s="18"/>
      <c r="ICI933" s="18"/>
      <c r="ICJ933" s="18"/>
      <c r="ICK933" s="18"/>
      <c r="ICL933" s="18"/>
      <c r="ICM933" s="18"/>
      <c r="ICN933" s="18"/>
      <c r="ICO933" s="18"/>
      <c r="ICP933" s="18"/>
      <c r="ICQ933" s="18"/>
      <c r="ICR933" s="18"/>
      <c r="ICS933" s="18"/>
      <c r="ICT933" s="18"/>
      <c r="ICU933" s="18"/>
      <c r="ICV933" s="18"/>
      <c r="ICW933" s="18"/>
      <c r="ICX933" s="18"/>
      <c r="ICY933" s="18"/>
      <c r="ICZ933" s="18"/>
      <c r="IDA933" s="18"/>
      <c r="IDB933" s="18"/>
      <c r="IDC933" s="18"/>
      <c r="IDD933" s="18"/>
      <c r="IDE933" s="18"/>
      <c r="IDF933" s="18"/>
      <c r="IDG933" s="18"/>
      <c r="IDH933" s="18"/>
      <c r="IDI933" s="18"/>
      <c r="IDJ933" s="18"/>
      <c r="IDK933" s="18"/>
      <c r="IDL933" s="18"/>
      <c r="IDM933" s="18"/>
      <c r="IDN933" s="18"/>
      <c r="IDO933" s="18"/>
      <c r="IDP933" s="18"/>
      <c r="IDQ933" s="18"/>
      <c r="IDR933" s="18"/>
      <c r="IDS933" s="18"/>
      <c r="IDT933" s="18"/>
      <c r="IDU933" s="18"/>
      <c r="IDV933" s="18"/>
      <c r="IDW933" s="18"/>
      <c r="IDX933" s="18"/>
      <c r="IDY933" s="18"/>
      <c r="IDZ933" s="18"/>
      <c r="IEA933" s="18"/>
      <c r="IEB933" s="18"/>
      <c r="IEC933" s="18"/>
      <c r="IED933" s="18"/>
      <c r="IEE933" s="18"/>
      <c r="IEF933" s="18"/>
      <c r="IEG933" s="18"/>
      <c r="IEH933" s="18"/>
      <c r="IEI933" s="18"/>
      <c r="IEJ933" s="18"/>
      <c r="IEK933" s="18"/>
      <c r="IEL933" s="18"/>
      <c r="IEM933" s="18"/>
      <c r="IEN933" s="18"/>
      <c r="IEO933" s="18"/>
      <c r="IEP933" s="18"/>
      <c r="IEQ933" s="18"/>
      <c r="IER933" s="18"/>
      <c r="IES933" s="18"/>
      <c r="IET933" s="18"/>
      <c r="IEU933" s="18"/>
      <c r="IEV933" s="18"/>
      <c r="IEW933" s="18"/>
      <c r="IEX933" s="18"/>
      <c r="IEY933" s="18"/>
      <c r="IEZ933" s="18"/>
      <c r="IFA933" s="18"/>
      <c r="IFB933" s="18"/>
      <c r="IFC933" s="18"/>
      <c r="IFD933" s="18"/>
      <c r="IFE933" s="18"/>
      <c r="IFF933" s="18"/>
      <c r="IFG933" s="18"/>
      <c r="IFH933" s="18"/>
      <c r="IFI933" s="18"/>
      <c r="IFJ933" s="18"/>
      <c r="IFK933" s="18"/>
      <c r="IFL933" s="18"/>
      <c r="IFM933" s="18"/>
      <c r="IFN933" s="18"/>
      <c r="IFO933" s="18"/>
      <c r="IFP933" s="18"/>
      <c r="IFQ933" s="18"/>
      <c r="IFR933" s="18"/>
      <c r="IFS933" s="18"/>
      <c r="IFT933" s="18"/>
      <c r="IFU933" s="18"/>
      <c r="IFV933" s="18"/>
      <c r="IFW933" s="18"/>
      <c r="IFX933" s="18"/>
      <c r="IFY933" s="18"/>
      <c r="IFZ933" s="18"/>
      <c r="IGA933" s="18"/>
      <c r="IGB933" s="18"/>
      <c r="IGC933" s="18"/>
      <c r="IGD933" s="18"/>
      <c r="IGE933" s="18"/>
      <c r="IGF933" s="18"/>
      <c r="IGG933" s="18"/>
      <c r="IGH933" s="18"/>
      <c r="IGI933" s="18"/>
      <c r="IGJ933" s="18"/>
      <c r="IGK933" s="18"/>
      <c r="IGL933" s="18"/>
      <c r="IGM933" s="18"/>
      <c r="IGN933" s="18"/>
      <c r="IGO933" s="18"/>
      <c r="IGP933" s="18"/>
      <c r="IGQ933" s="18"/>
      <c r="IGR933" s="18"/>
      <c r="IGS933" s="18"/>
      <c r="IGT933" s="18"/>
      <c r="IGU933" s="18"/>
      <c r="IGV933" s="18"/>
      <c r="IGW933" s="18"/>
      <c r="IGX933" s="18"/>
      <c r="IGY933" s="18"/>
      <c r="IGZ933" s="18"/>
      <c r="IHA933" s="18"/>
      <c r="IHB933" s="18"/>
      <c r="IHC933" s="18"/>
      <c r="IHD933" s="18"/>
      <c r="IHE933" s="18"/>
      <c r="IHF933" s="18"/>
      <c r="IHG933" s="18"/>
      <c r="IHH933" s="18"/>
      <c r="IHI933" s="18"/>
      <c r="IHJ933" s="18"/>
      <c r="IHK933" s="18"/>
      <c r="IHL933" s="18"/>
      <c r="IHM933" s="18"/>
      <c r="IHN933" s="18"/>
      <c r="IHO933" s="18"/>
      <c r="IHP933" s="18"/>
      <c r="IHQ933" s="18"/>
      <c r="IHR933" s="18"/>
      <c r="IHS933" s="18"/>
      <c r="IHT933" s="18"/>
      <c r="IHU933" s="18"/>
      <c r="IHV933" s="18"/>
      <c r="IHW933" s="18"/>
      <c r="IHX933" s="18"/>
      <c r="IHY933" s="18"/>
      <c r="IHZ933" s="18"/>
      <c r="IIA933" s="18"/>
      <c r="IIB933" s="18"/>
      <c r="IIC933" s="18"/>
      <c r="IID933" s="18"/>
      <c r="IIE933" s="18"/>
      <c r="IIF933" s="18"/>
      <c r="IIG933" s="18"/>
      <c r="IIH933" s="18"/>
      <c r="III933" s="18"/>
      <c r="IIJ933" s="18"/>
      <c r="IIK933" s="18"/>
      <c r="IIL933" s="18"/>
      <c r="IIM933" s="18"/>
      <c r="IIN933" s="18"/>
      <c r="IIO933" s="18"/>
      <c r="IIP933" s="18"/>
      <c r="IIQ933" s="18"/>
      <c r="IIR933" s="18"/>
      <c r="IIS933" s="18"/>
      <c r="IIT933" s="18"/>
      <c r="IIU933" s="18"/>
      <c r="IIV933" s="18"/>
      <c r="IIW933" s="18"/>
      <c r="IIX933" s="18"/>
      <c r="IIY933" s="18"/>
      <c r="IIZ933" s="18"/>
      <c r="IJA933" s="18"/>
      <c r="IJB933" s="18"/>
      <c r="IJC933" s="18"/>
      <c r="IJD933" s="18"/>
      <c r="IJE933" s="18"/>
      <c r="IJF933" s="18"/>
      <c r="IJG933" s="18"/>
      <c r="IJH933" s="18"/>
      <c r="IJI933" s="18"/>
      <c r="IJJ933" s="18"/>
      <c r="IJK933" s="18"/>
      <c r="IJL933" s="18"/>
      <c r="IJM933" s="18"/>
      <c r="IJN933" s="18"/>
      <c r="IJO933" s="18"/>
      <c r="IJP933" s="18"/>
      <c r="IJQ933" s="18"/>
      <c r="IJR933" s="18"/>
      <c r="IJS933" s="18"/>
      <c r="IJT933" s="18"/>
      <c r="IJU933" s="18"/>
      <c r="IJV933" s="18"/>
      <c r="IJW933" s="18"/>
      <c r="IJX933" s="18"/>
      <c r="IJY933" s="18"/>
      <c r="IJZ933" s="18"/>
      <c r="IKA933" s="18"/>
      <c r="IKB933" s="18"/>
      <c r="IKC933" s="18"/>
      <c r="IKD933" s="18"/>
      <c r="IKE933" s="18"/>
      <c r="IKF933" s="18"/>
      <c r="IKG933" s="18"/>
      <c r="IKH933" s="18"/>
      <c r="IKI933" s="18"/>
      <c r="IKJ933" s="18"/>
      <c r="IKK933" s="18"/>
      <c r="IKL933" s="18"/>
      <c r="IKM933" s="18"/>
      <c r="IKN933" s="18"/>
      <c r="IKO933" s="18"/>
      <c r="IKP933" s="18"/>
      <c r="IKQ933" s="18"/>
      <c r="IKR933" s="18"/>
      <c r="IKS933" s="18"/>
      <c r="IKT933" s="18"/>
      <c r="IKU933" s="18"/>
      <c r="IKV933" s="18"/>
      <c r="IKW933" s="18"/>
      <c r="IKX933" s="18"/>
      <c r="IKY933" s="18"/>
      <c r="IKZ933" s="18"/>
      <c r="ILA933" s="18"/>
      <c r="ILB933" s="18"/>
      <c r="ILC933" s="18"/>
      <c r="ILD933" s="18"/>
      <c r="ILE933" s="18"/>
      <c r="ILF933" s="18"/>
      <c r="ILG933" s="18"/>
      <c r="ILH933" s="18"/>
      <c r="ILI933" s="18"/>
      <c r="ILJ933" s="18"/>
      <c r="ILK933" s="18"/>
      <c r="ILL933" s="18"/>
      <c r="ILM933" s="18"/>
      <c r="ILN933" s="18"/>
      <c r="ILO933" s="18"/>
      <c r="ILP933" s="18"/>
      <c r="ILQ933" s="18"/>
      <c r="ILR933" s="18"/>
      <c r="ILS933" s="18"/>
      <c r="ILT933" s="18"/>
      <c r="ILU933" s="18"/>
      <c r="ILV933" s="18"/>
      <c r="ILW933" s="18"/>
      <c r="ILX933" s="18"/>
      <c r="ILY933" s="18"/>
      <c r="ILZ933" s="18"/>
      <c r="IMA933" s="18"/>
      <c r="IMB933" s="18"/>
      <c r="IMC933" s="18"/>
      <c r="IMD933" s="18"/>
      <c r="IME933" s="18"/>
      <c r="IMF933" s="18"/>
      <c r="IMG933" s="18"/>
      <c r="IMH933" s="18"/>
      <c r="IMI933" s="18"/>
      <c r="IMJ933" s="18"/>
      <c r="IMK933" s="18"/>
      <c r="IML933" s="18"/>
      <c r="IMM933" s="18"/>
      <c r="IMN933" s="18"/>
      <c r="IMO933" s="18"/>
      <c r="IMP933" s="18"/>
      <c r="IMQ933" s="18"/>
      <c r="IMR933" s="18"/>
      <c r="IMS933" s="18"/>
      <c r="IMT933" s="18"/>
      <c r="IMU933" s="18"/>
      <c r="IMV933" s="18"/>
      <c r="IMW933" s="18"/>
      <c r="IMX933" s="18"/>
      <c r="IMY933" s="18"/>
      <c r="IMZ933" s="18"/>
      <c r="INA933" s="18"/>
      <c r="INB933" s="18"/>
      <c r="INC933" s="18"/>
      <c r="IND933" s="18"/>
      <c r="INE933" s="18"/>
      <c r="INF933" s="18"/>
      <c r="ING933" s="18"/>
      <c r="INH933" s="18"/>
      <c r="INI933" s="18"/>
      <c r="INJ933" s="18"/>
      <c r="INK933" s="18"/>
      <c r="INL933" s="18"/>
      <c r="INM933" s="18"/>
      <c r="INN933" s="18"/>
      <c r="INO933" s="18"/>
      <c r="INP933" s="18"/>
      <c r="INQ933" s="18"/>
      <c r="INR933" s="18"/>
      <c r="INS933" s="18"/>
      <c r="INT933" s="18"/>
      <c r="INU933" s="18"/>
      <c r="INV933" s="18"/>
      <c r="INW933" s="18"/>
      <c r="INX933" s="18"/>
      <c r="INY933" s="18"/>
      <c r="INZ933" s="18"/>
      <c r="IOA933" s="18"/>
      <c r="IOB933" s="18"/>
      <c r="IOC933" s="18"/>
      <c r="IOD933" s="18"/>
      <c r="IOE933" s="18"/>
      <c r="IOF933" s="18"/>
      <c r="IOG933" s="18"/>
      <c r="IOH933" s="18"/>
      <c r="IOI933" s="18"/>
      <c r="IOJ933" s="18"/>
      <c r="IOK933" s="18"/>
      <c r="IOL933" s="18"/>
      <c r="IOM933" s="18"/>
      <c r="ION933" s="18"/>
      <c r="IOO933" s="18"/>
      <c r="IOP933" s="18"/>
      <c r="IOQ933" s="18"/>
      <c r="IOR933" s="18"/>
      <c r="IOS933" s="18"/>
      <c r="IOT933" s="18"/>
      <c r="IOU933" s="18"/>
      <c r="IOV933" s="18"/>
      <c r="IOW933" s="18"/>
      <c r="IOX933" s="18"/>
      <c r="IOY933" s="18"/>
      <c r="IOZ933" s="18"/>
      <c r="IPA933" s="18"/>
      <c r="IPB933" s="18"/>
      <c r="IPC933" s="18"/>
      <c r="IPD933" s="18"/>
      <c r="IPE933" s="18"/>
      <c r="IPF933" s="18"/>
      <c r="IPG933" s="18"/>
      <c r="IPH933" s="18"/>
      <c r="IPI933" s="18"/>
      <c r="IPJ933" s="18"/>
      <c r="IPK933" s="18"/>
      <c r="IPL933" s="18"/>
      <c r="IPM933" s="18"/>
      <c r="IPN933" s="18"/>
      <c r="IPO933" s="18"/>
      <c r="IPP933" s="18"/>
      <c r="IPQ933" s="18"/>
      <c r="IPR933" s="18"/>
      <c r="IPS933" s="18"/>
      <c r="IPT933" s="18"/>
      <c r="IPU933" s="18"/>
      <c r="IPV933" s="18"/>
      <c r="IPW933" s="18"/>
      <c r="IPX933" s="18"/>
      <c r="IPY933" s="18"/>
      <c r="IPZ933" s="18"/>
      <c r="IQA933" s="18"/>
      <c r="IQB933" s="18"/>
      <c r="IQC933" s="18"/>
      <c r="IQD933" s="18"/>
      <c r="IQE933" s="18"/>
      <c r="IQF933" s="18"/>
      <c r="IQG933" s="18"/>
      <c r="IQH933" s="18"/>
      <c r="IQI933" s="18"/>
      <c r="IQJ933" s="18"/>
      <c r="IQK933" s="18"/>
      <c r="IQL933" s="18"/>
      <c r="IQM933" s="18"/>
      <c r="IQN933" s="18"/>
      <c r="IQO933" s="18"/>
      <c r="IQP933" s="18"/>
      <c r="IQQ933" s="18"/>
      <c r="IQR933" s="18"/>
      <c r="IQS933" s="18"/>
      <c r="IQT933" s="18"/>
      <c r="IQU933" s="18"/>
      <c r="IQV933" s="18"/>
      <c r="IQW933" s="18"/>
      <c r="IQX933" s="18"/>
      <c r="IQY933" s="18"/>
      <c r="IQZ933" s="18"/>
      <c r="IRA933" s="18"/>
      <c r="IRB933" s="18"/>
      <c r="IRC933" s="18"/>
      <c r="IRD933" s="18"/>
      <c r="IRE933" s="18"/>
      <c r="IRF933" s="18"/>
      <c r="IRG933" s="18"/>
      <c r="IRH933" s="18"/>
      <c r="IRI933" s="18"/>
      <c r="IRJ933" s="18"/>
      <c r="IRK933" s="18"/>
      <c r="IRL933" s="18"/>
      <c r="IRM933" s="18"/>
      <c r="IRN933" s="18"/>
      <c r="IRO933" s="18"/>
      <c r="IRP933" s="18"/>
      <c r="IRQ933" s="18"/>
      <c r="IRR933" s="18"/>
      <c r="IRS933" s="18"/>
      <c r="IRT933" s="18"/>
      <c r="IRU933" s="18"/>
      <c r="IRV933" s="18"/>
      <c r="IRW933" s="18"/>
      <c r="IRX933" s="18"/>
      <c r="IRY933" s="18"/>
      <c r="IRZ933" s="18"/>
      <c r="ISA933" s="18"/>
      <c r="ISB933" s="18"/>
      <c r="ISC933" s="18"/>
      <c r="ISD933" s="18"/>
      <c r="ISE933" s="18"/>
      <c r="ISF933" s="18"/>
      <c r="ISG933" s="18"/>
      <c r="ISH933" s="18"/>
      <c r="ISI933" s="18"/>
      <c r="ISJ933" s="18"/>
      <c r="ISK933" s="18"/>
      <c r="ISL933" s="18"/>
      <c r="ISM933" s="18"/>
      <c r="ISN933" s="18"/>
      <c r="ISO933" s="18"/>
      <c r="ISP933" s="18"/>
      <c r="ISQ933" s="18"/>
      <c r="ISR933" s="18"/>
      <c r="ISS933" s="18"/>
      <c r="IST933" s="18"/>
      <c r="ISU933" s="18"/>
      <c r="ISV933" s="18"/>
      <c r="ISW933" s="18"/>
      <c r="ISX933" s="18"/>
      <c r="ISY933" s="18"/>
      <c r="ISZ933" s="18"/>
      <c r="ITA933" s="18"/>
      <c r="ITB933" s="18"/>
      <c r="ITC933" s="18"/>
      <c r="ITD933" s="18"/>
      <c r="ITE933" s="18"/>
      <c r="ITF933" s="18"/>
      <c r="ITG933" s="18"/>
      <c r="ITH933" s="18"/>
      <c r="ITI933" s="18"/>
      <c r="ITJ933" s="18"/>
      <c r="ITK933" s="18"/>
      <c r="ITL933" s="18"/>
      <c r="ITM933" s="18"/>
      <c r="ITN933" s="18"/>
      <c r="ITO933" s="18"/>
      <c r="ITP933" s="18"/>
      <c r="ITQ933" s="18"/>
      <c r="ITR933" s="18"/>
      <c r="ITS933" s="18"/>
      <c r="ITT933" s="18"/>
      <c r="ITU933" s="18"/>
      <c r="ITV933" s="18"/>
      <c r="ITW933" s="18"/>
      <c r="ITX933" s="18"/>
      <c r="ITY933" s="18"/>
      <c r="ITZ933" s="18"/>
      <c r="IUA933" s="18"/>
      <c r="IUB933" s="18"/>
      <c r="IUC933" s="18"/>
      <c r="IUD933" s="18"/>
      <c r="IUE933" s="18"/>
      <c r="IUF933" s="18"/>
      <c r="IUG933" s="18"/>
      <c r="IUH933" s="18"/>
      <c r="IUI933" s="18"/>
      <c r="IUJ933" s="18"/>
      <c r="IUK933" s="18"/>
      <c r="IUL933" s="18"/>
      <c r="IUM933" s="18"/>
      <c r="IUN933" s="18"/>
      <c r="IUO933" s="18"/>
      <c r="IUP933" s="18"/>
      <c r="IUQ933" s="18"/>
      <c r="IUR933" s="18"/>
      <c r="IUS933" s="18"/>
      <c r="IUT933" s="18"/>
      <c r="IUU933" s="18"/>
      <c r="IUV933" s="18"/>
      <c r="IUW933" s="18"/>
      <c r="IUX933" s="18"/>
      <c r="IUY933" s="18"/>
      <c r="IUZ933" s="18"/>
      <c r="IVA933" s="18"/>
      <c r="IVB933" s="18"/>
      <c r="IVC933" s="18"/>
      <c r="IVD933" s="18"/>
      <c r="IVE933" s="18"/>
      <c r="IVF933" s="18"/>
      <c r="IVG933" s="18"/>
      <c r="IVH933" s="18"/>
      <c r="IVI933" s="18"/>
      <c r="IVJ933" s="18"/>
      <c r="IVK933" s="18"/>
      <c r="IVL933" s="18"/>
      <c r="IVM933" s="18"/>
      <c r="IVN933" s="18"/>
      <c r="IVO933" s="18"/>
      <c r="IVP933" s="18"/>
      <c r="IVQ933" s="18"/>
      <c r="IVR933" s="18"/>
      <c r="IVS933" s="18"/>
      <c r="IVT933" s="18"/>
      <c r="IVU933" s="18"/>
      <c r="IVV933" s="18"/>
      <c r="IVW933" s="18"/>
      <c r="IVX933" s="18"/>
      <c r="IVY933" s="18"/>
      <c r="IVZ933" s="18"/>
      <c r="IWA933" s="18"/>
      <c r="IWB933" s="18"/>
      <c r="IWC933" s="18"/>
      <c r="IWD933" s="18"/>
      <c r="IWE933" s="18"/>
      <c r="IWF933" s="18"/>
      <c r="IWG933" s="18"/>
      <c r="IWH933" s="18"/>
      <c r="IWI933" s="18"/>
      <c r="IWJ933" s="18"/>
      <c r="IWK933" s="18"/>
      <c r="IWL933" s="18"/>
      <c r="IWM933" s="18"/>
      <c r="IWN933" s="18"/>
      <c r="IWO933" s="18"/>
      <c r="IWP933" s="18"/>
      <c r="IWQ933" s="18"/>
      <c r="IWR933" s="18"/>
      <c r="IWS933" s="18"/>
      <c r="IWT933" s="18"/>
      <c r="IWU933" s="18"/>
      <c r="IWV933" s="18"/>
      <c r="IWW933" s="18"/>
      <c r="IWX933" s="18"/>
      <c r="IWY933" s="18"/>
      <c r="IWZ933" s="18"/>
      <c r="IXA933" s="18"/>
      <c r="IXB933" s="18"/>
      <c r="IXC933" s="18"/>
      <c r="IXD933" s="18"/>
      <c r="IXE933" s="18"/>
      <c r="IXF933" s="18"/>
      <c r="IXG933" s="18"/>
      <c r="IXH933" s="18"/>
      <c r="IXI933" s="18"/>
      <c r="IXJ933" s="18"/>
      <c r="IXK933" s="18"/>
      <c r="IXL933" s="18"/>
      <c r="IXM933" s="18"/>
      <c r="IXN933" s="18"/>
      <c r="IXO933" s="18"/>
      <c r="IXP933" s="18"/>
      <c r="IXQ933" s="18"/>
      <c r="IXR933" s="18"/>
      <c r="IXS933" s="18"/>
      <c r="IXT933" s="18"/>
      <c r="IXU933" s="18"/>
      <c r="IXV933" s="18"/>
      <c r="IXW933" s="18"/>
      <c r="IXX933" s="18"/>
      <c r="IXY933" s="18"/>
      <c r="IXZ933" s="18"/>
      <c r="IYA933" s="18"/>
      <c r="IYB933" s="18"/>
      <c r="IYC933" s="18"/>
      <c r="IYD933" s="18"/>
      <c r="IYE933" s="18"/>
      <c r="IYF933" s="18"/>
      <c r="IYG933" s="18"/>
      <c r="IYH933" s="18"/>
      <c r="IYI933" s="18"/>
      <c r="IYJ933" s="18"/>
      <c r="IYK933" s="18"/>
      <c r="IYL933" s="18"/>
      <c r="IYM933" s="18"/>
      <c r="IYN933" s="18"/>
      <c r="IYO933" s="18"/>
      <c r="IYP933" s="18"/>
      <c r="IYQ933" s="18"/>
      <c r="IYR933" s="18"/>
      <c r="IYS933" s="18"/>
      <c r="IYT933" s="18"/>
      <c r="IYU933" s="18"/>
      <c r="IYV933" s="18"/>
      <c r="IYW933" s="18"/>
      <c r="IYX933" s="18"/>
      <c r="IYY933" s="18"/>
      <c r="IYZ933" s="18"/>
      <c r="IZA933" s="18"/>
      <c r="IZB933" s="18"/>
      <c r="IZC933" s="18"/>
      <c r="IZD933" s="18"/>
      <c r="IZE933" s="18"/>
      <c r="IZF933" s="18"/>
      <c r="IZG933" s="18"/>
      <c r="IZH933" s="18"/>
      <c r="IZI933" s="18"/>
      <c r="IZJ933" s="18"/>
      <c r="IZK933" s="18"/>
      <c r="IZL933" s="18"/>
      <c r="IZM933" s="18"/>
      <c r="IZN933" s="18"/>
      <c r="IZO933" s="18"/>
      <c r="IZP933" s="18"/>
      <c r="IZQ933" s="18"/>
      <c r="IZR933" s="18"/>
      <c r="IZS933" s="18"/>
      <c r="IZT933" s="18"/>
      <c r="IZU933" s="18"/>
      <c r="IZV933" s="18"/>
      <c r="IZW933" s="18"/>
      <c r="IZX933" s="18"/>
      <c r="IZY933" s="18"/>
      <c r="IZZ933" s="18"/>
      <c r="JAA933" s="18"/>
      <c r="JAB933" s="18"/>
      <c r="JAC933" s="18"/>
      <c r="JAD933" s="18"/>
      <c r="JAE933" s="18"/>
      <c r="JAF933" s="18"/>
      <c r="JAG933" s="18"/>
      <c r="JAH933" s="18"/>
      <c r="JAI933" s="18"/>
      <c r="JAJ933" s="18"/>
      <c r="JAK933" s="18"/>
      <c r="JAL933" s="18"/>
      <c r="JAM933" s="18"/>
      <c r="JAN933" s="18"/>
      <c r="JAO933" s="18"/>
      <c r="JAP933" s="18"/>
      <c r="JAQ933" s="18"/>
      <c r="JAR933" s="18"/>
      <c r="JAS933" s="18"/>
      <c r="JAT933" s="18"/>
      <c r="JAU933" s="18"/>
      <c r="JAV933" s="18"/>
      <c r="JAW933" s="18"/>
      <c r="JAX933" s="18"/>
      <c r="JAY933" s="18"/>
      <c r="JAZ933" s="18"/>
      <c r="JBA933" s="18"/>
      <c r="JBB933" s="18"/>
      <c r="JBC933" s="18"/>
      <c r="JBD933" s="18"/>
      <c r="JBE933" s="18"/>
      <c r="JBF933" s="18"/>
      <c r="JBG933" s="18"/>
      <c r="JBH933" s="18"/>
      <c r="JBI933" s="18"/>
      <c r="JBJ933" s="18"/>
      <c r="JBK933" s="18"/>
      <c r="JBL933" s="18"/>
      <c r="JBM933" s="18"/>
      <c r="JBN933" s="18"/>
      <c r="JBO933" s="18"/>
      <c r="JBP933" s="18"/>
      <c r="JBQ933" s="18"/>
      <c r="JBR933" s="18"/>
      <c r="JBS933" s="18"/>
      <c r="JBT933" s="18"/>
      <c r="JBU933" s="18"/>
      <c r="JBV933" s="18"/>
      <c r="JBW933" s="18"/>
      <c r="JBX933" s="18"/>
      <c r="JBY933" s="18"/>
      <c r="JBZ933" s="18"/>
      <c r="JCA933" s="18"/>
      <c r="JCB933" s="18"/>
      <c r="JCC933" s="18"/>
      <c r="JCD933" s="18"/>
      <c r="JCE933" s="18"/>
      <c r="JCF933" s="18"/>
      <c r="JCG933" s="18"/>
      <c r="JCH933" s="18"/>
      <c r="JCI933" s="18"/>
      <c r="JCJ933" s="18"/>
      <c r="JCK933" s="18"/>
      <c r="JCL933" s="18"/>
      <c r="JCM933" s="18"/>
      <c r="JCN933" s="18"/>
      <c r="JCO933" s="18"/>
      <c r="JCP933" s="18"/>
      <c r="JCQ933" s="18"/>
      <c r="JCR933" s="18"/>
      <c r="JCS933" s="18"/>
      <c r="JCT933" s="18"/>
      <c r="JCU933" s="18"/>
      <c r="JCV933" s="18"/>
      <c r="JCW933" s="18"/>
      <c r="JCX933" s="18"/>
      <c r="JCY933" s="18"/>
      <c r="JCZ933" s="18"/>
      <c r="JDA933" s="18"/>
      <c r="JDB933" s="18"/>
      <c r="JDC933" s="18"/>
      <c r="JDD933" s="18"/>
      <c r="JDE933" s="18"/>
      <c r="JDF933" s="18"/>
      <c r="JDG933" s="18"/>
      <c r="JDH933" s="18"/>
      <c r="JDI933" s="18"/>
      <c r="JDJ933" s="18"/>
      <c r="JDK933" s="18"/>
      <c r="JDL933" s="18"/>
      <c r="JDM933" s="18"/>
      <c r="JDN933" s="18"/>
      <c r="JDO933" s="18"/>
      <c r="JDP933" s="18"/>
      <c r="JDQ933" s="18"/>
      <c r="JDR933" s="18"/>
      <c r="JDS933" s="18"/>
      <c r="JDT933" s="18"/>
      <c r="JDU933" s="18"/>
      <c r="JDV933" s="18"/>
      <c r="JDW933" s="18"/>
      <c r="JDX933" s="18"/>
      <c r="JDY933" s="18"/>
      <c r="JDZ933" s="18"/>
      <c r="JEA933" s="18"/>
      <c r="JEB933" s="18"/>
      <c r="JEC933" s="18"/>
      <c r="JED933" s="18"/>
      <c r="JEE933" s="18"/>
      <c r="JEF933" s="18"/>
      <c r="JEG933" s="18"/>
      <c r="JEH933" s="18"/>
      <c r="JEI933" s="18"/>
      <c r="JEJ933" s="18"/>
      <c r="JEK933" s="18"/>
      <c r="JEL933" s="18"/>
      <c r="JEM933" s="18"/>
      <c r="JEN933" s="18"/>
      <c r="JEO933" s="18"/>
      <c r="JEP933" s="18"/>
      <c r="JEQ933" s="18"/>
      <c r="JER933" s="18"/>
      <c r="JES933" s="18"/>
      <c r="JET933" s="18"/>
      <c r="JEU933" s="18"/>
      <c r="JEV933" s="18"/>
      <c r="JEW933" s="18"/>
      <c r="JEX933" s="18"/>
      <c r="JEY933" s="18"/>
      <c r="JEZ933" s="18"/>
      <c r="JFA933" s="18"/>
      <c r="JFB933" s="18"/>
      <c r="JFC933" s="18"/>
      <c r="JFD933" s="18"/>
      <c r="JFE933" s="18"/>
      <c r="JFF933" s="18"/>
      <c r="JFG933" s="18"/>
      <c r="JFH933" s="18"/>
      <c r="JFI933" s="18"/>
      <c r="JFJ933" s="18"/>
      <c r="JFK933" s="18"/>
      <c r="JFL933" s="18"/>
      <c r="JFM933" s="18"/>
      <c r="JFN933" s="18"/>
      <c r="JFO933" s="18"/>
      <c r="JFP933" s="18"/>
      <c r="JFQ933" s="18"/>
      <c r="JFR933" s="18"/>
      <c r="JFS933" s="18"/>
      <c r="JFT933" s="18"/>
      <c r="JFU933" s="18"/>
      <c r="JFV933" s="18"/>
      <c r="JFW933" s="18"/>
      <c r="JFX933" s="18"/>
      <c r="JFY933" s="18"/>
      <c r="JFZ933" s="18"/>
      <c r="JGA933" s="18"/>
      <c r="JGB933" s="18"/>
      <c r="JGC933" s="18"/>
      <c r="JGD933" s="18"/>
      <c r="JGE933" s="18"/>
      <c r="JGF933" s="18"/>
      <c r="JGG933" s="18"/>
      <c r="JGH933" s="18"/>
      <c r="JGI933" s="18"/>
      <c r="JGJ933" s="18"/>
      <c r="JGK933" s="18"/>
      <c r="JGL933" s="18"/>
      <c r="JGM933" s="18"/>
      <c r="JGN933" s="18"/>
      <c r="JGO933" s="18"/>
      <c r="JGP933" s="18"/>
      <c r="JGQ933" s="18"/>
      <c r="JGR933" s="18"/>
      <c r="JGS933" s="18"/>
      <c r="JGT933" s="18"/>
      <c r="JGU933" s="18"/>
      <c r="JGV933" s="18"/>
      <c r="JGW933" s="18"/>
      <c r="JGX933" s="18"/>
      <c r="JGY933" s="18"/>
      <c r="JGZ933" s="18"/>
      <c r="JHA933" s="18"/>
      <c r="JHB933" s="18"/>
      <c r="JHC933" s="18"/>
      <c r="JHD933" s="18"/>
      <c r="JHE933" s="18"/>
      <c r="JHF933" s="18"/>
      <c r="JHG933" s="18"/>
      <c r="JHH933" s="18"/>
      <c r="JHI933" s="18"/>
      <c r="JHJ933" s="18"/>
      <c r="JHK933" s="18"/>
      <c r="JHL933" s="18"/>
      <c r="JHM933" s="18"/>
      <c r="JHN933" s="18"/>
      <c r="JHO933" s="18"/>
      <c r="JHP933" s="18"/>
      <c r="JHQ933" s="18"/>
      <c r="JHR933" s="18"/>
      <c r="JHS933" s="18"/>
      <c r="JHT933" s="18"/>
      <c r="JHU933" s="18"/>
      <c r="JHV933" s="18"/>
      <c r="JHW933" s="18"/>
      <c r="JHX933" s="18"/>
      <c r="JHY933" s="18"/>
      <c r="JHZ933" s="18"/>
      <c r="JIA933" s="18"/>
      <c r="JIB933" s="18"/>
      <c r="JIC933" s="18"/>
      <c r="JID933" s="18"/>
      <c r="JIE933" s="18"/>
      <c r="JIF933" s="18"/>
      <c r="JIG933" s="18"/>
      <c r="JIH933" s="18"/>
      <c r="JII933" s="18"/>
      <c r="JIJ933" s="18"/>
      <c r="JIK933" s="18"/>
      <c r="JIL933" s="18"/>
      <c r="JIM933" s="18"/>
      <c r="JIN933" s="18"/>
      <c r="JIO933" s="18"/>
      <c r="JIP933" s="18"/>
      <c r="JIQ933" s="18"/>
      <c r="JIR933" s="18"/>
      <c r="JIS933" s="18"/>
      <c r="JIT933" s="18"/>
      <c r="JIU933" s="18"/>
      <c r="JIV933" s="18"/>
      <c r="JIW933" s="18"/>
      <c r="JIX933" s="18"/>
      <c r="JIY933" s="18"/>
      <c r="JIZ933" s="18"/>
      <c r="JJA933" s="18"/>
      <c r="JJB933" s="18"/>
      <c r="JJC933" s="18"/>
      <c r="JJD933" s="18"/>
      <c r="JJE933" s="18"/>
      <c r="JJF933" s="18"/>
      <c r="JJG933" s="18"/>
      <c r="JJH933" s="18"/>
      <c r="JJI933" s="18"/>
      <c r="JJJ933" s="18"/>
      <c r="JJK933" s="18"/>
      <c r="JJL933" s="18"/>
      <c r="JJM933" s="18"/>
      <c r="JJN933" s="18"/>
      <c r="JJO933" s="18"/>
      <c r="JJP933" s="18"/>
      <c r="JJQ933" s="18"/>
      <c r="JJR933" s="18"/>
      <c r="JJS933" s="18"/>
      <c r="JJT933" s="18"/>
      <c r="JJU933" s="18"/>
      <c r="JJV933" s="18"/>
      <c r="JJW933" s="18"/>
      <c r="JJX933" s="18"/>
      <c r="JJY933" s="18"/>
      <c r="JJZ933" s="18"/>
      <c r="JKA933" s="18"/>
      <c r="JKB933" s="18"/>
      <c r="JKC933" s="18"/>
      <c r="JKD933" s="18"/>
      <c r="JKE933" s="18"/>
      <c r="JKF933" s="18"/>
      <c r="JKG933" s="18"/>
      <c r="JKH933" s="18"/>
      <c r="JKI933" s="18"/>
      <c r="JKJ933" s="18"/>
      <c r="JKK933" s="18"/>
      <c r="JKL933" s="18"/>
      <c r="JKM933" s="18"/>
      <c r="JKN933" s="18"/>
      <c r="JKO933" s="18"/>
      <c r="JKP933" s="18"/>
      <c r="JKQ933" s="18"/>
      <c r="JKR933" s="18"/>
      <c r="JKS933" s="18"/>
      <c r="JKT933" s="18"/>
      <c r="JKU933" s="18"/>
      <c r="JKV933" s="18"/>
      <c r="JKW933" s="18"/>
      <c r="JKX933" s="18"/>
      <c r="JKY933" s="18"/>
      <c r="JKZ933" s="18"/>
      <c r="JLA933" s="18"/>
      <c r="JLB933" s="18"/>
      <c r="JLC933" s="18"/>
      <c r="JLD933" s="18"/>
      <c r="JLE933" s="18"/>
      <c r="JLF933" s="18"/>
      <c r="JLG933" s="18"/>
      <c r="JLH933" s="18"/>
      <c r="JLI933" s="18"/>
      <c r="JLJ933" s="18"/>
      <c r="JLK933" s="18"/>
      <c r="JLL933" s="18"/>
      <c r="JLM933" s="18"/>
      <c r="JLN933" s="18"/>
      <c r="JLO933" s="18"/>
      <c r="JLP933" s="18"/>
      <c r="JLQ933" s="18"/>
      <c r="JLR933" s="18"/>
      <c r="JLS933" s="18"/>
      <c r="JLT933" s="18"/>
      <c r="JLU933" s="18"/>
      <c r="JLV933" s="18"/>
      <c r="JLW933" s="18"/>
      <c r="JLX933" s="18"/>
      <c r="JLY933" s="18"/>
      <c r="JLZ933" s="18"/>
      <c r="JMA933" s="18"/>
      <c r="JMB933" s="18"/>
      <c r="JMC933" s="18"/>
      <c r="JMD933" s="18"/>
      <c r="JME933" s="18"/>
      <c r="JMF933" s="18"/>
      <c r="JMG933" s="18"/>
      <c r="JMH933" s="18"/>
      <c r="JMI933" s="18"/>
      <c r="JMJ933" s="18"/>
      <c r="JMK933" s="18"/>
      <c r="JML933" s="18"/>
      <c r="JMM933" s="18"/>
      <c r="JMN933" s="18"/>
      <c r="JMO933" s="18"/>
      <c r="JMP933" s="18"/>
      <c r="JMQ933" s="18"/>
      <c r="JMR933" s="18"/>
      <c r="JMS933" s="18"/>
      <c r="JMT933" s="18"/>
      <c r="JMU933" s="18"/>
      <c r="JMV933" s="18"/>
      <c r="JMW933" s="18"/>
      <c r="JMX933" s="18"/>
      <c r="JMY933" s="18"/>
      <c r="JMZ933" s="18"/>
      <c r="JNA933" s="18"/>
      <c r="JNB933" s="18"/>
      <c r="JNC933" s="18"/>
      <c r="JND933" s="18"/>
      <c r="JNE933" s="18"/>
      <c r="JNF933" s="18"/>
      <c r="JNG933" s="18"/>
      <c r="JNH933" s="18"/>
      <c r="JNI933" s="18"/>
      <c r="JNJ933" s="18"/>
      <c r="JNK933" s="18"/>
      <c r="JNL933" s="18"/>
      <c r="JNM933" s="18"/>
      <c r="JNN933" s="18"/>
      <c r="JNO933" s="18"/>
      <c r="JNP933" s="18"/>
      <c r="JNQ933" s="18"/>
      <c r="JNR933" s="18"/>
      <c r="JNS933" s="18"/>
      <c r="JNT933" s="18"/>
      <c r="JNU933" s="18"/>
      <c r="JNV933" s="18"/>
      <c r="JNW933" s="18"/>
      <c r="JNX933" s="18"/>
      <c r="JNY933" s="18"/>
      <c r="JNZ933" s="18"/>
      <c r="JOA933" s="18"/>
      <c r="JOB933" s="18"/>
      <c r="JOC933" s="18"/>
      <c r="JOD933" s="18"/>
      <c r="JOE933" s="18"/>
      <c r="JOF933" s="18"/>
      <c r="JOG933" s="18"/>
      <c r="JOH933" s="18"/>
      <c r="JOI933" s="18"/>
      <c r="JOJ933" s="18"/>
      <c r="JOK933" s="18"/>
      <c r="JOL933" s="18"/>
      <c r="JOM933" s="18"/>
      <c r="JON933" s="18"/>
      <c r="JOO933" s="18"/>
      <c r="JOP933" s="18"/>
      <c r="JOQ933" s="18"/>
      <c r="JOR933" s="18"/>
      <c r="JOS933" s="18"/>
      <c r="JOT933" s="18"/>
      <c r="JOU933" s="18"/>
      <c r="JOV933" s="18"/>
      <c r="JOW933" s="18"/>
      <c r="JOX933" s="18"/>
      <c r="JOY933" s="18"/>
      <c r="JOZ933" s="18"/>
      <c r="JPA933" s="18"/>
      <c r="JPB933" s="18"/>
      <c r="JPC933" s="18"/>
      <c r="JPD933" s="18"/>
      <c r="JPE933" s="18"/>
      <c r="JPF933" s="18"/>
      <c r="JPG933" s="18"/>
      <c r="JPH933" s="18"/>
      <c r="JPI933" s="18"/>
      <c r="JPJ933" s="18"/>
      <c r="JPK933" s="18"/>
      <c r="JPL933" s="18"/>
      <c r="JPM933" s="18"/>
      <c r="JPN933" s="18"/>
      <c r="JPO933" s="18"/>
      <c r="JPP933" s="18"/>
      <c r="JPQ933" s="18"/>
      <c r="JPR933" s="18"/>
      <c r="JPS933" s="18"/>
      <c r="JPT933" s="18"/>
      <c r="JPU933" s="18"/>
      <c r="JPV933" s="18"/>
      <c r="JPW933" s="18"/>
      <c r="JPX933" s="18"/>
      <c r="JPY933" s="18"/>
      <c r="JPZ933" s="18"/>
      <c r="JQA933" s="18"/>
      <c r="JQB933" s="18"/>
      <c r="JQC933" s="18"/>
      <c r="JQD933" s="18"/>
      <c r="JQE933" s="18"/>
      <c r="JQF933" s="18"/>
      <c r="JQG933" s="18"/>
      <c r="JQH933" s="18"/>
      <c r="JQI933" s="18"/>
      <c r="JQJ933" s="18"/>
      <c r="JQK933" s="18"/>
      <c r="JQL933" s="18"/>
      <c r="JQM933" s="18"/>
      <c r="JQN933" s="18"/>
      <c r="JQO933" s="18"/>
      <c r="JQP933" s="18"/>
      <c r="JQQ933" s="18"/>
      <c r="JQR933" s="18"/>
      <c r="JQS933" s="18"/>
      <c r="JQT933" s="18"/>
      <c r="JQU933" s="18"/>
      <c r="JQV933" s="18"/>
      <c r="JQW933" s="18"/>
      <c r="JQX933" s="18"/>
      <c r="JQY933" s="18"/>
      <c r="JQZ933" s="18"/>
      <c r="JRA933" s="18"/>
      <c r="JRB933" s="18"/>
      <c r="JRC933" s="18"/>
      <c r="JRD933" s="18"/>
      <c r="JRE933" s="18"/>
      <c r="JRF933" s="18"/>
      <c r="JRG933" s="18"/>
      <c r="JRH933" s="18"/>
      <c r="JRI933" s="18"/>
      <c r="JRJ933" s="18"/>
      <c r="JRK933" s="18"/>
      <c r="JRL933" s="18"/>
      <c r="JRM933" s="18"/>
      <c r="JRN933" s="18"/>
      <c r="JRO933" s="18"/>
      <c r="JRP933" s="18"/>
      <c r="JRQ933" s="18"/>
      <c r="JRR933" s="18"/>
      <c r="JRS933" s="18"/>
      <c r="JRT933" s="18"/>
      <c r="JRU933" s="18"/>
      <c r="JRV933" s="18"/>
      <c r="JRW933" s="18"/>
      <c r="JRX933" s="18"/>
      <c r="JRY933" s="18"/>
      <c r="JRZ933" s="18"/>
      <c r="JSA933" s="18"/>
      <c r="JSB933" s="18"/>
      <c r="JSC933" s="18"/>
      <c r="JSD933" s="18"/>
      <c r="JSE933" s="18"/>
      <c r="JSF933" s="18"/>
      <c r="JSG933" s="18"/>
      <c r="JSH933" s="18"/>
      <c r="JSI933" s="18"/>
      <c r="JSJ933" s="18"/>
      <c r="JSK933" s="18"/>
      <c r="JSL933" s="18"/>
      <c r="JSM933" s="18"/>
      <c r="JSN933" s="18"/>
      <c r="JSO933" s="18"/>
      <c r="JSP933" s="18"/>
      <c r="JSQ933" s="18"/>
      <c r="JSR933" s="18"/>
      <c r="JSS933" s="18"/>
      <c r="JST933" s="18"/>
      <c r="JSU933" s="18"/>
      <c r="JSV933" s="18"/>
      <c r="JSW933" s="18"/>
      <c r="JSX933" s="18"/>
      <c r="JSY933" s="18"/>
      <c r="JSZ933" s="18"/>
      <c r="JTA933" s="18"/>
      <c r="JTB933" s="18"/>
      <c r="JTC933" s="18"/>
      <c r="JTD933" s="18"/>
      <c r="JTE933" s="18"/>
      <c r="JTF933" s="18"/>
      <c r="JTG933" s="18"/>
      <c r="JTH933" s="18"/>
      <c r="JTI933" s="18"/>
      <c r="JTJ933" s="18"/>
      <c r="JTK933" s="18"/>
      <c r="JTL933" s="18"/>
      <c r="JTM933" s="18"/>
      <c r="JTN933" s="18"/>
      <c r="JTO933" s="18"/>
      <c r="JTP933" s="18"/>
      <c r="JTQ933" s="18"/>
      <c r="JTR933" s="18"/>
      <c r="JTS933" s="18"/>
      <c r="JTT933" s="18"/>
      <c r="JTU933" s="18"/>
      <c r="JTV933" s="18"/>
      <c r="JTW933" s="18"/>
      <c r="JTX933" s="18"/>
      <c r="JTY933" s="18"/>
      <c r="JTZ933" s="18"/>
      <c r="JUA933" s="18"/>
      <c r="JUB933" s="18"/>
      <c r="JUC933" s="18"/>
      <c r="JUD933" s="18"/>
      <c r="JUE933" s="18"/>
      <c r="JUF933" s="18"/>
      <c r="JUG933" s="18"/>
      <c r="JUH933" s="18"/>
      <c r="JUI933" s="18"/>
      <c r="JUJ933" s="18"/>
      <c r="JUK933" s="18"/>
      <c r="JUL933" s="18"/>
      <c r="JUM933" s="18"/>
      <c r="JUN933" s="18"/>
      <c r="JUO933" s="18"/>
      <c r="JUP933" s="18"/>
      <c r="JUQ933" s="18"/>
      <c r="JUR933" s="18"/>
      <c r="JUS933" s="18"/>
      <c r="JUT933" s="18"/>
      <c r="JUU933" s="18"/>
      <c r="JUV933" s="18"/>
      <c r="JUW933" s="18"/>
      <c r="JUX933" s="18"/>
      <c r="JUY933" s="18"/>
      <c r="JUZ933" s="18"/>
      <c r="JVA933" s="18"/>
      <c r="JVB933" s="18"/>
      <c r="JVC933" s="18"/>
      <c r="JVD933" s="18"/>
      <c r="JVE933" s="18"/>
      <c r="JVF933" s="18"/>
      <c r="JVG933" s="18"/>
      <c r="JVH933" s="18"/>
      <c r="JVI933" s="18"/>
      <c r="JVJ933" s="18"/>
      <c r="JVK933" s="18"/>
      <c r="JVL933" s="18"/>
      <c r="JVM933" s="18"/>
      <c r="JVN933" s="18"/>
      <c r="JVO933" s="18"/>
      <c r="JVP933" s="18"/>
      <c r="JVQ933" s="18"/>
      <c r="JVR933" s="18"/>
      <c r="JVS933" s="18"/>
      <c r="JVT933" s="18"/>
      <c r="JVU933" s="18"/>
      <c r="JVV933" s="18"/>
      <c r="JVW933" s="18"/>
      <c r="JVX933" s="18"/>
      <c r="JVY933" s="18"/>
      <c r="JVZ933" s="18"/>
      <c r="JWA933" s="18"/>
      <c r="JWB933" s="18"/>
      <c r="JWC933" s="18"/>
      <c r="JWD933" s="18"/>
      <c r="JWE933" s="18"/>
      <c r="JWF933" s="18"/>
      <c r="JWG933" s="18"/>
      <c r="JWH933" s="18"/>
      <c r="JWI933" s="18"/>
      <c r="JWJ933" s="18"/>
      <c r="JWK933" s="18"/>
      <c r="JWL933" s="18"/>
      <c r="JWM933" s="18"/>
      <c r="JWN933" s="18"/>
      <c r="JWO933" s="18"/>
      <c r="JWP933" s="18"/>
      <c r="JWQ933" s="18"/>
      <c r="JWR933" s="18"/>
      <c r="JWS933" s="18"/>
      <c r="JWT933" s="18"/>
      <c r="JWU933" s="18"/>
      <c r="JWV933" s="18"/>
      <c r="JWW933" s="18"/>
      <c r="JWX933" s="18"/>
      <c r="JWY933" s="18"/>
      <c r="JWZ933" s="18"/>
      <c r="JXA933" s="18"/>
      <c r="JXB933" s="18"/>
      <c r="JXC933" s="18"/>
      <c r="JXD933" s="18"/>
      <c r="JXE933" s="18"/>
      <c r="JXF933" s="18"/>
      <c r="JXG933" s="18"/>
      <c r="JXH933" s="18"/>
      <c r="JXI933" s="18"/>
      <c r="JXJ933" s="18"/>
      <c r="JXK933" s="18"/>
      <c r="JXL933" s="18"/>
      <c r="JXM933" s="18"/>
      <c r="JXN933" s="18"/>
      <c r="JXO933" s="18"/>
      <c r="JXP933" s="18"/>
      <c r="JXQ933" s="18"/>
      <c r="JXR933" s="18"/>
      <c r="JXS933" s="18"/>
      <c r="JXT933" s="18"/>
      <c r="JXU933" s="18"/>
      <c r="JXV933" s="18"/>
      <c r="JXW933" s="18"/>
      <c r="JXX933" s="18"/>
      <c r="JXY933" s="18"/>
      <c r="JXZ933" s="18"/>
      <c r="JYA933" s="18"/>
      <c r="JYB933" s="18"/>
      <c r="JYC933" s="18"/>
      <c r="JYD933" s="18"/>
      <c r="JYE933" s="18"/>
      <c r="JYF933" s="18"/>
      <c r="JYG933" s="18"/>
      <c r="JYH933" s="18"/>
      <c r="JYI933" s="18"/>
      <c r="JYJ933" s="18"/>
      <c r="JYK933" s="18"/>
      <c r="JYL933" s="18"/>
      <c r="JYM933" s="18"/>
      <c r="JYN933" s="18"/>
      <c r="JYO933" s="18"/>
      <c r="JYP933" s="18"/>
      <c r="JYQ933" s="18"/>
      <c r="JYR933" s="18"/>
      <c r="JYS933" s="18"/>
      <c r="JYT933" s="18"/>
      <c r="JYU933" s="18"/>
      <c r="JYV933" s="18"/>
      <c r="JYW933" s="18"/>
      <c r="JYX933" s="18"/>
      <c r="JYY933" s="18"/>
      <c r="JYZ933" s="18"/>
      <c r="JZA933" s="18"/>
      <c r="JZB933" s="18"/>
      <c r="JZC933" s="18"/>
      <c r="JZD933" s="18"/>
      <c r="JZE933" s="18"/>
      <c r="JZF933" s="18"/>
      <c r="JZG933" s="18"/>
      <c r="JZH933" s="18"/>
      <c r="JZI933" s="18"/>
      <c r="JZJ933" s="18"/>
      <c r="JZK933" s="18"/>
      <c r="JZL933" s="18"/>
      <c r="JZM933" s="18"/>
      <c r="JZN933" s="18"/>
      <c r="JZO933" s="18"/>
      <c r="JZP933" s="18"/>
      <c r="JZQ933" s="18"/>
      <c r="JZR933" s="18"/>
      <c r="JZS933" s="18"/>
      <c r="JZT933" s="18"/>
      <c r="JZU933" s="18"/>
      <c r="JZV933" s="18"/>
      <c r="JZW933" s="18"/>
      <c r="JZX933" s="18"/>
      <c r="JZY933" s="18"/>
      <c r="JZZ933" s="18"/>
      <c r="KAA933" s="18"/>
      <c r="KAB933" s="18"/>
      <c r="KAC933" s="18"/>
      <c r="KAD933" s="18"/>
      <c r="KAE933" s="18"/>
      <c r="KAF933" s="18"/>
      <c r="KAG933" s="18"/>
      <c r="KAH933" s="18"/>
      <c r="KAI933" s="18"/>
      <c r="KAJ933" s="18"/>
      <c r="KAK933" s="18"/>
      <c r="KAL933" s="18"/>
      <c r="KAM933" s="18"/>
      <c r="KAN933" s="18"/>
      <c r="KAO933" s="18"/>
      <c r="KAP933" s="18"/>
      <c r="KAQ933" s="18"/>
      <c r="KAR933" s="18"/>
      <c r="KAS933" s="18"/>
      <c r="KAT933" s="18"/>
      <c r="KAU933" s="18"/>
      <c r="KAV933" s="18"/>
      <c r="KAW933" s="18"/>
      <c r="KAX933" s="18"/>
      <c r="KAY933" s="18"/>
      <c r="KAZ933" s="18"/>
      <c r="KBA933" s="18"/>
      <c r="KBB933" s="18"/>
      <c r="KBC933" s="18"/>
      <c r="KBD933" s="18"/>
      <c r="KBE933" s="18"/>
      <c r="KBF933" s="18"/>
      <c r="KBG933" s="18"/>
      <c r="KBH933" s="18"/>
      <c r="KBI933" s="18"/>
      <c r="KBJ933" s="18"/>
      <c r="KBK933" s="18"/>
      <c r="KBL933" s="18"/>
      <c r="KBM933" s="18"/>
      <c r="KBN933" s="18"/>
      <c r="KBO933" s="18"/>
      <c r="KBP933" s="18"/>
      <c r="KBQ933" s="18"/>
      <c r="KBR933" s="18"/>
      <c r="KBS933" s="18"/>
      <c r="KBT933" s="18"/>
      <c r="KBU933" s="18"/>
      <c r="KBV933" s="18"/>
      <c r="KBW933" s="18"/>
      <c r="KBX933" s="18"/>
      <c r="KBY933" s="18"/>
      <c r="KBZ933" s="18"/>
      <c r="KCA933" s="18"/>
      <c r="KCB933" s="18"/>
      <c r="KCC933" s="18"/>
      <c r="KCD933" s="18"/>
      <c r="KCE933" s="18"/>
      <c r="KCF933" s="18"/>
      <c r="KCG933" s="18"/>
      <c r="KCH933" s="18"/>
      <c r="KCI933" s="18"/>
      <c r="KCJ933" s="18"/>
      <c r="KCK933" s="18"/>
      <c r="KCL933" s="18"/>
      <c r="KCM933" s="18"/>
      <c r="KCN933" s="18"/>
      <c r="KCO933" s="18"/>
      <c r="KCP933" s="18"/>
      <c r="KCQ933" s="18"/>
      <c r="KCR933" s="18"/>
      <c r="KCS933" s="18"/>
      <c r="KCT933" s="18"/>
      <c r="KCU933" s="18"/>
      <c r="KCV933" s="18"/>
      <c r="KCW933" s="18"/>
      <c r="KCX933" s="18"/>
      <c r="KCY933" s="18"/>
      <c r="KCZ933" s="18"/>
      <c r="KDA933" s="18"/>
      <c r="KDB933" s="18"/>
      <c r="KDC933" s="18"/>
      <c r="KDD933" s="18"/>
      <c r="KDE933" s="18"/>
      <c r="KDF933" s="18"/>
      <c r="KDG933" s="18"/>
      <c r="KDH933" s="18"/>
      <c r="KDI933" s="18"/>
      <c r="KDJ933" s="18"/>
      <c r="KDK933" s="18"/>
      <c r="KDL933" s="18"/>
      <c r="KDM933" s="18"/>
      <c r="KDN933" s="18"/>
      <c r="KDO933" s="18"/>
      <c r="KDP933" s="18"/>
      <c r="KDQ933" s="18"/>
      <c r="KDR933" s="18"/>
      <c r="KDS933" s="18"/>
      <c r="KDT933" s="18"/>
      <c r="KDU933" s="18"/>
      <c r="KDV933" s="18"/>
      <c r="KDW933" s="18"/>
      <c r="KDX933" s="18"/>
      <c r="KDY933" s="18"/>
      <c r="KDZ933" s="18"/>
      <c r="KEA933" s="18"/>
      <c r="KEB933" s="18"/>
      <c r="KEC933" s="18"/>
      <c r="KED933" s="18"/>
      <c r="KEE933" s="18"/>
      <c r="KEF933" s="18"/>
      <c r="KEG933" s="18"/>
      <c r="KEH933" s="18"/>
      <c r="KEI933" s="18"/>
      <c r="KEJ933" s="18"/>
      <c r="KEK933" s="18"/>
      <c r="KEL933" s="18"/>
      <c r="KEM933" s="18"/>
      <c r="KEN933" s="18"/>
      <c r="KEO933" s="18"/>
      <c r="KEP933" s="18"/>
      <c r="KEQ933" s="18"/>
      <c r="KER933" s="18"/>
      <c r="KES933" s="18"/>
      <c r="KET933" s="18"/>
      <c r="KEU933" s="18"/>
      <c r="KEV933" s="18"/>
      <c r="KEW933" s="18"/>
      <c r="KEX933" s="18"/>
      <c r="KEY933" s="18"/>
      <c r="KEZ933" s="18"/>
      <c r="KFA933" s="18"/>
      <c r="KFB933" s="18"/>
      <c r="KFC933" s="18"/>
      <c r="KFD933" s="18"/>
      <c r="KFE933" s="18"/>
      <c r="KFF933" s="18"/>
      <c r="KFG933" s="18"/>
      <c r="KFH933" s="18"/>
      <c r="KFI933" s="18"/>
      <c r="KFJ933" s="18"/>
      <c r="KFK933" s="18"/>
      <c r="KFL933" s="18"/>
      <c r="KFM933" s="18"/>
      <c r="KFN933" s="18"/>
      <c r="KFO933" s="18"/>
      <c r="KFP933" s="18"/>
      <c r="KFQ933" s="18"/>
      <c r="KFR933" s="18"/>
      <c r="KFS933" s="18"/>
      <c r="KFT933" s="18"/>
      <c r="KFU933" s="18"/>
      <c r="KFV933" s="18"/>
      <c r="KFW933" s="18"/>
      <c r="KFX933" s="18"/>
      <c r="KFY933" s="18"/>
      <c r="KFZ933" s="18"/>
      <c r="KGA933" s="18"/>
      <c r="KGB933" s="18"/>
      <c r="KGC933" s="18"/>
      <c r="KGD933" s="18"/>
      <c r="KGE933" s="18"/>
      <c r="KGF933" s="18"/>
      <c r="KGG933" s="18"/>
      <c r="KGH933" s="18"/>
      <c r="KGI933" s="18"/>
      <c r="KGJ933" s="18"/>
      <c r="KGK933" s="18"/>
      <c r="KGL933" s="18"/>
      <c r="KGM933" s="18"/>
      <c r="KGN933" s="18"/>
      <c r="KGO933" s="18"/>
      <c r="KGP933" s="18"/>
      <c r="KGQ933" s="18"/>
      <c r="KGR933" s="18"/>
      <c r="KGS933" s="18"/>
      <c r="KGT933" s="18"/>
      <c r="KGU933" s="18"/>
      <c r="KGV933" s="18"/>
      <c r="KGW933" s="18"/>
      <c r="KGX933" s="18"/>
      <c r="KGY933" s="18"/>
      <c r="KGZ933" s="18"/>
      <c r="KHA933" s="18"/>
      <c r="KHB933" s="18"/>
      <c r="KHC933" s="18"/>
      <c r="KHD933" s="18"/>
      <c r="KHE933" s="18"/>
      <c r="KHF933" s="18"/>
      <c r="KHG933" s="18"/>
      <c r="KHH933" s="18"/>
      <c r="KHI933" s="18"/>
      <c r="KHJ933" s="18"/>
      <c r="KHK933" s="18"/>
      <c r="KHL933" s="18"/>
      <c r="KHM933" s="18"/>
      <c r="KHN933" s="18"/>
      <c r="KHO933" s="18"/>
      <c r="KHP933" s="18"/>
      <c r="KHQ933" s="18"/>
      <c r="KHR933" s="18"/>
      <c r="KHS933" s="18"/>
      <c r="KHT933" s="18"/>
      <c r="KHU933" s="18"/>
      <c r="KHV933" s="18"/>
      <c r="KHW933" s="18"/>
      <c r="KHX933" s="18"/>
      <c r="KHY933" s="18"/>
      <c r="KHZ933" s="18"/>
      <c r="KIA933" s="18"/>
      <c r="KIB933" s="18"/>
      <c r="KIC933" s="18"/>
      <c r="KID933" s="18"/>
      <c r="KIE933" s="18"/>
      <c r="KIF933" s="18"/>
      <c r="KIG933" s="18"/>
      <c r="KIH933" s="18"/>
      <c r="KII933" s="18"/>
      <c r="KIJ933" s="18"/>
      <c r="KIK933" s="18"/>
      <c r="KIL933" s="18"/>
      <c r="KIM933" s="18"/>
      <c r="KIN933" s="18"/>
      <c r="KIO933" s="18"/>
      <c r="KIP933" s="18"/>
      <c r="KIQ933" s="18"/>
      <c r="KIR933" s="18"/>
      <c r="KIS933" s="18"/>
      <c r="KIT933" s="18"/>
      <c r="KIU933" s="18"/>
      <c r="KIV933" s="18"/>
      <c r="KIW933" s="18"/>
      <c r="KIX933" s="18"/>
      <c r="KIY933" s="18"/>
      <c r="KIZ933" s="18"/>
      <c r="KJA933" s="18"/>
      <c r="KJB933" s="18"/>
      <c r="KJC933" s="18"/>
      <c r="KJD933" s="18"/>
      <c r="KJE933" s="18"/>
      <c r="KJF933" s="18"/>
      <c r="KJG933" s="18"/>
      <c r="KJH933" s="18"/>
      <c r="KJI933" s="18"/>
      <c r="KJJ933" s="18"/>
      <c r="KJK933" s="18"/>
      <c r="KJL933" s="18"/>
      <c r="KJM933" s="18"/>
      <c r="KJN933" s="18"/>
      <c r="KJO933" s="18"/>
      <c r="KJP933" s="18"/>
      <c r="KJQ933" s="18"/>
      <c r="KJR933" s="18"/>
      <c r="KJS933" s="18"/>
      <c r="KJT933" s="18"/>
      <c r="KJU933" s="18"/>
      <c r="KJV933" s="18"/>
      <c r="KJW933" s="18"/>
      <c r="KJX933" s="18"/>
      <c r="KJY933" s="18"/>
      <c r="KJZ933" s="18"/>
      <c r="KKA933" s="18"/>
      <c r="KKB933" s="18"/>
      <c r="KKC933" s="18"/>
      <c r="KKD933" s="18"/>
      <c r="KKE933" s="18"/>
      <c r="KKF933" s="18"/>
      <c r="KKG933" s="18"/>
      <c r="KKH933" s="18"/>
      <c r="KKI933" s="18"/>
      <c r="KKJ933" s="18"/>
      <c r="KKK933" s="18"/>
      <c r="KKL933" s="18"/>
      <c r="KKM933" s="18"/>
      <c r="KKN933" s="18"/>
      <c r="KKO933" s="18"/>
      <c r="KKP933" s="18"/>
      <c r="KKQ933" s="18"/>
      <c r="KKR933" s="18"/>
      <c r="KKS933" s="18"/>
      <c r="KKT933" s="18"/>
      <c r="KKU933" s="18"/>
      <c r="KKV933" s="18"/>
      <c r="KKW933" s="18"/>
      <c r="KKX933" s="18"/>
      <c r="KKY933" s="18"/>
      <c r="KKZ933" s="18"/>
      <c r="KLA933" s="18"/>
      <c r="KLB933" s="18"/>
      <c r="KLC933" s="18"/>
      <c r="KLD933" s="18"/>
      <c r="KLE933" s="18"/>
      <c r="KLF933" s="18"/>
      <c r="KLG933" s="18"/>
      <c r="KLH933" s="18"/>
      <c r="KLI933" s="18"/>
      <c r="KLJ933" s="18"/>
      <c r="KLK933" s="18"/>
      <c r="KLL933" s="18"/>
      <c r="KLM933" s="18"/>
      <c r="KLN933" s="18"/>
      <c r="KLO933" s="18"/>
      <c r="KLP933" s="18"/>
      <c r="KLQ933" s="18"/>
      <c r="KLR933" s="18"/>
      <c r="KLS933" s="18"/>
      <c r="KLT933" s="18"/>
      <c r="KLU933" s="18"/>
      <c r="KLV933" s="18"/>
      <c r="KLW933" s="18"/>
      <c r="KLX933" s="18"/>
      <c r="KLY933" s="18"/>
      <c r="KLZ933" s="18"/>
      <c r="KMA933" s="18"/>
      <c r="KMB933" s="18"/>
      <c r="KMC933" s="18"/>
      <c r="KMD933" s="18"/>
      <c r="KME933" s="18"/>
      <c r="KMF933" s="18"/>
      <c r="KMG933" s="18"/>
      <c r="KMH933" s="18"/>
      <c r="KMI933" s="18"/>
      <c r="KMJ933" s="18"/>
      <c r="KMK933" s="18"/>
      <c r="KML933" s="18"/>
      <c r="KMM933" s="18"/>
      <c r="KMN933" s="18"/>
      <c r="KMO933" s="18"/>
      <c r="KMP933" s="18"/>
      <c r="KMQ933" s="18"/>
      <c r="KMR933" s="18"/>
      <c r="KMS933" s="18"/>
      <c r="KMT933" s="18"/>
      <c r="KMU933" s="18"/>
      <c r="KMV933" s="18"/>
      <c r="KMW933" s="18"/>
      <c r="KMX933" s="18"/>
      <c r="KMY933" s="18"/>
      <c r="KMZ933" s="18"/>
      <c r="KNA933" s="18"/>
      <c r="KNB933" s="18"/>
      <c r="KNC933" s="18"/>
      <c r="KND933" s="18"/>
      <c r="KNE933" s="18"/>
      <c r="KNF933" s="18"/>
      <c r="KNG933" s="18"/>
      <c r="KNH933" s="18"/>
      <c r="KNI933" s="18"/>
      <c r="KNJ933" s="18"/>
      <c r="KNK933" s="18"/>
      <c r="KNL933" s="18"/>
      <c r="KNM933" s="18"/>
      <c r="KNN933" s="18"/>
      <c r="KNO933" s="18"/>
      <c r="KNP933" s="18"/>
      <c r="KNQ933" s="18"/>
      <c r="KNR933" s="18"/>
      <c r="KNS933" s="18"/>
      <c r="KNT933" s="18"/>
      <c r="KNU933" s="18"/>
      <c r="KNV933" s="18"/>
      <c r="KNW933" s="18"/>
      <c r="KNX933" s="18"/>
      <c r="KNY933" s="18"/>
      <c r="KNZ933" s="18"/>
      <c r="KOA933" s="18"/>
      <c r="KOB933" s="18"/>
      <c r="KOC933" s="18"/>
      <c r="KOD933" s="18"/>
      <c r="KOE933" s="18"/>
      <c r="KOF933" s="18"/>
      <c r="KOG933" s="18"/>
      <c r="KOH933" s="18"/>
      <c r="KOI933" s="18"/>
      <c r="KOJ933" s="18"/>
      <c r="KOK933" s="18"/>
      <c r="KOL933" s="18"/>
      <c r="KOM933" s="18"/>
      <c r="KON933" s="18"/>
      <c r="KOO933" s="18"/>
      <c r="KOP933" s="18"/>
      <c r="KOQ933" s="18"/>
      <c r="KOR933" s="18"/>
      <c r="KOS933" s="18"/>
      <c r="KOT933" s="18"/>
      <c r="KOU933" s="18"/>
      <c r="KOV933" s="18"/>
      <c r="KOW933" s="18"/>
      <c r="KOX933" s="18"/>
      <c r="KOY933" s="18"/>
      <c r="KOZ933" s="18"/>
      <c r="KPA933" s="18"/>
      <c r="KPB933" s="18"/>
      <c r="KPC933" s="18"/>
      <c r="KPD933" s="18"/>
      <c r="KPE933" s="18"/>
      <c r="KPF933" s="18"/>
      <c r="KPG933" s="18"/>
      <c r="KPH933" s="18"/>
      <c r="KPI933" s="18"/>
      <c r="KPJ933" s="18"/>
      <c r="KPK933" s="18"/>
      <c r="KPL933" s="18"/>
      <c r="KPM933" s="18"/>
      <c r="KPN933" s="18"/>
      <c r="KPO933" s="18"/>
      <c r="KPP933" s="18"/>
      <c r="KPQ933" s="18"/>
      <c r="KPR933" s="18"/>
      <c r="KPS933" s="18"/>
      <c r="KPT933" s="18"/>
      <c r="KPU933" s="18"/>
      <c r="KPV933" s="18"/>
      <c r="KPW933" s="18"/>
      <c r="KPX933" s="18"/>
      <c r="KPY933" s="18"/>
      <c r="KPZ933" s="18"/>
      <c r="KQA933" s="18"/>
      <c r="KQB933" s="18"/>
      <c r="KQC933" s="18"/>
      <c r="KQD933" s="18"/>
      <c r="KQE933" s="18"/>
      <c r="KQF933" s="18"/>
      <c r="KQG933" s="18"/>
      <c r="KQH933" s="18"/>
      <c r="KQI933" s="18"/>
      <c r="KQJ933" s="18"/>
      <c r="KQK933" s="18"/>
      <c r="KQL933" s="18"/>
      <c r="KQM933" s="18"/>
      <c r="KQN933" s="18"/>
      <c r="KQO933" s="18"/>
      <c r="KQP933" s="18"/>
      <c r="KQQ933" s="18"/>
      <c r="KQR933" s="18"/>
      <c r="KQS933" s="18"/>
      <c r="KQT933" s="18"/>
      <c r="KQU933" s="18"/>
      <c r="KQV933" s="18"/>
      <c r="KQW933" s="18"/>
      <c r="KQX933" s="18"/>
      <c r="KQY933" s="18"/>
      <c r="KQZ933" s="18"/>
      <c r="KRA933" s="18"/>
      <c r="KRB933" s="18"/>
      <c r="KRC933" s="18"/>
      <c r="KRD933" s="18"/>
      <c r="KRE933" s="18"/>
      <c r="KRF933" s="18"/>
      <c r="KRG933" s="18"/>
      <c r="KRH933" s="18"/>
      <c r="KRI933" s="18"/>
      <c r="KRJ933" s="18"/>
      <c r="KRK933" s="18"/>
      <c r="KRL933" s="18"/>
      <c r="KRM933" s="18"/>
      <c r="KRN933" s="18"/>
      <c r="KRO933" s="18"/>
      <c r="KRP933" s="18"/>
      <c r="KRQ933" s="18"/>
      <c r="KRR933" s="18"/>
      <c r="KRS933" s="18"/>
      <c r="KRT933" s="18"/>
      <c r="KRU933" s="18"/>
      <c r="KRV933" s="18"/>
      <c r="KRW933" s="18"/>
      <c r="KRX933" s="18"/>
      <c r="KRY933" s="18"/>
      <c r="KRZ933" s="18"/>
      <c r="KSA933" s="18"/>
      <c r="KSB933" s="18"/>
      <c r="KSC933" s="18"/>
      <c r="KSD933" s="18"/>
      <c r="KSE933" s="18"/>
      <c r="KSF933" s="18"/>
      <c r="KSG933" s="18"/>
      <c r="KSH933" s="18"/>
      <c r="KSI933" s="18"/>
      <c r="KSJ933" s="18"/>
      <c r="KSK933" s="18"/>
      <c r="KSL933" s="18"/>
      <c r="KSM933" s="18"/>
      <c r="KSN933" s="18"/>
      <c r="KSO933" s="18"/>
      <c r="KSP933" s="18"/>
      <c r="KSQ933" s="18"/>
      <c r="KSR933" s="18"/>
      <c r="KSS933" s="18"/>
      <c r="KST933" s="18"/>
      <c r="KSU933" s="18"/>
      <c r="KSV933" s="18"/>
      <c r="KSW933" s="18"/>
      <c r="KSX933" s="18"/>
      <c r="KSY933" s="18"/>
      <c r="KSZ933" s="18"/>
      <c r="KTA933" s="18"/>
      <c r="KTB933" s="18"/>
      <c r="KTC933" s="18"/>
      <c r="KTD933" s="18"/>
      <c r="KTE933" s="18"/>
      <c r="KTF933" s="18"/>
      <c r="KTG933" s="18"/>
      <c r="KTH933" s="18"/>
      <c r="KTI933" s="18"/>
      <c r="KTJ933" s="18"/>
      <c r="KTK933" s="18"/>
      <c r="KTL933" s="18"/>
      <c r="KTM933" s="18"/>
      <c r="KTN933" s="18"/>
      <c r="KTO933" s="18"/>
      <c r="KTP933" s="18"/>
      <c r="KTQ933" s="18"/>
      <c r="KTR933" s="18"/>
      <c r="KTS933" s="18"/>
      <c r="KTT933" s="18"/>
      <c r="KTU933" s="18"/>
      <c r="KTV933" s="18"/>
      <c r="KTW933" s="18"/>
      <c r="KTX933" s="18"/>
      <c r="KTY933" s="18"/>
      <c r="KTZ933" s="18"/>
      <c r="KUA933" s="18"/>
      <c r="KUB933" s="18"/>
      <c r="KUC933" s="18"/>
      <c r="KUD933" s="18"/>
      <c r="KUE933" s="18"/>
      <c r="KUF933" s="18"/>
      <c r="KUG933" s="18"/>
      <c r="KUH933" s="18"/>
      <c r="KUI933" s="18"/>
      <c r="KUJ933" s="18"/>
      <c r="KUK933" s="18"/>
      <c r="KUL933" s="18"/>
      <c r="KUM933" s="18"/>
      <c r="KUN933" s="18"/>
      <c r="KUO933" s="18"/>
      <c r="KUP933" s="18"/>
      <c r="KUQ933" s="18"/>
      <c r="KUR933" s="18"/>
      <c r="KUS933" s="18"/>
      <c r="KUT933" s="18"/>
      <c r="KUU933" s="18"/>
      <c r="KUV933" s="18"/>
      <c r="KUW933" s="18"/>
      <c r="KUX933" s="18"/>
      <c r="KUY933" s="18"/>
      <c r="KUZ933" s="18"/>
      <c r="KVA933" s="18"/>
      <c r="KVB933" s="18"/>
      <c r="KVC933" s="18"/>
      <c r="KVD933" s="18"/>
      <c r="KVE933" s="18"/>
      <c r="KVF933" s="18"/>
      <c r="KVG933" s="18"/>
      <c r="KVH933" s="18"/>
      <c r="KVI933" s="18"/>
      <c r="KVJ933" s="18"/>
      <c r="KVK933" s="18"/>
      <c r="KVL933" s="18"/>
      <c r="KVM933" s="18"/>
      <c r="KVN933" s="18"/>
      <c r="KVO933" s="18"/>
      <c r="KVP933" s="18"/>
      <c r="KVQ933" s="18"/>
      <c r="KVR933" s="18"/>
      <c r="KVS933" s="18"/>
      <c r="KVT933" s="18"/>
      <c r="KVU933" s="18"/>
      <c r="KVV933" s="18"/>
      <c r="KVW933" s="18"/>
      <c r="KVX933" s="18"/>
      <c r="KVY933" s="18"/>
      <c r="KVZ933" s="18"/>
      <c r="KWA933" s="18"/>
      <c r="KWB933" s="18"/>
      <c r="KWC933" s="18"/>
      <c r="KWD933" s="18"/>
      <c r="KWE933" s="18"/>
      <c r="KWF933" s="18"/>
      <c r="KWG933" s="18"/>
      <c r="KWH933" s="18"/>
      <c r="KWI933" s="18"/>
      <c r="KWJ933" s="18"/>
      <c r="KWK933" s="18"/>
      <c r="KWL933" s="18"/>
      <c r="KWM933" s="18"/>
      <c r="KWN933" s="18"/>
      <c r="KWO933" s="18"/>
      <c r="KWP933" s="18"/>
      <c r="KWQ933" s="18"/>
      <c r="KWR933" s="18"/>
      <c r="KWS933" s="18"/>
      <c r="KWT933" s="18"/>
      <c r="KWU933" s="18"/>
      <c r="KWV933" s="18"/>
      <c r="KWW933" s="18"/>
      <c r="KWX933" s="18"/>
      <c r="KWY933" s="18"/>
      <c r="KWZ933" s="18"/>
      <c r="KXA933" s="18"/>
      <c r="KXB933" s="18"/>
      <c r="KXC933" s="18"/>
      <c r="KXD933" s="18"/>
      <c r="KXE933" s="18"/>
      <c r="KXF933" s="18"/>
      <c r="KXG933" s="18"/>
      <c r="KXH933" s="18"/>
      <c r="KXI933" s="18"/>
      <c r="KXJ933" s="18"/>
      <c r="KXK933" s="18"/>
      <c r="KXL933" s="18"/>
      <c r="KXM933" s="18"/>
      <c r="KXN933" s="18"/>
      <c r="KXO933" s="18"/>
      <c r="KXP933" s="18"/>
      <c r="KXQ933" s="18"/>
      <c r="KXR933" s="18"/>
      <c r="KXS933" s="18"/>
      <c r="KXT933" s="18"/>
      <c r="KXU933" s="18"/>
      <c r="KXV933" s="18"/>
      <c r="KXW933" s="18"/>
      <c r="KXX933" s="18"/>
      <c r="KXY933" s="18"/>
      <c r="KXZ933" s="18"/>
      <c r="KYA933" s="18"/>
      <c r="KYB933" s="18"/>
      <c r="KYC933" s="18"/>
      <c r="KYD933" s="18"/>
      <c r="KYE933" s="18"/>
      <c r="KYF933" s="18"/>
      <c r="KYG933" s="18"/>
      <c r="KYH933" s="18"/>
      <c r="KYI933" s="18"/>
      <c r="KYJ933" s="18"/>
      <c r="KYK933" s="18"/>
      <c r="KYL933" s="18"/>
      <c r="KYM933" s="18"/>
      <c r="KYN933" s="18"/>
      <c r="KYO933" s="18"/>
      <c r="KYP933" s="18"/>
      <c r="KYQ933" s="18"/>
      <c r="KYR933" s="18"/>
      <c r="KYS933" s="18"/>
      <c r="KYT933" s="18"/>
      <c r="KYU933" s="18"/>
      <c r="KYV933" s="18"/>
      <c r="KYW933" s="18"/>
      <c r="KYX933" s="18"/>
      <c r="KYY933" s="18"/>
      <c r="KYZ933" s="18"/>
      <c r="KZA933" s="18"/>
      <c r="KZB933" s="18"/>
      <c r="KZC933" s="18"/>
      <c r="KZD933" s="18"/>
      <c r="KZE933" s="18"/>
      <c r="KZF933" s="18"/>
      <c r="KZG933" s="18"/>
      <c r="KZH933" s="18"/>
      <c r="KZI933" s="18"/>
      <c r="KZJ933" s="18"/>
      <c r="KZK933" s="18"/>
      <c r="KZL933" s="18"/>
      <c r="KZM933" s="18"/>
      <c r="KZN933" s="18"/>
      <c r="KZO933" s="18"/>
      <c r="KZP933" s="18"/>
      <c r="KZQ933" s="18"/>
      <c r="KZR933" s="18"/>
      <c r="KZS933" s="18"/>
      <c r="KZT933" s="18"/>
      <c r="KZU933" s="18"/>
      <c r="KZV933" s="18"/>
      <c r="KZW933" s="18"/>
      <c r="KZX933" s="18"/>
      <c r="KZY933" s="18"/>
      <c r="KZZ933" s="18"/>
      <c r="LAA933" s="18"/>
      <c r="LAB933" s="18"/>
      <c r="LAC933" s="18"/>
      <c r="LAD933" s="18"/>
      <c r="LAE933" s="18"/>
      <c r="LAF933" s="18"/>
      <c r="LAG933" s="18"/>
      <c r="LAH933" s="18"/>
      <c r="LAI933" s="18"/>
      <c r="LAJ933" s="18"/>
      <c r="LAK933" s="18"/>
      <c r="LAL933" s="18"/>
      <c r="LAM933" s="18"/>
      <c r="LAN933" s="18"/>
      <c r="LAO933" s="18"/>
      <c r="LAP933" s="18"/>
      <c r="LAQ933" s="18"/>
      <c r="LAR933" s="18"/>
      <c r="LAS933" s="18"/>
      <c r="LAT933" s="18"/>
      <c r="LAU933" s="18"/>
      <c r="LAV933" s="18"/>
      <c r="LAW933" s="18"/>
      <c r="LAX933" s="18"/>
      <c r="LAY933" s="18"/>
      <c r="LAZ933" s="18"/>
      <c r="LBA933" s="18"/>
      <c r="LBB933" s="18"/>
      <c r="LBC933" s="18"/>
      <c r="LBD933" s="18"/>
      <c r="LBE933" s="18"/>
      <c r="LBF933" s="18"/>
      <c r="LBG933" s="18"/>
      <c r="LBH933" s="18"/>
      <c r="LBI933" s="18"/>
      <c r="LBJ933" s="18"/>
      <c r="LBK933" s="18"/>
      <c r="LBL933" s="18"/>
      <c r="LBM933" s="18"/>
      <c r="LBN933" s="18"/>
      <c r="LBO933" s="18"/>
      <c r="LBP933" s="18"/>
      <c r="LBQ933" s="18"/>
      <c r="LBR933" s="18"/>
      <c r="LBS933" s="18"/>
      <c r="LBT933" s="18"/>
      <c r="LBU933" s="18"/>
      <c r="LBV933" s="18"/>
      <c r="LBW933" s="18"/>
      <c r="LBX933" s="18"/>
      <c r="LBY933" s="18"/>
      <c r="LBZ933" s="18"/>
      <c r="LCA933" s="18"/>
      <c r="LCB933" s="18"/>
      <c r="LCC933" s="18"/>
      <c r="LCD933" s="18"/>
      <c r="LCE933" s="18"/>
      <c r="LCF933" s="18"/>
      <c r="LCG933" s="18"/>
      <c r="LCH933" s="18"/>
      <c r="LCI933" s="18"/>
      <c r="LCJ933" s="18"/>
      <c r="LCK933" s="18"/>
      <c r="LCL933" s="18"/>
      <c r="LCM933" s="18"/>
      <c r="LCN933" s="18"/>
      <c r="LCO933" s="18"/>
      <c r="LCP933" s="18"/>
      <c r="LCQ933" s="18"/>
      <c r="LCR933" s="18"/>
      <c r="LCS933" s="18"/>
      <c r="LCT933" s="18"/>
      <c r="LCU933" s="18"/>
      <c r="LCV933" s="18"/>
      <c r="LCW933" s="18"/>
      <c r="LCX933" s="18"/>
      <c r="LCY933" s="18"/>
      <c r="LCZ933" s="18"/>
      <c r="LDA933" s="18"/>
      <c r="LDB933" s="18"/>
      <c r="LDC933" s="18"/>
      <c r="LDD933" s="18"/>
      <c r="LDE933" s="18"/>
      <c r="LDF933" s="18"/>
      <c r="LDG933" s="18"/>
      <c r="LDH933" s="18"/>
      <c r="LDI933" s="18"/>
      <c r="LDJ933" s="18"/>
      <c r="LDK933" s="18"/>
      <c r="LDL933" s="18"/>
      <c r="LDM933" s="18"/>
      <c r="LDN933" s="18"/>
      <c r="LDO933" s="18"/>
      <c r="LDP933" s="18"/>
      <c r="LDQ933" s="18"/>
      <c r="LDR933" s="18"/>
      <c r="LDS933" s="18"/>
      <c r="LDT933" s="18"/>
      <c r="LDU933" s="18"/>
      <c r="LDV933" s="18"/>
      <c r="LDW933" s="18"/>
      <c r="LDX933" s="18"/>
      <c r="LDY933" s="18"/>
      <c r="LDZ933" s="18"/>
      <c r="LEA933" s="18"/>
      <c r="LEB933" s="18"/>
      <c r="LEC933" s="18"/>
      <c r="LED933" s="18"/>
      <c r="LEE933" s="18"/>
      <c r="LEF933" s="18"/>
      <c r="LEG933" s="18"/>
      <c r="LEH933" s="18"/>
      <c r="LEI933" s="18"/>
      <c r="LEJ933" s="18"/>
      <c r="LEK933" s="18"/>
      <c r="LEL933" s="18"/>
      <c r="LEM933" s="18"/>
      <c r="LEN933" s="18"/>
      <c r="LEO933" s="18"/>
      <c r="LEP933" s="18"/>
      <c r="LEQ933" s="18"/>
      <c r="LER933" s="18"/>
      <c r="LES933" s="18"/>
      <c r="LET933" s="18"/>
      <c r="LEU933" s="18"/>
      <c r="LEV933" s="18"/>
      <c r="LEW933" s="18"/>
      <c r="LEX933" s="18"/>
      <c r="LEY933" s="18"/>
      <c r="LEZ933" s="18"/>
      <c r="LFA933" s="18"/>
      <c r="LFB933" s="18"/>
      <c r="LFC933" s="18"/>
      <c r="LFD933" s="18"/>
      <c r="LFE933" s="18"/>
      <c r="LFF933" s="18"/>
      <c r="LFG933" s="18"/>
      <c r="LFH933" s="18"/>
      <c r="LFI933" s="18"/>
      <c r="LFJ933" s="18"/>
      <c r="LFK933" s="18"/>
      <c r="LFL933" s="18"/>
      <c r="LFM933" s="18"/>
      <c r="LFN933" s="18"/>
      <c r="LFO933" s="18"/>
      <c r="LFP933" s="18"/>
      <c r="LFQ933" s="18"/>
      <c r="LFR933" s="18"/>
      <c r="LFS933" s="18"/>
      <c r="LFT933" s="18"/>
      <c r="LFU933" s="18"/>
      <c r="LFV933" s="18"/>
      <c r="LFW933" s="18"/>
      <c r="LFX933" s="18"/>
      <c r="LFY933" s="18"/>
      <c r="LFZ933" s="18"/>
      <c r="LGA933" s="18"/>
      <c r="LGB933" s="18"/>
      <c r="LGC933" s="18"/>
      <c r="LGD933" s="18"/>
      <c r="LGE933" s="18"/>
      <c r="LGF933" s="18"/>
      <c r="LGG933" s="18"/>
      <c r="LGH933" s="18"/>
      <c r="LGI933" s="18"/>
      <c r="LGJ933" s="18"/>
      <c r="LGK933" s="18"/>
      <c r="LGL933" s="18"/>
      <c r="LGM933" s="18"/>
      <c r="LGN933" s="18"/>
      <c r="LGO933" s="18"/>
      <c r="LGP933" s="18"/>
      <c r="LGQ933" s="18"/>
      <c r="LGR933" s="18"/>
      <c r="LGS933" s="18"/>
      <c r="LGT933" s="18"/>
      <c r="LGU933" s="18"/>
      <c r="LGV933" s="18"/>
      <c r="LGW933" s="18"/>
      <c r="LGX933" s="18"/>
      <c r="LGY933" s="18"/>
      <c r="LGZ933" s="18"/>
      <c r="LHA933" s="18"/>
      <c r="LHB933" s="18"/>
      <c r="LHC933" s="18"/>
      <c r="LHD933" s="18"/>
      <c r="LHE933" s="18"/>
      <c r="LHF933" s="18"/>
      <c r="LHG933" s="18"/>
      <c r="LHH933" s="18"/>
      <c r="LHI933" s="18"/>
      <c r="LHJ933" s="18"/>
      <c r="LHK933" s="18"/>
      <c r="LHL933" s="18"/>
      <c r="LHM933" s="18"/>
      <c r="LHN933" s="18"/>
      <c r="LHO933" s="18"/>
      <c r="LHP933" s="18"/>
      <c r="LHQ933" s="18"/>
      <c r="LHR933" s="18"/>
      <c r="LHS933" s="18"/>
      <c r="LHT933" s="18"/>
      <c r="LHU933" s="18"/>
      <c r="LHV933" s="18"/>
      <c r="LHW933" s="18"/>
      <c r="LHX933" s="18"/>
      <c r="LHY933" s="18"/>
      <c r="LHZ933" s="18"/>
      <c r="LIA933" s="18"/>
      <c r="LIB933" s="18"/>
      <c r="LIC933" s="18"/>
      <c r="LID933" s="18"/>
      <c r="LIE933" s="18"/>
      <c r="LIF933" s="18"/>
      <c r="LIG933" s="18"/>
      <c r="LIH933" s="18"/>
      <c r="LII933" s="18"/>
      <c r="LIJ933" s="18"/>
      <c r="LIK933" s="18"/>
      <c r="LIL933" s="18"/>
      <c r="LIM933" s="18"/>
      <c r="LIN933" s="18"/>
      <c r="LIO933" s="18"/>
      <c r="LIP933" s="18"/>
      <c r="LIQ933" s="18"/>
      <c r="LIR933" s="18"/>
      <c r="LIS933" s="18"/>
      <c r="LIT933" s="18"/>
      <c r="LIU933" s="18"/>
      <c r="LIV933" s="18"/>
      <c r="LIW933" s="18"/>
      <c r="LIX933" s="18"/>
      <c r="LIY933" s="18"/>
      <c r="LIZ933" s="18"/>
      <c r="LJA933" s="18"/>
      <c r="LJB933" s="18"/>
      <c r="LJC933" s="18"/>
      <c r="LJD933" s="18"/>
      <c r="LJE933" s="18"/>
      <c r="LJF933" s="18"/>
      <c r="LJG933" s="18"/>
      <c r="LJH933" s="18"/>
      <c r="LJI933" s="18"/>
      <c r="LJJ933" s="18"/>
      <c r="LJK933" s="18"/>
      <c r="LJL933" s="18"/>
      <c r="LJM933" s="18"/>
      <c r="LJN933" s="18"/>
      <c r="LJO933" s="18"/>
      <c r="LJP933" s="18"/>
      <c r="LJQ933" s="18"/>
      <c r="LJR933" s="18"/>
      <c r="LJS933" s="18"/>
      <c r="LJT933" s="18"/>
      <c r="LJU933" s="18"/>
      <c r="LJV933" s="18"/>
      <c r="LJW933" s="18"/>
      <c r="LJX933" s="18"/>
      <c r="LJY933" s="18"/>
      <c r="LJZ933" s="18"/>
      <c r="LKA933" s="18"/>
      <c r="LKB933" s="18"/>
      <c r="LKC933" s="18"/>
      <c r="LKD933" s="18"/>
      <c r="LKE933" s="18"/>
      <c r="LKF933" s="18"/>
      <c r="LKG933" s="18"/>
      <c r="LKH933" s="18"/>
      <c r="LKI933" s="18"/>
      <c r="LKJ933" s="18"/>
      <c r="LKK933" s="18"/>
      <c r="LKL933" s="18"/>
      <c r="LKM933" s="18"/>
      <c r="LKN933" s="18"/>
      <c r="LKO933" s="18"/>
      <c r="LKP933" s="18"/>
      <c r="LKQ933" s="18"/>
      <c r="LKR933" s="18"/>
      <c r="LKS933" s="18"/>
      <c r="LKT933" s="18"/>
      <c r="LKU933" s="18"/>
      <c r="LKV933" s="18"/>
      <c r="LKW933" s="18"/>
      <c r="LKX933" s="18"/>
      <c r="LKY933" s="18"/>
      <c r="LKZ933" s="18"/>
      <c r="LLA933" s="18"/>
      <c r="LLB933" s="18"/>
      <c r="LLC933" s="18"/>
      <c r="LLD933" s="18"/>
      <c r="LLE933" s="18"/>
      <c r="LLF933" s="18"/>
      <c r="LLG933" s="18"/>
      <c r="LLH933" s="18"/>
      <c r="LLI933" s="18"/>
      <c r="LLJ933" s="18"/>
      <c r="LLK933" s="18"/>
      <c r="LLL933" s="18"/>
      <c r="LLM933" s="18"/>
      <c r="LLN933" s="18"/>
      <c r="LLO933" s="18"/>
      <c r="LLP933" s="18"/>
      <c r="LLQ933" s="18"/>
      <c r="LLR933" s="18"/>
      <c r="LLS933" s="18"/>
      <c r="LLT933" s="18"/>
      <c r="LLU933" s="18"/>
      <c r="LLV933" s="18"/>
      <c r="LLW933" s="18"/>
      <c r="LLX933" s="18"/>
      <c r="LLY933" s="18"/>
      <c r="LLZ933" s="18"/>
      <c r="LMA933" s="18"/>
      <c r="LMB933" s="18"/>
      <c r="LMC933" s="18"/>
      <c r="LMD933" s="18"/>
      <c r="LME933" s="18"/>
      <c r="LMF933" s="18"/>
      <c r="LMG933" s="18"/>
      <c r="LMH933" s="18"/>
      <c r="LMI933" s="18"/>
      <c r="LMJ933" s="18"/>
      <c r="LMK933" s="18"/>
      <c r="LML933" s="18"/>
      <c r="LMM933" s="18"/>
      <c r="LMN933" s="18"/>
      <c r="LMO933" s="18"/>
      <c r="LMP933" s="18"/>
      <c r="LMQ933" s="18"/>
      <c r="LMR933" s="18"/>
      <c r="LMS933" s="18"/>
      <c r="LMT933" s="18"/>
      <c r="LMU933" s="18"/>
      <c r="LMV933" s="18"/>
      <c r="LMW933" s="18"/>
      <c r="LMX933" s="18"/>
      <c r="LMY933" s="18"/>
      <c r="LMZ933" s="18"/>
      <c r="LNA933" s="18"/>
      <c r="LNB933" s="18"/>
      <c r="LNC933" s="18"/>
      <c r="LND933" s="18"/>
      <c r="LNE933" s="18"/>
      <c r="LNF933" s="18"/>
      <c r="LNG933" s="18"/>
      <c r="LNH933" s="18"/>
      <c r="LNI933" s="18"/>
      <c r="LNJ933" s="18"/>
      <c r="LNK933" s="18"/>
      <c r="LNL933" s="18"/>
      <c r="LNM933" s="18"/>
      <c r="LNN933" s="18"/>
      <c r="LNO933" s="18"/>
      <c r="LNP933" s="18"/>
      <c r="LNQ933" s="18"/>
      <c r="LNR933" s="18"/>
      <c r="LNS933" s="18"/>
      <c r="LNT933" s="18"/>
      <c r="LNU933" s="18"/>
      <c r="LNV933" s="18"/>
      <c r="LNW933" s="18"/>
      <c r="LNX933" s="18"/>
      <c r="LNY933" s="18"/>
      <c r="LNZ933" s="18"/>
      <c r="LOA933" s="18"/>
      <c r="LOB933" s="18"/>
      <c r="LOC933" s="18"/>
      <c r="LOD933" s="18"/>
      <c r="LOE933" s="18"/>
      <c r="LOF933" s="18"/>
      <c r="LOG933" s="18"/>
      <c r="LOH933" s="18"/>
      <c r="LOI933" s="18"/>
      <c r="LOJ933" s="18"/>
      <c r="LOK933" s="18"/>
      <c r="LOL933" s="18"/>
      <c r="LOM933" s="18"/>
      <c r="LON933" s="18"/>
      <c r="LOO933" s="18"/>
      <c r="LOP933" s="18"/>
      <c r="LOQ933" s="18"/>
      <c r="LOR933" s="18"/>
      <c r="LOS933" s="18"/>
      <c r="LOT933" s="18"/>
      <c r="LOU933" s="18"/>
      <c r="LOV933" s="18"/>
      <c r="LOW933" s="18"/>
      <c r="LOX933" s="18"/>
      <c r="LOY933" s="18"/>
      <c r="LOZ933" s="18"/>
      <c r="LPA933" s="18"/>
      <c r="LPB933" s="18"/>
      <c r="LPC933" s="18"/>
      <c r="LPD933" s="18"/>
      <c r="LPE933" s="18"/>
      <c r="LPF933" s="18"/>
      <c r="LPG933" s="18"/>
      <c r="LPH933" s="18"/>
      <c r="LPI933" s="18"/>
      <c r="LPJ933" s="18"/>
      <c r="LPK933" s="18"/>
      <c r="LPL933" s="18"/>
      <c r="LPM933" s="18"/>
      <c r="LPN933" s="18"/>
      <c r="LPO933" s="18"/>
      <c r="LPP933" s="18"/>
      <c r="LPQ933" s="18"/>
      <c r="LPR933" s="18"/>
      <c r="LPS933" s="18"/>
      <c r="LPT933" s="18"/>
      <c r="LPU933" s="18"/>
      <c r="LPV933" s="18"/>
      <c r="LPW933" s="18"/>
      <c r="LPX933" s="18"/>
      <c r="LPY933" s="18"/>
      <c r="LPZ933" s="18"/>
      <c r="LQA933" s="18"/>
      <c r="LQB933" s="18"/>
      <c r="LQC933" s="18"/>
      <c r="LQD933" s="18"/>
      <c r="LQE933" s="18"/>
      <c r="LQF933" s="18"/>
      <c r="LQG933" s="18"/>
      <c r="LQH933" s="18"/>
      <c r="LQI933" s="18"/>
      <c r="LQJ933" s="18"/>
      <c r="LQK933" s="18"/>
      <c r="LQL933" s="18"/>
      <c r="LQM933" s="18"/>
      <c r="LQN933" s="18"/>
      <c r="LQO933" s="18"/>
      <c r="LQP933" s="18"/>
      <c r="LQQ933" s="18"/>
      <c r="LQR933" s="18"/>
      <c r="LQS933" s="18"/>
      <c r="LQT933" s="18"/>
      <c r="LQU933" s="18"/>
      <c r="LQV933" s="18"/>
      <c r="LQW933" s="18"/>
      <c r="LQX933" s="18"/>
      <c r="LQY933" s="18"/>
      <c r="LQZ933" s="18"/>
      <c r="LRA933" s="18"/>
      <c r="LRB933" s="18"/>
      <c r="LRC933" s="18"/>
      <c r="LRD933" s="18"/>
      <c r="LRE933" s="18"/>
      <c r="LRF933" s="18"/>
      <c r="LRG933" s="18"/>
      <c r="LRH933" s="18"/>
      <c r="LRI933" s="18"/>
      <c r="LRJ933" s="18"/>
      <c r="LRK933" s="18"/>
      <c r="LRL933" s="18"/>
      <c r="LRM933" s="18"/>
      <c r="LRN933" s="18"/>
      <c r="LRO933" s="18"/>
      <c r="LRP933" s="18"/>
      <c r="LRQ933" s="18"/>
      <c r="LRR933" s="18"/>
      <c r="LRS933" s="18"/>
      <c r="LRT933" s="18"/>
      <c r="LRU933" s="18"/>
      <c r="LRV933" s="18"/>
      <c r="LRW933" s="18"/>
      <c r="LRX933" s="18"/>
      <c r="LRY933" s="18"/>
      <c r="LRZ933" s="18"/>
      <c r="LSA933" s="18"/>
      <c r="LSB933" s="18"/>
      <c r="LSC933" s="18"/>
      <c r="LSD933" s="18"/>
      <c r="LSE933" s="18"/>
      <c r="LSF933" s="18"/>
      <c r="LSG933" s="18"/>
      <c r="LSH933" s="18"/>
      <c r="LSI933" s="18"/>
      <c r="LSJ933" s="18"/>
      <c r="LSK933" s="18"/>
      <c r="LSL933" s="18"/>
      <c r="LSM933" s="18"/>
      <c r="LSN933" s="18"/>
      <c r="LSO933" s="18"/>
      <c r="LSP933" s="18"/>
      <c r="LSQ933" s="18"/>
      <c r="LSR933" s="18"/>
      <c r="LSS933" s="18"/>
      <c r="LST933" s="18"/>
      <c r="LSU933" s="18"/>
      <c r="LSV933" s="18"/>
      <c r="LSW933" s="18"/>
      <c r="LSX933" s="18"/>
      <c r="LSY933" s="18"/>
      <c r="LSZ933" s="18"/>
      <c r="LTA933" s="18"/>
      <c r="LTB933" s="18"/>
      <c r="LTC933" s="18"/>
      <c r="LTD933" s="18"/>
      <c r="LTE933" s="18"/>
      <c r="LTF933" s="18"/>
      <c r="LTG933" s="18"/>
      <c r="LTH933" s="18"/>
      <c r="LTI933" s="18"/>
      <c r="LTJ933" s="18"/>
      <c r="LTK933" s="18"/>
      <c r="LTL933" s="18"/>
      <c r="LTM933" s="18"/>
      <c r="LTN933" s="18"/>
      <c r="LTO933" s="18"/>
      <c r="LTP933" s="18"/>
      <c r="LTQ933" s="18"/>
      <c r="LTR933" s="18"/>
      <c r="LTS933" s="18"/>
      <c r="LTT933" s="18"/>
      <c r="LTU933" s="18"/>
      <c r="LTV933" s="18"/>
      <c r="LTW933" s="18"/>
      <c r="LTX933" s="18"/>
      <c r="LTY933" s="18"/>
      <c r="LTZ933" s="18"/>
      <c r="LUA933" s="18"/>
      <c r="LUB933" s="18"/>
      <c r="LUC933" s="18"/>
      <c r="LUD933" s="18"/>
      <c r="LUE933" s="18"/>
      <c r="LUF933" s="18"/>
      <c r="LUG933" s="18"/>
      <c r="LUH933" s="18"/>
      <c r="LUI933" s="18"/>
      <c r="LUJ933" s="18"/>
      <c r="LUK933" s="18"/>
      <c r="LUL933" s="18"/>
      <c r="LUM933" s="18"/>
      <c r="LUN933" s="18"/>
      <c r="LUO933" s="18"/>
      <c r="LUP933" s="18"/>
      <c r="LUQ933" s="18"/>
      <c r="LUR933" s="18"/>
      <c r="LUS933" s="18"/>
      <c r="LUT933" s="18"/>
      <c r="LUU933" s="18"/>
      <c r="LUV933" s="18"/>
      <c r="LUW933" s="18"/>
      <c r="LUX933" s="18"/>
      <c r="LUY933" s="18"/>
      <c r="LUZ933" s="18"/>
      <c r="LVA933" s="18"/>
      <c r="LVB933" s="18"/>
      <c r="LVC933" s="18"/>
      <c r="LVD933" s="18"/>
      <c r="LVE933" s="18"/>
      <c r="LVF933" s="18"/>
      <c r="LVG933" s="18"/>
      <c r="LVH933" s="18"/>
      <c r="LVI933" s="18"/>
      <c r="LVJ933" s="18"/>
      <c r="LVK933" s="18"/>
      <c r="LVL933" s="18"/>
      <c r="LVM933" s="18"/>
      <c r="LVN933" s="18"/>
      <c r="LVO933" s="18"/>
      <c r="LVP933" s="18"/>
      <c r="LVQ933" s="18"/>
      <c r="LVR933" s="18"/>
      <c r="LVS933" s="18"/>
      <c r="LVT933" s="18"/>
      <c r="LVU933" s="18"/>
      <c r="LVV933" s="18"/>
      <c r="LVW933" s="18"/>
      <c r="LVX933" s="18"/>
      <c r="LVY933" s="18"/>
      <c r="LVZ933" s="18"/>
      <c r="LWA933" s="18"/>
      <c r="LWB933" s="18"/>
      <c r="LWC933" s="18"/>
      <c r="LWD933" s="18"/>
      <c r="LWE933" s="18"/>
      <c r="LWF933" s="18"/>
      <c r="LWG933" s="18"/>
      <c r="LWH933" s="18"/>
      <c r="LWI933" s="18"/>
      <c r="LWJ933" s="18"/>
      <c r="LWK933" s="18"/>
      <c r="LWL933" s="18"/>
      <c r="LWM933" s="18"/>
      <c r="LWN933" s="18"/>
      <c r="LWO933" s="18"/>
      <c r="LWP933" s="18"/>
      <c r="LWQ933" s="18"/>
      <c r="LWR933" s="18"/>
      <c r="LWS933" s="18"/>
      <c r="LWT933" s="18"/>
      <c r="LWU933" s="18"/>
      <c r="LWV933" s="18"/>
      <c r="LWW933" s="18"/>
      <c r="LWX933" s="18"/>
      <c r="LWY933" s="18"/>
      <c r="LWZ933" s="18"/>
      <c r="LXA933" s="18"/>
      <c r="LXB933" s="18"/>
      <c r="LXC933" s="18"/>
      <c r="LXD933" s="18"/>
      <c r="LXE933" s="18"/>
      <c r="LXF933" s="18"/>
      <c r="LXG933" s="18"/>
      <c r="LXH933" s="18"/>
      <c r="LXI933" s="18"/>
      <c r="LXJ933" s="18"/>
      <c r="LXK933" s="18"/>
      <c r="LXL933" s="18"/>
      <c r="LXM933" s="18"/>
      <c r="LXN933" s="18"/>
      <c r="LXO933" s="18"/>
      <c r="LXP933" s="18"/>
      <c r="LXQ933" s="18"/>
      <c r="LXR933" s="18"/>
      <c r="LXS933" s="18"/>
      <c r="LXT933" s="18"/>
      <c r="LXU933" s="18"/>
      <c r="LXV933" s="18"/>
      <c r="LXW933" s="18"/>
      <c r="LXX933" s="18"/>
      <c r="LXY933" s="18"/>
      <c r="LXZ933" s="18"/>
      <c r="LYA933" s="18"/>
      <c r="LYB933" s="18"/>
      <c r="LYC933" s="18"/>
      <c r="LYD933" s="18"/>
      <c r="LYE933" s="18"/>
      <c r="LYF933" s="18"/>
      <c r="LYG933" s="18"/>
      <c r="LYH933" s="18"/>
      <c r="LYI933" s="18"/>
      <c r="LYJ933" s="18"/>
      <c r="LYK933" s="18"/>
      <c r="LYL933" s="18"/>
      <c r="LYM933" s="18"/>
      <c r="LYN933" s="18"/>
      <c r="LYO933" s="18"/>
      <c r="LYP933" s="18"/>
      <c r="LYQ933" s="18"/>
      <c r="LYR933" s="18"/>
      <c r="LYS933" s="18"/>
      <c r="LYT933" s="18"/>
      <c r="LYU933" s="18"/>
      <c r="LYV933" s="18"/>
      <c r="LYW933" s="18"/>
      <c r="LYX933" s="18"/>
      <c r="LYY933" s="18"/>
      <c r="LYZ933" s="18"/>
      <c r="LZA933" s="18"/>
      <c r="LZB933" s="18"/>
      <c r="LZC933" s="18"/>
      <c r="LZD933" s="18"/>
      <c r="LZE933" s="18"/>
      <c r="LZF933" s="18"/>
      <c r="LZG933" s="18"/>
      <c r="LZH933" s="18"/>
      <c r="LZI933" s="18"/>
      <c r="LZJ933" s="18"/>
      <c r="LZK933" s="18"/>
      <c r="LZL933" s="18"/>
      <c r="LZM933" s="18"/>
      <c r="LZN933" s="18"/>
      <c r="LZO933" s="18"/>
      <c r="LZP933" s="18"/>
      <c r="LZQ933" s="18"/>
      <c r="LZR933" s="18"/>
      <c r="LZS933" s="18"/>
      <c r="LZT933" s="18"/>
      <c r="LZU933" s="18"/>
      <c r="LZV933" s="18"/>
      <c r="LZW933" s="18"/>
      <c r="LZX933" s="18"/>
      <c r="LZY933" s="18"/>
      <c r="LZZ933" s="18"/>
      <c r="MAA933" s="18"/>
      <c r="MAB933" s="18"/>
      <c r="MAC933" s="18"/>
      <c r="MAD933" s="18"/>
      <c r="MAE933" s="18"/>
      <c r="MAF933" s="18"/>
      <c r="MAG933" s="18"/>
      <c r="MAH933" s="18"/>
      <c r="MAI933" s="18"/>
      <c r="MAJ933" s="18"/>
      <c r="MAK933" s="18"/>
      <c r="MAL933" s="18"/>
      <c r="MAM933" s="18"/>
      <c r="MAN933" s="18"/>
      <c r="MAO933" s="18"/>
      <c r="MAP933" s="18"/>
      <c r="MAQ933" s="18"/>
      <c r="MAR933" s="18"/>
      <c r="MAS933" s="18"/>
      <c r="MAT933" s="18"/>
      <c r="MAU933" s="18"/>
      <c r="MAV933" s="18"/>
      <c r="MAW933" s="18"/>
      <c r="MAX933" s="18"/>
      <c r="MAY933" s="18"/>
      <c r="MAZ933" s="18"/>
      <c r="MBA933" s="18"/>
      <c r="MBB933" s="18"/>
      <c r="MBC933" s="18"/>
      <c r="MBD933" s="18"/>
      <c r="MBE933" s="18"/>
      <c r="MBF933" s="18"/>
      <c r="MBG933" s="18"/>
      <c r="MBH933" s="18"/>
      <c r="MBI933" s="18"/>
      <c r="MBJ933" s="18"/>
      <c r="MBK933" s="18"/>
      <c r="MBL933" s="18"/>
      <c r="MBM933" s="18"/>
      <c r="MBN933" s="18"/>
      <c r="MBO933" s="18"/>
      <c r="MBP933" s="18"/>
      <c r="MBQ933" s="18"/>
      <c r="MBR933" s="18"/>
      <c r="MBS933" s="18"/>
      <c r="MBT933" s="18"/>
      <c r="MBU933" s="18"/>
      <c r="MBV933" s="18"/>
      <c r="MBW933" s="18"/>
      <c r="MBX933" s="18"/>
      <c r="MBY933" s="18"/>
      <c r="MBZ933" s="18"/>
      <c r="MCA933" s="18"/>
      <c r="MCB933" s="18"/>
      <c r="MCC933" s="18"/>
      <c r="MCD933" s="18"/>
      <c r="MCE933" s="18"/>
      <c r="MCF933" s="18"/>
      <c r="MCG933" s="18"/>
      <c r="MCH933" s="18"/>
      <c r="MCI933" s="18"/>
      <c r="MCJ933" s="18"/>
      <c r="MCK933" s="18"/>
      <c r="MCL933" s="18"/>
      <c r="MCM933" s="18"/>
      <c r="MCN933" s="18"/>
      <c r="MCO933" s="18"/>
      <c r="MCP933" s="18"/>
      <c r="MCQ933" s="18"/>
      <c r="MCR933" s="18"/>
      <c r="MCS933" s="18"/>
      <c r="MCT933" s="18"/>
      <c r="MCU933" s="18"/>
      <c r="MCV933" s="18"/>
      <c r="MCW933" s="18"/>
      <c r="MCX933" s="18"/>
      <c r="MCY933" s="18"/>
      <c r="MCZ933" s="18"/>
      <c r="MDA933" s="18"/>
      <c r="MDB933" s="18"/>
      <c r="MDC933" s="18"/>
      <c r="MDD933" s="18"/>
      <c r="MDE933" s="18"/>
      <c r="MDF933" s="18"/>
      <c r="MDG933" s="18"/>
      <c r="MDH933" s="18"/>
      <c r="MDI933" s="18"/>
      <c r="MDJ933" s="18"/>
      <c r="MDK933" s="18"/>
      <c r="MDL933" s="18"/>
      <c r="MDM933" s="18"/>
      <c r="MDN933" s="18"/>
      <c r="MDO933" s="18"/>
      <c r="MDP933" s="18"/>
      <c r="MDQ933" s="18"/>
      <c r="MDR933" s="18"/>
      <c r="MDS933" s="18"/>
      <c r="MDT933" s="18"/>
      <c r="MDU933" s="18"/>
      <c r="MDV933" s="18"/>
      <c r="MDW933" s="18"/>
      <c r="MDX933" s="18"/>
      <c r="MDY933" s="18"/>
      <c r="MDZ933" s="18"/>
      <c r="MEA933" s="18"/>
      <c r="MEB933" s="18"/>
      <c r="MEC933" s="18"/>
      <c r="MED933" s="18"/>
      <c r="MEE933" s="18"/>
      <c r="MEF933" s="18"/>
      <c r="MEG933" s="18"/>
      <c r="MEH933" s="18"/>
      <c r="MEI933" s="18"/>
      <c r="MEJ933" s="18"/>
      <c r="MEK933" s="18"/>
      <c r="MEL933" s="18"/>
      <c r="MEM933" s="18"/>
      <c r="MEN933" s="18"/>
      <c r="MEO933" s="18"/>
      <c r="MEP933" s="18"/>
      <c r="MEQ933" s="18"/>
      <c r="MER933" s="18"/>
      <c r="MES933" s="18"/>
      <c r="MET933" s="18"/>
      <c r="MEU933" s="18"/>
      <c r="MEV933" s="18"/>
      <c r="MEW933" s="18"/>
      <c r="MEX933" s="18"/>
      <c r="MEY933" s="18"/>
      <c r="MEZ933" s="18"/>
      <c r="MFA933" s="18"/>
      <c r="MFB933" s="18"/>
      <c r="MFC933" s="18"/>
      <c r="MFD933" s="18"/>
      <c r="MFE933" s="18"/>
      <c r="MFF933" s="18"/>
      <c r="MFG933" s="18"/>
      <c r="MFH933" s="18"/>
      <c r="MFI933" s="18"/>
      <c r="MFJ933" s="18"/>
      <c r="MFK933" s="18"/>
      <c r="MFL933" s="18"/>
      <c r="MFM933" s="18"/>
      <c r="MFN933" s="18"/>
      <c r="MFO933" s="18"/>
      <c r="MFP933" s="18"/>
      <c r="MFQ933" s="18"/>
      <c r="MFR933" s="18"/>
      <c r="MFS933" s="18"/>
      <c r="MFT933" s="18"/>
      <c r="MFU933" s="18"/>
      <c r="MFV933" s="18"/>
      <c r="MFW933" s="18"/>
      <c r="MFX933" s="18"/>
      <c r="MFY933" s="18"/>
      <c r="MFZ933" s="18"/>
      <c r="MGA933" s="18"/>
      <c r="MGB933" s="18"/>
      <c r="MGC933" s="18"/>
      <c r="MGD933" s="18"/>
      <c r="MGE933" s="18"/>
      <c r="MGF933" s="18"/>
      <c r="MGG933" s="18"/>
      <c r="MGH933" s="18"/>
      <c r="MGI933" s="18"/>
      <c r="MGJ933" s="18"/>
      <c r="MGK933" s="18"/>
      <c r="MGL933" s="18"/>
      <c r="MGM933" s="18"/>
      <c r="MGN933" s="18"/>
      <c r="MGO933" s="18"/>
      <c r="MGP933" s="18"/>
      <c r="MGQ933" s="18"/>
      <c r="MGR933" s="18"/>
      <c r="MGS933" s="18"/>
      <c r="MGT933" s="18"/>
      <c r="MGU933" s="18"/>
      <c r="MGV933" s="18"/>
      <c r="MGW933" s="18"/>
      <c r="MGX933" s="18"/>
      <c r="MGY933" s="18"/>
      <c r="MGZ933" s="18"/>
      <c r="MHA933" s="18"/>
      <c r="MHB933" s="18"/>
      <c r="MHC933" s="18"/>
      <c r="MHD933" s="18"/>
      <c r="MHE933" s="18"/>
      <c r="MHF933" s="18"/>
      <c r="MHG933" s="18"/>
      <c r="MHH933" s="18"/>
      <c r="MHI933" s="18"/>
      <c r="MHJ933" s="18"/>
      <c r="MHK933" s="18"/>
      <c r="MHL933" s="18"/>
      <c r="MHM933" s="18"/>
      <c r="MHN933" s="18"/>
      <c r="MHO933" s="18"/>
      <c r="MHP933" s="18"/>
      <c r="MHQ933" s="18"/>
      <c r="MHR933" s="18"/>
      <c r="MHS933" s="18"/>
      <c r="MHT933" s="18"/>
      <c r="MHU933" s="18"/>
      <c r="MHV933" s="18"/>
      <c r="MHW933" s="18"/>
      <c r="MHX933" s="18"/>
      <c r="MHY933" s="18"/>
      <c r="MHZ933" s="18"/>
      <c r="MIA933" s="18"/>
      <c r="MIB933" s="18"/>
      <c r="MIC933" s="18"/>
      <c r="MID933" s="18"/>
      <c r="MIE933" s="18"/>
      <c r="MIF933" s="18"/>
      <c r="MIG933" s="18"/>
      <c r="MIH933" s="18"/>
      <c r="MII933" s="18"/>
      <c r="MIJ933" s="18"/>
      <c r="MIK933" s="18"/>
      <c r="MIL933" s="18"/>
      <c r="MIM933" s="18"/>
      <c r="MIN933" s="18"/>
      <c r="MIO933" s="18"/>
      <c r="MIP933" s="18"/>
      <c r="MIQ933" s="18"/>
      <c r="MIR933" s="18"/>
      <c r="MIS933" s="18"/>
      <c r="MIT933" s="18"/>
      <c r="MIU933" s="18"/>
      <c r="MIV933" s="18"/>
      <c r="MIW933" s="18"/>
      <c r="MIX933" s="18"/>
      <c r="MIY933" s="18"/>
      <c r="MIZ933" s="18"/>
      <c r="MJA933" s="18"/>
      <c r="MJB933" s="18"/>
      <c r="MJC933" s="18"/>
      <c r="MJD933" s="18"/>
      <c r="MJE933" s="18"/>
      <c r="MJF933" s="18"/>
      <c r="MJG933" s="18"/>
      <c r="MJH933" s="18"/>
      <c r="MJI933" s="18"/>
      <c r="MJJ933" s="18"/>
      <c r="MJK933" s="18"/>
      <c r="MJL933" s="18"/>
      <c r="MJM933" s="18"/>
      <c r="MJN933" s="18"/>
      <c r="MJO933" s="18"/>
      <c r="MJP933" s="18"/>
      <c r="MJQ933" s="18"/>
      <c r="MJR933" s="18"/>
      <c r="MJS933" s="18"/>
      <c r="MJT933" s="18"/>
      <c r="MJU933" s="18"/>
      <c r="MJV933" s="18"/>
      <c r="MJW933" s="18"/>
      <c r="MJX933" s="18"/>
      <c r="MJY933" s="18"/>
      <c r="MJZ933" s="18"/>
      <c r="MKA933" s="18"/>
      <c r="MKB933" s="18"/>
      <c r="MKC933" s="18"/>
      <c r="MKD933" s="18"/>
      <c r="MKE933" s="18"/>
      <c r="MKF933" s="18"/>
      <c r="MKG933" s="18"/>
      <c r="MKH933" s="18"/>
      <c r="MKI933" s="18"/>
      <c r="MKJ933" s="18"/>
      <c r="MKK933" s="18"/>
      <c r="MKL933" s="18"/>
      <c r="MKM933" s="18"/>
      <c r="MKN933" s="18"/>
      <c r="MKO933" s="18"/>
      <c r="MKP933" s="18"/>
      <c r="MKQ933" s="18"/>
      <c r="MKR933" s="18"/>
      <c r="MKS933" s="18"/>
      <c r="MKT933" s="18"/>
      <c r="MKU933" s="18"/>
      <c r="MKV933" s="18"/>
      <c r="MKW933" s="18"/>
      <c r="MKX933" s="18"/>
      <c r="MKY933" s="18"/>
      <c r="MKZ933" s="18"/>
      <c r="MLA933" s="18"/>
      <c r="MLB933" s="18"/>
      <c r="MLC933" s="18"/>
      <c r="MLD933" s="18"/>
      <c r="MLE933" s="18"/>
      <c r="MLF933" s="18"/>
      <c r="MLG933" s="18"/>
      <c r="MLH933" s="18"/>
      <c r="MLI933" s="18"/>
      <c r="MLJ933" s="18"/>
      <c r="MLK933" s="18"/>
      <c r="MLL933" s="18"/>
      <c r="MLM933" s="18"/>
      <c r="MLN933" s="18"/>
      <c r="MLO933" s="18"/>
      <c r="MLP933" s="18"/>
      <c r="MLQ933" s="18"/>
      <c r="MLR933" s="18"/>
      <c r="MLS933" s="18"/>
      <c r="MLT933" s="18"/>
      <c r="MLU933" s="18"/>
      <c r="MLV933" s="18"/>
      <c r="MLW933" s="18"/>
      <c r="MLX933" s="18"/>
      <c r="MLY933" s="18"/>
      <c r="MLZ933" s="18"/>
      <c r="MMA933" s="18"/>
      <c r="MMB933" s="18"/>
      <c r="MMC933" s="18"/>
      <c r="MMD933" s="18"/>
      <c r="MME933" s="18"/>
      <c r="MMF933" s="18"/>
      <c r="MMG933" s="18"/>
      <c r="MMH933" s="18"/>
      <c r="MMI933" s="18"/>
      <c r="MMJ933" s="18"/>
      <c r="MMK933" s="18"/>
      <c r="MML933" s="18"/>
      <c r="MMM933" s="18"/>
      <c r="MMN933" s="18"/>
      <c r="MMO933" s="18"/>
      <c r="MMP933" s="18"/>
      <c r="MMQ933" s="18"/>
      <c r="MMR933" s="18"/>
      <c r="MMS933" s="18"/>
      <c r="MMT933" s="18"/>
      <c r="MMU933" s="18"/>
      <c r="MMV933" s="18"/>
      <c r="MMW933" s="18"/>
      <c r="MMX933" s="18"/>
      <c r="MMY933" s="18"/>
      <c r="MMZ933" s="18"/>
      <c r="MNA933" s="18"/>
      <c r="MNB933" s="18"/>
      <c r="MNC933" s="18"/>
      <c r="MND933" s="18"/>
      <c r="MNE933" s="18"/>
      <c r="MNF933" s="18"/>
      <c r="MNG933" s="18"/>
      <c r="MNH933" s="18"/>
      <c r="MNI933" s="18"/>
      <c r="MNJ933" s="18"/>
      <c r="MNK933" s="18"/>
      <c r="MNL933" s="18"/>
      <c r="MNM933" s="18"/>
      <c r="MNN933" s="18"/>
      <c r="MNO933" s="18"/>
      <c r="MNP933" s="18"/>
      <c r="MNQ933" s="18"/>
      <c r="MNR933" s="18"/>
      <c r="MNS933" s="18"/>
      <c r="MNT933" s="18"/>
      <c r="MNU933" s="18"/>
      <c r="MNV933" s="18"/>
      <c r="MNW933" s="18"/>
      <c r="MNX933" s="18"/>
      <c r="MNY933" s="18"/>
      <c r="MNZ933" s="18"/>
      <c r="MOA933" s="18"/>
      <c r="MOB933" s="18"/>
      <c r="MOC933" s="18"/>
      <c r="MOD933" s="18"/>
      <c r="MOE933" s="18"/>
      <c r="MOF933" s="18"/>
      <c r="MOG933" s="18"/>
      <c r="MOH933" s="18"/>
      <c r="MOI933" s="18"/>
      <c r="MOJ933" s="18"/>
      <c r="MOK933" s="18"/>
      <c r="MOL933" s="18"/>
      <c r="MOM933" s="18"/>
      <c r="MON933" s="18"/>
      <c r="MOO933" s="18"/>
      <c r="MOP933" s="18"/>
      <c r="MOQ933" s="18"/>
      <c r="MOR933" s="18"/>
      <c r="MOS933" s="18"/>
      <c r="MOT933" s="18"/>
      <c r="MOU933" s="18"/>
      <c r="MOV933" s="18"/>
      <c r="MOW933" s="18"/>
      <c r="MOX933" s="18"/>
      <c r="MOY933" s="18"/>
      <c r="MOZ933" s="18"/>
      <c r="MPA933" s="18"/>
      <c r="MPB933" s="18"/>
      <c r="MPC933" s="18"/>
      <c r="MPD933" s="18"/>
      <c r="MPE933" s="18"/>
      <c r="MPF933" s="18"/>
      <c r="MPG933" s="18"/>
      <c r="MPH933" s="18"/>
      <c r="MPI933" s="18"/>
      <c r="MPJ933" s="18"/>
      <c r="MPK933" s="18"/>
      <c r="MPL933" s="18"/>
      <c r="MPM933" s="18"/>
      <c r="MPN933" s="18"/>
      <c r="MPO933" s="18"/>
      <c r="MPP933" s="18"/>
      <c r="MPQ933" s="18"/>
      <c r="MPR933" s="18"/>
      <c r="MPS933" s="18"/>
      <c r="MPT933" s="18"/>
      <c r="MPU933" s="18"/>
      <c r="MPV933" s="18"/>
      <c r="MPW933" s="18"/>
      <c r="MPX933" s="18"/>
      <c r="MPY933" s="18"/>
      <c r="MPZ933" s="18"/>
      <c r="MQA933" s="18"/>
      <c r="MQB933" s="18"/>
      <c r="MQC933" s="18"/>
      <c r="MQD933" s="18"/>
      <c r="MQE933" s="18"/>
      <c r="MQF933" s="18"/>
      <c r="MQG933" s="18"/>
      <c r="MQH933" s="18"/>
      <c r="MQI933" s="18"/>
      <c r="MQJ933" s="18"/>
      <c r="MQK933" s="18"/>
      <c r="MQL933" s="18"/>
      <c r="MQM933" s="18"/>
      <c r="MQN933" s="18"/>
      <c r="MQO933" s="18"/>
      <c r="MQP933" s="18"/>
      <c r="MQQ933" s="18"/>
      <c r="MQR933" s="18"/>
      <c r="MQS933" s="18"/>
      <c r="MQT933" s="18"/>
      <c r="MQU933" s="18"/>
      <c r="MQV933" s="18"/>
      <c r="MQW933" s="18"/>
      <c r="MQX933" s="18"/>
      <c r="MQY933" s="18"/>
      <c r="MQZ933" s="18"/>
      <c r="MRA933" s="18"/>
      <c r="MRB933" s="18"/>
      <c r="MRC933" s="18"/>
      <c r="MRD933" s="18"/>
      <c r="MRE933" s="18"/>
      <c r="MRF933" s="18"/>
      <c r="MRG933" s="18"/>
      <c r="MRH933" s="18"/>
      <c r="MRI933" s="18"/>
      <c r="MRJ933" s="18"/>
      <c r="MRK933" s="18"/>
      <c r="MRL933" s="18"/>
      <c r="MRM933" s="18"/>
      <c r="MRN933" s="18"/>
      <c r="MRO933" s="18"/>
      <c r="MRP933" s="18"/>
      <c r="MRQ933" s="18"/>
      <c r="MRR933" s="18"/>
      <c r="MRS933" s="18"/>
      <c r="MRT933" s="18"/>
      <c r="MRU933" s="18"/>
      <c r="MRV933" s="18"/>
      <c r="MRW933" s="18"/>
      <c r="MRX933" s="18"/>
      <c r="MRY933" s="18"/>
      <c r="MRZ933" s="18"/>
      <c r="MSA933" s="18"/>
      <c r="MSB933" s="18"/>
      <c r="MSC933" s="18"/>
      <c r="MSD933" s="18"/>
      <c r="MSE933" s="18"/>
      <c r="MSF933" s="18"/>
      <c r="MSG933" s="18"/>
      <c r="MSH933" s="18"/>
      <c r="MSI933" s="18"/>
      <c r="MSJ933" s="18"/>
      <c r="MSK933" s="18"/>
      <c r="MSL933" s="18"/>
      <c r="MSM933" s="18"/>
      <c r="MSN933" s="18"/>
      <c r="MSO933" s="18"/>
      <c r="MSP933" s="18"/>
      <c r="MSQ933" s="18"/>
      <c r="MSR933" s="18"/>
      <c r="MSS933" s="18"/>
      <c r="MST933" s="18"/>
      <c r="MSU933" s="18"/>
      <c r="MSV933" s="18"/>
      <c r="MSW933" s="18"/>
      <c r="MSX933" s="18"/>
      <c r="MSY933" s="18"/>
      <c r="MSZ933" s="18"/>
      <c r="MTA933" s="18"/>
      <c r="MTB933" s="18"/>
      <c r="MTC933" s="18"/>
      <c r="MTD933" s="18"/>
      <c r="MTE933" s="18"/>
      <c r="MTF933" s="18"/>
      <c r="MTG933" s="18"/>
      <c r="MTH933" s="18"/>
      <c r="MTI933" s="18"/>
      <c r="MTJ933" s="18"/>
      <c r="MTK933" s="18"/>
      <c r="MTL933" s="18"/>
      <c r="MTM933" s="18"/>
      <c r="MTN933" s="18"/>
      <c r="MTO933" s="18"/>
      <c r="MTP933" s="18"/>
      <c r="MTQ933" s="18"/>
      <c r="MTR933" s="18"/>
      <c r="MTS933" s="18"/>
      <c r="MTT933" s="18"/>
      <c r="MTU933" s="18"/>
      <c r="MTV933" s="18"/>
      <c r="MTW933" s="18"/>
      <c r="MTX933" s="18"/>
      <c r="MTY933" s="18"/>
      <c r="MTZ933" s="18"/>
      <c r="MUA933" s="18"/>
      <c r="MUB933" s="18"/>
      <c r="MUC933" s="18"/>
      <c r="MUD933" s="18"/>
      <c r="MUE933" s="18"/>
      <c r="MUF933" s="18"/>
      <c r="MUG933" s="18"/>
      <c r="MUH933" s="18"/>
      <c r="MUI933" s="18"/>
      <c r="MUJ933" s="18"/>
      <c r="MUK933" s="18"/>
      <c r="MUL933" s="18"/>
      <c r="MUM933" s="18"/>
      <c r="MUN933" s="18"/>
      <c r="MUO933" s="18"/>
      <c r="MUP933" s="18"/>
      <c r="MUQ933" s="18"/>
      <c r="MUR933" s="18"/>
      <c r="MUS933" s="18"/>
      <c r="MUT933" s="18"/>
      <c r="MUU933" s="18"/>
      <c r="MUV933" s="18"/>
      <c r="MUW933" s="18"/>
      <c r="MUX933" s="18"/>
      <c r="MUY933" s="18"/>
      <c r="MUZ933" s="18"/>
      <c r="MVA933" s="18"/>
      <c r="MVB933" s="18"/>
      <c r="MVC933" s="18"/>
      <c r="MVD933" s="18"/>
      <c r="MVE933" s="18"/>
      <c r="MVF933" s="18"/>
      <c r="MVG933" s="18"/>
      <c r="MVH933" s="18"/>
      <c r="MVI933" s="18"/>
      <c r="MVJ933" s="18"/>
      <c r="MVK933" s="18"/>
      <c r="MVL933" s="18"/>
      <c r="MVM933" s="18"/>
      <c r="MVN933" s="18"/>
      <c r="MVO933" s="18"/>
      <c r="MVP933" s="18"/>
      <c r="MVQ933" s="18"/>
      <c r="MVR933" s="18"/>
      <c r="MVS933" s="18"/>
      <c r="MVT933" s="18"/>
      <c r="MVU933" s="18"/>
      <c r="MVV933" s="18"/>
      <c r="MVW933" s="18"/>
      <c r="MVX933" s="18"/>
      <c r="MVY933" s="18"/>
      <c r="MVZ933" s="18"/>
      <c r="MWA933" s="18"/>
      <c r="MWB933" s="18"/>
      <c r="MWC933" s="18"/>
      <c r="MWD933" s="18"/>
      <c r="MWE933" s="18"/>
      <c r="MWF933" s="18"/>
      <c r="MWG933" s="18"/>
      <c r="MWH933" s="18"/>
      <c r="MWI933" s="18"/>
      <c r="MWJ933" s="18"/>
      <c r="MWK933" s="18"/>
      <c r="MWL933" s="18"/>
      <c r="MWM933" s="18"/>
      <c r="MWN933" s="18"/>
      <c r="MWO933" s="18"/>
      <c r="MWP933" s="18"/>
      <c r="MWQ933" s="18"/>
      <c r="MWR933" s="18"/>
      <c r="MWS933" s="18"/>
      <c r="MWT933" s="18"/>
      <c r="MWU933" s="18"/>
      <c r="MWV933" s="18"/>
      <c r="MWW933" s="18"/>
      <c r="MWX933" s="18"/>
      <c r="MWY933" s="18"/>
      <c r="MWZ933" s="18"/>
      <c r="MXA933" s="18"/>
      <c r="MXB933" s="18"/>
      <c r="MXC933" s="18"/>
      <c r="MXD933" s="18"/>
      <c r="MXE933" s="18"/>
      <c r="MXF933" s="18"/>
      <c r="MXG933" s="18"/>
      <c r="MXH933" s="18"/>
      <c r="MXI933" s="18"/>
      <c r="MXJ933" s="18"/>
      <c r="MXK933" s="18"/>
      <c r="MXL933" s="18"/>
      <c r="MXM933" s="18"/>
      <c r="MXN933" s="18"/>
      <c r="MXO933" s="18"/>
      <c r="MXP933" s="18"/>
      <c r="MXQ933" s="18"/>
      <c r="MXR933" s="18"/>
      <c r="MXS933" s="18"/>
      <c r="MXT933" s="18"/>
      <c r="MXU933" s="18"/>
      <c r="MXV933" s="18"/>
      <c r="MXW933" s="18"/>
      <c r="MXX933" s="18"/>
      <c r="MXY933" s="18"/>
      <c r="MXZ933" s="18"/>
      <c r="MYA933" s="18"/>
      <c r="MYB933" s="18"/>
      <c r="MYC933" s="18"/>
      <c r="MYD933" s="18"/>
      <c r="MYE933" s="18"/>
      <c r="MYF933" s="18"/>
      <c r="MYG933" s="18"/>
      <c r="MYH933" s="18"/>
      <c r="MYI933" s="18"/>
      <c r="MYJ933" s="18"/>
      <c r="MYK933" s="18"/>
      <c r="MYL933" s="18"/>
      <c r="MYM933" s="18"/>
      <c r="MYN933" s="18"/>
      <c r="MYO933" s="18"/>
      <c r="MYP933" s="18"/>
      <c r="MYQ933" s="18"/>
      <c r="MYR933" s="18"/>
      <c r="MYS933" s="18"/>
      <c r="MYT933" s="18"/>
      <c r="MYU933" s="18"/>
      <c r="MYV933" s="18"/>
      <c r="MYW933" s="18"/>
      <c r="MYX933" s="18"/>
      <c r="MYY933" s="18"/>
      <c r="MYZ933" s="18"/>
      <c r="MZA933" s="18"/>
      <c r="MZB933" s="18"/>
      <c r="MZC933" s="18"/>
      <c r="MZD933" s="18"/>
      <c r="MZE933" s="18"/>
      <c r="MZF933" s="18"/>
      <c r="MZG933" s="18"/>
      <c r="MZH933" s="18"/>
      <c r="MZI933" s="18"/>
      <c r="MZJ933" s="18"/>
      <c r="MZK933" s="18"/>
      <c r="MZL933" s="18"/>
      <c r="MZM933" s="18"/>
      <c r="MZN933" s="18"/>
      <c r="MZO933" s="18"/>
      <c r="MZP933" s="18"/>
      <c r="MZQ933" s="18"/>
      <c r="MZR933" s="18"/>
      <c r="MZS933" s="18"/>
      <c r="MZT933" s="18"/>
      <c r="MZU933" s="18"/>
      <c r="MZV933" s="18"/>
      <c r="MZW933" s="18"/>
      <c r="MZX933" s="18"/>
      <c r="MZY933" s="18"/>
      <c r="MZZ933" s="18"/>
      <c r="NAA933" s="18"/>
      <c r="NAB933" s="18"/>
      <c r="NAC933" s="18"/>
      <c r="NAD933" s="18"/>
      <c r="NAE933" s="18"/>
      <c r="NAF933" s="18"/>
      <c r="NAG933" s="18"/>
      <c r="NAH933" s="18"/>
      <c r="NAI933" s="18"/>
      <c r="NAJ933" s="18"/>
      <c r="NAK933" s="18"/>
      <c r="NAL933" s="18"/>
      <c r="NAM933" s="18"/>
      <c r="NAN933" s="18"/>
      <c r="NAO933" s="18"/>
      <c r="NAP933" s="18"/>
      <c r="NAQ933" s="18"/>
      <c r="NAR933" s="18"/>
      <c r="NAS933" s="18"/>
      <c r="NAT933" s="18"/>
      <c r="NAU933" s="18"/>
      <c r="NAV933" s="18"/>
      <c r="NAW933" s="18"/>
      <c r="NAX933" s="18"/>
      <c r="NAY933" s="18"/>
      <c r="NAZ933" s="18"/>
      <c r="NBA933" s="18"/>
      <c r="NBB933" s="18"/>
      <c r="NBC933" s="18"/>
      <c r="NBD933" s="18"/>
      <c r="NBE933" s="18"/>
      <c r="NBF933" s="18"/>
      <c r="NBG933" s="18"/>
      <c r="NBH933" s="18"/>
      <c r="NBI933" s="18"/>
      <c r="NBJ933" s="18"/>
      <c r="NBK933" s="18"/>
      <c r="NBL933" s="18"/>
      <c r="NBM933" s="18"/>
      <c r="NBN933" s="18"/>
      <c r="NBO933" s="18"/>
      <c r="NBP933" s="18"/>
      <c r="NBQ933" s="18"/>
      <c r="NBR933" s="18"/>
      <c r="NBS933" s="18"/>
      <c r="NBT933" s="18"/>
      <c r="NBU933" s="18"/>
      <c r="NBV933" s="18"/>
      <c r="NBW933" s="18"/>
      <c r="NBX933" s="18"/>
      <c r="NBY933" s="18"/>
      <c r="NBZ933" s="18"/>
      <c r="NCA933" s="18"/>
      <c r="NCB933" s="18"/>
      <c r="NCC933" s="18"/>
      <c r="NCD933" s="18"/>
      <c r="NCE933" s="18"/>
      <c r="NCF933" s="18"/>
      <c r="NCG933" s="18"/>
      <c r="NCH933" s="18"/>
      <c r="NCI933" s="18"/>
      <c r="NCJ933" s="18"/>
      <c r="NCK933" s="18"/>
      <c r="NCL933" s="18"/>
      <c r="NCM933" s="18"/>
      <c r="NCN933" s="18"/>
      <c r="NCO933" s="18"/>
      <c r="NCP933" s="18"/>
      <c r="NCQ933" s="18"/>
      <c r="NCR933" s="18"/>
      <c r="NCS933" s="18"/>
      <c r="NCT933" s="18"/>
      <c r="NCU933" s="18"/>
      <c r="NCV933" s="18"/>
      <c r="NCW933" s="18"/>
      <c r="NCX933" s="18"/>
      <c r="NCY933" s="18"/>
      <c r="NCZ933" s="18"/>
      <c r="NDA933" s="18"/>
      <c r="NDB933" s="18"/>
      <c r="NDC933" s="18"/>
      <c r="NDD933" s="18"/>
      <c r="NDE933" s="18"/>
      <c r="NDF933" s="18"/>
      <c r="NDG933" s="18"/>
      <c r="NDH933" s="18"/>
      <c r="NDI933" s="18"/>
      <c r="NDJ933" s="18"/>
      <c r="NDK933" s="18"/>
      <c r="NDL933" s="18"/>
      <c r="NDM933" s="18"/>
      <c r="NDN933" s="18"/>
      <c r="NDO933" s="18"/>
      <c r="NDP933" s="18"/>
      <c r="NDQ933" s="18"/>
      <c r="NDR933" s="18"/>
      <c r="NDS933" s="18"/>
      <c r="NDT933" s="18"/>
      <c r="NDU933" s="18"/>
      <c r="NDV933" s="18"/>
      <c r="NDW933" s="18"/>
      <c r="NDX933" s="18"/>
      <c r="NDY933" s="18"/>
      <c r="NDZ933" s="18"/>
      <c r="NEA933" s="18"/>
      <c r="NEB933" s="18"/>
      <c r="NEC933" s="18"/>
      <c r="NED933" s="18"/>
      <c r="NEE933" s="18"/>
      <c r="NEF933" s="18"/>
      <c r="NEG933" s="18"/>
      <c r="NEH933" s="18"/>
      <c r="NEI933" s="18"/>
      <c r="NEJ933" s="18"/>
      <c r="NEK933" s="18"/>
      <c r="NEL933" s="18"/>
      <c r="NEM933" s="18"/>
      <c r="NEN933" s="18"/>
      <c r="NEO933" s="18"/>
      <c r="NEP933" s="18"/>
      <c r="NEQ933" s="18"/>
      <c r="NER933" s="18"/>
      <c r="NES933" s="18"/>
      <c r="NET933" s="18"/>
      <c r="NEU933" s="18"/>
      <c r="NEV933" s="18"/>
      <c r="NEW933" s="18"/>
      <c r="NEX933" s="18"/>
      <c r="NEY933" s="18"/>
      <c r="NEZ933" s="18"/>
      <c r="NFA933" s="18"/>
      <c r="NFB933" s="18"/>
      <c r="NFC933" s="18"/>
      <c r="NFD933" s="18"/>
      <c r="NFE933" s="18"/>
      <c r="NFF933" s="18"/>
      <c r="NFG933" s="18"/>
      <c r="NFH933" s="18"/>
      <c r="NFI933" s="18"/>
      <c r="NFJ933" s="18"/>
      <c r="NFK933" s="18"/>
      <c r="NFL933" s="18"/>
      <c r="NFM933" s="18"/>
      <c r="NFN933" s="18"/>
      <c r="NFO933" s="18"/>
      <c r="NFP933" s="18"/>
      <c r="NFQ933" s="18"/>
      <c r="NFR933" s="18"/>
      <c r="NFS933" s="18"/>
      <c r="NFT933" s="18"/>
      <c r="NFU933" s="18"/>
      <c r="NFV933" s="18"/>
      <c r="NFW933" s="18"/>
      <c r="NFX933" s="18"/>
      <c r="NFY933" s="18"/>
      <c r="NFZ933" s="18"/>
      <c r="NGA933" s="18"/>
      <c r="NGB933" s="18"/>
      <c r="NGC933" s="18"/>
      <c r="NGD933" s="18"/>
      <c r="NGE933" s="18"/>
      <c r="NGF933" s="18"/>
      <c r="NGG933" s="18"/>
      <c r="NGH933" s="18"/>
      <c r="NGI933" s="18"/>
      <c r="NGJ933" s="18"/>
      <c r="NGK933" s="18"/>
      <c r="NGL933" s="18"/>
      <c r="NGM933" s="18"/>
      <c r="NGN933" s="18"/>
      <c r="NGO933" s="18"/>
      <c r="NGP933" s="18"/>
      <c r="NGQ933" s="18"/>
      <c r="NGR933" s="18"/>
      <c r="NGS933" s="18"/>
      <c r="NGT933" s="18"/>
      <c r="NGU933" s="18"/>
      <c r="NGV933" s="18"/>
      <c r="NGW933" s="18"/>
      <c r="NGX933" s="18"/>
      <c r="NGY933" s="18"/>
      <c r="NGZ933" s="18"/>
      <c r="NHA933" s="18"/>
      <c r="NHB933" s="18"/>
      <c r="NHC933" s="18"/>
      <c r="NHD933" s="18"/>
      <c r="NHE933" s="18"/>
      <c r="NHF933" s="18"/>
      <c r="NHG933" s="18"/>
      <c r="NHH933" s="18"/>
      <c r="NHI933" s="18"/>
      <c r="NHJ933" s="18"/>
      <c r="NHK933" s="18"/>
      <c r="NHL933" s="18"/>
      <c r="NHM933" s="18"/>
      <c r="NHN933" s="18"/>
      <c r="NHO933" s="18"/>
      <c r="NHP933" s="18"/>
      <c r="NHQ933" s="18"/>
      <c r="NHR933" s="18"/>
      <c r="NHS933" s="18"/>
      <c r="NHT933" s="18"/>
      <c r="NHU933" s="18"/>
      <c r="NHV933" s="18"/>
      <c r="NHW933" s="18"/>
      <c r="NHX933" s="18"/>
      <c r="NHY933" s="18"/>
      <c r="NHZ933" s="18"/>
      <c r="NIA933" s="18"/>
      <c r="NIB933" s="18"/>
      <c r="NIC933" s="18"/>
      <c r="NID933" s="18"/>
      <c r="NIE933" s="18"/>
      <c r="NIF933" s="18"/>
      <c r="NIG933" s="18"/>
      <c r="NIH933" s="18"/>
      <c r="NII933" s="18"/>
      <c r="NIJ933" s="18"/>
      <c r="NIK933" s="18"/>
      <c r="NIL933" s="18"/>
      <c r="NIM933" s="18"/>
      <c r="NIN933" s="18"/>
      <c r="NIO933" s="18"/>
      <c r="NIP933" s="18"/>
      <c r="NIQ933" s="18"/>
      <c r="NIR933" s="18"/>
      <c r="NIS933" s="18"/>
      <c r="NIT933" s="18"/>
      <c r="NIU933" s="18"/>
      <c r="NIV933" s="18"/>
      <c r="NIW933" s="18"/>
      <c r="NIX933" s="18"/>
      <c r="NIY933" s="18"/>
      <c r="NIZ933" s="18"/>
      <c r="NJA933" s="18"/>
      <c r="NJB933" s="18"/>
      <c r="NJC933" s="18"/>
      <c r="NJD933" s="18"/>
      <c r="NJE933" s="18"/>
      <c r="NJF933" s="18"/>
      <c r="NJG933" s="18"/>
      <c r="NJH933" s="18"/>
      <c r="NJI933" s="18"/>
      <c r="NJJ933" s="18"/>
      <c r="NJK933" s="18"/>
      <c r="NJL933" s="18"/>
      <c r="NJM933" s="18"/>
      <c r="NJN933" s="18"/>
      <c r="NJO933" s="18"/>
      <c r="NJP933" s="18"/>
      <c r="NJQ933" s="18"/>
      <c r="NJR933" s="18"/>
      <c r="NJS933" s="18"/>
      <c r="NJT933" s="18"/>
      <c r="NJU933" s="18"/>
      <c r="NJV933" s="18"/>
      <c r="NJW933" s="18"/>
      <c r="NJX933" s="18"/>
      <c r="NJY933" s="18"/>
      <c r="NJZ933" s="18"/>
      <c r="NKA933" s="18"/>
      <c r="NKB933" s="18"/>
      <c r="NKC933" s="18"/>
      <c r="NKD933" s="18"/>
      <c r="NKE933" s="18"/>
      <c r="NKF933" s="18"/>
      <c r="NKG933" s="18"/>
      <c r="NKH933" s="18"/>
      <c r="NKI933" s="18"/>
      <c r="NKJ933" s="18"/>
      <c r="NKK933" s="18"/>
      <c r="NKL933" s="18"/>
      <c r="NKM933" s="18"/>
      <c r="NKN933" s="18"/>
      <c r="NKO933" s="18"/>
      <c r="NKP933" s="18"/>
      <c r="NKQ933" s="18"/>
      <c r="NKR933" s="18"/>
      <c r="NKS933" s="18"/>
      <c r="NKT933" s="18"/>
      <c r="NKU933" s="18"/>
      <c r="NKV933" s="18"/>
      <c r="NKW933" s="18"/>
      <c r="NKX933" s="18"/>
      <c r="NKY933" s="18"/>
      <c r="NKZ933" s="18"/>
      <c r="NLA933" s="18"/>
      <c r="NLB933" s="18"/>
      <c r="NLC933" s="18"/>
      <c r="NLD933" s="18"/>
      <c r="NLE933" s="18"/>
      <c r="NLF933" s="18"/>
      <c r="NLG933" s="18"/>
      <c r="NLH933" s="18"/>
      <c r="NLI933" s="18"/>
      <c r="NLJ933" s="18"/>
      <c r="NLK933" s="18"/>
      <c r="NLL933" s="18"/>
      <c r="NLM933" s="18"/>
      <c r="NLN933" s="18"/>
      <c r="NLO933" s="18"/>
      <c r="NLP933" s="18"/>
      <c r="NLQ933" s="18"/>
      <c r="NLR933" s="18"/>
      <c r="NLS933" s="18"/>
      <c r="NLT933" s="18"/>
      <c r="NLU933" s="18"/>
      <c r="NLV933" s="18"/>
      <c r="NLW933" s="18"/>
      <c r="NLX933" s="18"/>
      <c r="NLY933" s="18"/>
      <c r="NLZ933" s="18"/>
      <c r="NMA933" s="18"/>
      <c r="NMB933" s="18"/>
      <c r="NMC933" s="18"/>
      <c r="NMD933" s="18"/>
      <c r="NME933" s="18"/>
      <c r="NMF933" s="18"/>
      <c r="NMG933" s="18"/>
      <c r="NMH933" s="18"/>
      <c r="NMI933" s="18"/>
      <c r="NMJ933" s="18"/>
      <c r="NMK933" s="18"/>
      <c r="NML933" s="18"/>
      <c r="NMM933" s="18"/>
      <c r="NMN933" s="18"/>
      <c r="NMO933" s="18"/>
      <c r="NMP933" s="18"/>
      <c r="NMQ933" s="18"/>
      <c r="NMR933" s="18"/>
      <c r="NMS933" s="18"/>
      <c r="NMT933" s="18"/>
      <c r="NMU933" s="18"/>
      <c r="NMV933" s="18"/>
      <c r="NMW933" s="18"/>
      <c r="NMX933" s="18"/>
      <c r="NMY933" s="18"/>
      <c r="NMZ933" s="18"/>
      <c r="NNA933" s="18"/>
      <c r="NNB933" s="18"/>
      <c r="NNC933" s="18"/>
      <c r="NND933" s="18"/>
      <c r="NNE933" s="18"/>
      <c r="NNF933" s="18"/>
      <c r="NNG933" s="18"/>
      <c r="NNH933" s="18"/>
      <c r="NNI933" s="18"/>
      <c r="NNJ933" s="18"/>
      <c r="NNK933" s="18"/>
      <c r="NNL933" s="18"/>
      <c r="NNM933" s="18"/>
      <c r="NNN933" s="18"/>
      <c r="NNO933" s="18"/>
      <c r="NNP933" s="18"/>
      <c r="NNQ933" s="18"/>
      <c r="NNR933" s="18"/>
      <c r="NNS933" s="18"/>
      <c r="NNT933" s="18"/>
      <c r="NNU933" s="18"/>
      <c r="NNV933" s="18"/>
      <c r="NNW933" s="18"/>
      <c r="NNX933" s="18"/>
      <c r="NNY933" s="18"/>
      <c r="NNZ933" s="18"/>
      <c r="NOA933" s="18"/>
      <c r="NOB933" s="18"/>
      <c r="NOC933" s="18"/>
      <c r="NOD933" s="18"/>
      <c r="NOE933" s="18"/>
      <c r="NOF933" s="18"/>
      <c r="NOG933" s="18"/>
      <c r="NOH933" s="18"/>
      <c r="NOI933" s="18"/>
      <c r="NOJ933" s="18"/>
      <c r="NOK933" s="18"/>
      <c r="NOL933" s="18"/>
      <c r="NOM933" s="18"/>
      <c r="NON933" s="18"/>
      <c r="NOO933" s="18"/>
      <c r="NOP933" s="18"/>
      <c r="NOQ933" s="18"/>
      <c r="NOR933" s="18"/>
      <c r="NOS933" s="18"/>
      <c r="NOT933" s="18"/>
      <c r="NOU933" s="18"/>
      <c r="NOV933" s="18"/>
      <c r="NOW933" s="18"/>
      <c r="NOX933" s="18"/>
      <c r="NOY933" s="18"/>
      <c r="NOZ933" s="18"/>
      <c r="NPA933" s="18"/>
      <c r="NPB933" s="18"/>
      <c r="NPC933" s="18"/>
      <c r="NPD933" s="18"/>
      <c r="NPE933" s="18"/>
      <c r="NPF933" s="18"/>
      <c r="NPG933" s="18"/>
      <c r="NPH933" s="18"/>
      <c r="NPI933" s="18"/>
      <c r="NPJ933" s="18"/>
      <c r="NPK933" s="18"/>
      <c r="NPL933" s="18"/>
      <c r="NPM933" s="18"/>
      <c r="NPN933" s="18"/>
      <c r="NPO933" s="18"/>
      <c r="NPP933" s="18"/>
      <c r="NPQ933" s="18"/>
      <c r="NPR933" s="18"/>
      <c r="NPS933" s="18"/>
      <c r="NPT933" s="18"/>
      <c r="NPU933" s="18"/>
      <c r="NPV933" s="18"/>
      <c r="NPW933" s="18"/>
      <c r="NPX933" s="18"/>
      <c r="NPY933" s="18"/>
      <c r="NPZ933" s="18"/>
      <c r="NQA933" s="18"/>
      <c r="NQB933" s="18"/>
      <c r="NQC933" s="18"/>
      <c r="NQD933" s="18"/>
      <c r="NQE933" s="18"/>
      <c r="NQF933" s="18"/>
      <c r="NQG933" s="18"/>
      <c r="NQH933" s="18"/>
      <c r="NQI933" s="18"/>
      <c r="NQJ933" s="18"/>
      <c r="NQK933" s="18"/>
      <c r="NQL933" s="18"/>
      <c r="NQM933" s="18"/>
      <c r="NQN933" s="18"/>
      <c r="NQO933" s="18"/>
      <c r="NQP933" s="18"/>
      <c r="NQQ933" s="18"/>
      <c r="NQR933" s="18"/>
      <c r="NQS933" s="18"/>
      <c r="NQT933" s="18"/>
      <c r="NQU933" s="18"/>
      <c r="NQV933" s="18"/>
      <c r="NQW933" s="18"/>
      <c r="NQX933" s="18"/>
      <c r="NQY933" s="18"/>
      <c r="NQZ933" s="18"/>
      <c r="NRA933" s="18"/>
      <c r="NRB933" s="18"/>
      <c r="NRC933" s="18"/>
      <c r="NRD933" s="18"/>
      <c r="NRE933" s="18"/>
      <c r="NRF933" s="18"/>
      <c r="NRG933" s="18"/>
      <c r="NRH933" s="18"/>
      <c r="NRI933" s="18"/>
      <c r="NRJ933" s="18"/>
      <c r="NRK933" s="18"/>
      <c r="NRL933" s="18"/>
      <c r="NRM933" s="18"/>
      <c r="NRN933" s="18"/>
      <c r="NRO933" s="18"/>
      <c r="NRP933" s="18"/>
      <c r="NRQ933" s="18"/>
      <c r="NRR933" s="18"/>
      <c r="NRS933" s="18"/>
      <c r="NRT933" s="18"/>
      <c r="NRU933" s="18"/>
      <c r="NRV933" s="18"/>
      <c r="NRW933" s="18"/>
      <c r="NRX933" s="18"/>
      <c r="NRY933" s="18"/>
      <c r="NRZ933" s="18"/>
      <c r="NSA933" s="18"/>
      <c r="NSB933" s="18"/>
      <c r="NSC933" s="18"/>
      <c r="NSD933" s="18"/>
      <c r="NSE933" s="18"/>
      <c r="NSF933" s="18"/>
      <c r="NSG933" s="18"/>
      <c r="NSH933" s="18"/>
      <c r="NSI933" s="18"/>
      <c r="NSJ933" s="18"/>
      <c r="NSK933" s="18"/>
      <c r="NSL933" s="18"/>
      <c r="NSM933" s="18"/>
      <c r="NSN933" s="18"/>
      <c r="NSO933" s="18"/>
      <c r="NSP933" s="18"/>
      <c r="NSQ933" s="18"/>
      <c r="NSR933" s="18"/>
      <c r="NSS933" s="18"/>
      <c r="NST933" s="18"/>
      <c r="NSU933" s="18"/>
      <c r="NSV933" s="18"/>
      <c r="NSW933" s="18"/>
      <c r="NSX933" s="18"/>
      <c r="NSY933" s="18"/>
      <c r="NSZ933" s="18"/>
      <c r="NTA933" s="18"/>
      <c r="NTB933" s="18"/>
      <c r="NTC933" s="18"/>
      <c r="NTD933" s="18"/>
      <c r="NTE933" s="18"/>
      <c r="NTF933" s="18"/>
      <c r="NTG933" s="18"/>
      <c r="NTH933" s="18"/>
      <c r="NTI933" s="18"/>
      <c r="NTJ933" s="18"/>
      <c r="NTK933" s="18"/>
      <c r="NTL933" s="18"/>
      <c r="NTM933" s="18"/>
      <c r="NTN933" s="18"/>
      <c r="NTO933" s="18"/>
      <c r="NTP933" s="18"/>
      <c r="NTQ933" s="18"/>
      <c r="NTR933" s="18"/>
      <c r="NTS933" s="18"/>
      <c r="NTT933" s="18"/>
      <c r="NTU933" s="18"/>
      <c r="NTV933" s="18"/>
      <c r="NTW933" s="18"/>
      <c r="NTX933" s="18"/>
      <c r="NTY933" s="18"/>
      <c r="NTZ933" s="18"/>
      <c r="NUA933" s="18"/>
      <c r="NUB933" s="18"/>
      <c r="NUC933" s="18"/>
      <c r="NUD933" s="18"/>
      <c r="NUE933" s="18"/>
      <c r="NUF933" s="18"/>
      <c r="NUG933" s="18"/>
      <c r="NUH933" s="18"/>
      <c r="NUI933" s="18"/>
      <c r="NUJ933" s="18"/>
      <c r="NUK933" s="18"/>
      <c r="NUL933" s="18"/>
      <c r="NUM933" s="18"/>
      <c r="NUN933" s="18"/>
      <c r="NUO933" s="18"/>
      <c r="NUP933" s="18"/>
      <c r="NUQ933" s="18"/>
      <c r="NUR933" s="18"/>
      <c r="NUS933" s="18"/>
      <c r="NUT933" s="18"/>
      <c r="NUU933" s="18"/>
      <c r="NUV933" s="18"/>
      <c r="NUW933" s="18"/>
      <c r="NUX933" s="18"/>
      <c r="NUY933" s="18"/>
      <c r="NUZ933" s="18"/>
      <c r="NVA933" s="18"/>
      <c r="NVB933" s="18"/>
      <c r="NVC933" s="18"/>
      <c r="NVD933" s="18"/>
      <c r="NVE933" s="18"/>
      <c r="NVF933" s="18"/>
      <c r="NVG933" s="18"/>
      <c r="NVH933" s="18"/>
      <c r="NVI933" s="18"/>
      <c r="NVJ933" s="18"/>
      <c r="NVK933" s="18"/>
      <c r="NVL933" s="18"/>
      <c r="NVM933" s="18"/>
      <c r="NVN933" s="18"/>
      <c r="NVO933" s="18"/>
      <c r="NVP933" s="18"/>
      <c r="NVQ933" s="18"/>
      <c r="NVR933" s="18"/>
      <c r="NVS933" s="18"/>
      <c r="NVT933" s="18"/>
      <c r="NVU933" s="18"/>
      <c r="NVV933" s="18"/>
      <c r="NVW933" s="18"/>
      <c r="NVX933" s="18"/>
      <c r="NVY933" s="18"/>
      <c r="NVZ933" s="18"/>
      <c r="NWA933" s="18"/>
      <c r="NWB933" s="18"/>
      <c r="NWC933" s="18"/>
      <c r="NWD933" s="18"/>
      <c r="NWE933" s="18"/>
      <c r="NWF933" s="18"/>
      <c r="NWG933" s="18"/>
      <c r="NWH933" s="18"/>
      <c r="NWI933" s="18"/>
      <c r="NWJ933" s="18"/>
      <c r="NWK933" s="18"/>
      <c r="NWL933" s="18"/>
      <c r="NWM933" s="18"/>
      <c r="NWN933" s="18"/>
      <c r="NWO933" s="18"/>
      <c r="NWP933" s="18"/>
      <c r="NWQ933" s="18"/>
      <c r="NWR933" s="18"/>
      <c r="NWS933" s="18"/>
      <c r="NWT933" s="18"/>
      <c r="NWU933" s="18"/>
      <c r="NWV933" s="18"/>
      <c r="NWW933" s="18"/>
      <c r="NWX933" s="18"/>
      <c r="NWY933" s="18"/>
      <c r="NWZ933" s="18"/>
      <c r="NXA933" s="18"/>
      <c r="NXB933" s="18"/>
      <c r="NXC933" s="18"/>
      <c r="NXD933" s="18"/>
      <c r="NXE933" s="18"/>
      <c r="NXF933" s="18"/>
      <c r="NXG933" s="18"/>
      <c r="NXH933" s="18"/>
      <c r="NXI933" s="18"/>
      <c r="NXJ933" s="18"/>
      <c r="NXK933" s="18"/>
      <c r="NXL933" s="18"/>
      <c r="NXM933" s="18"/>
      <c r="NXN933" s="18"/>
      <c r="NXO933" s="18"/>
      <c r="NXP933" s="18"/>
      <c r="NXQ933" s="18"/>
      <c r="NXR933" s="18"/>
      <c r="NXS933" s="18"/>
      <c r="NXT933" s="18"/>
      <c r="NXU933" s="18"/>
      <c r="NXV933" s="18"/>
      <c r="NXW933" s="18"/>
      <c r="NXX933" s="18"/>
      <c r="NXY933" s="18"/>
      <c r="NXZ933" s="18"/>
      <c r="NYA933" s="18"/>
      <c r="NYB933" s="18"/>
      <c r="NYC933" s="18"/>
      <c r="NYD933" s="18"/>
      <c r="NYE933" s="18"/>
      <c r="NYF933" s="18"/>
      <c r="NYG933" s="18"/>
      <c r="NYH933" s="18"/>
      <c r="NYI933" s="18"/>
      <c r="NYJ933" s="18"/>
      <c r="NYK933" s="18"/>
      <c r="NYL933" s="18"/>
      <c r="NYM933" s="18"/>
      <c r="NYN933" s="18"/>
      <c r="NYO933" s="18"/>
      <c r="NYP933" s="18"/>
      <c r="NYQ933" s="18"/>
      <c r="NYR933" s="18"/>
      <c r="NYS933" s="18"/>
      <c r="NYT933" s="18"/>
      <c r="NYU933" s="18"/>
      <c r="NYV933" s="18"/>
      <c r="NYW933" s="18"/>
      <c r="NYX933" s="18"/>
      <c r="NYY933" s="18"/>
      <c r="NYZ933" s="18"/>
      <c r="NZA933" s="18"/>
      <c r="NZB933" s="18"/>
      <c r="NZC933" s="18"/>
      <c r="NZD933" s="18"/>
      <c r="NZE933" s="18"/>
      <c r="NZF933" s="18"/>
      <c r="NZG933" s="18"/>
      <c r="NZH933" s="18"/>
      <c r="NZI933" s="18"/>
      <c r="NZJ933" s="18"/>
      <c r="NZK933" s="18"/>
      <c r="NZL933" s="18"/>
      <c r="NZM933" s="18"/>
      <c r="NZN933" s="18"/>
      <c r="NZO933" s="18"/>
      <c r="NZP933" s="18"/>
      <c r="NZQ933" s="18"/>
      <c r="NZR933" s="18"/>
      <c r="NZS933" s="18"/>
      <c r="NZT933" s="18"/>
      <c r="NZU933" s="18"/>
      <c r="NZV933" s="18"/>
      <c r="NZW933" s="18"/>
      <c r="NZX933" s="18"/>
      <c r="NZY933" s="18"/>
      <c r="NZZ933" s="18"/>
      <c r="OAA933" s="18"/>
      <c r="OAB933" s="18"/>
      <c r="OAC933" s="18"/>
      <c r="OAD933" s="18"/>
      <c r="OAE933" s="18"/>
      <c r="OAF933" s="18"/>
      <c r="OAG933" s="18"/>
      <c r="OAH933" s="18"/>
      <c r="OAI933" s="18"/>
      <c r="OAJ933" s="18"/>
      <c r="OAK933" s="18"/>
      <c r="OAL933" s="18"/>
      <c r="OAM933" s="18"/>
      <c r="OAN933" s="18"/>
      <c r="OAO933" s="18"/>
      <c r="OAP933" s="18"/>
      <c r="OAQ933" s="18"/>
      <c r="OAR933" s="18"/>
      <c r="OAS933" s="18"/>
      <c r="OAT933" s="18"/>
      <c r="OAU933" s="18"/>
      <c r="OAV933" s="18"/>
      <c r="OAW933" s="18"/>
      <c r="OAX933" s="18"/>
      <c r="OAY933" s="18"/>
      <c r="OAZ933" s="18"/>
      <c r="OBA933" s="18"/>
      <c r="OBB933" s="18"/>
      <c r="OBC933" s="18"/>
      <c r="OBD933" s="18"/>
      <c r="OBE933" s="18"/>
      <c r="OBF933" s="18"/>
      <c r="OBG933" s="18"/>
      <c r="OBH933" s="18"/>
      <c r="OBI933" s="18"/>
      <c r="OBJ933" s="18"/>
      <c r="OBK933" s="18"/>
      <c r="OBL933" s="18"/>
      <c r="OBM933" s="18"/>
      <c r="OBN933" s="18"/>
      <c r="OBO933" s="18"/>
      <c r="OBP933" s="18"/>
      <c r="OBQ933" s="18"/>
      <c r="OBR933" s="18"/>
      <c r="OBS933" s="18"/>
      <c r="OBT933" s="18"/>
      <c r="OBU933" s="18"/>
      <c r="OBV933" s="18"/>
      <c r="OBW933" s="18"/>
      <c r="OBX933" s="18"/>
      <c r="OBY933" s="18"/>
      <c r="OBZ933" s="18"/>
      <c r="OCA933" s="18"/>
      <c r="OCB933" s="18"/>
      <c r="OCC933" s="18"/>
      <c r="OCD933" s="18"/>
      <c r="OCE933" s="18"/>
      <c r="OCF933" s="18"/>
      <c r="OCG933" s="18"/>
      <c r="OCH933" s="18"/>
      <c r="OCI933" s="18"/>
      <c r="OCJ933" s="18"/>
      <c r="OCK933" s="18"/>
      <c r="OCL933" s="18"/>
      <c r="OCM933" s="18"/>
      <c r="OCN933" s="18"/>
      <c r="OCO933" s="18"/>
      <c r="OCP933" s="18"/>
      <c r="OCQ933" s="18"/>
      <c r="OCR933" s="18"/>
      <c r="OCS933" s="18"/>
      <c r="OCT933" s="18"/>
      <c r="OCU933" s="18"/>
      <c r="OCV933" s="18"/>
      <c r="OCW933" s="18"/>
      <c r="OCX933" s="18"/>
      <c r="OCY933" s="18"/>
      <c r="OCZ933" s="18"/>
      <c r="ODA933" s="18"/>
      <c r="ODB933" s="18"/>
      <c r="ODC933" s="18"/>
      <c r="ODD933" s="18"/>
      <c r="ODE933" s="18"/>
      <c r="ODF933" s="18"/>
      <c r="ODG933" s="18"/>
      <c r="ODH933" s="18"/>
      <c r="ODI933" s="18"/>
      <c r="ODJ933" s="18"/>
      <c r="ODK933" s="18"/>
      <c r="ODL933" s="18"/>
      <c r="ODM933" s="18"/>
      <c r="ODN933" s="18"/>
      <c r="ODO933" s="18"/>
      <c r="ODP933" s="18"/>
      <c r="ODQ933" s="18"/>
      <c r="ODR933" s="18"/>
      <c r="ODS933" s="18"/>
      <c r="ODT933" s="18"/>
      <c r="ODU933" s="18"/>
      <c r="ODV933" s="18"/>
      <c r="ODW933" s="18"/>
      <c r="ODX933" s="18"/>
      <c r="ODY933" s="18"/>
      <c r="ODZ933" s="18"/>
      <c r="OEA933" s="18"/>
      <c r="OEB933" s="18"/>
      <c r="OEC933" s="18"/>
      <c r="OED933" s="18"/>
      <c r="OEE933" s="18"/>
      <c r="OEF933" s="18"/>
      <c r="OEG933" s="18"/>
      <c r="OEH933" s="18"/>
      <c r="OEI933" s="18"/>
      <c r="OEJ933" s="18"/>
      <c r="OEK933" s="18"/>
      <c r="OEL933" s="18"/>
      <c r="OEM933" s="18"/>
      <c r="OEN933" s="18"/>
      <c r="OEO933" s="18"/>
      <c r="OEP933" s="18"/>
      <c r="OEQ933" s="18"/>
      <c r="OER933" s="18"/>
      <c r="OES933" s="18"/>
      <c r="OET933" s="18"/>
      <c r="OEU933" s="18"/>
      <c r="OEV933" s="18"/>
      <c r="OEW933" s="18"/>
      <c r="OEX933" s="18"/>
      <c r="OEY933" s="18"/>
      <c r="OEZ933" s="18"/>
      <c r="OFA933" s="18"/>
      <c r="OFB933" s="18"/>
      <c r="OFC933" s="18"/>
      <c r="OFD933" s="18"/>
      <c r="OFE933" s="18"/>
      <c r="OFF933" s="18"/>
      <c r="OFG933" s="18"/>
      <c r="OFH933" s="18"/>
      <c r="OFI933" s="18"/>
      <c r="OFJ933" s="18"/>
      <c r="OFK933" s="18"/>
      <c r="OFL933" s="18"/>
      <c r="OFM933" s="18"/>
      <c r="OFN933" s="18"/>
      <c r="OFO933" s="18"/>
      <c r="OFP933" s="18"/>
      <c r="OFQ933" s="18"/>
      <c r="OFR933" s="18"/>
      <c r="OFS933" s="18"/>
      <c r="OFT933" s="18"/>
      <c r="OFU933" s="18"/>
      <c r="OFV933" s="18"/>
      <c r="OFW933" s="18"/>
      <c r="OFX933" s="18"/>
      <c r="OFY933" s="18"/>
      <c r="OFZ933" s="18"/>
      <c r="OGA933" s="18"/>
      <c r="OGB933" s="18"/>
      <c r="OGC933" s="18"/>
      <c r="OGD933" s="18"/>
      <c r="OGE933" s="18"/>
      <c r="OGF933" s="18"/>
      <c r="OGG933" s="18"/>
      <c r="OGH933" s="18"/>
      <c r="OGI933" s="18"/>
      <c r="OGJ933" s="18"/>
      <c r="OGK933" s="18"/>
      <c r="OGL933" s="18"/>
      <c r="OGM933" s="18"/>
      <c r="OGN933" s="18"/>
      <c r="OGO933" s="18"/>
      <c r="OGP933" s="18"/>
      <c r="OGQ933" s="18"/>
      <c r="OGR933" s="18"/>
      <c r="OGS933" s="18"/>
      <c r="OGT933" s="18"/>
      <c r="OGU933" s="18"/>
      <c r="OGV933" s="18"/>
      <c r="OGW933" s="18"/>
      <c r="OGX933" s="18"/>
      <c r="OGY933" s="18"/>
      <c r="OGZ933" s="18"/>
      <c r="OHA933" s="18"/>
      <c r="OHB933" s="18"/>
      <c r="OHC933" s="18"/>
      <c r="OHD933" s="18"/>
      <c r="OHE933" s="18"/>
      <c r="OHF933" s="18"/>
      <c r="OHG933" s="18"/>
      <c r="OHH933" s="18"/>
      <c r="OHI933" s="18"/>
      <c r="OHJ933" s="18"/>
      <c r="OHK933" s="18"/>
      <c r="OHL933" s="18"/>
      <c r="OHM933" s="18"/>
      <c r="OHN933" s="18"/>
      <c r="OHO933" s="18"/>
      <c r="OHP933" s="18"/>
      <c r="OHQ933" s="18"/>
      <c r="OHR933" s="18"/>
      <c r="OHS933" s="18"/>
      <c r="OHT933" s="18"/>
      <c r="OHU933" s="18"/>
      <c r="OHV933" s="18"/>
      <c r="OHW933" s="18"/>
      <c r="OHX933" s="18"/>
      <c r="OHY933" s="18"/>
      <c r="OHZ933" s="18"/>
      <c r="OIA933" s="18"/>
      <c r="OIB933" s="18"/>
      <c r="OIC933" s="18"/>
      <c r="OID933" s="18"/>
      <c r="OIE933" s="18"/>
      <c r="OIF933" s="18"/>
      <c r="OIG933" s="18"/>
      <c r="OIH933" s="18"/>
      <c r="OII933" s="18"/>
      <c r="OIJ933" s="18"/>
      <c r="OIK933" s="18"/>
      <c r="OIL933" s="18"/>
      <c r="OIM933" s="18"/>
      <c r="OIN933" s="18"/>
      <c r="OIO933" s="18"/>
      <c r="OIP933" s="18"/>
      <c r="OIQ933" s="18"/>
      <c r="OIR933" s="18"/>
      <c r="OIS933" s="18"/>
      <c r="OIT933" s="18"/>
      <c r="OIU933" s="18"/>
      <c r="OIV933" s="18"/>
      <c r="OIW933" s="18"/>
      <c r="OIX933" s="18"/>
      <c r="OIY933" s="18"/>
      <c r="OIZ933" s="18"/>
      <c r="OJA933" s="18"/>
      <c r="OJB933" s="18"/>
      <c r="OJC933" s="18"/>
      <c r="OJD933" s="18"/>
      <c r="OJE933" s="18"/>
      <c r="OJF933" s="18"/>
      <c r="OJG933" s="18"/>
      <c r="OJH933" s="18"/>
      <c r="OJI933" s="18"/>
      <c r="OJJ933" s="18"/>
      <c r="OJK933" s="18"/>
      <c r="OJL933" s="18"/>
      <c r="OJM933" s="18"/>
      <c r="OJN933" s="18"/>
      <c r="OJO933" s="18"/>
      <c r="OJP933" s="18"/>
      <c r="OJQ933" s="18"/>
      <c r="OJR933" s="18"/>
      <c r="OJS933" s="18"/>
      <c r="OJT933" s="18"/>
      <c r="OJU933" s="18"/>
      <c r="OJV933" s="18"/>
      <c r="OJW933" s="18"/>
      <c r="OJX933" s="18"/>
      <c r="OJY933" s="18"/>
      <c r="OJZ933" s="18"/>
      <c r="OKA933" s="18"/>
      <c r="OKB933" s="18"/>
      <c r="OKC933" s="18"/>
      <c r="OKD933" s="18"/>
      <c r="OKE933" s="18"/>
      <c r="OKF933" s="18"/>
      <c r="OKG933" s="18"/>
      <c r="OKH933" s="18"/>
      <c r="OKI933" s="18"/>
      <c r="OKJ933" s="18"/>
      <c r="OKK933" s="18"/>
      <c r="OKL933" s="18"/>
      <c r="OKM933" s="18"/>
      <c r="OKN933" s="18"/>
      <c r="OKO933" s="18"/>
      <c r="OKP933" s="18"/>
      <c r="OKQ933" s="18"/>
      <c r="OKR933" s="18"/>
      <c r="OKS933" s="18"/>
      <c r="OKT933" s="18"/>
      <c r="OKU933" s="18"/>
      <c r="OKV933" s="18"/>
      <c r="OKW933" s="18"/>
      <c r="OKX933" s="18"/>
      <c r="OKY933" s="18"/>
      <c r="OKZ933" s="18"/>
      <c r="OLA933" s="18"/>
      <c r="OLB933" s="18"/>
      <c r="OLC933" s="18"/>
      <c r="OLD933" s="18"/>
      <c r="OLE933" s="18"/>
      <c r="OLF933" s="18"/>
      <c r="OLG933" s="18"/>
      <c r="OLH933" s="18"/>
      <c r="OLI933" s="18"/>
      <c r="OLJ933" s="18"/>
      <c r="OLK933" s="18"/>
      <c r="OLL933" s="18"/>
      <c r="OLM933" s="18"/>
      <c r="OLN933" s="18"/>
      <c r="OLO933" s="18"/>
      <c r="OLP933" s="18"/>
      <c r="OLQ933" s="18"/>
      <c r="OLR933" s="18"/>
      <c r="OLS933" s="18"/>
      <c r="OLT933" s="18"/>
      <c r="OLU933" s="18"/>
      <c r="OLV933" s="18"/>
      <c r="OLW933" s="18"/>
      <c r="OLX933" s="18"/>
      <c r="OLY933" s="18"/>
      <c r="OLZ933" s="18"/>
      <c r="OMA933" s="18"/>
      <c r="OMB933" s="18"/>
      <c r="OMC933" s="18"/>
      <c r="OMD933" s="18"/>
      <c r="OME933" s="18"/>
      <c r="OMF933" s="18"/>
      <c r="OMG933" s="18"/>
      <c r="OMH933" s="18"/>
      <c r="OMI933" s="18"/>
      <c r="OMJ933" s="18"/>
      <c r="OMK933" s="18"/>
      <c r="OML933" s="18"/>
      <c r="OMM933" s="18"/>
      <c r="OMN933" s="18"/>
      <c r="OMO933" s="18"/>
      <c r="OMP933" s="18"/>
      <c r="OMQ933" s="18"/>
      <c r="OMR933" s="18"/>
      <c r="OMS933" s="18"/>
      <c r="OMT933" s="18"/>
      <c r="OMU933" s="18"/>
      <c r="OMV933" s="18"/>
      <c r="OMW933" s="18"/>
      <c r="OMX933" s="18"/>
      <c r="OMY933" s="18"/>
      <c r="OMZ933" s="18"/>
      <c r="ONA933" s="18"/>
      <c r="ONB933" s="18"/>
      <c r="ONC933" s="18"/>
      <c r="OND933" s="18"/>
      <c r="ONE933" s="18"/>
      <c r="ONF933" s="18"/>
      <c r="ONG933" s="18"/>
      <c r="ONH933" s="18"/>
      <c r="ONI933" s="18"/>
      <c r="ONJ933" s="18"/>
      <c r="ONK933" s="18"/>
      <c r="ONL933" s="18"/>
      <c r="ONM933" s="18"/>
      <c r="ONN933" s="18"/>
      <c r="ONO933" s="18"/>
      <c r="ONP933" s="18"/>
      <c r="ONQ933" s="18"/>
      <c r="ONR933" s="18"/>
      <c r="ONS933" s="18"/>
      <c r="ONT933" s="18"/>
      <c r="ONU933" s="18"/>
      <c r="ONV933" s="18"/>
      <c r="ONW933" s="18"/>
      <c r="ONX933" s="18"/>
      <c r="ONY933" s="18"/>
      <c r="ONZ933" s="18"/>
      <c r="OOA933" s="18"/>
      <c r="OOB933" s="18"/>
      <c r="OOC933" s="18"/>
      <c r="OOD933" s="18"/>
      <c r="OOE933" s="18"/>
      <c r="OOF933" s="18"/>
      <c r="OOG933" s="18"/>
      <c r="OOH933" s="18"/>
      <c r="OOI933" s="18"/>
      <c r="OOJ933" s="18"/>
      <c r="OOK933" s="18"/>
      <c r="OOL933" s="18"/>
      <c r="OOM933" s="18"/>
      <c r="OON933" s="18"/>
      <c r="OOO933" s="18"/>
      <c r="OOP933" s="18"/>
      <c r="OOQ933" s="18"/>
      <c r="OOR933" s="18"/>
      <c r="OOS933" s="18"/>
      <c r="OOT933" s="18"/>
      <c r="OOU933" s="18"/>
      <c r="OOV933" s="18"/>
      <c r="OOW933" s="18"/>
      <c r="OOX933" s="18"/>
      <c r="OOY933" s="18"/>
      <c r="OOZ933" s="18"/>
      <c r="OPA933" s="18"/>
      <c r="OPB933" s="18"/>
      <c r="OPC933" s="18"/>
      <c r="OPD933" s="18"/>
      <c r="OPE933" s="18"/>
      <c r="OPF933" s="18"/>
      <c r="OPG933" s="18"/>
      <c r="OPH933" s="18"/>
      <c r="OPI933" s="18"/>
      <c r="OPJ933" s="18"/>
      <c r="OPK933" s="18"/>
      <c r="OPL933" s="18"/>
      <c r="OPM933" s="18"/>
      <c r="OPN933" s="18"/>
      <c r="OPO933" s="18"/>
      <c r="OPP933" s="18"/>
      <c r="OPQ933" s="18"/>
      <c r="OPR933" s="18"/>
      <c r="OPS933" s="18"/>
      <c r="OPT933" s="18"/>
      <c r="OPU933" s="18"/>
      <c r="OPV933" s="18"/>
      <c r="OPW933" s="18"/>
      <c r="OPX933" s="18"/>
      <c r="OPY933" s="18"/>
      <c r="OPZ933" s="18"/>
      <c r="OQA933" s="18"/>
      <c r="OQB933" s="18"/>
      <c r="OQC933" s="18"/>
      <c r="OQD933" s="18"/>
      <c r="OQE933" s="18"/>
      <c r="OQF933" s="18"/>
      <c r="OQG933" s="18"/>
      <c r="OQH933" s="18"/>
      <c r="OQI933" s="18"/>
      <c r="OQJ933" s="18"/>
      <c r="OQK933" s="18"/>
      <c r="OQL933" s="18"/>
      <c r="OQM933" s="18"/>
      <c r="OQN933" s="18"/>
      <c r="OQO933" s="18"/>
      <c r="OQP933" s="18"/>
      <c r="OQQ933" s="18"/>
      <c r="OQR933" s="18"/>
      <c r="OQS933" s="18"/>
      <c r="OQT933" s="18"/>
      <c r="OQU933" s="18"/>
      <c r="OQV933" s="18"/>
      <c r="OQW933" s="18"/>
      <c r="OQX933" s="18"/>
      <c r="OQY933" s="18"/>
      <c r="OQZ933" s="18"/>
      <c r="ORA933" s="18"/>
      <c r="ORB933" s="18"/>
      <c r="ORC933" s="18"/>
      <c r="ORD933" s="18"/>
      <c r="ORE933" s="18"/>
      <c r="ORF933" s="18"/>
      <c r="ORG933" s="18"/>
      <c r="ORH933" s="18"/>
      <c r="ORI933" s="18"/>
      <c r="ORJ933" s="18"/>
      <c r="ORK933" s="18"/>
      <c r="ORL933" s="18"/>
      <c r="ORM933" s="18"/>
      <c r="ORN933" s="18"/>
      <c r="ORO933" s="18"/>
      <c r="ORP933" s="18"/>
      <c r="ORQ933" s="18"/>
      <c r="ORR933" s="18"/>
      <c r="ORS933" s="18"/>
      <c r="ORT933" s="18"/>
      <c r="ORU933" s="18"/>
      <c r="ORV933" s="18"/>
      <c r="ORW933" s="18"/>
      <c r="ORX933" s="18"/>
      <c r="ORY933" s="18"/>
      <c r="ORZ933" s="18"/>
      <c r="OSA933" s="18"/>
      <c r="OSB933" s="18"/>
      <c r="OSC933" s="18"/>
      <c r="OSD933" s="18"/>
      <c r="OSE933" s="18"/>
      <c r="OSF933" s="18"/>
      <c r="OSG933" s="18"/>
      <c r="OSH933" s="18"/>
      <c r="OSI933" s="18"/>
      <c r="OSJ933" s="18"/>
      <c r="OSK933" s="18"/>
      <c r="OSL933" s="18"/>
      <c r="OSM933" s="18"/>
      <c r="OSN933" s="18"/>
      <c r="OSO933" s="18"/>
      <c r="OSP933" s="18"/>
      <c r="OSQ933" s="18"/>
      <c r="OSR933" s="18"/>
      <c r="OSS933" s="18"/>
      <c r="OST933" s="18"/>
      <c r="OSU933" s="18"/>
      <c r="OSV933" s="18"/>
      <c r="OSW933" s="18"/>
      <c r="OSX933" s="18"/>
      <c r="OSY933" s="18"/>
      <c r="OSZ933" s="18"/>
      <c r="OTA933" s="18"/>
      <c r="OTB933" s="18"/>
      <c r="OTC933" s="18"/>
      <c r="OTD933" s="18"/>
      <c r="OTE933" s="18"/>
      <c r="OTF933" s="18"/>
      <c r="OTG933" s="18"/>
      <c r="OTH933" s="18"/>
      <c r="OTI933" s="18"/>
      <c r="OTJ933" s="18"/>
      <c r="OTK933" s="18"/>
      <c r="OTL933" s="18"/>
      <c r="OTM933" s="18"/>
      <c r="OTN933" s="18"/>
      <c r="OTO933" s="18"/>
      <c r="OTP933" s="18"/>
      <c r="OTQ933" s="18"/>
      <c r="OTR933" s="18"/>
      <c r="OTS933" s="18"/>
      <c r="OTT933" s="18"/>
      <c r="OTU933" s="18"/>
      <c r="OTV933" s="18"/>
      <c r="OTW933" s="18"/>
      <c r="OTX933" s="18"/>
      <c r="OTY933" s="18"/>
      <c r="OTZ933" s="18"/>
      <c r="OUA933" s="18"/>
      <c r="OUB933" s="18"/>
      <c r="OUC933" s="18"/>
      <c r="OUD933" s="18"/>
      <c r="OUE933" s="18"/>
      <c r="OUF933" s="18"/>
      <c r="OUG933" s="18"/>
      <c r="OUH933" s="18"/>
      <c r="OUI933" s="18"/>
      <c r="OUJ933" s="18"/>
      <c r="OUK933" s="18"/>
      <c r="OUL933" s="18"/>
      <c r="OUM933" s="18"/>
      <c r="OUN933" s="18"/>
      <c r="OUO933" s="18"/>
      <c r="OUP933" s="18"/>
      <c r="OUQ933" s="18"/>
      <c r="OUR933" s="18"/>
      <c r="OUS933" s="18"/>
      <c r="OUT933" s="18"/>
      <c r="OUU933" s="18"/>
      <c r="OUV933" s="18"/>
      <c r="OUW933" s="18"/>
      <c r="OUX933" s="18"/>
      <c r="OUY933" s="18"/>
      <c r="OUZ933" s="18"/>
      <c r="OVA933" s="18"/>
      <c r="OVB933" s="18"/>
      <c r="OVC933" s="18"/>
      <c r="OVD933" s="18"/>
      <c r="OVE933" s="18"/>
      <c r="OVF933" s="18"/>
      <c r="OVG933" s="18"/>
      <c r="OVH933" s="18"/>
      <c r="OVI933" s="18"/>
      <c r="OVJ933" s="18"/>
      <c r="OVK933" s="18"/>
      <c r="OVL933" s="18"/>
      <c r="OVM933" s="18"/>
      <c r="OVN933" s="18"/>
      <c r="OVO933" s="18"/>
      <c r="OVP933" s="18"/>
      <c r="OVQ933" s="18"/>
      <c r="OVR933" s="18"/>
      <c r="OVS933" s="18"/>
      <c r="OVT933" s="18"/>
      <c r="OVU933" s="18"/>
      <c r="OVV933" s="18"/>
      <c r="OVW933" s="18"/>
      <c r="OVX933" s="18"/>
      <c r="OVY933" s="18"/>
      <c r="OVZ933" s="18"/>
      <c r="OWA933" s="18"/>
      <c r="OWB933" s="18"/>
      <c r="OWC933" s="18"/>
      <c r="OWD933" s="18"/>
      <c r="OWE933" s="18"/>
      <c r="OWF933" s="18"/>
      <c r="OWG933" s="18"/>
      <c r="OWH933" s="18"/>
      <c r="OWI933" s="18"/>
      <c r="OWJ933" s="18"/>
      <c r="OWK933" s="18"/>
      <c r="OWL933" s="18"/>
      <c r="OWM933" s="18"/>
      <c r="OWN933" s="18"/>
      <c r="OWO933" s="18"/>
      <c r="OWP933" s="18"/>
      <c r="OWQ933" s="18"/>
      <c r="OWR933" s="18"/>
      <c r="OWS933" s="18"/>
      <c r="OWT933" s="18"/>
      <c r="OWU933" s="18"/>
      <c r="OWV933" s="18"/>
      <c r="OWW933" s="18"/>
      <c r="OWX933" s="18"/>
      <c r="OWY933" s="18"/>
      <c r="OWZ933" s="18"/>
      <c r="OXA933" s="18"/>
      <c r="OXB933" s="18"/>
      <c r="OXC933" s="18"/>
      <c r="OXD933" s="18"/>
      <c r="OXE933" s="18"/>
      <c r="OXF933" s="18"/>
      <c r="OXG933" s="18"/>
      <c r="OXH933" s="18"/>
      <c r="OXI933" s="18"/>
      <c r="OXJ933" s="18"/>
      <c r="OXK933" s="18"/>
      <c r="OXL933" s="18"/>
      <c r="OXM933" s="18"/>
      <c r="OXN933" s="18"/>
      <c r="OXO933" s="18"/>
      <c r="OXP933" s="18"/>
      <c r="OXQ933" s="18"/>
      <c r="OXR933" s="18"/>
      <c r="OXS933" s="18"/>
      <c r="OXT933" s="18"/>
      <c r="OXU933" s="18"/>
      <c r="OXV933" s="18"/>
      <c r="OXW933" s="18"/>
      <c r="OXX933" s="18"/>
      <c r="OXY933" s="18"/>
      <c r="OXZ933" s="18"/>
      <c r="OYA933" s="18"/>
      <c r="OYB933" s="18"/>
      <c r="OYC933" s="18"/>
      <c r="OYD933" s="18"/>
      <c r="OYE933" s="18"/>
      <c r="OYF933" s="18"/>
      <c r="OYG933" s="18"/>
      <c r="OYH933" s="18"/>
      <c r="OYI933" s="18"/>
      <c r="OYJ933" s="18"/>
      <c r="OYK933" s="18"/>
      <c r="OYL933" s="18"/>
      <c r="OYM933" s="18"/>
      <c r="OYN933" s="18"/>
      <c r="OYO933" s="18"/>
      <c r="OYP933" s="18"/>
      <c r="OYQ933" s="18"/>
      <c r="OYR933" s="18"/>
      <c r="OYS933" s="18"/>
      <c r="OYT933" s="18"/>
      <c r="OYU933" s="18"/>
      <c r="OYV933" s="18"/>
      <c r="OYW933" s="18"/>
      <c r="OYX933" s="18"/>
      <c r="OYY933" s="18"/>
      <c r="OYZ933" s="18"/>
      <c r="OZA933" s="18"/>
      <c r="OZB933" s="18"/>
      <c r="OZC933" s="18"/>
      <c r="OZD933" s="18"/>
      <c r="OZE933" s="18"/>
      <c r="OZF933" s="18"/>
      <c r="OZG933" s="18"/>
      <c r="OZH933" s="18"/>
      <c r="OZI933" s="18"/>
      <c r="OZJ933" s="18"/>
      <c r="OZK933" s="18"/>
      <c r="OZL933" s="18"/>
      <c r="OZM933" s="18"/>
      <c r="OZN933" s="18"/>
      <c r="OZO933" s="18"/>
      <c r="OZP933" s="18"/>
      <c r="OZQ933" s="18"/>
      <c r="OZR933" s="18"/>
      <c r="OZS933" s="18"/>
      <c r="OZT933" s="18"/>
      <c r="OZU933" s="18"/>
      <c r="OZV933" s="18"/>
      <c r="OZW933" s="18"/>
      <c r="OZX933" s="18"/>
      <c r="OZY933" s="18"/>
      <c r="OZZ933" s="18"/>
      <c r="PAA933" s="18"/>
      <c r="PAB933" s="18"/>
      <c r="PAC933" s="18"/>
      <c r="PAD933" s="18"/>
      <c r="PAE933" s="18"/>
      <c r="PAF933" s="18"/>
      <c r="PAG933" s="18"/>
      <c r="PAH933" s="18"/>
      <c r="PAI933" s="18"/>
      <c r="PAJ933" s="18"/>
      <c r="PAK933" s="18"/>
      <c r="PAL933" s="18"/>
      <c r="PAM933" s="18"/>
      <c r="PAN933" s="18"/>
      <c r="PAO933" s="18"/>
      <c r="PAP933" s="18"/>
      <c r="PAQ933" s="18"/>
      <c r="PAR933" s="18"/>
      <c r="PAS933" s="18"/>
      <c r="PAT933" s="18"/>
      <c r="PAU933" s="18"/>
      <c r="PAV933" s="18"/>
      <c r="PAW933" s="18"/>
      <c r="PAX933" s="18"/>
      <c r="PAY933" s="18"/>
      <c r="PAZ933" s="18"/>
      <c r="PBA933" s="18"/>
      <c r="PBB933" s="18"/>
      <c r="PBC933" s="18"/>
      <c r="PBD933" s="18"/>
      <c r="PBE933" s="18"/>
      <c r="PBF933" s="18"/>
      <c r="PBG933" s="18"/>
      <c r="PBH933" s="18"/>
      <c r="PBI933" s="18"/>
      <c r="PBJ933" s="18"/>
      <c r="PBK933" s="18"/>
      <c r="PBL933" s="18"/>
      <c r="PBM933" s="18"/>
      <c r="PBN933" s="18"/>
      <c r="PBO933" s="18"/>
      <c r="PBP933" s="18"/>
      <c r="PBQ933" s="18"/>
      <c r="PBR933" s="18"/>
      <c r="PBS933" s="18"/>
      <c r="PBT933" s="18"/>
      <c r="PBU933" s="18"/>
      <c r="PBV933" s="18"/>
      <c r="PBW933" s="18"/>
      <c r="PBX933" s="18"/>
      <c r="PBY933" s="18"/>
      <c r="PBZ933" s="18"/>
      <c r="PCA933" s="18"/>
      <c r="PCB933" s="18"/>
      <c r="PCC933" s="18"/>
      <c r="PCD933" s="18"/>
      <c r="PCE933" s="18"/>
      <c r="PCF933" s="18"/>
      <c r="PCG933" s="18"/>
      <c r="PCH933" s="18"/>
      <c r="PCI933" s="18"/>
      <c r="PCJ933" s="18"/>
      <c r="PCK933" s="18"/>
      <c r="PCL933" s="18"/>
      <c r="PCM933" s="18"/>
      <c r="PCN933" s="18"/>
      <c r="PCO933" s="18"/>
      <c r="PCP933" s="18"/>
      <c r="PCQ933" s="18"/>
      <c r="PCR933" s="18"/>
      <c r="PCS933" s="18"/>
      <c r="PCT933" s="18"/>
      <c r="PCU933" s="18"/>
      <c r="PCV933" s="18"/>
      <c r="PCW933" s="18"/>
      <c r="PCX933" s="18"/>
      <c r="PCY933" s="18"/>
      <c r="PCZ933" s="18"/>
      <c r="PDA933" s="18"/>
      <c r="PDB933" s="18"/>
      <c r="PDC933" s="18"/>
      <c r="PDD933" s="18"/>
      <c r="PDE933" s="18"/>
      <c r="PDF933" s="18"/>
      <c r="PDG933" s="18"/>
      <c r="PDH933" s="18"/>
      <c r="PDI933" s="18"/>
      <c r="PDJ933" s="18"/>
      <c r="PDK933" s="18"/>
      <c r="PDL933" s="18"/>
      <c r="PDM933" s="18"/>
      <c r="PDN933" s="18"/>
      <c r="PDO933" s="18"/>
      <c r="PDP933" s="18"/>
      <c r="PDQ933" s="18"/>
      <c r="PDR933" s="18"/>
      <c r="PDS933" s="18"/>
      <c r="PDT933" s="18"/>
      <c r="PDU933" s="18"/>
      <c r="PDV933" s="18"/>
      <c r="PDW933" s="18"/>
      <c r="PDX933" s="18"/>
      <c r="PDY933" s="18"/>
      <c r="PDZ933" s="18"/>
      <c r="PEA933" s="18"/>
      <c r="PEB933" s="18"/>
      <c r="PEC933" s="18"/>
      <c r="PED933" s="18"/>
      <c r="PEE933" s="18"/>
      <c r="PEF933" s="18"/>
      <c r="PEG933" s="18"/>
      <c r="PEH933" s="18"/>
      <c r="PEI933" s="18"/>
      <c r="PEJ933" s="18"/>
      <c r="PEK933" s="18"/>
      <c r="PEL933" s="18"/>
      <c r="PEM933" s="18"/>
      <c r="PEN933" s="18"/>
      <c r="PEO933" s="18"/>
      <c r="PEP933" s="18"/>
      <c r="PEQ933" s="18"/>
      <c r="PER933" s="18"/>
      <c r="PES933" s="18"/>
      <c r="PET933" s="18"/>
      <c r="PEU933" s="18"/>
      <c r="PEV933" s="18"/>
      <c r="PEW933" s="18"/>
      <c r="PEX933" s="18"/>
      <c r="PEY933" s="18"/>
      <c r="PEZ933" s="18"/>
      <c r="PFA933" s="18"/>
      <c r="PFB933" s="18"/>
      <c r="PFC933" s="18"/>
      <c r="PFD933" s="18"/>
      <c r="PFE933" s="18"/>
      <c r="PFF933" s="18"/>
      <c r="PFG933" s="18"/>
      <c r="PFH933" s="18"/>
      <c r="PFI933" s="18"/>
      <c r="PFJ933" s="18"/>
      <c r="PFK933" s="18"/>
      <c r="PFL933" s="18"/>
      <c r="PFM933" s="18"/>
      <c r="PFN933" s="18"/>
      <c r="PFO933" s="18"/>
      <c r="PFP933" s="18"/>
      <c r="PFQ933" s="18"/>
      <c r="PFR933" s="18"/>
      <c r="PFS933" s="18"/>
      <c r="PFT933" s="18"/>
      <c r="PFU933" s="18"/>
      <c r="PFV933" s="18"/>
      <c r="PFW933" s="18"/>
      <c r="PFX933" s="18"/>
      <c r="PFY933" s="18"/>
      <c r="PFZ933" s="18"/>
      <c r="PGA933" s="18"/>
      <c r="PGB933" s="18"/>
      <c r="PGC933" s="18"/>
      <c r="PGD933" s="18"/>
      <c r="PGE933" s="18"/>
      <c r="PGF933" s="18"/>
      <c r="PGG933" s="18"/>
      <c r="PGH933" s="18"/>
      <c r="PGI933" s="18"/>
      <c r="PGJ933" s="18"/>
      <c r="PGK933" s="18"/>
      <c r="PGL933" s="18"/>
      <c r="PGM933" s="18"/>
      <c r="PGN933" s="18"/>
      <c r="PGO933" s="18"/>
      <c r="PGP933" s="18"/>
      <c r="PGQ933" s="18"/>
      <c r="PGR933" s="18"/>
      <c r="PGS933" s="18"/>
      <c r="PGT933" s="18"/>
      <c r="PGU933" s="18"/>
      <c r="PGV933" s="18"/>
      <c r="PGW933" s="18"/>
      <c r="PGX933" s="18"/>
      <c r="PGY933" s="18"/>
      <c r="PGZ933" s="18"/>
      <c r="PHA933" s="18"/>
      <c r="PHB933" s="18"/>
      <c r="PHC933" s="18"/>
      <c r="PHD933" s="18"/>
      <c r="PHE933" s="18"/>
      <c r="PHF933" s="18"/>
      <c r="PHG933" s="18"/>
      <c r="PHH933" s="18"/>
      <c r="PHI933" s="18"/>
      <c r="PHJ933" s="18"/>
      <c r="PHK933" s="18"/>
      <c r="PHL933" s="18"/>
      <c r="PHM933" s="18"/>
      <c r="PHN933" s="18"/>
      <c r="PHO933" s="18"/>
      <c r="PHP933" s="18"/>
      <c r="PHQ933" s="18"/>
      <c r="PHR933" s="18"/>
      <c r="PHS933" s="18"/>
      <c r="PHT933" s="18"/>
      <c r="PHU933" s="18"/>
      <c r="PHV933" s="18"/>
      <c r="PHW933" s="18"/>
      <c r="PHX933" s="18"/>
      <c r="PHY933" s="18"/>
      <c r="PHZ933" s="18"/>
      <c r="PIA933" s="18"/>
      <c r="PIB933" s="18"/>
      <c r="PIC933" s="18"/>
      <c r="PID933" s="18"/>
      <c r="PIE933" s="18"/>
      <c r="PIF933" s="18"/>
      <c r="PIG933" s="18"/>
      <c r="PIH933" s="18"/>
      <c r="PII933" s="18"/>
      <c r="PIJ933" s="18"/>
      <c r="PIK933" s="18"/>
      <c r="PIL933" s="18"/>
      <c r="PIM933" s="18"/>
      <c r="PIN933" s="18"/>
      <c r="PIO933" s="18"/>
      <c r="PIP933" s="18"/>
      <c r="PIQ933" s="18"/>
      <c r="PIR933" s="18"/>
      <c r="PIS933" s="18"/>
      <c r="PIT933" s="18"/>
      <c r="PIU933" s="18"/>
      <c r="PIV933" s="18"/>
      <c r="PIW933" s="18"/>
      <c r="PIX933" s="18"/>
      <c r="PIY933" s="18"/>
      <c r="PIZ933" s="18"/>
      <c r="PJA933" s="18"/>
      <c r="PJB933" s="18"/>
      <c r="PJC933" s="18"/>
      <c r="PJD933" s="18"/>
      <c r="PJE933" s="18"/>
      <c r="PJF933" s="18"/>
      <c r="PJG933" s="18"/>
      <c r="PJH933" s="18"/>
      <c r="PJI933" s="18"/>
      <c r="PJJ933" s="18"/>
      <c r="PJK933" s="18"/>
      <c r="PJL933" s="18"/>
      <c r="PJM933" s="18"/>
      <c r="PJN933" s="18"/>
      <c r="PJO933" s="18"/>
      <c r="PJP933" s="18"/>
      <c r="PJQ933" s="18"/>
      <c r="PJR933" s="18"/>
      <c r="PJS933" s="18"/>
      <c r="PJT933" s="18"/>
      <c r="PJU933" s="18"/>
      <c r="PJV933" s="18"/>
      <c r="PJW933" s="18"/>
      <c r="PJX933" s="18"/>
      <c r="PJY933" s="18"/>
      <c r="PJZ933" s="18"/>
      <c r="PKA933" s="18"/>
      <c r="PKB933" s="18"/>
      <c r="PKC933" s="18"/>
      <c r="PKD933" s="18"/>
      <c r="PKE933" s="18"/>
      <c r="PKF933" s="18"/>
      <c r="PKG933" s="18"/>
      <c r="PKH933" s="18"/>
      <c r="PKI933" s="18"/>
      <c r="PKJ933" s="18"/>
      <c r="PKK933" s="18"/>
      <c r="PKL933" s="18"/>
      <c r="PKM933" s="18"/>
      <c r="PKN933" s="18"/>
      <c r="PKO933" s="18"/>
      <c r="PKP933" s="18"/>
      <c r="PKQ933" s="18"/>
      <c r="PKR933" s="18"/>
      <c r="PKS933" s="18"/>
      <c r="PKT933" s="18"/>
      <c r="PKU933" s="18"/>
      <c r="PKV933" s="18"/>
      <c r="PKW933" s="18"/>
      <c r="PKX933" s="18"/>
      <c r="PKY933" s="18"/>
      <c r="PKZ933" s="18"/>
      <c r="PLA933" s="18"/>
      <c r="PLB933" s="18"/>
      <c r="PLC933" s="18"/>
      <c r="PLD933" s="18"/>
      <c r="PLE933" s="18"/>
      <c r="PLF933" s="18"/>
      <c r="PLG933" s="18"/>
      <c r="PLH933" s="18"/>
      <c r="PLI933" s="18"/>
      <c r="PLJ933" s="18"/>
      <c r="PLK933" s="18"/>
      <c r="PLL933" s="18"/>
      <c r="PLM933" s="18"/>
      <c r="PLN933" s="18"/>
      <c r="PLO933" s="18"/>
      <c r="PLP933" s="18"/>
      <c r="PLQ933" s="18"/>
      <c r="PLR933" s="18"/>
      <c r="PLS933" s="18"/>
      <c r="PLT933" s="18"/>
      <c r="PLU933" s="18"/>
      <c r="PLV933" s="18"/>
      <c r="PLW933" s="18"/>
      <c r="PLX933" s="18"/>
      <c r="PLY933" s="18"/>
      <c r="PLZ933" s="18"/>
      <c r="PMA933" s="18"/>
      <c r="PMB933" s="18"/>
      <c r="PMC933" s="18"/>
      <c r="PMD933" s="18"/>
      <c r="PME933" s="18"/>
      <c r="PMF933" s="18"/>
      <c r="PMG933" s="18"/>
      <c r="PMH933" s="18"/>
      <c r="PMI933" s="18"/>
      <c r="PMJ933" s="18"/>
      <c r="PMK933" s="18"/>
      <c r="PML933" s="18"/>
      <c r="PMM933" s="18"/>
      <c r="PMN933" s="18"/>
      <c r="PMO933" s="18"/>
      <c r="PMP933" s="18"/>
      <c r="PMQ933" s="18"/>
      <c r="PMR933" s="18"/>
      <c r="PMS933" s="18"/>
      <c r="PMT933" s="18"/>
      <c r="PMU933" s="18"/>
      <c r="PMV933" s="18"/>
      <c r="PMW933" s="18"/>
      <c r="PMX933" s="18"/>
      <c r="PMY933" s="18"/>
      <c r="PMZ933" s="18"/>
      <c r="PNA933" s="18"/>
      <c r="PNB933" s="18"/>
      <c r="PNC933" s="18"/>
      <c r="PND933" s="18"/>
      <c r="PNE933" s="18"/>
      <c r="PNF933" s="18"/>
      <c r="PNG933" s="18"/>
      <c r="PNH933" s="18"/>
      <c r="PNI933" s="18"/>
      <c r="PNJ933" s="18"/>
      <c r="PNK933" s="18"/>
      <c r="PNL933" s="18"/>
      <c r="PNM933" s="18"/>
      <c r="PNN933" s="18"/>
      <c r="PNO933" s="18"/>
      <c r="PNP933" s="18"/>
      <c r="PNQ933" s="18"/>
      <c r="PNR933" s="18"/>
      <c r="PNS933" s="18"/>
      <c r="PNT933" s="18"/>
      <c r="PNU933" s="18"/>
      <c r="PNV933" s="18"/>
      <c r="PNW933" s="18"/>
      <c r="PNX933" s="18"/>
      <c r="PNY933" s="18"/>
      <c r="PNZ933" s="18"/>
      <c r="POA933" s="18"/>
      <c r="POB933" s="18"/>
      <c r="POC933" s="18"/>
      <c r="POD933" s="18"/>
      <c r="POE933" s="18"/>
      <c r="POF933" s="18"/>
      <c r="POG933" s="18"/>
      <c r="POH933" s="18"/>
      <c r="POI933" s="18"/>
      <c r="POJ933" s="18"/>
      <c r="POK933" s="18"/>
      <c r="POL933" s="18"/>
      <c r="POM933" s="18"/>
      <c r="PON933" s="18"/>
      <c r="POO933" s="18"/>
      <c r="POP933" s="18"/>
      <c r="POQ933" s="18"/>
      <c r="POR933" s="18"/>
      <c r="POS933" s="18"/>
      <c r="POT933" s="18"/>
      <c r="POU933" s="18"/>
      <c r="POV933" s="18"/>
      <c r="POW933" s="18"/>
      <c r="POX933" s="18"/>
      <c r="POY933" s="18"/>
      <c r="POZ933" s="18"/>
      <c r="PPA933" s="18"/>
      <c r="PPB933" s="18"/>
      <c r="PPC933" s="18"/>
      <c r="PPD933" s="18"/>
      <c r="PPE933" s="18"/>
      <c r="PPF933" s="18"/>
      <c r="PPG933" s="18"/>
      <c r="PPH933" s="18"/>
      <c r="PPI933" s="18"/>
      <c r="PPJ933" s="18"/>
      <c r="PPK933" s="18"/>
      <c r="PPL933" s="18"/>
      <c r="PPM933" s="18"/>
      <c r="PPN933" s="18"/>
      <c r="PPO933" s="18"/>
      <c r="PPP933" s="18"/>
      <c r="PPQ933" s="18"/>
      <c r="PPR933" s="18"/>
      <c r="PPS933" s="18"/>
      <c r="PPT933" s="18"/>
      <c r="PPU933" s="18"/>
      <c r="PPV933" s="18"/>
      <c r="PPW933" s="18"/>
      <c r="PPX933" s="18"/>
      <c r="PPY933" s="18"/>
      <c r="PPZ933" s="18"/>
      <c r="PQA933" s="18"/>
      <c r="PQB933" s="18"/>
      <c r="PQC933" s="18"/>
      <c r="PQD933" s="18"/>
      <c r="PQE933" s="18"/>
      <c r="PQF933" s="18"/>
      <c r="PQG933" s="18"/>
      <c r="PQH933" s="18"/>
      <c r="PQI933" s="18"/>
      <c r="PQJ933" s="18"/>
      <c r="PQK933" s="18"/>
      <c r="PQL933" s="18"/>
      <c r="PQM933" s="18"/>
      <c r="PQN933" s="18"/>
      <c r="PQO933" s="18"/>
      <c r="PQP933" s="18"/>
      <c r="PQQ933" s="18"/>
      <c r="PQR933" s="18"/>
      <c r="PQS933" s="18"/>
      <c r="PQT933" s="18"/>
      <c r="PQU933" s="18"/>
      <c r="PQV933" s="18"/>
      <c r="PQW933" s="18"/>
      <c r="PQX933" s="18"/>
      <c r="PQY933" s="18"/>
      <c r="PQZ933" s="18"/>
      <c r="PRA933" s="18"/>
      <c r="PRB933" s="18"/>
      <c r="PRC933" s="18"/>
      <c r="PRD933" s="18"/>
      <c r="PRE933" s="18"/>
      <c r="PRF933" s="18"/>
      <c r="PRG933" s="18"/>
      <c r="PRH933" s="18"/>
      <c r="PRI933" s="18"/>
      <c r="PRJ933" s="18"/>
      <c r="PRK933" s="18"/>
      <c r="PRL933" s="18"/>
      <c r="PRM933" s="18"/>
      <c r="PRN933" s="18"/>
      <c r="PRO933" s="18"/>
      <c r="PRP933" s="18"/>
      <c r="PRQ933" s="18"/>
      <c r="PRR933" s="18"/>
      <c r="PRS933" s="18"/>
      <c r="PRT933" s="18"/>
      <c r="PRU933" s="18"/>
      <c r="PRV933" s="18"/>
      <c r="PRW933" s="18"/>
      <c r="PRX933" s="18"/>
      <c r="PRY933" s="18"/>
      <c r="PRZ933" s="18"/>
      <c r="PSA933" s="18"/>
      <c r="PSB933" s="18"/>
      <c r="PSC933" s="18"/>
      <c r="PSD933" s="18"/>
      <c r="PSE933" s="18"/>
      <c r="PSF933" s="18"/>
      <c r="PSG933" s="18"/>
      <c r="PSH933" s="18"/>
      <c r="PSI933" s="18"/>
      <c r="PSJ933" s="18"/>
      <c r="PSK933" s="18"/>
      <c r="PSL933" s="18"/>
      <c r="PSM933" s="18"/>
      <c r="PSN933" s="18"/>
      <c r="PSO933" s="18"/>
      <c r="PSP933" s="18"/>
      <c r="PSQ933" s="18"/>
      <c r="PSR933" s="18"/>
      <c r="PSS933" s="18"/>
      <c r="PST933" s="18"/>
      <c r="PSU933" s="18"/>
      <c r="PSV933" s="18"/>
      <c r="PSW933" s="18"/>
      <c r="PSX933" s="18"/>
      <c r="PSY933" s="18"/>
      <c r="PSZ933" s="18"/>
      <c r="PTA933" s="18"/>
      <c r="PTB933" s="18"/>
      <c r="PTC933" s="18"/>
      <c r="PTD933" s="18"/>
      <c r="PTE933" s="18"/>
      <c r="PTF933" s="18"/>
      <c r="PTG933" s="18"/>
      <c r="PTH933" s="18"/>
      <c r="PTI933" s="18"/>
      <c r="PTJ933" s="18"/>
      <c r="PTK933" s="18"/>
      <c r="PTL933" s="18"/>
      <c r="PTM933" s="18"/>
      <c r="PTN933" s="18"/>
      <c r="PTO933" s="18"/>
      <c r="PTP933" s="18"/>
      <c r="PTQ933" s="18"/>
      <c r="PTR933" s="18"/>
      <c r="PTS933" s="18"/>
      <c r="PTT933" s="18"/>
      <c r="PTU933" s="18"/>
      <c r="PTV933" s="18"/>
      <c r="PTW933" s="18"/>
      <c r="PTX933" s="18"/>
      <c r="PTY933" s="18"/>
      <c r="PTZ933" s="18"/>
      <c r="PUA933" s="18"/>
      <c r="PUB933" s="18"/>
      <c r="PUC933" s="18"/>
      <c r="PUD933" s="18"/>
      <c r="PUE933" s="18"/>
      <c r="PUF933" s="18"/>
      <c r="PUG933" s="18"/>
      <c r="PUH933" s="18"/>
      <c r="PUI933" s="18"/>
      <c r="PUJ933" s="18"/>
      <c r="PUK933" s="18"/>
      <c r="PUL933" s="18"/>
      <c r="PUM933" s="18"/>
      <c r="PUN933" s="18"/>
      <c r="PUO933" s="18"/>
      <c r="PUP933" s="18"/>
      <c r="PUQ933" s="18"/>
      <c r="PUR933" s="18"/>
      <c r="PUS933" s="18"/>
      <c r="PUT933" s="18"/>
      <c r="PUU933" s="18"/>
      <c r="PUV933" s="18"/>
      <c r="PUW933" s="18"/>
      <c r="PUX933" s="18"/>
      <c r="PUY933" s="18"/>
      <c r="PUZ933" s="18"/>
      <c r="PVA933" s="18"/>
      <c r="PVB933" s="18"/>
      <c r="PVC933" s="18"/>
      <c r="PVD933" s="18"/>
      <c r="PVE933" s="18"/>
      <c r="PVF933" s="18"/>
      <c r="PVG933" s="18"/>
      <c r="PVH933" s="18"/>
      <c r="PVI933" s="18"/>
      <c r="PVJ933" s="18"/>
      <c r="PVK933" s="18"/>
      <c r="PVL933" s="18"/>
      <c r="PVM933" s="18"/>
      <c r="PVN933" s="18"/>
      <c r="PVO933" s="18"/>
      <c r="PVP933" s="18"/>
      <c r="PVQ933" s="18"/>
      <c r="PVR933" s="18"/>
      <c r="PVS933" s="18"/>
      <c r="PVT933" s="18"/>
      <c r="PVU933" s="18"/>
      <c r="PVV933" s="18"/>
      <c r="PVW933" s="18"/>
      <c r="PVX933" s="18"/>
      <c r="PVY933" s="18"/>
      <c r="PVZ933" s="18"/>
      <c r="PWA933" s="18"/>
      <c r="PWB933" s="18"/>
      <c r="PWC933" s="18"/>
      <c r="PWD933" s="18"/>
      <c r="PWE933" s="18"/>
      <c r="PWF933" s="18"/>
      <c r="PWG933" s="18"/>
      <c r="PWH933" s="18"/>
      <c r="PWI933" s="18"/>
      <c r="PWJ933" s="18"/>
      <c r="PWK933" s="18"/>
      <c r="PWL933" s="18"/>
      <c r="PWM933" s="18"/>
      <c r="PWN933" s="18"/>
      <c r="PWO933" s="18"/>
      <c r="PWP933" s="18"/>
      <c r="PWQ933" s="18"/>
      <c r="PWR933" s="18"/>
      <c r="PWS933" s="18"/>
      <c r="PWT933" s="18"/>
      <c r="PWU933" s="18"/>
      <c r="PWV933" s="18"/>
      <c r="PWW933" s="18"/>
      <c r="PWX933" s="18"/>
      <c r="PWY933" s="18"/>
      <c r="PWZ933" s="18"/>
      <c r="PXA933" s="18"/>
      <c r="PXB933" s="18"/>
      <c r="PXC933" s="18"/>
      <c r="PXD933" s="18"/>
      <c r="PXE933" s="18"/>
      <c r="PXF933" s="18"/>
      <c r="PXG933" s="18"/>
      <c r="PXH933" s="18"/>
      <c r="PXI933" s="18"/>
      <c r="PXJ933" s="18"/>
      <c r="PXK933" s="18"/>
      <c r="PXL933" s="18"/>
      <c r="PXM933" s="18"/>
      <c r="PXN933" s="18"/>
      <c r="PXO933" s="18"/>
      <c r="PXP933" s="18"/>
      <c r="PXQ933" s="18"/>
      <c r="PXR933" s="18"/>
      <c r="PXS933" s="18"/>
      <c r="PXT933" s="18"/>
      <c r="PXU933" s="18"/>
      <c r="PXV933" s="18"/>
      <c r="PXW933" s="18"/>
      <c r="PXX933" s="18"/>
      <c r="PXY933" s="18"/>
      <c r="PXZ933" s="18"/>
      <c r="PYA933" s="18"/>
      <c r="PYB933" s="18"/>
      <c r="PYC933" s="18"/>
      <c r="PYD933" s="18"/>
      <c r="PYE933" s="18"/>
      <c r="PYF933" s="18"/>
      <c r="PYG933" s="18"/>
      <c r="PYH933" s="18"/>
      <c r="PYI933" s="18"/>
      <c r="PYJ933" s="18"/>
      <c r="PYK933" s="18"/>
      <c r="PYL933" s="18"/>
      <c r="PYM933" s="18"/>
      <c r="PYN933" s="18"/>
      <c r="PYO933" s="18"/>
      <c r="PYP933" s="18"/>
      <c r="PYQ933" s="18"/>
      <c r="PYR933" s="18"/>
      <c r="PYS933" s="18"/>
      <c r="PYT933" s="18"/>
      <c r="PYU933" s="18"/>
      <c r="PYV933" s="18"/>
      <c r="PYW933" s="18"/>
      <c r="PYX933" s="18"/>
      <c r="PYY933" s="18"/>
      <c r="PYZ933" s="18"/>
      <c r="PZA933" s="18"/>
      <c r="PZB933" s="18"/>
      <c r="PZC933" s="18"/>
      <c r="PZD933" s="18"/>
      <c r="PZE933" s="18"/>
      <c r="PZF933" s="18"/>
      <c r="PZG933" s="18"/>
      <c r="PZH933" s="18"/>
      <c r="PZI933" s="18"/>
      <c r="PZJ933" s="18"/>
      <c r="PZK933" s="18"/>
      <c r="PZL933" s="18"/>
      <c r="PZM933" s="18"/>
      <c r="PZN933" s="18"/>
      <c r="PZO933" s="18"/>
      <c r="PZP933" s="18"/>
      <c r="PZQ933" s="18"/>
      <c r="PZR933" s="18"/>
      <c r="PZS933" s="18"/>
      <c r="PZT933" s="18"/>
      <c r="PZU933" s="18"/>
      <c r="PZV933" s="18"/>
      <c r="PZW933" s="18"/>
      <c r="PZX933" s="18"/>
      <c r="PZY933" s="18"/>
      <c r="PZZ933" s="18"/>
      <c r="QAA933" s="18"/>
      <c r="QAB933" s="18"/>
      <c r="QAC933" s="18"/>
      <c r="QAD933" s="18"/>
      <c r="QAE933" s="18"/>
      <c r="QAF933" s="18"/>
      <c r="QAG933" s="18"/>
      <c r="QAH933" s="18"/>
      <c r="QAI933" s="18"/>
      <c r="QAJ933" s="18"/>
      <c r="QAK933" s="18"/>
      <c r="QAL933" s="18"/>
      <c r="QAM933" s="18"/>
      <c r="QAN933" s="18"/>
      <c r="QAO933" s="18"/>
      <c r="QAP933" s="18"/>
      <c r="QAQ933" s="18"/>
      <c r="QAR933" s="18"/>
      <c r="QAS933" s="18"/>
      <c r="QAT933" s="18"/>
      <c r="QAU933" s="18"/>
      <c r="QAV933" s="18"/>
      <c r="QAW933" s="18"/>
      <c r="QAX933" s="18"/>
      <c r="QAY933" s="18"/>
      <c r="QAZ933" s="18"/>
      <c r="QBA933" s="18"/>
      <c r="QBB933" s="18"/>
      <c r="QBC933" s="18"/>
      <c r="QBD933" s="18"/>
      <c r="QBE933" s="18"/>
      <c r="QBF933" s="18"/>
      <c r="QBG933" s="18"/>
      <c r="QBH933" s="18"/>
      <c r="QBI933" s="18"/>
      <c r="QBJ933" s="18"/>
      <c r="QBK933" s="18"/>
      <c r="QBL933" s="18"/>
      <c r="QBM933" s="18"/>
      <c r="QBN933" s="18"/>
      <c r="QBO933" s="18"/>
      <c r="QBP933" s="18"/>
      <c r="QBQ933" s="18"/>
      <c r="QBR933" s="18"/>
      <c r="QBS933" s="18"/>
      <c r="QBT933" s="18"/>
      <c r="QBU933" s="18"/>
      <c r="QBV933" s="18"/>
      <c r="QBW933" s="18"/>
      <c r="QBX933" s="18"/>
      <c r="QBY933" s="18"/>
      <c r="QBZ933" s="18"/>
      <c r="QCA933" s="18"/>
      <c r="QCB933" s="18"/>
      <c r="QCC933" s="18"/>
      <c r="QCD933" s="18"/>
      <c r="QCE933" s="18"/>
      <c r="QCF933" s="18"/>
      <c r="QCG933" s="18"/>
      <c r="QCH933" s="18"/>
      <c r="QCI933" s="18"/>
      <c r="QCJ933" s="18"/>
      <c r="QCK933" s="18"/>
      <c r="QCL933" s="18"/>
      <c r="QCM933" s="18"/>
      <c r="QCN933" s="18"/>
      <c r="QCO933" s="18"/>
      <c r="QCP933" s="18"/>
      <c r="QCQ933" s="18"/>
      <c r="QCR933" s="18"/>
      <c r="QCS933" s="18"/>
      <c r="QCT933" s="18"/>
      <c r="QCU933" s="18"/>
      <c r="QCV933" s="18"/>
      <c r="QCW933" s="18"/>
      <c r="QCX933" s="18"/>
      <c r="QCY933" s="18"/>
      <c r="QCZ933" s="18"/>
      <c r="QDA933" s="18"/>
      <c r="QDB933" s="18"/>
      <c r="QDC933" s="18"/>
      <c r="QDD933" s="18"/>
      <c r="QDE933" s="18"/>
      <c r="QDF933" s="18"/>
      <c r="QDG933" s="18"/>
      <c r="QDH933" s="18"/>
      <c r="QDI933" s="18"/>
      <c r="QDJ933" s="18"/>
      <c r="QDK933" s="18"/>
      <c r="QDL933" s="18"/>
      <c r="QDM933" s="18"/>
      <c r="QDN933" s="18"/>
      <c r="QDO933" s="18"/>
      <c r="QDP933" s="18"/>
      <c r="QDQ933" s="18"/>
      <c r="QDR933" s="18"/>
      <c r="QDS933" s="18"/>
      <c r="QDT933" s="18"/>
      <c r="QDU933" s="18"/>
      <c r="QDV933" s="18"/>
      <c r="QDW933" s="18"/>
      <c r="QDX933" s="18"/>
      <c r="QDY933" s="18"/>
      <c r="QDZ933" s="18"/>
      <c r="QEA933" s="18"/>
      <c r="QEB933" s="18"/>
      <c r="QEC933" s="18"/>
      <c r="QED933" s="18"/>
      <c r="QEE933" s="18"/>
      <c r="QEF933" s="18"/>
      <c r="QEG933" s="18"/>
      <c r="QEH933" s="18"/>
      <c r="QEI933" s="18"/>
      <c r="QEJ933" s="18"/>
      <c r="QEK933" s="18"/>
      <c r="QEL933" s="18"/>
      <c r="QEM933" s="18"/>
      <c r="QEN933" s="18"/>
      <c r="QEO933" s="18"/>
      <c r="QEP933" s="18"/>
      <c r="QEQ933" s="18"/>
      <c r="QER933" s="18"/>
      <c r="QES933" s="18"/>
      <c r="QET933" s="18"/>
      <c r="QEU933" s="18"/>
      <c r="QEV933" s="18"/>
      <c r="QEW933" s="18"/>
      <c r="QEX933" s="18"/>
      <c r="QEY933" s="18"/>
      <c r="QEZ933" s="18"/>
      <c r="QFA933" s="18"/>
      <c r="QFB933" s="18"/>
      <c r="QFC933" s="18"/>
      <c r="QFD933" s="18"/>
      <c r="QFE933" s="18"/>
      <c r="QFF933" s="18"/>
      <c r="QFG933" s="18"/>
      <c r="QFH933" s="18"/>
      <c r="QFI933" s="18"/>
      <c r="QFJ933" s="18"/>
      <c r="QFK933" s="18"/>
      <c r="QFL933" s="18"/>
      <c r="QFM933" s="18"/>
      <c r="QFN933" s="18"/>
      <c r="QFO933" s="18"/>
      <c r="QFP933" s="18"/>
      <c r="QFQ933" s="18"/>
      <c r="QFR933" s="18"/>
      <c r="QFS933" s="18"/>
      <c r="QFT933" s="18"/>
      <c r="QFU933" s="18"/>
      <c r="QFV933" s="18"/>
      <c r="QFW933" s="18"/>
      <c r="QFX933" s="18"/>
      <c r="QFY933" s="18"/>
      <c r="QFZ933" s="18"/>
      <c r="QGA933" s="18"/>
      <c r="QGB933" s="18"/>
      <c r="QGC933" s="18"/>
      <c r="QGD933" s="18"/>
      <c r="QGE933" s="18"/>
      <c r="QGF933" s="18"/>
      <c r="QGG933" s="18"/>
      <c r="QGH933" s="18"/>
      <c r="QGI933" s="18"/>
      <c r="QGJ933" s="18"/>
      <c r="QGK933" s="18"/>
      <c r="QGL933" s="18"/>
      <c r="QGM933" s="18"/>
      <c r="QGN933" s="18"/>
      <c r="QGO933" s="18"/>
      <c r="QGP933" s="18"/>
      <c r="QGQ933" s="18"/>
      <c r="QGR933" s="18"/>
      <c r="QGS933" s="18"/>
      <c r="QGT933" s="18"/>
      <c r="QGU933" s="18"/>
      <c r="QGV933" s="18"/>
      <c r="QGW933" s="18"/>
      <c r="QGX933" s="18"/>
      <c r="QGY933" s="18"/>
      <c r="QGZ933" s="18"/>
      <c r="QHA933" s="18"/>
      <c r="QHB933" s="18"/>
      <c r="QHC933" s="18"/>
      <c r="QHD933" s="18"/>
      <c r="QHE933" s="18"/>
      <c r="QHF933" s="18"/>
      <c r="QHG933" s="18"/>
      <c r="QHH933" s="18"/>
      <c r="QHI933" s="18"/>
      <c r="QHJ933" s="18"/>
      <c r="QHK933" s="18"/>
      <c r="QHL933" s="18"/>
      <c r="QHM933" s="18"/>
      <c r="QHN933" s="18"/>
      <c r="QHO933" s="18"/>
      <c r="QHP933" s="18"/>
      <c r="QHQ933" s="18"/>
      <c r="QHR933" s="18"/>
      <c r="QHS933" s="18"/>
      <c r="QHT933" s="18"/>
      <c r="QHU933" s="18"/>
      <c r="QHV933" s="18"/>
      <c r="QHW933" s="18"/>
      <c r="QHX933" s="18"/>
      <c r="QHY933" s="18"/>
      <c r="QHZ933" s="18"/>
      <c r="QIA933" s="18"/>
      <c r="QIB933" s="18"/>
      <c r="QIC933" s="18"/>
      <c r="QID933" s="18"/>
      <c r="QIE933" s="18"/>
      <c r="QIF933" s="18"/>
      <c r="QIG933" s="18"/>
      <c r="QIH933" s="18"/>
      <c r="QII933" s="18"/>
      <c r="QIJ933" s="18"/>
      <c r="QIK933" s="18"/>
      <c r="QIL933" s="18"/>
      <c r="QIM933" s="18"/>
      <c r="QIN933" s="18"/>
      <c r="QIO933" s="18"/>
      <c r="QIP933" s="18"/>
      <c r="QIQ933" s="18"/>
      <c r="QIR933" s="18"/>
      <c r="QIS933" s="18"/>
      <c r="QIT933" s="18"/>
      <c r="QIU933" s="18"/>
      <c r="QIV933" s="18"/>
      <c r="QIW933" s="18"/>
      <c r="QIX933" s="18"/>
      <c r="QIY933" s="18"/>
      <c r="QIZ933" s="18"/>
      <c r="QJA933" s="18"/>
      <c r="QJB933" s="18"/>
      <c r="QJC933" s="18"/>
      <c r="QJD933" s="18"/>
      <c r="QJE933" s="18"/>
      <c r="QJF933" s="18"/>
      <c r="QJG933" s="18"/>
      <c r="QJH933" s="18"/>
      <c r="QJI933" s="18"/>
      <c r="QJJ933" s="18"/>
      <c r="QJK933" s="18"/>
      <c r="QJL933" s="18"/>
      <c r="QJM933" s="18"/>
      <c r="QJN933" s="18"/>
      <c r="QJO933" s="18"/>
      <c r="QJP933" s="18"/>
      <c r="QJQ933" s="18"/>
      <c r="QJR933" s="18"/>
      <c r="QJS933" s="18"/>
      <c r="QJT933" s="18"/>
      <c r="QJU933" s="18"/>
      <c r="QJV933" s="18"/>
      <c r="QJW933" s="18"/>
      <c r="QJX933" s="18"/>
      <c r="QJY933" s="18"/>
      <c r="QJZ933" s="18"/>
      <c r="QKA933" s="18"/>
      <c r="QKB933" s="18"/>
      <c r="QKC933" s="18"/>
      <c r="QKD933" s="18"/>
      <c r="QKE933" s="18"/>
      <c r="QKF933" s="18"/>
      <c r="QKG933" s="18"/>
      <c r="QKH933" s="18"/>
      <c r="QKI933" s="18"/>
      <c r="QKJ933" s="18"/>
      <c r="QKK933" s="18"/>
      <c r="QKL933" s="18"/>
      <c r="QKM933" s="18"/>
      <c r="QKN933" s="18"/>
      <c r="QKO933" s="18"/>
      <c r="QKP933" s="18"/>
      <c r="QKQ933" s="18"/>
      <c r="QKR933" s="18"/>
      <c r="QKS933" s="18"/>
      <c r="QKT933" s="18"/>
      <c r="QKU933" s="18"/>
      <c r="QKV933" s="18"/>
      <c r="QKW933" s="18"/>
      <c r="QKX933" s="18"/>
      <c r="QKY933" s="18"/>
      <c r="QKZ933" s="18"/>
      <c r="QLA933" s="18"/>
      <c r="QLB933" s="18"/>
      <c r="QLC933" s="18"/>
      <c r="QLD933" s="18"/>
      <c r="QLE933" s="18"/>
      <c r="QLF933" s="18"/>
      <c r="QLG933" s="18"/>
      <c r="QLH933" s="18"/>
      <c r="QLI933" s="18"/>
      <c r="QLJ933" s="18"/>
      <c r="QLK933" s="18"/>
      <c r="QLL933" s="18"/>
      <c r="QLM933" s="18"/>
      <c r="QLN933" s="18"/>
      <c r="QLO933" s="18"/>
      <c r="QLP933" s="18"/>
      <c r="QLQ933" s="18"/>
      <c r="QLR933" s="18"/>
      <c r="QLS933" s="18"/>
      <c r="QLT933" s="18"/>
      <c r="QLU933" s="18"/>
      <c r="QLV933" s="18"/>
      <c r="QLW933" s="18"/>
      <c r="QLX933" s="18"/>
      <c r="QLY933" s="18"/>
      <c r="QLZ933" s="18"/>
      <c r="QMA933" s="18"/>
      <c r="QMB933" s="18"/>
      <c r="QMC933" s="18"/>
      <c r="QMD933" s="18"/>
      <c r="QME933" s="18"/>
      <c r="QMF933" s="18"/>
      <c r="QMG933" s="18"/>
      <c r="QMH933" s="18"/>
      <c r="QMI933" s="18"/>
      <c r="QMJ933" s="18"/>
      <c r="QMK933" s="18"/>
      <c r="QML933" s="18"/>
      <c r="QMM933" s="18"/>
      <c r="QMN933" s="18"/>
      <c r="QMO933" s="18"/>
      <c r="QMP933" s="18"/>
      <c r="QMQ933" s="18"/>
      <c r="QMR933" s="18"/>
      <c r="QMS933" s="18"/>
      <c r="QMT933" s="18"/>
      <c r="QMU933" s="18"/>
      <c r="QMV933" s="18"/>
      <c r="QMW933" s="18"/>
      <c r="QMX933" s="18"/>
      <c r="QMY933" s="18"/>
      <c r="QMZ933" s="18"/>
      <c r="QNA933" s="18"/>
      <c r="QNB933" s="18"/>
      <c r="QNC933" s="18"/>
      <c r="QND933" s="18"/>
      <c r="QNE933" s="18"/>
      <c r="QNF933" s="18"/>
      <c r="QNG933" s="18"/>
      <c r="QNH933" s="18"/>
      <c r="QNI933" s="18"/>
      <c r="QNJ933" s="18"/>
      <c r="QNK933" s="18"/>
      <c r="QNL933" s="18"/>
      <c r="QNM933" s="18"/>
      <c r="QNN933" s="18"/>
      <c r="QNO933" s="18"/>
      <c r="QNP933" s="18"/>
      <c r="QNQ933" s="18"/>
      <c r="QNR933" s="18"/>
      <c r="QNS933" s="18"/>
      <c r="QNT933" s="18"/>
      <c r="QNU933" s="18"/>
      <c r="QNV933" s="18"/>
      <c r="QNW933" s="18"/>
      <c r="QNX933" s="18"/>
      <c r="QNY933" s="18"/>
      <c r="QNZ933" s="18"/>
      <c r="QOA933" s="18"/>
      <c r="QOB933" s="18"/>
      <c r="QOC933" s="18"/>
      <c r="QOD933" s="18"/>
      <c r="QOE933" s="18"/>
      <c r="QOF933" s="18"/>
      <c r="QOG933" s="18"/>
      <c r="QOH933" s="18"/>
      <c r="QOI933" s="18"/>
      <c r="QOJ933" s="18"/>
      <c r="QOK933" s="18"/>
      <c r="QOL933" s="18"/>
      <c r="QOM933" s="18"/>
      <c r="QON933" s="18"/>
      <c r="QOO933" s="18"/>
      <c r="QOP933" s="18"/>
      <c r="QOQ933" s="18"/>
      <c r="QOR933" s="18"/>
      <c r="QOS933" s="18"/>
      <c r="QOT933" s="18"/>
      <c r="QOU933" s="18"/>
      <c r="QOV933" s="18"/>
      <c r="QOW933" s="18"/>
      <c r="QOX933" s="18"/>
      <c r="QOY933" s="18"/>
      <c r="QOZ933" s="18"/>
      <c r="QPA933" s="18"/>
      <c r="QPB933" s="18"/>
      <c r="QPC933" s="18"/>
      <c r="QPD933" s="18"/>
      <c r="QPE933" s="18"/>
      <c r="QPF933" s="18"/>
      <c r="QPG933" s="18"/>
      <c r="QPH933" s="18"/>
      <c r="QPI933" s="18"/>
      <c r="QPJ933" s="18"/>
      <c r="QPK933" s="18"/>
      <c r="QPL933" s="18"/>
      <c r="QPM933" s="18"/>
      <c r="QPN933" s="18"/>
      <c r="QPO933" s="18"/>
      <c r="QPP933" s="18"/>
      <c r="QPQ933" s="18"/>
      <c r="QPR933" s="18"/>
      <c r="QPS933" s="18"/>
      <c r="QPT933" s="18"/>
      <c r="QPU933" s="18"/>
      <c r="QPV933" s="18"/>
      <c r="QPW933" s="18"/>
      <c r="QPX933" s="18"/>
      <c r="QPY933" s="18"/>
      <c r="QPZ933" s="18"/>
      <c r="QQA933" s="18"/>
      <c r="QQB933" s="18"/>
      <c r="QQC933" s="18"/>
      <c r="QQD933" s="18"/>
      <c r="QQE933" s="18"/>
      <c r="QQF933" s="18"/>
      <c r="QQG933" s="18"/>
      <c r="QQH933" s="18"/>
      <c r="QQI933" s="18"/>
      <c r="QQJ933" s="18"/>
      <c r="QQK933" s="18"/>
      <c r="QQL933" s="18"/>
      <c r="QQM933" s="18"/>
      <c r="QQN933" s="18"/>
      <c r="QQO933" s="18"/>
      <c r="QQP933" s="18"/>
      <c r="QQQ933" s="18"/>
      <c r="QQR933" s="18"/>
      <c r="QQS933" s="18"/>
      <c r="QQT933" s="18"/>
      <c r="QQU933" s="18"/>
      <c r="QQV933" s="18"/>
      <c r="QQW933" s="18"/>
      <c r="QQX933" s="18"/>
      <c r="QQY933" s="18"/>
      <c r="QQZ933" s="18"/>
      <c r="QRA933" s="18"/>
      <c r="QRB933" s="18"/>
      <c r="QRC933" s="18"/>
      <c r="QRD933" s="18"/>
      <c r="QRE933" s="18"/>
      <c r="QRF933" s="18"/>
      <c r="QRG933" s="18"/>
      <c r="QRH933" s="18"/>
      <c r="QRI933" s="18"/>
      <c r="QRJ933" s="18"/>
      <c r="QRK933" s="18"/>
      <c r="QRL933" s="18"/>
      <c r="QRM933" s="18"/>
      <c r="QRN933" s="18"/>
      <c r="QRO933" s="18"/>
      <c r="QRP933" s="18"/>
      <c r="QRQ933" s="18"/>
      <c r="QRR933" s="18"/>
      <c r="QRS933" s="18"/>
      <c r="QRT933" s="18"/>
      <c r="QRU933" s="18"/>
      <c r="QRV933" s="18"/>
      <c r="QRW933" s="18"/>
      <c r="QRX933" s="18"/>
      <c r="QRY933" s="18"/>
      <c r="QRZ933" s="18"/>
      <c r="QSA933" s="18"/>
      <c r="QSB933" s="18"/>
      <c r="QSC933" s="18"/>
      <c r="QSD933" s="18"/>
      <c r="QSE933" s="18"/>
      <c r="QSF933" s="18"/>
      <c r="QSG933" s="18"/>
      <c r="QSH933" s="18"/>
      <c r="QSI933" s="18"/>
      <c r="QSJ933" s="18"/>
      <c r="QSK933" s="18"/>
      <c r="QSL933" s="18"/>
      <c r="QSM933" s="18"/>
      <c r="QSN933" s="18"/>
      <c r="QSO933" s="18"/>
      <c r="QSP933" s="18"/>
      <c r="QSQ933" s="18"/>
      <c r="QSR933" s="18"/>
      <c r="QSS933" s="18"/>
      <c r="QST933" s="18"/>
      <c r="QSU933" s="18"/>
      <c r="QSV933" s="18"/>
      <c r="QSW933" s="18"/>
      <c r="QSX933" s="18"/>
      <c r="QSY933" s="18"/>
      <c r="QSZ933" s="18"/>
      <c r="QTA933" s="18"/>
      <c r="QTB933" s="18"/>
      <c r="QTC933" s="18"/>
      <c r="QTD933" s="18"/>
      <c r="QTE933" s="18"/>
      <c r="QTF933" s="18"/>
      <c r="QTG933" s="18"/>
      <c r="QTH933" s="18"/>
      <c r="QTI933" s="18"/>
      <c r="QTJ933" s="18"/>
      <c r="QTK933" s="18"/>
      <c r="QTL933" s="18"/>
      <c r="QTM933" s="18"/>
      <c r="QTN933" s="18"/>
      <c r="QTO933" s="18"/>
      <c r="QTP933" s="18"/>
      <c r="QTQ933" s="18"/>
      <c r="QTR933" s="18"/>
      <c r="QTS933" s="18"/>
      <c r="QTT933" s="18"/>
      <c r="QTU933" s="18"/>
      <c r="QTV933" s="18"/>
      <c r="QTW933" s="18"/>
      <c r="QTX933" s="18"/>
      <c r="QTY933" s="18"/>
      <c r="QTZ933" s="18"/>
      <c r="QUA933" s="18"/>
      <c r="QUB933" s="18"/>
      <c r="QUC933" s="18"/>
      <c r="QUD933" s="18"/>
      <c r="QUE933" s="18"/>
      <c r="QUF933" s="18"/>
      <c r="QUG933" s="18"/>
      <c r="QUH933" s="18"/>
      <c r="QUI933" s="18"/>
      <c r="QUJ933" s="18"/>
      <c r="QUK933" s="18"/>
      <c r="QUL933" s="18"/>
      <c r="QUM933" s="18"/>
      <c r="QUN933" s="18"/>
      <c r="QUO933" s="18"/>
      <c r="QUP933" s="18"/>
      <c r="QUQ933" s="18"/>
      <c r="QUR933" s="18"/>
      <c r="QUS933" s="18"/>
      <c r="QUT933" s="18"/>
      <c r="QUU933" s="18"/>
      <c r="QUV933" s="18"/>
      <c r="QUW933" s="18"/>
      <c r="QUX933" s="18"/>
      <c r="QUY933" s="18"/>
      <c r="QUZ933" s="18"/>
      <c r="QVA933" s="18"/>
      <c r="QVB933" s="18"/>
      <c r="QVC933" s="18"/>
      <c r="QVD933" s="18"/>
      <c r="QVE933" s="18"/>
      <c r="QVF933" s="18"/>
      <c r="QVG933" s="18"/>
      <c r="QVH933" s="18"/>
      <c r="QVI933" s="18"/>
      <c r="QVJ933" s="18"/>
      <c r="QVK933" s="18"/>
      <c r="QVL933" s="18"/>
      <c r="QVM933" s="18"/>
      <c r="QVN933" s="18"/>
      <c r="QVO933" s="18"/>
      <c r="QVP933" s="18"/>
      <c r="QVQ933" s="18"/>
      <c r="QVR933" s="18"/>
      <c r="QVS933" s="18"/>
      <c r="QVT933" s="18"/>
      <c r="QVU933" s="18"/>
      <c r="QVV933" s="18"/>
      <c r="QVW933" s="18"/>
      <c r="QVX933" s="18"/>
      <c r="QVY933" s="18"/>
      <c r="QVZ933" s="18"/>
      <c r="QWA933" s="18"/>
      <c r="QWB933" s="18"/>
      <c r="QWC933" s="18"/>
      <c r="QWD933" s="18"/>
      <c r="QWE933" s="18"/>
      <c r="QWF933" s="18"/>
      <c r="QWG933" s="18"/>
      <c r="QWH933" s="18"/>
      <c r="QWI933" s="18"/>
      <c r="QWJ933" s="18"/>
      <c r="QWK933" s="18"/>
      <c r="QWL933" s="18"/>
      <c r="QWM933" s="18"/>
      <c r="QWN933" s="18"/>
      <c r="QWO933" s="18"/>
      <c r="QWP933" s="18"/>
      <c r="QWQ933" s="18"/>
      <c r="QWR933" s="18"/>
      <c r="QWS933" s="18"/>
      <c r="QWT933" s="18"/>
      <c r="QWU933" s="18"/>
      <c r="QWV933" s="18"/>
      <c r="QWW933" s="18"/>
      <c r="QWX933" s="18"/>
      <c r="QWY933" s="18"/>
      <c r="QWZ933" s="18"/>
      <c r="QXA933" s="18"/>
      <c r="QXB933" s="18"/>
      <c r="QXC933" s="18"/>
      <c r="QXD933" s="18"/>
      <c r="QXE933" s="18"/>
      <c r="QXF933" s="18"/>
      <c r="QXG933" s="18"/>
      <c r="QXH933" s="18"/>
      <c r="QXI933" s="18"/>
      <c r="QXJ933" s="18"/>
      <c r="QXK933" s="18"/>
      <c r="QXL933" s="18"/>
      <c r="QXM933" s="18"/>
      <c r="QXN933" s="18"/>
      <c r="QXO933" s="18"/>
      <c r="QXP933" s="18"/>
      <c r="QXQ933" s="18"/>
      <c r="QXR933" s="18"/>
      <c r="QXS933" s="18"/>
      <c r="QXT933" s="18"/>
      <c r="QXU933" s="18"/>
      <c r="QXV933" s="18"/>
      <c r="QXW933" s="18"/>
      <c r="QXX933" s="18"/>
      <c r="QXY933" s="18"/>
      <c r="QXZ933" s="18"/>
      <c r="QYA933" s="18"/>
      <c r="QYB933" s="18"/>
      <c r="QYC933" s="18"/>
      <c r="QYD933" s="18"/>
      <c r="QYE933" s="18"/>
      <c r="QYF933" s="18"/>
      <c r="QYG933" s="18"/>
      <c r="QYH933" s="18"/>
      <c r="QYI933" s="18"/>
      <c r="QYJ933" s="18"/>
      <c r="QYK933" s="18"/>
      <c r="QYL933" s="18"/>
      <c r="QYM933" s="18"/>
      <c r="QYN933" s="18"/>
      <c r="QYO933" s="18"/>
      <c r="QYP933" s="18"/>
      <c r="QYQ933" s="18"/>
      <c r="QYR933" s="18"/>
      <c r="QYS933" s="18"/>
      <c r="QYT933" s="18"/>
      <c r="QYU933" s="18"/>
      <c r="QYV933" s="18"/>
      <c r="QYW933" s="18"/>
      <c r="QYX933" s="18"/>
      <c r="QYY933" s="18"/>
      <c r="QYZ933" s="18"/>
      <c r="QZA933" s="18"/>
      <c r="QZB933" s="18"/>
      <c r="QZC933" s="18"/>
      <c r="QZD933" s="18"/>
      <c r="QZE933" s="18"/>
      <c r="QZF933" s="18"/>
      <c r="QZG933" s="18"/>
      <c r="QZH933" s="18"/>
      <c r="QZI933" s="18"/>
      <c r="QZJ933" s="18"/>
      <c r="QZK933" s="18"/>
      <c r="QZL933" s="18"/>
      <c r="QZM933" s="18"/>
      <c r="QZN933" s="18"/>
      <c r="QZO933" s="18"/>
      <c r="QZP933" s="18"/>
      <c r="QZQ933" s="18"/>
      <c r="QZR933" s="18"/>
      <c r="QZS933" s="18"/>
      <c r="QZT933" s="18"/>
      <c r="QZU933" s="18"/>
      <c r="QZV933" s="18"/>
      <c r="QZW933" s="18"/>
      <c r="QZX933" s="18"/>
      <c r="QZY933" s="18"/>
      <c r="QZZ933" s="18"/>
      <c r="RAA933" s="18"/>
      <c r="RAB933" s="18"/>
      <c r="RAC933" s="18"/>
      <c r="RAD933" s="18"/>
      <c r="RAE933" s="18"/>
      <c r="RAF933" s="18"/>
      <c r="RAG933" s="18"/>
      <c r="RAH933" s="18"/>
      <c r="RAI933" s="18"/>
      <c r="RAJ933" s="18"/>
      <c r="RAK933" s="18"/>
      <c r="RAL933" s="18"/>
      <c r="RAM933" s="18"/>
      <c r="RAN933" s="18"/>
      <c r="RAO933" s="18"/>
      <c r="RAP933" s="18"/>
      <c r="RAQ933" s="18"/>
      <c r="RAR933" s="18"/>
      <c r="RAS933" s="18"/>
      <c r="RAT933" s="18"/>
      <c r="RAU933" s="18"/>
      <c r="RAV933" s="18"/>
      <c r="RAW933" s="18"/>
      <c r="RAX933" s="18"/>
      <c r="RAY933" s="18"/>
      <c r="RAZ933" s="18"/>
      <c r="RBA933" s="18"/>
      <c r="RBB933" s="18"/>
      <c r="RBC933" s="18"/>
      <c r="RBD933" s="18"/>
      <c r="RBE933" s="18"/>
      <c r="RBF933" s="18"/>
      <c r="RBG933" s="18"/>
      <c r="RBH933" s="18"/>
      <c r="RBI933" s="18"/>
      <c r="RBJ933" s="18"/>
      <c r="RBK933" s="18"/>
      <c r="RBL933" s="18"/>
      <c r="RBM933" s="18"/>
      <c r="RBN933" s="18"/>
      <c r="RBO933" s="18"/>
      <c r="RBP933" s="18"/>
      <c r="RBQ933" s="18"/>
      <c r="RBR933" s="18"/>
      <c r="RBS933" s="18"/>
      <c r="RBT933" s="18"/>
      <c r="RBU933" s="18"/>
      <c r="RBV933" s="18"/>
      <c r="RBW933" s="18"/>
      <c r="RBX933" s="18"/>
      <c r="RBY933" s="18"/>
      <c r="RBZ933" s="18"/>
      <c r="RCA933" s="18"/>
      <c r="RCB933" s="18"/>
      <c r="RCC933" s="18"/>
      <c r="RCD933" s="18"/>
      <c r="RCE933" s="18"/>
      <c r="RCF933" s="18"/>
      <c r="RCG933" s="18"/>
      <c r="RCH933" s="18"/>
      <c r="RCI933" s="18"/>
      <c r="RCJ933" s="18"/>
      <c r="RCK933" s="18"/>
      <c r="RCL933" s="18"/>
      <c r="RCM933" s="18"/>
      <c r="RCN933" s="18"/>
      <c r="RCO933" s="18"/>
      <c r="RCP933" s="18"/>
      <c r="RCQ933" s="18"/>
      <c r="RCR933" s="18"/>
      <c r="RCS933" s="18"/>
      <c r="RCT933" s="18"/>
      <c r="RCU933" s="18"/>
      <c r="RCV933" s="18"/>
      <c r="RCW933" s="18"/>
      <c r="RCX933" s="18"/>
      <c r="RCY933" s="18"/>
      <c r="RCZ933" s="18"/>
      <c r="RDA933" s="18"/>
      <c r="RDB933" s="18"/>
      <c r="RDC933" s="18"/>
      <c r="RDD933" s="18"/>
      <c r="RDE933" s="18"/>
      <c r="RDF933" s="18"/>
      <c r="RDG933" s="18"/>
      <c r="RDH933" s="18"/>
      <c r="RDI933" s="18"/>
      <c r="RDJ933" s="18"/>
      <c r="RDK933" s="18"/>
      <c r="RDL933" s="18"/>
      <c r="RDM933" s="18"/>
      <c r="RDN933" s="18"/>
      <c r="RDO933" s="18"/>
      <c r="RDP933" s="18"/>
      <c r="RDQ933" s="18"/>
      <c r="RDR933" s="18"/>
      <c r="RDS933" s="18"/>
      <c r="RDT933" s="18"/>
      <c r="RDU933" s="18"/>
      <c r="RDV933" s="18"/>
      <c r="RDW933" s="18"/>
      <c r="RDX933" s="18"/>
      <c r="RDY933" s="18"/>
      <c r="RDZ933" s="18"/>
      <c r="REA933" s="18"/>
      <c r="REB933" s="18"/>
      <c r="REC933" s="18"/>
      <c r="RED933" s="18"/>
      <c r="REE933" s="18"/>
      <c r="REF933" s="18"/>
      <c r="REG933" s="18"/>
      <c r="REH933" s="18"/>
      <c r="REI933" s="18"/>
      <c r="REJ933" s="18"/>
      <c r="REK933" s="18"/>
      <c r="REL933" s="18"/>
      <c r="REM933" s="18"/>
      <c r="REN933" s="18"/>
      <c r="REO933" s="18"/>
      <c r="REP933" s="18"/>
      <c r="REQ933" s="18"/>
      <c r="RER933" s="18"/>
      <c r="RES933" s="18"/>
      <c r="RET933" s="18"/>
      <c r="REU933" s="18"/>
      <c r="REV933" s="18"/>
      <c r="REW933" s="18"/>
      <c r="REX933" s="18"/>
      <c r="REY933" s="18"/>
      <c r="REZ933" s="18"/>
      <c r="RFA933" s="18"/>
      <c r="RFB933" s="18"/>
      <c r="RFC933" s="18"/>
      <c r="RFD933" s="18"/>
      <c r="RFE933" s="18"/>
      <c r="RFF933" s="18"/>
      <c r="RFG933" s="18"/>
      <c r="RFH933" s="18"/>
      <c r="RFI933" s="18"/>
      <c r="RFJ933" s="18"/>
      <c r="RFK933" s="18"/>
      <c r="RFL933" s="18"/>
      <c r="RFM933" s="18"/>
      <c r="RFN933" s="18"/>
      <c r="RFO933" s="18"/>
      <c r="RFP933" s="18"/>
      <c r="RFQ933" s="18"/>
      <c r="RFR933" s="18"/>
      <c r="RFS933" s="18"/>
      <c r="RFT933" s="18"/>
      <c r="RFU933" s="18"/>
      <c r="RFV933" s="18"/>
      <c r="RFW933" s="18"/>
      <c r="RFX933" s="18"/>
      <c r="RFY933" s="18"/>
      <c r="RFZ933" s="18"/>
      <c r="RGA933" s="18"/>
      <c r="RGB933" s="18"/>
      <c r="RGC933" s="18"/>
      <c r="RGD933" s="18"/>
      <c r="RGE933" s="18"/>
      <c r="RGF933" s="18"/>
      <c r="RGG933" s="18"/>
      <c r="RGH933" s="18"/>
      <c r="RGI933" s="18"/>
      <c r="RGJ933" s="18"/>
      <c r="RGK933" s="18"/>
      <c r="RGL933" s="18"/>
      <c r="RGM933" s="18"/>
      <c r="RGN933" s="18"/>
      <c r="RGO933" s="18"/>
      <c r="RGP933" s="18"/>
      <c r="RGQ933" s="18"/>
      <c r="RGR933" s="18"/>
      <c r="RGS933" s="18"/>
      <c r="RGT933" s="18"/>
      <c r="RGU933" s="18"/>
      <c r="RGV933" s="18"/>
      <c r="RGW933" s="18"/>
      <c r="RGX933" s="18"/>
      <c r="RGY933" s="18"/>
      <c r="RGZ933" s="18"/>
      <c r="RHA933" s="18"/>
      <c r="RHB933" s="18"/>
      <c r="RHC933" s="18"/>
      <c r="RHD933" s="18"/>
      <c r="RHE933" s="18"/>
      <c r="RHF933" s="18"/>
      <c r="RHG933" s="18"/>
      <c r="RHH933" s="18"/>
      <c r="RHI933" s="18"/>
      <c r="RHJ933" s="18"/>
      <c r="RHK933" s="18"/>
      <c r="RHL933" s="18"/>
      <c r="RHM933" s="18"/>
      <c r="RHN933" s="18"/>
      <c r="RHO933" s="18"/>
      <c r="RHP933" s="18"/>
      <c r="RHQ933" s="18"/>
      <c r="RHR933" s="18"/>
      <c r="RHS933" s="18"/>
      <c r="RHT933" s="18"/>
      <c r="RHU933" s="18"/>
      <c r="RHV933" s="18"/>
      <c r="RHW933" s="18"/>
      <c r="RHX933" s="18"/>
      <c r="RHY933" s="18"/>
      <c r="RHZ933" s="18"/>
      <c r="RIA933" s="18"/>
      <c r="RIB933" s="18"/>
      <c r="RIC933" s="18"/>
      <c r="RID933" s="18"/>
      <c r="RIE933" s="18"/>
      <c r="RIF933" s="18"/>
      <c r="RIG933" s="18"/>
      <c r="RIH933" s="18"/>
      <c r="RII933" s="18"/>
      <c r="RIJ933" s="18"/>
      <c r="RIK933" s="18"/>
      <c r="RIL933" s="18"/>
      <c r="RIM933" s="18"/>
      <c r="RIN933" s="18"/>
      <c r="RIO933" s="18"/>
      <c r="RIP933" s="18"/>
      <c r="RIQ933" s="18"/>
      <c r="RIR933" s="18"/>
      <c r="RIS933" s="18"/>
      <c r="RIT933" s="18"/>
      <c r="RIU933" s="18"/>
      <c r="RIV933" s="18"/>
      <c r="RIW933" s="18"/>
      <c r="RIX933" s="18"/>
      <c r="RIY933" s="18"/>
      <c r="RIZ933" s="18"/>
      <c r="RJA933" s="18"/>
      <c r="RJB933" s="18"/>
      <c r="RJC933" s="18"/>
      <c r="RJD933" s="18"/>
      <c r="RJE933" s="18"/>
      <c r="RJF933" s="18"/>
      <c r="RJG933" s="18"/>
      <c r="RJH933" s="18"/>
      <c r="RJI933" s="18"/>
      <c r="RJJ933" s="18"/>
      <c r="RJK933" s="18"/>
      <c r="RJL933" s="18"/>
      <c r="RJM933" s="18"/>
      <c r="RJN933" s="18"/>
      <c r="RJO933" s="18"/>
      <c r="RJP933" s="18"/>
      <c r="RJQ933" s="18"/>
      <c r="RJR933" s="18"/>
      <c r="RJS933" s="18"/>
      <c r="RJT933" s="18"/>
      <c r="RJU933" s="18"/>
      <c r="RJV933" s="18"/>
      <c r="RJW933" s="18"/>
      <c r="RJX933" s="18"/>
      <c r="RJY933" s="18"/>
      <c r="RJZ933" s="18"/>
      <c r="RKA933" s="18"/>
      <c r="RKB933" s="18"/>
      <c r="RKC933" s="18"/>
      <c r="RKD933" s="18"/>
      <c r="RKE933" s="18"/>
      <c r="RKF933" s="18"/>
      <c r="RKG933" s="18"/>
      <c r="RKH933" s="18"/>
      <c r="RKI933" s="18"/>
      <c r="RKJ933" s="18"/>
      <c r="RKK933" s="18"/>
      <c r="RKL933" s="18"/>
      <c r="RKM933" s="18"/>
      <c r="RKN933" s="18"/>
      <c r="RKO933" s="18"/>
      <c r="RKP933" s="18"/>
      <c r="RKQ933" s="18"/>
      <c r="RKR933" s="18"/>
      <c r="RKS933" s="18"/>
      <c r="RKT933" s="18"/>
      <c r="RKU933" s="18"/>
      <c r="RKV933" s="18"/>
      <c r="RKW933" s="18"/>
      <c r="RKX933" s="18"/>
      <c r="RKY933" s="18"/>
      <c r="RKZ933" s="18"/>
      <c r="RLA933" s="18"/>
      <c r="RLB933" s="18"/>
      <c r="RLC933" s="18"/>
      <c r="RLD933" s="18"/>
      <c r="RLE933" s="18"/>
      <c r="RLF933" s="18"/>
      <c r="RLG933" s="18"/>
      <c r="RLH933" s="18"/>
      <c r="RLI933" s="18"/>
      <c r="RLJ933" s="18"/>
      <c r="RLK933" s="18"/>
      <c r="RLL933" s="18"/>
      <c r="RLM933" s="18"/>
      <c r="RLN933" s="18"/>
      <c r="RLO933" s="18"/>
      <c r="RLP933" s="18"/>
      <c r="RLQ933" s="18"/>
      <c r="RLR933" s="18"/>
      <c r="RLS933" s="18"/>
      <c r="RLT933" s="18"/>
      <c r="RLU933" s="18"/>
      <c r="RLV933" s="18"/>
      <c r="RLW933" s="18"/>
      <c r="RLX933" s="18"/>
      <c r="RLY933" s="18"/>
      <c r="RLZ933" s="18"/>
      <c r="RMA933" s="18"/>
      <c r="RMB933" s="18"/>
      <c r="RMC933" s="18"/>
      <c r="RMD933" s="18"/>
      <c r="RME933" s="18"/>
      <c r="RMF933" s="18"/>
      <c r="RMG933" s="18"/>
      <c r="RMH933" s="18"/>
      <c r="RMI933" s="18"/>
      <c r="RMJ933" s="18"/>
      <c r="RMK933" s="18"/>
      <c r="RML933" s="18"/>
      <c r="RMM933" s="18"/>
      <c r="RMN933" s="18"/>
      <c r="RMO933" s="18"/>
      <c r="RMP933" s="18"/>
      <c r="RMQ933" s="18"/>
      <c r="RMR933" s="18"/>
      <c r="RMS933" s="18"/>
      <c r="RMT933" s="18"/>
      <c r="RMU933" s="18"/>
      <c r="RMV933" s="18"/>
      <c r="RMW933" s="18"/>
      <c r="RMX933" s="18"/>
      <c r="RMY933" s="18"/>
      <c r="RMZ933" s="18"/>
      <c r="RNA933" s="18"/>
      <c r="RNB933" s="18"/>
      <c r="RNC933" s="18"/>
      <c r="RND933" s="18"/>
      <c r="RNE933" s="18"/>
      <c r="RNF933" s="18"/>
      <c r="RNG933" s="18"/>
      <c r="RNH933" s="18"/>
      <c r="RNI933" s="18"/>
      <c r="RNJ933" s="18"/>
      <c r="RNK933" s="18"/>
      <c r="RNL933" s="18"/>
      <c r="RNM933" s="18"/>
      <c r="RNN933" s="18"/>
      <c r="RNO933" s="18"/>
      <c r="RNP933" s="18"/>
      <c r="RNQ933" s="18"/>
      <c r="RNR933" s="18"/>
      <c r="RNS933" s="18"/>
      <c r="RNT933" s="18"/>
      <c r="RNU933" s="18"/>
      <c r="RNV933" s="18"/>
      <c r="RNW933" s="18"/>
      <c r="RNX933" s="18"/>
      <c r="RNY933" s="18"/>
      <c r="RNZ933" s="18"/>
      <c r="ROA933" s="18"/>
      <c r="ROB933" s="18"/>
      <c r="ROC933" s="18"/>
      <c r="ROD933" s="18"/>
      <c r="ROE933" s="18"/>
      <c r="ROF933" s="18"/>
      <c r="ROG933" s="18"/>
      <c r="ROH933" s="18"/>
      <c r="ROI933" s="18"/>
      <c r="ROJ933" s="18"/>
      <c r="ROK933" s="18"/>
      <c r="ROL933" s="18"/>
      <c r="ROM933" s="18"/>
      <c r="RON933" s="18"/>
      <c r="ROO933" s="18"/>
      <c r="ROP933" s="18"/>
      <c r="ROQ933" s="18"/>
      <c r="ROR933" s="18"/>
      <c r="ROS933" s="18"/>
      <c r="ROT933" s="18"/>
      <c r="ROU933" s="18"/>
      <c r="ROV933" s="18"/>
      <c r="ROW933" s="18"/>
      <c r="ROX933" s="18"/>
      <c r="ROY933" s="18"/>
      <c r="ROZ933" s="18"/>
      <c r="RPA933" s="18"/>
      <c r="RPB933" s="18"/>
      <c r="RPC933" s="18"/>
      <c r="RPD933" s="18"/>
      <c r="RPE933" s="18"/>
      <c r="RPF933" s="18"/>
      <c r="RPG933" s="18"/>
      <c r="RPH933" s="18"/>
      <c r="RPI933" s="18"/>
      <c r="RPJ933" s="18"/>
      <c r="RPK933" s="18"/>
      <c r="RPL933" s="18"/>
      <c r="RPM933" s="18"/>
      <c r="RPN933" s="18"/>
      <c r="RPO933" s="18"/>
      <c r="RPP933" s="18"/>
      <c r="RPQ933" s="18"/>
      <c r="RPR933" s="18"/>
      <c r="RPS933" s="18"/>
      <c r="RPT933" s="18"/>
      <c r="RPU933" s="18"/>
      <c r="RPV933" s="18"/>
      <c r="RPW933" s="18"/>
      <c r="RPX933" s="18"/>
      <c r="RPY933" s="18"/>
      <c r="RPZ933" s="18"/>
      <c r="RQA933" s="18"/>
      <c r="RQB933" s="18"/>
      <c r="RQC933" s="18"/>
      <c r="RQD933" s="18"/>
      <c r="RQE933" s="18"/>
      <c r="RQF933" s="18"/>
      <c r="RQG933" s="18"/>
      <c r="RQH933" s="18"/>
      <c r="RQI933" s="18"/>
      <c r="RQJ933" s="18"/>
      <c r="RQK933" s="18"/>
      <c r="RQL933" s="18"/>
      <c r="RQM933" s="18"/>
      <c r="RQN933" s="18"/>
      <c r="RQO933" s="18"/>
      <c r="RQP933" s="18"/>
      <c r="RQQ933" s="18"/>
      <c r="RQR933" s="18"/>
      <c r="RQS933" s="18"/>
      <c r="RQT933" s="18"/>
      <c r="RQU933" s="18"/>
      <c r="RQV933" s="18"/>
      <c r="RQW933" s="18"/>
      <c r="RQX933" s="18"/>
      <c r="RQY933" s="18"/>
      <c r="RQZ933" s="18"/>
      <c r="RRA933" s="18"/>
      <c r="RRB933" s="18"/>
      <c r="RRC933" s="18"/>
      <c r="RRD933" s="18"/>
      <c r="RRE933" s="18"/>
      <c r="RRF933" s="18"/>
      <c r="RRG933" s="18"/>
      <c r="RRH933" s="18"/>
      <c r="RRI933" s="18"/>
      <c r="RRJ933" s="18"/>
      <c r="RRK933" s="18"/>
      <c r="RRL933" s="18"/>
      <c r="RRM933" s="18"/>
      <c r="RRN933" s="18"/>
      <c r="RRO933" s="18"/>
      <c r="RRP933" s="18"/>
      <c r="RRQ933" s="18"/>
      <c r="RRR933" s="18"/>
      <c r="RRS933" s="18"/>
      <c r="RRT933" s="18"/>
      <c r="RRU933" s="18"/>
      <c r="RRV933" s="18"/>
      <c r="RRW933" s="18"/>
      <c r="RRX933" s="18"/>
      <c r="RRY933" s="18"/>
      <c r="RRZ933" s="18"/>
      <c r="RSA933" s="18"/>
      <c r="RSB933" s="18"/>
      <c r="RSC933" s="18"/>
      <c r="RSD933" s="18"/>
      <c r="RSE933" s="18"/>
      <c r="RSF933" s="18"/>
      <c r="RSG933" s="18"/>
      <c r="RSH933" s="18"/>
      <c r="RSI933" s="18"/>
      <c r="RSJ933" s="18"/>
      <c r="RSK933" s="18"/>
      <c r="RSL933" s="18"/>
      <c r="RSM933" s="18"/>
      <c r="RSN933" s="18"/>
      <c r="RSO933" s="18"/>
      <c r="RSP933" s="18"/>
      <c r="RSQ933" s="18"/>
      <c r="RSR933" s="18"/>
      <c r="RSS933" s="18"/>
      <c r="RST933" s="18"/>
      <c r="RSU933" s="18"/>
      <c r="RSV933" s="18"/>
      <c r="RSW933" s="18"/>
      <c r="RSX933" s="18"/>
      <c r="RSY933" s="18"/>
      <c r="RSZ933" s="18"/>
      <c r="RTA933" s="18"/>
      <c r="RTB933" s="18"/>
      <c r="RTC933" s="18"/>
      <c r="RTD933" s="18"/>
      <c r="RTE933" s="18"/>
      <c r="RTF933" s="18"/>
      <c r="RTG933" s="18"/>
      <c r="RTH933" s="18"/>
      <c r="RTI933" s="18"/>
      <c r="RTJ933" s="18"/>
      <c r="RTK933" s="18"/>
      <c r="RTL933" s="18"/>
      <c r="RTM933" s="18"/>
      <c r="RTN933" s="18"/>
      <c r="RTO933" s="18"/>
      <c r="RTP933" s="18"/>
      <c r="RTQ933" s="18"/>
      <c r="RTR933" s="18"/>
      <c r="RTS933" s="18"/>
      <c r="RTT933" s="18"/>
      <c r="RTU933" s="18"/>
      <c r="RTV933" s="18"/>
      <c r="RTW933" s="18"/>
      <c r="RTX933" s="18"/>
      <c r="RTY933" s="18"/>
      <c r="RTZ933" s="18"/>
      <c r="RUA933" s="18"/>
      <c r="RUB933" s="18"/>
      <c r="RUC933" s="18"/>
      <c r="RUD933" s="18"/>
      <c r="RUE933" s="18"/>
      <c r="RUF933" s="18"/>
      <c r="RUG933" s="18"/>
      <c r="RUH933" s="18"/>
      <c r="RUI933" s="18"/>
      <c r="RUJ933" s="18"/>
      <c r="RUK933" s="18"/>
      <c r="RUL933" s="18"/>
      <c r="RUM933" s="18"/>
      <c r="RUN933" s="18"/>
      <c r="RUO933" s="18"/>
      <c r="RUP933" s="18"/>
      <c r="RUQ933" s="18"/>
      <c r="RUR933" s="18"/>
      <c r="RUS933" s="18"/>
      <c r="RUT933" s="18"/>
      <c r="RUU933" s="18"/>
      <c r="RUV933" s="18"/>
      <c r="RUW933" s="18"/>
      <c r="RUX933" s="18"/>
      <c r="RUY933" s="18"/>
      <c r="RUZ933" s="18"/>
      <c r="RVA933" s="18"/>
      <c r="RVB933" s="18"/>
      <c r="RVC933" s="18"/>
      <c r="RVD933" s="18"/>
      <c r="RVE933" s="18"/>
      <c r="RVF933" s="18"/>
      <c r="RVG933" s="18"/>
      <c r="RVH933" s="18"/>
      <c r="RVI933" s="18"/>
      <c r="RVJ933" s="18"/>
      <c r="RVK933" s="18"/>
      <c r="RVL933" s="18"/>
      <c r="RVM933" s="18"/>
      <c r="RVN933" s="18"/>
      <c r="RVO933" s="18"/>
      <c r="RVP933" s="18"/>
      <c r="RVQ933" s="18"/>
      <c r="RVR933" s="18"/>
      <c r="RVS933" s="18"/>
      <c r="RVT933" s="18"/>
      <c r="RVU933" s="18"/>
      <c r="RVV933" s="18"/>
      <c r="RVW933" s="18"/>
      <c r="RVX933" s="18"/>
      <c r="RVY933" s="18"/>
      <c r="RVZ933" s="18"/>
      <c r="RWA933" s="18"/>
      <c r="RWB933" s="18"/>
      <c r="RWC933" s="18"/>
      <c r="RWD933" s="18"/>
      <c r="RWE933" s="18"/>
      <c r="RWF933" s="18"/>
      <c r="RWG933" s="18"/>
      <c r="RWH933" s="18"/>
      <c r="RWI933" s="18"/>
      <c r="RWJ933" s="18"/>
      <c r="RWK933" s="18"/>
      <c r="RWL933" s="18"/>
      <c r="RWM933" s="18"/>
      <c r="RWN933" s="18"/>
      <c r="RWO933" s="18"/>
      <c r="RWP933" s="18"/>
      <c r="RWQ933" s="18"/>
      <c r="RWR933" s="18"/>
      <c r="RWS933" s="18"/>
      <c r="RWT933" s="18"/>
      <c r="RWU933" s="18"/>
      <c r="RWV933" s="18"/>
      <c r="RWW933" s="18"/>
      <c r="RWX933" s="18"/>
      <c r="RWY933" s="18"/>
      <c r="RWZ933" s="18"/>
      <c r="RXA933" s="18"/>
      <c r="RXB933" s="18"/>
      <c r="RXC933" s="18"/>
      <c r="RXD933" s="18"/>
      <c r="RXE933" s="18"/>
      <c r="RXF933" s="18"/>
      <c r="RXG933" s="18"/>
      <c r="RXH933" s="18"/>
      <c r="RXI933" s="18"/>
      <c r="RXJ933" s="18"/>
      <c r="RXK933" s="18"/>
      <c r="RXL933" s="18"/>
      <c r="RXM933" s="18"/>
      <c r="RXN933" s="18"/>
      <c r="RXO933" s="18"/>
      <c r="RXP933" s="18"/>
      <c r="RXQ933" s="18"/>
      <c r="RXR933" s="18"/>
      <c r="RXS933" s="18"/>
      <c r="RXT933" s="18"/>
      <c r="RXU933" s="18"/>
      <c r="RXV933" s="18"/>
      <c r="RXW933" s="18"/>
      <c r="RXX933" s="18"/>
      <c r="RXY933" s="18"/>
      <c r="RXZ933" s="18"/>
      <c r="RYA933" s="18"/>
      <c r="RYB933" s="18"/>
      <c r="RYC933" s="18"/>
      <c r="RYD933" s="18"/>
      <c r="RYE933" s="18"/>
      <c r="RYF933" s="18"/>
      <c r="RYG933" s="18"/>
      <c r="RYH933" s="18"/>
      <c r="RYI933" s="18"/>
      <c r="RYJ933" s="18"/>
      <c r="RYK933" s="18"/>
      <c r="RYL933" s="18"/>
      <c r="RYM933" s="18"/>
      <c r="RYN933" s="18"/>
      <c r="RYO933" s="18"/>
      <c r="RYP933" s="18"/>
      <c r="RYQ933" s="18"/>
      <c r="RYR933" s="18"/>
      <c r="RYS933" s="18"/>
      <c r="RYT933" s="18"/>
      <c r="RYU933" s="18"/>
      <c r="RYV933" s="18"/>
      <c r="RYW933" s="18"/>
      <c r="RYX933" s="18"/>
      <c r="RYY933" s="18"/>
      <c r="RYZ933" s="18"/>
      <c r="RZA933" s="18"/>
      <c r="RZB933" s="18"/>
      <c r="RZC933" s="18"/>
      <c r="RZD933" s="18"/>
      <c r="RZE933" s="18"/>
      <c r="RZF933" s="18"/>
      <c r="RZG933" s="18"/>
      <c r="RZH933" s="18"/>
      <c r="RZI933" s="18"/>
      <c r="RZJ933" s="18"/>
      <c r="RZK933" s="18"/>
      <c r="RZL933" s="18"/>
      <c r="RZM933" s="18"/>
      <c r="RZN933" s="18"/>
      <c r="RZO933" s="18"/>
      <c r="RZP933" s="18"/>
      <c r="RZQ933" s="18"/>
      <c r="RZR933" s="18"/>
      <c r="RZS933" s="18"/>
      <c r="RZT933" s="18"/>
      <c r="RZU933" s="18"/>
      <c r="RZV933" s="18"/>
      <c r="RZW933" s="18"/>
      <c r="RZX933" s="18"/>
      <c r="RZY933" s="18"/>
      <c r="RZZ933" s="18"/>
      <c r="SAA933" s="18"/>
      <c r="SAB933" s="18"/>
      <c r="SAC933" s="18"/>
      <c r="SAD933" s="18"/>
      <c r="SAE933" s="18"/>
      <c r="SAF933" s="18"/>
      <c r="SAG933" s="18"/>
      <c r="SAH933" s="18"/>
      <c r="SAI933" s="18"/>
      <c r="SAJ933" s="18"/>
      <c r="SAK933" s="18"/>
      <c r="SAL933" s="18"/>
      <c r="SAM933" s="18"/>
      <c r="SAN933" s="18"/>
      <c r="SAO933" s="18"/>
      <c r="SAP933" s="18"/>
      <c r="SAQ933" s="18"/>
      <c r="SAR933" s="18"/>
      <c r="SAS933" s="18"/>
      <c r="SAT933" s="18"/>
      <c r="SAU933" s="18"/>
      <c r="SAV933" s="18"/>
      <c r="SAW933" s="18"/>
      <c r="SAX933" s="18"/>
      <c r="SAY933" s="18"/>
      <c r="SAZ933" s="18"/>
      <c r="SBA933" s="18"/>
      <c r="SBB933" s="18"/>
      <c r="SBC933" s="18"/>
      <c r="SBD933" s="18"/>
      <c r="SBE933" s="18"/>
      <c r="SBF933" s="18"/>
      <c r="SBG933" s="18"/>
      <c r="SBH933" s="18"/>
      <c r="SBI933" s="18"/>
      <c r="SBJ933" s="18"/>
      <c r="SBK933" s="18"/>
      <c r="SBL933" s="18"/>
      <c r="SBM933" s="18"/>
      <c r="SBN933" s="18"/>
      <c r="SBO933" s="18"/>
      <c r="SBP933" s="18"/>
      <c r="SBQ933" s="18"/>
      <c r="SBR933" s="18"/>
      <c r="SBS933" s="18"/>
      <c r="SBT933" s="18"/>
      <c r="SBU933" s="18"/>
      <c r="SBV933" s="18"/>
      <c r="SBW933" s="18"/>
      <c r="SBX933" s="18"/>
      <c r="SBY933" s="18"/>
      <c r="SBZ933" s="18"/>
      <c r="SCA933" s="18"/>
      <c r="SCB933" s="18"/>
      <c r="SCC933" s="18"/>
      <c r="SCD933" s="18"/>
      <c r="SCE933" s="18"/>
      <c r="SCF933" s="18"/>
      <c r="SCG933" s="18"/>
      <c r="SCH933" s="18"/>
      <c r="SCI933" s="18"/>
      <c r="SCJ933" s="18"/>
      <c r="SCK933" s="18"/>
      <c r="SCL933" s="18"/>
      <c r="SCM933" s="18"/>
      <c r="SCN933" s="18"/>
      <c r="SCO933" s="18"/>
      <c r="SCP933" s="18"/>
      <c r="SCQ933" s="18"/>
      <c r="SCR933" s="18"/>
      <c r="SCS933" s="18"/>
      <c r="SCT933" s="18"/>
      <c r="SCU933" s="18"/>
      <c r="SCV933" s="18"/>
      <c r="SCW933" s="18"/>
      <c r="SCX933" s="18"/>
      <c r="SCY933" s="18"/>
      <c r="SCZ933" s="18"/>
      <c r="SDA933" s="18"/>
      <c r="SDB933" s="18"/>
      <c r="SDC933" s="18"/>
      <c r="SDD933" s="18"/>
      <c r="SDE933" s="18"/>
      <c r="SDF933" s="18"/>
      <c r="SDG933" s="18"/>
      <c r="SDH933" s="18"/>
      <c r="SDI933" s="18"/>
      <c r="SDJ933" s="18"/>
      <c r="SDK933" s="18"/>
      <c r="SDL933" s="18"/>
      <c r="SDM933" s="18"/>
      <c r="SDN933" s="18"/>
      <c r="SDO933" s="18"/>
      <c r="SDP933" s="18"/>
      <c r="SDQ933" s="18"/>
      <c r="SDR933" s="18"/>
      <c r="SDS933" s="18"/>
      <c r="SDT933" s="18"/>
      <c r="SDU933" s="18"/>
      <c r="SDV933" s="18"/>
      <c r="SDW933" s="18"/>
      <c r="SDX933" s="18"/>
      <c r="SDY933" s="18"/>
      <c r="SDZ933" s="18"/>
      <c r="SEA933" s="18"/>
      <c r="SEB933" s="18"/>
      <c r="SEC933" s="18"/>
      <c r="SED933" s="18"/>
      <c r="SEE933" s="18"/>
      <c r="SEF933" s="18"/>
      <c r="SEG933" s="18"/>
      <c r="SEH933" s="18"/>
      <c r="SEI933" s="18"/>
      <c r="SEJ933" s="18"/>
      <c r="SEK933" s="18"/>
      <c r="SEL933" s="18"/>
      <c r="SEM933" s="18"/>
      <c r="SEN933" s="18"/>
      <c r="SEO933" s="18"/>
      <c r="SEP933" s="18"/>
      <c r="SEQ933" s="18"/>
      <c r="SER933" s="18"/>
      <c r="SES933" s="18"/>
      <c r="SET933" s="18"/>
      <c r="SEU933" s="18"/>
      <c r="SEV933" s="18"/>
      <c r="SEW933" s="18"/>
      <c r="SEX933" s="18"/>
      <c r="SEY933" s="18"/>
      <c r="SEZ933" s="18"/>
      <c r="SFA933" s="18"/>
      <c r="SFB933" s="18"/>
      <c r="SFC933" s="18"/>
      <c r="SFD933" s="18"/>
      <c r="SFE933" s="18"/>
      <c r="SFF933" s="18"/>
      <c r="SFG933" s="18"/>
      <c r="SFH933" s="18"/>
      <c r="SFI933" s="18"/>
      <c r="SFJ933" s="18"/>
      <c r="SFK933" s="18"/>
      <c r="SFL933" s="18"/>
      <c r="SFM933" s="18"/>
      <c r="SFN933" s="18"/>
      <c r="SFO933" s="18"/>
      <c r="SFP933" s="18"/>
      <c r="SFQ933" s="18"/>
      <c r="SFR933" s="18"/>
      <c r="SFS933" s="18"/>
      <c r="SFT933" s="18"/>
      <c r="SFU933" s="18"/>
      <c r="SFV933" s="18"/>
      <c r="SFW933" s="18"/>
      <c r="SFX933" s="18"/>
      <c r="SFY933" s="18"/>
      <c r="SFZ933" s="18"/>
      <c r="SGA933" s="18"/>
      <c r="SGB933" s="18"/>
      <c r="SGC933" s="18"/>
      <c r="SGD933" s="18"/>
      <c r="SGE933" s="18"/>
      <c r="SGF933" s="18"/>
      <c r="SGG933" s="18"/>
      <c r="SGH933" s="18"/>
      <c r="SGI933" s="18"/>
      <c r="SGJ933" s="18"/>
      <c r="SGK933" s="18"/>
      <c r="SGL933" s="18"/>
      <c r="SGM933" s="18"/>
      <c r="SGN933" s="18"/>
      <c r="SGO933" s="18"/>
      <c r="SGP933" s="18"/>
      <c r="SGQ933" s="18"/>
      <c r="SGR933" s="18"/>
      <c r="SGS933" s="18"/>
      <c r="SGT933" s="18"/>
      <c r="SGU933" s="18"/>
      <c r="SGV933" s="18"/>
      <c r="SGW933" s="18"/>
      <c r="SGX933" s="18"/>
      <c r="SGY933" s="18"/>
      <c r="SGZ933" s="18"/>
      <c r="SHA933" s="18"/>
      <c r="SHB933" s="18"/>
      <c r="SHC933" s="18"/>
      <c r="SHD933" s="18"/>
      <c r="SHE933" s="18"/>
      <c r="SHF933" s="18"/>
      <c r="SHG933" s="18"/>
      <c r="SHH933" s="18"/>
      <c r="SHI933" s="18"/>
      <c r="SHJ933" s="18"/>
      <c r="SHK933" s="18"/>
      <c r="SHL933" s="18"/>
      <c r="SHM933" s="18"/>
      <c r="SHN933" s="18"/>
      <c r="SHO933" s="18"/>
      <c r="SHP933" s="18"/>
      <c r="SHQ933" s="18"/>
      <c r="SHR933" s="18"/>
      <c r="SHS933" s="18"/>
      <c r="SHT933" s="18"/>
      <c r="SHU933" s="18"/>
      <c r="SHV933" s="18"/>
      <c r="SHW933" s="18"/>
      <c r="SHX933" s="18"/>
      <c r="SHY933" s="18"/>
      <c r="SHZ933" s="18"/>
      <c r="SIA933" s="18"/>
      <c r="SIB933" s="18"/>
      <c r="SIC933" s="18"/>
      <c r="SID933" s="18"/>
      <c r="SIE933" s="18"/>
      <c r="SIF933" s="18"/>
      <c r="SIG933" s="18"/>
      <c r="SIH933" s="18"/>
      <c r="SII933" s="18"/>
      <c r="SIJ933" s="18"/>
      <c r="SIK933" s="18"/>
      <c r="SIL933" s="18"/>
      <c r="SIM933" s="18"/>
      <c r="SIN933" s="18"/>
      <c r="SIO933" s="18"/>
      <c r="SIP933" s="18"/>
      <c r="SIQ933" s="18"/>
      <c r="SIR933" s="18"/>
      <c r="SIS933" s="18"/>
      <c r="SIT933" s="18"/>
      <c r="SIU933" s="18"/>
      <c r="SIV933" s="18"/>
      <c r="SIW933" s="18"/>
      <c r="SIX933" s="18"/>
      <c r="SIY933" s="18"/>
      <c r="SIZ933" s="18"/>
      <c r="SJA933" s="18"/>
      <c r="SJB933" s="18"/>
      <c r="SJC933" s="18"/>
      <c r="SJD933" s="18"/>
      <c r="SJE933" s="18"/>
      <c r="SJF933" s="18"/>
      <c r="SJG933" s="18"/>
      <c r="SJH933" s="18"/>
      <c r="SJI933" s="18"/>
      <c r="SJJ933" s="18"/>
      <c r="SJK933" s="18"/>
      <c r="SJL933" s="18"/>
      <c r="SJM933" s="18"/>
      <c r="SJN933" s="18"/>
      <c r="SJO933" s="18"/>
      <c r="SJP933" s="18"/>
      <c r="SJQ933" s="18"/>
      <c r="SJR933" s="18"/>
      <c r="SJS933" s="18"/>
      <c r="SJT933" s="18"/>
      <c r="SJU933" s="18"/>
      <c r="SJV933" s="18"/>
      <c r="SJW933" s="18"/>
      <c r="SJX933" s="18"/>
      <c r="SJY933" s="18"/>
      <c r="SJZ933" s="18"/>
      <c r="SKA933" s="18"/>
      <c r="SKB933" s="18"/>
      <c r="SKC933" s="18"/>
      <c r="SKD933" s="18"/>
      <c r="SKE933" s="18"/>
      <c r="SKF933" s="18"/>
      <c r="SKG933" s="18"/>
      <c r="SKH933" s="18"/>
      <c r="SKI933" s="18"/>
      <c r="SKJ933" s="18"/>
      <c r="SKK933" s="18"/>
      <c r="SKL933" s="18"/>
      <c r="SKM933" s="18"/>
      <c r="SKN933" s="18"/>
      <c r="SKO933" s="18"/>
      <c r="SKP933" s="18"/>
      <c r="SKQ933" s="18"/>
      <c r="SKR933" s="18"/>
      <c r="SKS933" s="18"/>
      <c r="SKT933" s="18"/>
      <c r="SKU933" s="18"/>
      <c r="SKV933" s="18"/>
      <c r="SKW933" s="18"/>
      <c r="SKX933" s="18"/>
      <c r="SKY933" s="18"/>
      <c r="SKZ933" s="18"/>
      <c r="SLA933" s="18"/>
      <c r="SLB933" s="18"/>
      <c r="SLC933" s="18"/>
      <c r="SLD933" s="18"/>
      <c r="SLE933" s="18"/>
      <c r="SLF933" s="18"/>
      <c r="SLG933" s="18"/>
      <c r="SLH933" s="18"/>
      <c r="SLI933" s="18"/>
      <c r="SLJ933" s="18"/>
      <c r="SLK933" s="18"/>
      <c r="SLL933" s="18"/>
      <c r="SLM933" s="18"/>
      <c r="SLN933" s="18"/>
      <c r="SLO933" s="18"/>
      <c r="SLP933" s="18"/>
      <c r="SLQ933" s="18"/>
      <c r="SLR933" s="18"/>
      <c r="SLS933" s="18"/>
      <c r="SLT933" s="18"/>
      <c r="SLU933" s="18"/>
      <c r="SLV933" s="18"/>
      <c r="SLW933" s="18"/>
      <c r="SLX933" s="18"/>
      <c r="SLY933" s="18"/>
      <c r="SLZ933" s="18"/>
      <c r="SMA933" s="18"/>
      <c r="SMB933" s="18"/>
      <c r="SMC933" s="18"/>
      <c r="SMD933" s="18"/>
      <c r="SME933" s="18"/>
      <c r="SMF933" s="18"/>
      <c r="SMG933" s="18"/>
      <c r="SMH933" s="18"/>
      <c r="SMI933" s="18"/>
      <c r="SMJ933" s="18"/>
      <c r="SMK933" s="18"/>
      <c r="SML933" s="18"/>
      <c r="SMM933" s="18"/>
      <c r="SMN933" s="18"/>
      <c r="SMO933" s="18"/>
      <c r="SMP933" s="18"/>
      <c r="SMQ933" s="18"/>
      <c r="SMR933" s="18"/>
      <c r="SMS933" s="18"/>
      <c r="SMT933" s="18"/>
      <c r="SMU933" s="18"/>
      <c r="SMV933" s="18"/>
      <c r="SMW933" s="18"/>
      <c r="SMX933" s="18"/>
      <c r="SMY933" s="18"/>
      <c r="SMZ933" s="18"/>
      <c r="SNA933" s="18"/>
      <c r="SNB933" s="18"/>
      <c r="SNC933" s="18"/>
      <c r="SND933" s="18"/>
      <c r="SNE933" s="18"/>
      <c r="SNF933" s="18"/>
      <c r="SNG933" s="18"/>
      <c r="SNH933" s="18"/>
      <c r="SNI933" s="18"/>
      <c r="SNJ933" s="18"/>
      <c r="SNK933" s="18"/>
      <c r="SNL933" s="18"/>
      <c r="SNM933" s="18"/>
      <c r="SNN933" s="18"/>
      <c r="SNO933" s="18"/>
      <c r="SNP933" s="18"/>
      <c r="SNQ933" s="18"/>
      <c r="SNR933" s="18"/>
      <c r="SNS933" s="18"/>
      <c r="SNT933" s="18"/>
      <c r="SNU933" s="18"/>
      <c r="SNV933" s="18"/>
      <c r="SNW933" s="18"/>
      <c r="SNX933" s="18"/>
      <c r="SNY933" s="18"/>
      <c r="SNZ933" s="18"/>
      <c r="SOA933" s="18"/>
      <c r="SOB933" s="18"/>
      <c r="SOC933" s="18"/>
      <c r="SOD933" s="18"/>
      <c r="SOE933" s="18"/>
      <c r="SOF933" s="18"/>
      <c r="SOG933" s="18"/>
      <c r="SOH933" s="18"/>
      <c r="SOI933" s="18"/>
      <c r="SOJ933" s="18"/>
      <c r="SOK933" s="18"/>
      <c r="SOL933" s="18"/>
      <c r="SOM933" s="18"/>
      <c r="SON933" s="18"/>
      <c r="SOO933" s="18"/>
      <c r="SOP933" s="18"/>
      <c r="SOQ933" s="18"/>
      <c r="SOR933" s="18"/>
      <c r="SOS933" s="18"/>
      <c r="SOT933" s="18"/>
      <c r="SOU933" s="18"/>
      <c r="SOV933" s="18"/>
      <c r="SOW933" s="18"/>
      <c r="SOX933" s="18"/>
      <c r="SOY933" s="18"/>
      <c r="SOZ933" s="18"/>
      <c r="SPA933" s="18"/>
      <c r="SPB933" s="18"/>
      <c r="SPC933" s="18"/>
      <c r="SPD933" s="18"/>
      <c r="SPE933" s="18"/>
      <c r="SPF933" s="18"/>
      <c r="SPG933" s="18"/>
      <c r="SPH933" s="18"/>
      <c r="SPI933" s="18"/>
      <c r="SPJ933" s="18"/>
      <c r="SPK933" s="18"/>
      <c r="SPL933" s="18"/>
      <c r="SPM933" s="18"/>
      <c r="SPN933" s="18"/>
      <c r="SPO933" s="18"/>
      <c r="SPP933" s="18"/>
      <c r="SPQ933" s="18"/>
      <c r="SPR933" s="18"/>
      <c r="SPS933" s="18"/>
      <c r="SPT933" s="18"/>
      <c r="SPU933" s="18"/>
      <c r="SPV933" s="18"/>
      <c r="SPW933" s="18"/>
      <c r="SPX933" s="18"/>
      <c r="SPY933" s="18"/>
      <c r="SPZ933" s="18"/>
      <c r="SQA933" s="18"/>
      <c r="SQB933" s="18"/>
      <c r="SQC933" s="18"/>
      <c r="SQD933" s="18"/>
      <c r="SQE933" s="18"/>
      <c r="SQF933" s="18"/>
      <c r="SQG933" s="18"/>
      <c r="SQH933" s="18"/>
      <c r="SQI933" s="18"/>
      <c r="SQJ933" s="18"/>
      <c r="SQK933" s="18"/>
      <c r="SQL933" s="18"/>
      <c r="SQM933" s="18"/>
      <c r="SQN933" s="18"/>
      <c r="SQO933" s="18"/>
      <c r="SQP933" s="18"/>
      <c r="SQQ933" s="18"/>
      <c r="SQR933" s="18"/>
      <c r="SQS933" s="18"/>
      <c r="SQT933" s="18"/>
      <c r="SQU933" s="18"/>
      <c r="SQV933" s="18"/>
      <c r="SQW933" s="18"/>
      <c r="SQX933" s="18"/>
      <c r="SQY933" s="18"/>
      <c r="SQZ933" s="18"/>
      <c r="SRA933" s="18"/>
      <c r="SRB933" s="18"/>
      <c r="SRC933" s="18"/>
      <c r="SRD933" s="18"/>
      <c r="SRE933" s="18"/>
      <c r="SRF933" s="18"/>
      <c r="SRG933" s="18"/>
      <c r="SRH933" s="18"/>
      <c r="SRI933" s="18"/>
      <c r="SRJ933" s="18"/>
      <c r="SRK933" s="18"/>
      <c r="SRL933" s="18"/>
      <c r="SRM933" s="18"/>
      <c r="SRN933" s="18"/>
      <c r="SRO933" s="18"/>
      <c r="SRP933" s="18"/>
      <c r="SRQ933" s="18"/>
      <c r="SRR933" s="18"/>
      <c r="SRS933" s="18"/>
      <c r="SRT933" s="18"/>
      <c r="SRU933" s="18"/>
      <c r="SRV933" s="18"/>
      <c r="SRW933" s="18"/>
      <c r="SRX933" s="18"/>
      <c r="SRY933" s="18"/>
      <c r="SRZ933" s="18"/>
      <c r="SSA933" s="18"/>
      <c r="SSB933" s="18"/>
      <c r="SSC933" s="18"/>
      <c r="SSD933" s="18"/>
      <c r="SSE933" s="18"/>
      <c r="SSF933" s="18"/>
      <c r="SSG933" s="18"/>
      <c r="SSH933" s="18"/>
      <c r="SSI933" s="18"/>
      <c r="SSJ933" s="18"/>
      <c r="SSK933" s="18"/>
      <c r="SSL933" s="18"/>
      <c r="SSM933" s="18"/>
      <c r="SSN933" s="18"/>
      <c r="SSO933" s="18"/>
      <c r="SSP933" s="18"/>
      <c r="SSQ933" s="18"/>
      <c r="SSR933" s="18"/>
      <c r="SSS933" s="18"/>
      <c r="SST933" s="18"/>
      <c r="SSU933" s="18"/>
      <c r="SSV933" s="18"/>
      <c r="SSW933" s="18"/>
      <c r="SSX933" s="18"/>
      <c r="SSY933" s="18"/>
      <c r="SSZ933" s="18"/>
      <c r="STA933" s="18"/>
      <c r="STB933" s="18"/>
      <c r="STC933" s="18"/>
      <c r="STD933" s="18"/>
      <c r="STE933" s="18"/>
      <c r="STF933" s="18"/>
      <c r="STG933" s="18"/>
      <c r="STH933" s="18"/>
      <c r="STI933" s="18"/>
      <c r="STJ933" s="18"/>
      <c r="STK933" s="18"/>
      <c r="STL933" s="18"/>
      <c r="STM933" s="18"/>
      <c r="STN933" s="18"/>
      <c r="STO933" s="18"/>
      <c r="STP933" s="18"/>
      <c r="STQ933" s="18"/>
      <c r="STR933" s="18"/>
      <c r="STS933" s="18"/>
      <c r="STT933" s="18"/>
      <c r="STU933" s="18"/>
      <c r="STV933" s="18"/>
      <c r="STW933" s="18"/>
      <c r="STX933" s="18"/>
      <c r="STY933" s="18"/>
      <c r="STZ933" s="18"/>
      <c r="SUA933" s="18"/>
      <c r="SUB933" s="18"/>
      <c r="SUC933" s="18"/>
      <c r="SUD933" s="18"/>
      <c r="SUE933" s="18"/>
      <c r="SUF933" s="18"/>
      <c r="SUG933" s="18"/>
      <c r="SUH933" s="18"/>
      <c r="SUI933" s="18"/>
      <c r="SUJ933" s="18"/>
      <c r="SUK933" s="18"/>
      <c r="SUL933" s="18"/>
      <c r="SUM933" s="18"/>
      <c r="SUN933" s="18"/>
      <c r="SUO933" s="18"/>
      <c r="SUP933" s="18"/>
      <c r="SUQ933" s="18"/>
      <c r="SUR933" s="18"/>
      <c r="SUS933" s="18"/>
      <c r="SUT933" s="18"/>
      <c r="SUU933" s="18"/>
      <c r="SUV933" s="18"/>
      <c r="SUW933" s="18"/>
      <c r="SUX933" s="18"/>
      <c r="SUY933" s="18"/>
      <c r="SUZ933" s="18"/>
      <c r="SVA933" s="18"/>
      <c r="SVB933" s="18"/>
      <c r="SVC933" s="18"/>
      <c r="SVD933" s="18"/>
      <c r="SVE933" s="18"/>
      <c r="SVF933" s="18"/>
      <c r="SVG933" s="18"/>
      <c r="SVH933" s="18"/>
      <c r="SVI933" s="18"/>
      <c r="SVJ933" s="18"/>
      <c r="SVK933" s="18"/>
      <c r="SVL933" s="18"/>
      <c r="SVM933" s="18"/>
      <c r="SVN933" s="18"/>
      <c r="SVO933" s="18"/>
      <c r="SVP933" s="18"/>
      <c r="SVQ933" s="18"/>
      <c r="SVR933" s="18"/>
      <c r="SVS933" s="18"/>
      <c r="SVT933" s="18"/>
      <c r="SVU933" s="18"/>
      <c r="SVV933" s="18"/>
      <c r="SVW933" s="18"/>
      <c r="SVX933" s="18"/>
      <c r="SVY933" s="18"/>
      <c r="SVZ933" s="18"/>
      <c r="SWA933" s="18"/>
      <c r="SWB933" s="18"/>
      <c r="SWC933" s="18"/>
      <c r="SWD933" s="18"/>
      <c r="SWE933" s="18"/>
      <c r="SWF933" s="18"/>
      <c r="SWG933" s="18"/>
      <c r="SWH933" s="18"/>
      <c r="SWI933" s="18"/>
      <c r="SWJ933" s="18"/>
      <c r="SWK933" s="18"/>
      <c r="SWL933" s="18"/>
      <c r="SWM933" s="18"/>
      <c r="SWN933" s="18"/>
      <c r="SWO933" s="18"/>
      <c r="SWP933" s="18"/>
      <c r="SWQ933" s="18"/>
      <c r="SWR933" s="18"/>
      <c r="SWS933" s="18"/>
      <c r="SWT933" s="18"/>
      <c r="SWU933" s="18"/>
      <c r="SWV933" s="18"/>
      <c r="SWW933" s="18"/>
      <c r="SWX933" s="18"/>
      <c r="SWY933" s="18"/>
      <c r="SWZ933" s="18"/>
      <c r="SXA933" s="18"/>
      <c r="SXB933" s="18"/>
      <c r="SXC933" s="18"/>
      <c r="SXD933" s="18"/>
      <c r="SXE933" s="18"/>
      <c r="SXF933" s="18"/>
      <c r="SXG933" s="18"/>
      <c r="SXH933" s="18"/>
      <c r="SXI933" s="18"/>
      <c r="SXJ933" s="18"/>
      <c r="SXK933" s="18"/>
      <c r="SXL933" s="18"/>
      <c r="SXM933" s="18"/>
      <c r="SXN933" s="18"/>
      <c r="SXO933" s="18"/>
      <c r="SXP933" s="18"/>
      <c r="SXQ933" s="18"/>
      <c r="SXR933" s="18"/>
      <c r="SXS933" s="18"/>
      <c r="SXT933" s="18"/>
      <c r="SXU933" s="18"/>
      <c r="SXV933" s="18"/>
      <c r="SXW933" s="18"/>
      <c r="SXX933" s="18"/>
      <c r="SXY933" s="18"/>
      <c r="SXZ933" s="18"/>
      <c r="SYA933" s="18"/>
      <c r="SYB933" s="18"/>
      <c r="SYC933" s="18"/>
      <c r="SYD933" s="18"/>
      <c r="SYE933" s="18"/>
      <c r="SYF933" s="18"/>
      <c r="SYG933" s="18"/>
      <c r="SYH933" s="18"/>
      <c r="SYI933" s="18"/>
      <c r="SYJ933" s="18"/>
      <c r="SYK933" s="18"/>
      <c r="SYL933" s="18"/>
      <c r="SYM933" s="18"/>
      <c r="SYN933" s="18"/>
      <c r="SYO933" s="18"/>
      <c r="SYP933" s="18"/>
      <c r="SYQ933" s="18"/>
      <c r="SYR933" s="18"/>
      <c r="SYS933" s="18"/>
      <c r="SYT933" s="18"/>
      <c r="SYU933" s="18"/>
      <c r="SYV933" s="18"/>
      <c r="SYW933" s="18"/>
      <c r="SYX933" s="18"/>
      <c r="SYY933" s="18"/>
      <c r="SYZ933" s="18"/>
      <c r="SZA933" s="18"/>
      <c r="SZB933" s="18"/>
      <c r="SZC933" s="18"/>
      <c r="SZD933" s="18"/>
      <c r="SZE933" s="18"/>
      <c r="SZF933" s="18"/>
      <c r="SZG933" s="18"/>
      <c r="SZH933" s="18"/>
      <c r="SZI933" s="18"/>
      <c r="SZJ933" s="18"/>
      <c r="SZK933" s="18"/>
      <c r="SZL933" s="18"/>
      <c r="SZM933" s="18"/>
      <c r="SZN933" s="18"/>
      <c r="SZO933" s="18"/>
      <c r="SZP933" s="18"/>
      <c r="SZQ933" s="18"/>
      <c r="SZR933" s="18"/>
      <c r="SZS933" s="18"/>
      <c r="SZT933" s="18"/>
      <c r="SZU933" s="18"/>
      <c r="SZV933" s="18"/>
      <c r="SZW933" s="18"/>
      <c r="SZX933" s="18"/>
      <c r="SZY933" s="18"/>
      <c r="SZZ933" s="18"/>
      <c r="TAA933" s="18"/>
      <c r="TAB933" s="18"/>
      <c r="TAC933" s="18"/>
      <c r="TAD933" s="18"/>
      <c r="TAE933" s="18"/>
      <c r="TAF933" s="18"/>
      <c r="TAG933" s="18"/>
      <c r="TAH933" s="18"/>
      <c r="TAI933" s="18"/>
      <c r="TAJ933" s="18"/>
      <c r="TAK933" s="18"/>
      <c r="TAL933" s="18"/>
      <c r="TAM933" s="18"/>
      <c r="TAN933" s="18"/>
      <c r="TAO933" s="18"/>
      <c r="TAP933" s="18"/>
      <c r="TAQ933" s="18"/>
      <c r="TAR933" s="18"/>
      <c r="TAS933" s="18"/>
      <c r="TAT933" s="18"/>
      <c r="TAU933" s="18"/>
      <c r="TAV933" s="18"/>
      <c r="TAW933" s="18"/>
      <c r="TAX933" s="18"/>
      <c r="TAY933" s="18"/>
      <c r="TAZ933" s="18"/>
      <c r="TBA933" s="18"/>
      <c r="TBB933" s="18"/>
      <c r="TBC933" s="18"/>
      <c r="TBD933" s="18"/>
      <c r="TBE933" s="18"/>
      <c r="TBF933" s="18"/>
      <c r="TBG933" s="18"/>
      <c r="TBH933" s="18"/>
      <c r="TBI933" s="18"/>
      <c r="TBJ933" s="18"/>
      <c r="TBK933" s="18"/>
      <c r="TBL933" s="18"/>
      <c r="TBM933" s="18"/>
      <c r="TBN933" s="18"/>
      <c r="TBO933" s="18"/>
      <c r="TBP933" s="18"/>
      <c r="TBQ933" s="18"/>
      <c r="TBR933" s="18"/>
      <c r="TBS933" s="18"/>
      <c r="TBT933" s="18"/>
      <c r="TBU933" s="18"/>
      <c r="TBV933" s="18"/>
      <c r="TBW933" s="18"/>
      <c r="TBX933" s="18"/>
      <c r="TBY933" s="18"/>
      <c r="TBZ933" s="18"/>
      <c r="TCA933" s="18"/>
      <c r="TCB933" s="18"/>
      <c r="TCC933" s="18"/>
      <c r="TCD933" s="18"/>
      <c r="TCE933" s="18"/>
      <c r="TCF933" s="18"/>
      <c r="TCG933" s="18"/>
      <c r="TCH933" s="18"/>
      <c r="TCI933" s="18"/>
      <c r="TCJ933" s="18"/>
      <c r="TCK933" s="18"/>
      <c r="TCL933" s="18"/>
      <c r="TCM933" s="18"/>
      <c r="TCN933" s="18"/>
      <c r="TCO933" s="18"/>
      <c r="TCP933" s="18"/>
      <c r="TCQ933" s="18"/>
      <c r="TCR933" s="18"/>
      <c r="TCS933" s="18"/>
      <c r="TCT933" s="18"/>
      <c r="TCU933" s="18"/>
      <c r="TCV933" s="18"/>
      <c r="TCW933" s="18"/>
      <c r="TCX933" s="18"/>
      <c r="TCY933" s="18"/>
      <c r="TCZ933" s="18"/>
      <c r="TDA933" s="18"/>
      <c r="TDB933" s="18"/>
      <c r="TDC933" s="18"/>
      <c r="TDD933" s="18"/>
      <c r="TDE933" s="18"/>
      <c r="TDF933" s="18"/>
      <c r="TDG933" s="18"/>
      <c r="TDH933" s="18"/>
      <c r="TDI933" s="18"/>
      <c r="TDJ933" s="18"/>
      <c r="TDK933" s="18"/>
      <c r="TDL933" s="18"/>
      <c r="TDM933" s="18"/>
      <c r="TDN933" s="18"/>
      <c r="TDO933" s="18"/>
      <c r="TDP933" s="18"/>
      <c r="TDQ933" s="18"/>
      <c r="TDR933" s="18"/>
      <c r="TDS933" s="18"/>
      <c r="TDT933" s="18"/>
      <c r="TDU933" s="18"/>
      <c r="TDV933" s="18"/>
      <c r="TDW933" s="18"/>
      <c r="TDX933" s="18"/>
      <c r="TDY933" s="18"/>
      <c r="TDZ933" s="18"/>
      <c r="TEA933" s="18"/>
      <c r="TEB933" s="18"/>
      <c r="TEC933" s="18"/>
      <c r="TED933" s="18"/>
      <c r="TEE933" s="18"/>
      <c r="TEF933" s="18"/>
      <c r="TEG933" s="18"/>
      <c r="TEH933" s="18"/>
      <c r="TEI933" s="18"/>
      <c r="TEJ933" s="18"/>
      <c r="TEK933" s="18"/>
      <c r="TEL933" s="18"/>
      <c r="TEM933" s="18"/>
      <c r="TEN933" s="18"/>
      <c r="TEO933" s="18"/>
      <c r="TEP933" s="18"/>
      <c r="TEQ933" s="18"/>
      <c r="TER933" s="18"/>
      <c r="TES933" s="18"/>
      <c r="TET933" s="18"/>
      <c r="TEU933" s="18"/>
      <c r="TEV933" s="18"/>
      <c r="TEW933" s="18"/>
      <c r="TEX933" s="18"/>
      <c r="TEY933" s="18"/>
      <c r="TEZ933" s="18"/>
      <c r="TFA933" s="18"/>
      <c r="TFB933" s="18"/>
      <c r="TFC933" s="18"/>
      <c r="TFD933" s="18"/>
      <c r="TFE933" s="18"/>
      <c r="TFF933" s="18"/>
      <c r="TFG933" s="18"/>
      <c r="TFH933" s="18"/>
      <c r="TFI933" s="18"/>
      <c r="TFJ933" s="18"/>
      <c r="TFK933" s="18"/>
      <c r="TFL933" s="18"/>
      <c r="TFM933" s="18"/>
      <c r="TFN933" s="18"/>
      <c r="TFO933" s="18"/>
      <c r="TFP933" s="18"/>
      <c r="TFQ933" s="18"/>
      <c r="TFR933" s="18"/>
      <c r="TFS933" s="18"/>
      <c r="TFT933" s="18"/>
      <c r="TFU933" s="18"/>
      <c r="TFV933" s="18"/>
      <c r="TFW933" s="18"/>
      <c r="TFX933" s="18"/>
      <c r="TFY933" s="18"/>
      <c r="TFZ933" s="18"/>
      <c r="TGA933" s="18"/>
      <c r="TGB933" s="18"/>
      <c r="TGC933" s="18"/>
      <c r="TGD933" s="18"/>
      <c r="TGE933" s="18"/>
      <c r="TGF933" s="18"/>
      <c r="TGG933" s="18"/>
      <c r="TGH933" s="18"/>
      <c r="TGI933" s="18"/>
      <c r="TGJ933" s="18"/>
      <c r="TGK933" s="18"/>
      <c r="TGL933" s="18"/>
      <c r="TGM933" s="18"/>
      <c r="TGN933" s="18"/>
      <c r="TGO933" s="18"/>
      <c r="TGP933" s="18"/>
      <c r="TGQ933" s="18"/>
      <c r="TGR933" s="18"/>
      <c r="TGS933" s="18"/>
      <c r="TGT933" s="18"/>
      <c r="TGU933" s="18"/>
      <c r="TGV933" s="18"/>
      <c r="TGW933" s="18"/>
      <c r="TGX933" s="18"/>
      <c r="TGY933" s="18"/>
      <c r="TGZ933" s="18"/>
      <c r="THA933" s="18"/>
      <c r="THB933" s="18"/>
      <c r="THC933" s="18"/>
      <c r="THD933" s="18"/>
      <c r="THE933" s="18"/>
      <c r="THF933" s="18"/>
      <c r="THG933" s="18"/>
      <c r="THH933" s="18"/>
      <c r="THI933" s="18"/>
      <c r="THJ933" s="18"/>
      <c r="THK933" s="18"/>
      <c r="THL933" s="18"/>
      <c r="THM933" s="18"/>
      <c r="THN933" s="18"/>
      <c r="THO933" s="18"/>
      <c r="THP933" s="18"/>
      <c r="THQ933" s="18"/>
      <c r="THR933" s="18"/>
      <c r="THS933" s="18"/>
      <c r="THT933" s="18"/>
      <c r="THU933" s="18"/>
      <c r="THV933" s="18"/>
      <c r="THW933" s="18"/>
      <c r="THX933" s="18"/>
      <c r="THY933" s="18"/>
      <c r="THZ933" s="18"/>
      <c r="TIA933" s="18"/>
      <c r="TIB933" s="18"/>
      <c r="TIC933" s="18"/>
      <c r="TID933" s="18"/>
      <c r="TIE933" s="18"/>
      <c r="TIF933" s="18"/>
      <c r="TIG933" s="18"/>
      <c r="TIH933" s="18"/>
      <c r="TII933" s="18"/>
      <c r="TIJ933" s="18"/>
      <c r="TIK933" s="18"/>
      <c r="TIL933" s="18"/>
      <c r="TIM933" s="18"/>
      <c r="TIN933" s="18"/>
      <c r="TIO933" s="18"/>
      <c r="TIP933" s="18"/>
      <c r="TIQ933" s="18"/>
      <c r="TIR933" s="18"/>
      <c r="TIS933" s="18"/>
      <c r="TIT933" s="18"/>
      <c r="TIU933" s="18"/>
      <c r="TIV933" s="18"/>
      <c r="TIW933" s="18"/>
      <c r="TIX933" s="18"/>
      <c r="TIY933" s="18"/>
      <c r="TIZ933" s="18"/>
      <c r="TJA933" s="18"/>
      <c r="TJB933" s="18"/>
      <c r="TJC933" s="18"/>
      <c r="TJD933" s="18"/>
      <c r="TJE933" s="18"/>
      <c r="TJF933" s="18"/>
      <c r="TJG933" s="18"/>
      <c r="TJH933" s="18"/>
      <c r="TJI933" s="18"/>
      <c r="TJJ933" s="18"/>
      <c r="TJK933" s="18"/>
      <c r="TJL933" s="18"/>
      <c r="TJM933" s="18"/>
      <c r="TJN933" s="18"/>
      <c r="TJO933" s="18"/>
      <c r="TJP933" s="18"/>
      <c r="TJQ933" s="18"/>
      <c r="TJR933" s="18"/>
      <c r="TJS933" s="18"/>
      <c r="TJT933" s="18"/>
      <c r="TJU933" s="18"/>
      <c r="TJV933" s="18"/>
      <c r="TJW933" s="18"/>
      <c r="TJX933" s="18"/>
      <c r="TJY933" s="18"/>
      <c r="TJZ933" s="18"/>
      <c r="TKA933" s="18"/>
      <c r="TKB933" s="18"/>
      <c r="TKC933" s="18"/>
      <c r="TKD933" s="18"/>
      <c r="TKE933" s="18"/>
      <c r="TKF933" s="18"/>
      <c r="TKG933" s="18"/>
      <c r="TKH933" s="18"/>
      <c r="TKI933" s="18"/>
      <c r="TKJ933" s="18"/>
      <c r="TKK933" s="18"/>
      <c r="TKL933" s="18"/>
      <c r="TKM933" s="18"/>
      <c r="TKN933" s="18"/>
      <c r="TKO933" s="18"/>
      <c r="TKP933" s="18"/>
      <c r="TKQ933" s="18"/>
      <c r="TKR933" s="18"/>
      <c r="TKS933" s="18"/>
      <c r="TKT933" s="18"/>
      <c r="TKU933" s="18"/>
      <c r="TKV933" s="18"/>
      <c r="TKW933" s="18"/>
      <c r="TKX933" s="18"/>
      <c r="TKY933" s="18"/>
      <c r="TKZ933" s="18"/>
      <c r="TLA933" s="18"/>
      <c r="TLB933" s="18"/>
      <c r="TLC933" s="18"/>
      <c r="TLD933" s="18"/>
      <c r="TLE933" s="18"/>
      <c r="TLF933" s="18"/>
      <c r="TLG933" s="18"/>
      <c r="TLH933" s="18"/>
      <c r="TLI933" s="18"/>
      <c r="TLJ933" s="18"/>
      <c r="TLK933" s="18"/>
      <c r="TLL933" s="18"/>
      <c r="TLM933" s="18"/>
      <c r="TLN933" s="18"/>
      <c r="TLO933" s="18"/>
      <c r="TLP933" s="18"/>
      <c r="TLQ933" s="18"/>
      <c r="TLR933" s="18"/>
      <c r="TLS933" s="18"/>
      <c r="TLT933" s="18"/>
      <c r="TLU933" s="18"/>
      <c r="TLV933" s="18"/>
      <c r="TLW933" s="18"/>
      <c r="TLX933" s="18"/>
      <c r="TLY933" s="18"/>
      <c r="TLZ933" s="18"/>
      <c r="TMA933" s="18"/>
      <c r="TMB933" s="18"/>
      <c r="TMC933" s="18"/>
      <c r="TMD933" s="18"/>
      <c r="TME933" s="18"/>
      <c r="TMF933" s="18"/>
      <c r="TMG933" s="18"/>
      <c r="TMH933" s="18"/>
      <c r="TMI933" s="18"/>
      <c r="TMJ933" s="18"/>
      <c r="TMK933" s="18"/>
      <c r="TML933" s="18"/>
      <c r="TMM933" s="18"/>
      <c r="TMN933" s="18"/>
      <c r="TMO933" s="18"/>
      <c r="TMP933" s="18"/>
      <c r="TMQ933" s="18"/>
      <c r="TMR933" s="18"/>
      <c r="TMS933" s="18"/>
      <c r="TMT933" s="18"/>
      <c r="TMU933" s="18"/>
      <c r="TMV933" s="18"/>
      <c r="TMW933" s="18"/>
      <c r="TMX933" s="18"/>
      <c r="TMY933" s="18"/>
      <c r="TMZ933" s="18"/>
      <c r="TNA933" s="18"/>
      <c r="TNB933" s="18"/>
      <c r="TNC933" s="18"/>
      <c r="TND933" s="18"/>
      <c r="TNE933" s="18"/>
      <c r="TNF933" s="18"/>
      <c r="TNG933" s="18"/>
      <c r="TNH933" s="18"/>
      <c r="TNI933" s="18"/>
      <c r="TNJ933" s="18"/>
      <c r="TNK933" s="18"/>
      <c r="TNL933" s="18"/>
      <c r="TNM933" s="18"/>
      <c r="TNN933" s="18"/>
      <c r="TNO933" s="18"/>
      <c r="TNP933" s="18"/>
      <c r="TNQ933" s="18"/>
      <c r="TNR933" s="18"/>
      <c r="TNS933" s="18"/>
      <c r="TNT933" s="18"/>
      <c r="TNU933" s="18"/>
      <c r="TNV933" s="18"/>
      <c r="TNW933" s="18"/>
      <c r="TNX933" s="18"/>
      <c r="TNY933" s="18"/>
      <c r="TNZ933" s="18"/>
      <c r="TOA933" s="18"/>
      <c r="TOB933" s="18"/>
      <c r="TOC933" s="18"/>
      <c r="TOD933" s="18"/>
      <c r="TOE933" s="18"/>
      <c r="TOF933" s="18"/>
      <c r="TOG933" s="18"/>
      <c r="TOH933" s="18"/>
      <c r="TOI933" s="18"/>
      <c r="TOJ933" s="18"/>
      <c r="TOK933" s="18"/>
      <c r="TOL933" s="18"/>
      <c r="TOM933" s="18"/>
      <c r="TON933" s="18"/>
      <c r="TOO933" s="18"/>
      <c r="TOP933" s="18"/>
      <c r="TOQ933" s="18"/>
      <c r="TOR933" s="18"/>
      <c r="TOS933" s="18"/>
      <c r="TOT933" s="18"/>
      <c r="TOU933" s="18"/>
      <c r="TOV933" s="18"/>
      <c r="TOW933" s="18"/>
      <c r="TOX933" s="18"/>
      <c r="TOY933" s="18"/>
      <c r="TOZ933" s="18"/>
      <c r="TPA933" s="18"/>
      <c r="TPB933" s="18"/>
      <c r="TPC933" s="18"/>
      <c r="TPD933" s="18"/>
      <c r="TPE933" s="18"/>
      <c r="TPF933" s="18"/>
      <c r="TPG933" s="18"/>
      <c r="TPH933" s="18"/>
      <c r="TPI933" s="18"/>
      <c r="TPJ933" s="18"/>
      <c r="TPK933" s="18"/>
      <c r="TPL933" s="18"/>
      <c r="TPM933" s="18"/>
      <c r="TPN933" s="18"/>
      <c r="TPO933" s="18"/>
      <c r="TPP933" s="18"/>
      <c r="TPQ933" s="18"/>
      <c r="TPR933" s="18"/>
      <c r="TPS933" s="18"/>
      <c r="TPT933" s="18"/>
      <c r="TPU933" s="18"/>
      <c r="TPV933" s="18"/>
      <c r="TPW933" s="18"/>
      <c r="TPX933" s="18"/>
      <c r="TPY933" s="18"/>
      <c r="TPZ933" s="18"/>
      <c r="TQA933" s="18"/>
      <c r="TQB933" s="18"/>
      <c r="TQC933" s="18"/>
      <c r="TQD933" s="18"/>
      <c r="TQE933" s="18"/>
      <c r="TQF933" s="18"/>
      <c r="TQG933" s="18"/>
      <c r="TQH933" s="18"/>
      <c r="TQI933" s="18"/>
      <c r="TQJ933" s="18"/>
      <c r="TQK933" s="18"/>
      <c r="TQL933" s="18"/>
      <c r="TQM933" s="18"/>
      <c r="TQN933" s="18"/>
      <c r="TQO933" s="18"/>
      <c r="TQP933" s="18"/>
      <c r="TQQ933" s="18"/>
      <c r="TQR933" s="18"/>
      <c r="TQS933" s="18"/>
      <c r="TQT933" s="18"/>
      <c r="TQU933" s="18"/>
      <c r="TQV933" s="18"/>
      <c r="TQW933" s="18"/>
      <c r="TQX933" s="18"/>
      <c r="TQY933" s="18"/>
      <c r="TQZ933" s="18"/>
      <c r="TRA933" s="18"/>
      <c r="TRB933" s="18"/>
      <c r="TRC933" s="18"/>
      <c r="TRD933" s="18"/>
      <c r="TRE933" s="18"/>
      <c r="TRF933" s="18"/>
      <c r="TRG933" s="18"/>
      <c r="TRH933" s="18"/>
      <c r="TRI933" s="18"/>
      <c r="TRJ933" s="18"/>
      <c r="TRK933" s="18"/>
      <c r="TRL933" s="18"/>
      <c r="TRM933" s="18"/>
      <c r="TRN933" s="18"/>
      <c r="TRO933" s="18"/>
      <c r="TRP933" s="18"/>
      <c r="TRQ933" s="18"/>
      <c r="TRR933" s="18"/>
      <c r="TRS933" s="18"/>
      <c r="TRT933" s="18"/>
      <c r="TRU933" s="18"/>
      <c r="TRV933" s="18"/>
      <c r="TRW933" s="18"/>
      <c r="TRX933" s="18"/>
      <c r="TRY933" s="18"/>
      <c r="TRZ933" s="18"/>
      <c r="TSA933" s="18"/>
      <c r="TSB933" s="18"/>
      <c r="TSC933" s="18"/>
      <c r="TSD933" s="18"/>
      <c r="TSE933" s="18"/>
      <c r="TSF933" s="18"/>
      <c r="TSG933" s="18"/>
      <c r="TSH933" s="18"/>
      <c r="TSI933" s="18"/>
      <c r="TSJ933" s="18"/>
      <c r="TSK933" s="18"/>
      <c r="TSL933" s="18"/>
      <c r="TSM933" s="18"/>
      <c r="TSN933" s="18"/>
      <c r="TSO933" s="18"/>
      <c r="TSP933" s="18"/>
      <c r="TSQ933" s="18"/>
      <c r="TSR933" s="18"/>
      <c r="TSS933" s="18"/>
      <c r="TST933" s="18"/>
      <c r="TSU933" s="18"/>
      <c r="TSV933" s="18"/>
      <c r="TSW933" s="18"/>
      <c r="TSX933" s="18"/>
      <c r="TSY933" s="18"/>
      <c r="TSZ933" s="18"/>
      <c r="TTA933" s="18"/>
      <c r="TTB933" s="18"/>
      <c r="TTC933" s="18"/>
      <c r="TTD933" s="18"/>
      <c r="TTE933" s="18"/>
      <c r="TTF933" s="18"/>
      <c r="TTG933" s="18"/>
      <c r="TTH933" s="18"/>
      <c r="TTI933" s="18"/>
      <c r="TTJ933" s="18"/>
      <c r="TTK933" s="18"/>
      <c r="TTL933" s="18"/>
      <c r="TTM933" s="18"/>
      <c r="TTN933" s="18"/>
      <c r="TTO933" s="18"/>
      <c r="TTP933" s="18"/>
      <c r="TTQ933" s="18"/>
      <c r="TTR933" s="18"/>
      <c r="TTS933" s="18"/>
      <c r="TTT933" s="18"/>
      <c r="TTU933" s="18"/>
      <c r="TTV933" s="18"/>
      <c r="TTW933" s="18"/>
      <c r="TTX933" s="18"/>
      <c r="TTY933" s="18"/>
      <c r="TTZ933" s="18"/>
      <c r="TUA933" s="18"/>
      <c r="TUB933" s="18"/>
      <c r="TUC933" s="18"/>
      <c r="TUD933" s="18"/>
      <c r="TUE933" s="18"/>
      <c r="TUF933" s="18"/>
      <c r="TUG933" s="18"/>
      <c r="TUH933" s="18"/>
      <c r="TUI933" s="18"/>
      <c r="TUJ933" s="18"/>
      <c r="TUK933" s="18"/>
      <c r="TUL933" s="18"/>
      <c r="TUM933" s="18"/>
      <c r="TUN933" s="18"/>
      <c r="TUO933" s="18"/>
      <c r="TUP933" s="18"/>
      <c r="TUQ933" s="18"/>
      <c r="TUR933" s="18"/>
      <c r="TUS933" s="18"/>
      <c r="TUT933" s="18"/>
      <c r="TUU933" s="18"/>
      <c r="TUV933" s="18"/>
      <c r="TUW933" s="18"/>
      <c r="TUX933" s="18"/>
      <c r="TUY933" s="18"/>
      <c r="TUZ933" s="18"/>
      <c r="TVA933" s="18"/>
      <c r="TVB933" s="18"/>
      <c r="TVC933" s="18"/>
      <c r="TVD933" s="18"/>
      <c r="TVE933" s="18"/>
      <c r="TVF933" s="18"/>
      <c r="TVG933" s="18"/>
      <c r="TVH933" s="18"/>
      <c r="TVI933" s="18"/>
      <c r="TVJ933" s="18"/>
      <c r="TVK933" s="18"/>
      <c r="TVL933" s="18"/>
      <c r="TVM933" s="18"/>
      <c r="TVN933" s="18"/>
      <c r="TVO933" s="18"/>
      <c r="TVP933" s="18"/>
      <c r="TVQ933" s="18"/>
      <c r="TVR933" s="18"/>
      <c r="TVS933" s="18"/>
      <c r="TVT933" s="18"/>
      <c r="TVU933" s="18"/>
      <c r="TVV933" s="18"/>
      <c r="TVW933" s="18"/>
      <c r="TVX933" s="18"/>
      <c r="TVY933" s="18"/>
      <c r="TVZ933" s="18"/>
      <c r="TWA933" s="18"/>
      <c r="TWB933" s="18"/>
      <c r="TWC933" s="18"/>
      <c r="TWD933" s="18"/>
      <c r="TWE933" s="18"/>
      <c r="TWF933" s="18"/>
      <c r="TWG933" s="18"/>
      <c r="TWH933" s="18"/>
      <c r="TWI933" s="18"/>
      <c r="TWJ933" s="18"/>
      <c r="TWK933" s="18"/>
      <c r="TWL933" s="18"/>
      <c r="TWM933" s="18"/>
      <c r="TWN933" s="18"/>
      <c r="TWO933" s="18"/>
      <c r="TWP933" s="18"/>
      <c r="TWQ933" s="18"/>
      <c r="TWR933" s="18"/>
      <c r="TWS933" s="18"/>
      <c r="TWT933" s="18"/>
      <c r="TWU933" s="18"/>
      <c r="TWV933" s="18"/>
      <c r="TWW933" s="18"/>
      <c r="TWX933" s="18"/>
      <c r="TWY933" s="18"/>
      <c r="TWZ933" s="18"/>
      <c r="TXA933" s="18"/>
      <c r="TXB933" s="18"/>
      <c r="TXC933" s="18"/>
      <c r="TXD933" s="18"/>
      <c r="TXE933" s="18"/>
      <c r="TXF933" s="18"/>
      <c r="TXG933" s="18"/>
      <c r="TXH933" s="18"/>
      <c r="TXI933" s="18"/>
      <c r="TXJ933" s="18"/>
      <c r="TXK933" s="18"/>
      <c r="TXL933" s="18"/>
      <c r="TXM933" s="18"/>
      <c r="TXN933" s="18"/>
      <c r="TXO933" s="18"/>
      <c r="TXP933" s="18"/>
      <c r="TXQ933" s="18"/>
      <c r="TXR933" s="18"/>
      <c r="TXS933" s="18"/>
      <c r="TXT933" s="18"/>
      <c r="TXU933" s="18"/>
      <c r="TXV933" s="18"/>
      <c r="TXW933" s="18"/>
      <c r="TXX933" s="18"/>
      <c r="TXY933" s="18"/>
      <c r="TXZ933" s="18"/>
      <c r="TYA933" s="18"/>
      <c r="TYB933" s="18"/>
      <c r="TYC933" s="18"/>
      <c r="TYD933" s="18"/>
      <c r="TYE933" s="18"/>
      <c r="TYF933" s="18"/>
      <c r="TYG933" s="18"/>
      <c r="TYH933" s="18"/>
      <c r="TYI933" s="18"/>
      <c r="TYJ933" s="18"/>
      <c r="TYK933" s="18"/>
      <c r="TYL933" s="18"/>
      <c r="TYM933" s="18"/>
      <c r="TYN933" s="18"/>
      <c r="TYO933" s="18"/>
      <c r="TYP933" s="18"/>
      <c r="TYQ933" s="18"/>
      <c r="TYR933" s="18"/>
      <c r="TYS933" s="18"/>
      <c r="TYT933" s="18"/>
      <c r="TYU933" s="18"/>
      <c r="TYV933" s="18"/>
      <c r="TYW933" s="18"/>
      <c r="TYX933" s="18"/>
      <c r="TYY933" s="18"/>
      <c r="TYZ933" s="18"/>
      <c r="TZA933" s="18"/>
      <c r="TZB933" s="18"/>
      <c r="TZC933" s="18"/>
      <c r="TZD933" s="18"/>
      <c r="TZE933" s="18"/>
      <c r="TZF933" s="18"/>
      <c r="TZG933" s="18"/>
      <c r="TZH933" s="18"/>
      <c r="TZI933" s="18"/>
      <c r="TZJ933" s="18"/>
      <c r="TZK933" s="18"/>
      <c r="TZL933" s="18"/>
      <c r="TZM933" s="18"/>
      <c r="TZN933" s="18"/>
      <c r="TZO933" s="18"/>
      <c r="TZP933" s="18"/>
      <c r="TZQ933" s="18"/>
      <c r="TZR933" s="18"/>
      <c r="TZS933" s="18"/>
      <c r="TZT933" s="18"/>
      <c r="TZU933" s="18"/>
      <c r="TZV933" s="18"/>
      <c r="TZW933" s="18"/>
      <c r="TZX933" s="18"/>
      <c r="TZY933" s="18"/>
      <c r="TZZ933" s="18"/>
      <c r="UAA933" s="18"/>
      <c r="UAB933" s="18"/>
      <c r="UAC933" s="18"/>
      <c r="UAD933" s="18"/>
      <c r="UAE933" s="18"/>
      <c r="UAF933" s="18"/>
      <c r="UAG933" s="18"/>
      <c r="UAH933" s="18"/>
      <c r="UAI933" s="18"/>
      <c r="UAJ933" s="18"/>
      <c r="UAK933" s="18"/>
      <c r="UAL933" s="18"/>
      <c r="UAM933" s="18"/>
      <c r="UAN933" s="18"/>
      <c r="UAO933" s="18"/>
      <c r="UAP933" s="18"/>
      <c r="UAQ933" s="18"/>
      <c r="UAR933" s="18"/>
      <c r="UAS933" s="18"/>
      <c r="UAT933" s="18"/>
      <c r="UAU933" s="18"/>
      <c r="UAV933" s="18"/>
      <c r="UAW933" s="18"/>
      <c r="UAX933" s="18"/>
      <c r="UAY933" s="18"/>
      <c r="UAZ933" s="18"/>
      <c r="UBA933" s="18"/>
      <c r="UBB933" s="18"/>
      <c r="UBC933" s="18"/>
      <c r="UBD933" s="18"/>
      <c r="UBE933" s="18"/>
      <c r="UBF933" s="18"/>
      <c r="UBG933" s="18"/>
      <c r="UBH933" s="18"/>
      <c r="UBI933" s="18"/>
      <c r="UBJ933" s="18"/>
      <c r="UBK933" s="18"/>
      <c r="UBL933" s="18"/>
      <c r="UBM933" s="18"/>
      <c r="UBN933" s="18"/>
      <c r="UBO933" s="18"/>
      <c r="UBP933" s="18"/>
      <c r="UBQ933" s="18"/>
      <c r="UBR933" s="18"/>
      <c r="UBS933" s="18"/>
      <c r="UBT933" s="18"/>
      <c r="UBU933" s="18"/>
      <c r="UBV933" s="18"/>
      <c r="UBW933" s="18"/>
      <c r="UBX933" s="18"/>
      <c r="UBY933" s="18"/>
      <c r="UBZ933" s="18"/>
      <c r="UCA933" s="18"/>
      <c r="UCB933" s="18"/>
      <c r="UCC933" s="18"/>
      <c r="UCD933" s="18"/>
      <c r="UCE933" s="18"/>
      <c r="UCF933" s="18"/>
      <c r="UCG933" s="18"/>
      <c r="UCH933" s="18"/>
      <c r="UCI933" s="18"/>
      <c r="UCJ933" s="18"/>
      <c r="UCK933" s="18"/>
      <c r="UCL933" s="18"/>
      <c r="UCM933" s="18"/>
      <c r="UCN933" s="18"/>
      <c r="UCO933" s="18"/>
      <c r="UCP933" s="18"/>
      <c r="UCQ933" s="18"/>
      <c r="UCR933" s="18"/>
      <c r="UCS933" s="18"/>
      <c r="UCT933" s="18"/>
      <c r="UCU933" s="18"/>
      <c r="UCV933" s="18"/>
      <c r="UCW933" s="18"/>
      <c r="UCX933" s="18"/>
      <c r="UCY933" s="18"/>
      <c r="UCZ933" s="18"/>
      <c r="UDA933" s="18"/>
      <c r="UDB933" s="18"/>
      <c r="UDC933" s="18"/>
      <c r="UDD933" s="18"/>
      <c r="UDE933" s="18"/>
      <c r="UDF933" s="18"/>
      <c r="UDG933" s="18"/>
      <c r="UDH933" s="18"/>
      <c r="UDI933" s="18"/>
      <c r="UDJ933" s="18"/>
      <c r="UDK933" s="18"/>
      <c r="UDL933" s="18"/>
      <c r="UDM933" s="18"/>
      <c r="UDN933" s="18"/>
      <c r="UDO933" s="18"/>
      <c r="UDP933" s="18"/>
      <c r="UDQ933" s="18"/>
      <c r="UDR933" s="18"/>
      <c r="UDS933" s="18"/>
      <c r="UDT933" s="18"/>
      <c r="UDU933" s="18"/>
      <c r="UDV933" s="18"/>
      <c r="UDW933" s="18"/>
      <c r="UDX933" s="18"/>
      <c r="UDY933" s="18"/>
      <c r="UDZ933" s="18"/>
      <c r="UEA933" s="18"/>
      <c r="UEB933" s="18"/>
      <c r="UEC933" s="18"/>
      <c r="UED933" s="18"/>
      <c r="UEE933" s="18"/>
      <c r="UEF933" s="18"/>
      <c r="UEG933" s="18"/>
      <c r="UEH933" s="18"/>
      <c r="UEI933" s="18"/>
      <c r="UEJ933" s="18"/>
      <c r="UEK933" s="18"/>
      <c r="UEL933" s="18"/>
      <c r="UEM933" s="18"/>
      <c r="UEN933" s="18"/>
      <c r="UEO933" s="18"/>
      <c r="UEP933" s="18"/>
      <c r="UEQ933" s="18"/>
      <c r="UER933" s="18"/>
      <c r="UES933" s="18"/>
      <c r="UET933" s="18"/>
      <c r="UEU933" s="18"/>
      <c r="UEV933" s="18"/>
      <c r="UEW933" s="18"/>
      <c r="UEX933" s="18"/>
      <c r="UEY933" s="18"/>
      <c r="UEZ933" s="18"/>
      <c r="UFA933" s="18"/>
      <c r="UFB933" s="18"/>
      <c r="UFC933" s="18"/>
      <c r="UFD933" s="18"/>
      <c r="UFE933" s="18"/>
      <c r="UFF933" s="18"/>
      <c r="UFG933" s="18"/>
      <c r="UFH933" s="18"/>
      <c r="UFI933" s="18"/>
      <c r="UFJ933" s="18"/>
      <c r="UFK933" s="18"/>
      <c r="UFL933" s="18"/>
      <c r="UFM933" s="18"/>
      <c r="UFN933" s="18"/>
      <c r="UFO933" s="18"/>
      <c r="UFP933" s="18"/>
      <c r="UFQ933" s="18"/>
      <c r="UFR933" s="18"/>
      <c r="UFS933" s="18"/>
      <c r="UFT933" s="18"/>
      <c r="UFU933" s="18"/>
      <c r="UFV933" s="18"/>
      <c r="UFW933" s="18"/>
      <c r="UFX933" s="18"/>
      <c r="UFY933" s="18"/>
      <c r="UFZ933" s="18"/>
      <c r="UGA933" s="18"/>
      <c r="UGB933" s="18"/>
      <c r="UGC933" s="18"/>
      <c r="UGD933" s="18"/>
      <c r="UGE933" s="18"/>
      <c r="UGF933" s="18"/>
      <c r="UGG933" s="18"/>
      <c r="UGH933" s="18"/>
      <c r="UGI933" s="18"/>
      <c r="UGJ933" s="18"/>
      <c r="UGK933" s="18"/>
      <c r="UGL933" s="18"/>
      <c r="UGM933" s="18"/>
      <c r="UGN933" s="18"/>
      <c r="UGO933" s="18"/>
      <c r="UGP933" s="18"/>
      <c r="UGQ933" s="18"/>
      <c r="UGR933" s="18"/>
      <c r="UGS933" s="18"/>
      <c r="UGT933" s="18"/>
      <c r="UGU933" s="18"/>
      <c r="UGV933" s="18"/>
      <c r="UGW933" s="18"/>
      <c r="UGX933" s="18"/>
      <c r="UGY933" s="18"/>
      <c r="UGZ933" s="18"/>
      <c r="UHA933" s="18"/>
      <c r="UHB933" s="18"/>
      <c r="UHC933" s="18"/>
      <c r="UHD933" s="18"/>
      <c r="UHE933" s="18"/>
      <c r="UHF933" s="18"/>
      <c r="UHG933" s="18"/>
      <c r="UHH933" s="18"/>
      <c r="UHI933" s="18"/>
      <c r="UHJ933" s="18"/>
      <c r="UHK933" s="18"/>
      <c r="UHL933" s="18"/>
      <c r="UHM933" s="18"/>
      <c r="UHN933" s="18"/>
      <c r="UHO933" s="18"/>
      <c r="UHP933" s="18"/>
      <c r="UHQ933" s="18"/>
      <c r="UHR933" s="18"/>
      <c r="UHS933" s="18"/>
      <c r="UHT933" s="18"/>
      <c r="UHU933" s="18"/>
      <c r="UHV933" s="18"/>
      <c r="UHW933" s="18"/>
      <c r="UHX933" s="18"/>
      <c r="UHY933" s="18"/>
      <c r="UHZ933" s="18"/>
      <c r="UIA933" s="18"/>
      <c r="UIB933" s="18"/>
      <c r="UIC933" s="18"/>
      <c r="UID933" s="18"/>
      <c r="UIE933" s="18"/>
      <c r="UIF933" s="18"/>
      <c r="UIG933" s="18"/>
      <c r="UIH933" s="18"/>
      <c r="UII933" s="18"/>
      <c r="UIJ933" s="18"/>
      <c r="UIK933" s="18"/>
      <c r="UIL933" s="18"/>
      <c r="UIM933" s="18"/>
      <c r="UIN933" s="18"/>
      <c r="UIO933" s="18"/>
      <c r="UIP933" s="18"/>
      <c r="UIQ933" s="18"/>
      <c r="UIR933" s="18"/>
      <c r="UIS933" s="18"/>
      <c r="UIT933" s="18"/>
      <c r="UIU933" s="18"/>
      <c r="UIV933" s="18"/>
      <c r="UIW933" s="18"/>
      <c r="UIX933" s="18"/>
      <c r="UIY933" s="18"/>
      <c r="UIZ933" s="18"/>
      <c r="UJA933" s="18"/>
      <c r="UJB933" s="18"/>
      <c r="UJC933" s="18"/>
      <c r="UJD933" s="18"/>
      <c r="UJE933" s="18"/>
      <c r="UJF933" s="18"/>
      <c r="UJG933" s="18"/>
      <c r="UJH933" s="18"/>
      <c r="UJI933" s="18"/>
      <c r="UJJ933" s="18"/>
      <c r="UJK933" s="18"/>
      <c r="UJL933" s="18"/>
      <c r="UJM933" s="18"/>
      <c r="UJN933" s="18"/>
      <c r="UJO933" s="18"/>
      <c r="UJP933" s="18"/>
      <c r="UJQ933" s="18"/>
      <c r="UJR933" s="18"/>
      <c r="UJS933" s="18"/>
      <c r="UJT933" s="18"/>
      <c r="UJU933" s="18"/>
      <c r="UJV933" s="18"/>
      <c r="UJW933" s="18"/>
      <c r="UJX933" s="18"/>
      <c r="UJY933" s="18"/>
      <c r="UJZ933" s="18"/>
      <c r="UKA933" s="18"/>
      <c r="UKB933" s="18"/>
      <c r="UKC933" s="18"/>
      <c r="UKD933" s="18"/>
      <c r="UKE933" s="18"/>
      <c r="UKF933" s="18"/>
      <c r="UKG933" s="18"/>
      <c r="UKH933" s="18"/>
      <c r="UKI933" s="18"/>
      <c r="UKJ933" s="18"/>
      <c r="UKK933" s="18"/>
      <c r="UKL933" s="18"/>
      <c r="UKM933" s="18"/>
      <c r="UKN933" s="18"/>
      <c r="UKO933" s="18"/>
      <c r="UKP933" s="18"/>
      <c r="UKQ933" s="18"/>
      <c r="UKR933" s="18"/>
      <c r="UKS933" s="18"/>
      <c r="UKT933" s="18"/>
      <c r="UKU933" s="18"/>
      <c r="UKV933" s="18"/>
      <c r="UKW933" s="18"/>
      <c r="UKX933" s="18"/>
      <c r="UKY933" s="18"/>
      <c r="UKZ933" s="18"/>
      <c r="ULA933" s="18"/>
      <c r="ULB933" s="18"/>
      <c r="ULC933" s="18"/>
      <c r="ULD933" s="18"/>
      <c r="ULE933" s="18"/>
      <c r="ULF933" s="18"/>
      <c r="ULG933" s="18"/>
      <c r="ULH933" s="18"/>
      <c r="ULI933" s="18"/>
      <c r="ULJ933" s="18"/>
      <c r="ULK933" s="18"/>
      <c r="ULL933" s="18"/>
      <c r="ULM933" s="18"/>
      <c r="ULN933" s="18"/>
      <c r="ULO933" s="18"/>
      <c r="ULP933" s="18"/>
      <c r="ULQ933" s="18"/>
      <c r="ULR933" s="18"/>
      <c r="ULS933" s="18"/>
      <c r="ULT933" s="18"/>
      <c r="ULU933" s="18"/>
      <c r="ULV933" s="18"/>
      <c r="ULW933" s="18"/>
      <c r="ULX933" s="18"/>
      <c r="ULY933" s="18"/>
      <c r="ULZ933" s="18"/>
      <c r="UMA933" s="18"/>
      <c r="UMB933" s="18"/>
      <c r="UMC933" s="18"/>
      <c r="UMD933" s="18"/>
      <c r="UME933" s="18"/>
      <c r="UMF933" s="18"/>
      <c r="UMG933" s="18"/>
      <c r="UMH933" s="18"/>
      <c r="UMI933" s="18"/>
      <c r="UMJ933" s="18"/>
      <c r="UMK933" s="18"/>
      <c r="UML933" s="18"/>
      <c r="UMM933" s="18"/>
      <c r="UMN933" s="18"/>
      <c r="UMO933" s="18"/>
      <c r="UMP933" s="18"/>
      <c r="UMQ933" s="18"/>
      <c r="UMR933" s="18"/>
      <c r="UMS933" s="18"/>
      <c r="UMT933" s="18"/>
      <c r="UMU933" s="18"/>
      <c r="UMV933" s="18"/>
      <c r="UMW933" s="18"/>
      <c r="UMX933" s="18"/>
      <c r="UMY933" s="18"/>
      <c r="UMZ933" s="18"/>
      <c r="UNA933" s="18"/>
      <c r="UNB933" s="18"/>
      <c r="UNC933" s="18"/>
      <c r="UND933" s="18"/>
      <c r="UNE933" s="18"/>
      <c r="UNF933" s="18"/>
      <c r="UNG933" s="18"/>
      <c r="UNH933" s="18"/>
      <c r="UNI933" s="18"/>
      <c r="UNJ933" s="18"/>
      <c r="UNK933" s="18"/>
      <c r="UNL933" s="18"/>
      <c r="UNM933" s="18"/>
      <c r="UNN933" s="18"/>
      <c r="UNO933" s="18"/>
      <c r="UNP933" s="18"/>
      <c r="UNQ933" s="18"/>
      <c r="UNR933" s="18"/>
      <c r="UNS933" s="18"/>
      <c r="UNT933" s="18"/>
      <c r="UNU933" s="18"/>
      <c r="UNV933" s="18"/>
      <c r="UNW933" s="18"/>
      <c r="UNX933" s="18"/>
      <c r="UNY933" s="18"/>
      <c r="UNZ933" s="18"/>
      <c r="UOA933" s="18"/>
      <c r="UOB933" s="18"/>
      <c r="UOC933" s="18"/>
      <c r="UOD933" s="18"/>
      <c r="UOE933" s="18"/>
      <c r="UOF933" s="18"/>
      <c r="UOG933" s="18"/>
      <c r="UOH933" s="18"/>
      <c r="UOI933" s="18"/>
      <c r="UOJ933" s="18"/>
      <c r="UOK933" s="18"/>
      <c r="UOL933" s="18"/>
      <c r="UOM933" s="18"/>
      <c r="UON933" s="18"/>
      <c r="UOO933" s="18"/>
      <c r="UOP933" s="18"/>
      <c r="UOQ933" s="18"/>
      <c r="UOR933" s="18"/>
      <c r="UOS933" s="18"/>
      <c r="UOT933" s="18"/>
      <c r="UOU933" s="18"/>
      <c r="UOV933" s="18"/>
      <c r="UOW933" s="18"/>
      <c r="UOX933" s="18"/>
      <c r="UOY933" s="18"/>
      <c r="UOZ933" s="18"/>
      <c r="UPA933" s="18"/>
      <c r="UPB933" s="18"/>
      <c r="UPC933" s="18"/>
      <c r="UPD933" s="18"/>
      <c r="UPE933" s="18"/>
      <c r="UPF933" s="18"/>
      <c r="UPG933" s="18"/>
      <c r="UPH933" s="18"/>
      <c r="UPI933" s="18"/>
      <c r="UPJ933" s="18"/>
      <c r="UPK933" s="18"/>
      <c r="UPL933" s="18"/>
      <c r="UPM933" s="18"/>
      <c r="UPN933" s="18"/>
      <c r="UPO933" s="18"/>
      <c r="UPP933" s="18"/>
      <c r="UPQ933" s="18"/>
      <c r="UPR933" s="18"/>
      <c r="UPS933" s="18"/>
      <c r="UPT933" s="18"/>
      <c r="UPU933" s="18"/>
      <c r="UPV933" s="18"/>
      <c r="UPW933" s="18"/>
      <c r="UPX933" s="18"/>
      <c r="UPY933" s="18"/>
      <c r="UPZ933" s="18"/>
      <c r="UQA933" s="18"/>
      <c r="UQB933" s="18"/>
      <c r="UQC933" s="18"/>
      <c r="UQD933" s="18"/>
      <c r="UQE933" s="18"/>
      <c r="UQF933" s="18"/>
      <c r="UQG933" s="18"/>
      <c r="UQH933" s="18"/>
      <c r="UQI933" s="18"/>
      <c r="UQJ933" s="18"/>
      <c r="UQK933" s="18"/>
      <c r="UQL933" s="18"/>
      <c r="UQM933" s="18"/>
      <c r="UQN933" s="18"/>
      <c r="UQO933" s="18"/>
      <c r="UQP933" s="18"/>
      <c r="UQQ933" s="18"/>
      <c r="UQR933" s="18"/>
      <c r="UQS933" s="18"/>
      <c r="UQT933" s="18"/>
      <c r="UQU933" s="18"/>
      <c r="UQV933" s="18"/>
      <c r="UQW933" s="18"/>
      <c r="UQX933" s="18"/>
      <c r="UQY933" s="18"/>
      <c r="UQZ933" s="18"/>
      <c r="URA933" s="18"/>
      <c r="URB933" s="18"/>
      <c r="URC933" s="18"/>
      <c r="URD933" s="18"/>
      <c r="URE933" s="18"/>
      <c r="URF933" s="18"/>
      <c r="URG933" s="18"/>
      <c r="URH933" s="18"/>
      <c r="URI933" s="18"/>
      <c r="URJ933" s="18"/>
      <c r="URK933" s="18"/>
      <c r="URL933" s="18"/>
      <c r="URM933" s="18"/>
      <c r="URN933" s="18"/>
      <c r="URO933" s="18"/>
      <c r="URP933" s="18"/>
      <c r="URQ933" s="18"/>
      <c r="URR933" s="18"/>
      <c r="URS933" s="18"/>
      <c r="URT933" s="18"/>
      <c r="URU933" s="18"/>
      <c r="URV933" s="18"/>
      <c r="URW933" s="18"/>
      <c r="URX933" s="18"/>
      <c r="URY933" s="18"/>
      <c r="URZ933" s="18"/>
      <c r="USA933" s="18"/>
      <c r="USB933" s="18"/>
      <c r="USC933" s="18"/>
      <c r="USD933" s="18"/>
      <c r="USE933" s="18"/>
      <c r="USF933" s="18"/>
      <c r="USG933" s="18"/>
      <c r="USH933" s="18"/>
      <c r="USI933" s="18"/>
      <c r="USJ933" s="18"/>
      <c r="USK933" s="18"/>
      <c r="USL933" s="18"/>
      <c r="USM933" s="18"/>
      <c r="USN933" s="18"/>
      <c r="USO933" s="18"/>
      <c r="USP933" s="18"/>
      <c r="USQ933" s="18"/>
      <c r="USR933" s="18"/>
      <c r="USS933" s="18"/>
      <c r="UST933" s="18"/>
      <c r="USU933" s="18"/>
      <c r="USV933" s="18"/>
      <c r="USW933" s="18"/>
      <c r="USX933" s="18"/>
      <c r="USY933" s="18"/>
      <c r="USZ933" s="18"/>
      <c r="UTA933" s="18"/>
      <c r="UTB933" s="18"/>
      <c r="UTC933" s="18"/>
      <c r="UTD933" s="18"/>
      <c r="UTE933" s="18"/>
      <c r="UTF933" s="18"/>
      <c r="UTG933" s="18"/>
      <c r="UTH933" s="18"/>
      <c r="UTI933" s="18"/>
      <c r="UTJ933" s="18"/>
      <c r="UTK933" s="18"/>
      <c r="UTL933" s="18"/>
      <c r="UTM933" s="18"/>
      <c r="UTN933" s="18"/>
      <c r="UTO933" s="18"/>
      <c r="UTP933" s="18"/>
      <c r="UTQ933" s="18"/>
      <c r="UTR933" s="18"/>
      <c r="UTS933" s="18"/>
      <c r="UTT933" s="18"/>
      <c r="UTU933" s="18"/>
      <c r="UTV933" s="18"/>
      <c r="UTW933" s="18"/>
      <c r="UTX933" s="18"/>
      <c r="UTY933" s="18"/>
      <c r="UTZ933" s="18"/>
      <c r="UUA933" s="18"/>
      <c r="UUB933" s="18"/>
      <c r="UUC933" s="18"/>
      <c r="UUD933" s="18"/>
      <c r="UUE933" s="18"/>
      <c r="UUF933" s="18"/>
      <c r="UUG933" s="18"/>
      <c r="UUH933" s="18"/>
      <c r="UUI933" s="18"/>
      <c r="UUJ933" s="18"/>
      <c r="UUK933" s="18"/>
      <c r="UUL933" s="18"/>
      <c r="UUM933" s="18"/>
      <c r="UUN933" s="18"/>
      <c r="UUO933" s="18"/>
      <c r="UUP933" s="18"/>
      <c r="UUQ933" s="18"/>
      <c r="UUR933" s="18"/>
      <c r="UUS933" s="18"/>
      <c r="UUT933" s="18"/>
      <c r="UUU933" s="18"/>
      <c r="UUV933" s="18"/>
      <c r="UUW933" s="18"/>
      <c r="UUX933" s="18"/>
      <c r="UUY933" s="18"/>
      <c r="UUZ933" s="18"/>
      <c r="UVA933" s="18"/>
      <c r="UVB933" s="18"/>
      <c r="UVC933" s="18"/>
      <c r="UVD933" s="18"/>
      <c r="UVE933" s="18"/>
      <c r="UVF933" s="18"/>
      <c r="UVG933" s="18"/>
      <c r="UVH933" s="18"/>
      <c r="UVI933" s="18"/>
      <c r="UVJ933" s="18"/>
      <c r="UVK933" s="18"/>
      <c r="UVL933" s="18"/>
      <c r="UVM933" s="18"/>
      <c r="UVN933" s="18"/>
      <c r="UVO933" s="18"/>
      <c r="UVP933" s="18"/>
      <c r="UVQ933" s="18"/>
      <c r="UVR933" s="18"/>
      <c r="UVS933" s="18"/>
      <c r="UVT933" s="18"/>
      <c r="UVU933" s="18"/>
      <c r="UVV933" s="18"/>
      <c r="UVW933" s="18"/>
      <c r="UVX933" s="18"/>
      <c r="UVY933" s="18"/>
      <c r="UVZ933" s="18"/>
      <c r="UWA933" s="18"/>
      <c r="UWB933" s="18"/>
      <c r="UWC933" s="18"/>
      <c r="UWD933" s="18"/>
      <c r="UWE933" s="18"/>
      <c r="UWF933" s="18"/>
      <c r="UWG933" s="18"/>
      <c r="UWH933" s="18"/>
      <c r="UWI933" s="18"/>
      <c r="UWJ933" s="18"/>
      <c r="UWK933" s="18"/>
      <c r="UWL933" s="18"/>
      <c r="UWM933" s="18"/>
      <c r="UWN933" s="18"/>
      <c r="UWO933" s="18"/>
      <c r="UWP933" s="18"/>
      <c r="UWQ933" s="18"/>
      <c r="UWR933" s="18"/>
      <c r="UWS933" s="18"/>
      <c r="UWT933" s="18"/>
      <c r="UWU933" s="18"/>
      <c r="UWV933" s="18"/>
      <c r="UWW933" s="18"/>
      <c r="UWX933" s="18"/>
      <c r="UWY933" s="18"/>
      <c r="UWZ933" s="18"/>
      <c r="UXA933" s="18"/>
      <c r="UXB933" s="18"/>
      <c r="UXC933" s="18"/>
      <c r="UXD933" s="18"/>
      <c r="UXE933" s="18"/>
      <c r="UXF933" s="18"/>
      <c r="UXG933" s="18"/>
      <c r="UXH933" s="18"/>
      <c r="UXI933" s="18"/>
      <c r="UXJ933" s="18"/>
      <c r="UXK933" s="18"/>
      <c r="UXL933" s="18"/>
      <c r="UXM933" s="18"/>
      <c r="UXN933" s="18"/>
      <c r="UXO933" s="18"/>
      <c r="UXP933" s="18"/>
      <c r="UXQ933" s="18"/>
      <c r="UXR933" s="18"/>
      <c r="UXS933" s="18"/>
      <c r="UXT933" s="18"/>
      <c r="UXU933" s="18"/>
      <c r="UXV933" s="18"/>
      <c r="UXW933" s="18"/>
      <c r="UXX933" s="18"/>
      <c r="UXY933" s="18"/>
      <c r="UXZ933" s="18"/>
      <c r="UYA933" s="18"/>
      <c r="UYB933" s="18"/>
      <c r="UYC933" s="18"/>
      <c r="UYD933" s="18"/>
      <c r="UYE933" s="18"/>
      <c r="UYF933" s="18"/>
      <c r="UYG933" s="18"/>
      <c r="UYH933" s="18"/>
      <c r="UYI933" s="18"/>
      <c r="UYJ933" s="18"/>
      <c r="UYK933" s="18"/>
      <c r="UYL933" s="18"/>
      <c r="UYM933" s="18"/>
      <c r="UYN933" s="18"/>
      <c r="UYO933" s="18"/>
      <c r="UYP933" s="18"/>
      <c r="UYQ933" s="18"/>
      <c r="UYR933" s="18"/>
      <c r="UYS933" s="18"/>
      <c r="UYT933" s="18"/>
      <c r="UYU933" s="18"/>
      <c r="UYV933" s="18"/>
      <c r="UYW933" s="18"/>
      <c r="UYX933" s="18"/>
      <c r="UYY933" s="18"/>
      <c r="UYZ933" s="18"/>
      <c r="UZA933" s="18"/>
      <c r="UZB933" s="18"/>
      <c r="UZC933" s="18"/>
      <c r="UZD933" s="18"/>
      <c r="UZE933" s="18"/>
      <c r="UZF933" s="18"/>
      <c r="UZG933" s="18"/>
      <c r="UZH933" s="18"/>
      <c r="UZI933" s="18"/>
      <c r="UZJ933" s="18"/>
      <c r="UZK933" s="18"/>
      <c r="UZL933" s="18"/>
      <c r="UZM933" s="18"/>
      <c r="UZN933" s="18"/>
      <c r="UZO933" s="18"/>
      <c r="UZP933" s="18"/>
      <c r="UZQ933" s="18"/>
      <c r="UZR933" s="18"/>
      <c r="UZS933" s="18"/>
      <c r="UZT933" s="18"/>
      <c r="UZU933" s="18"/>
      <c r="UZV933" s="18"/>
      <c r="UZW933" s="18"/>
      <c r="UZX933" s="18"/>
      <c r="UZY933" s="18"/>
      <c r="UZZ933" s="18"/>
      <c r="VAA933" s="18"/>
      <c r="VAB933" s="18"/>
      <c r="VAC933" s="18"/>
      <c r="VAD933" s="18"/>
      <c r="VAE933" s="18"/>
      <c r="VAF933" s="18"/>
      <c r="VAG933" s="18"/>
      <c r="VAH933" s="18"/>
      <c r="VAI933" s="18"/>
      <c r="VAJ933" s="18"/>
      <c r="VAK933" s="18"/>
      <c r="VAL933" s="18"/>
      <c r="VAM933" s="18"/>
      <c r="VAN933" s="18"/>
      <c r="VAO933" s="18"/>
      <c r="VAP933" s="18"/>
      <c r="VAQ933" s="18"/>
      <c r="VAR933" s="18"/>
      <c r="VAS933" s="18"/>
      <c r="VAT933" s="18"/>
      <c r="VAU933" s="18"/>
      <c r="VAV933" s="18"/>
      <c r="VAW933" s="18"/>
      <c r="VAX933" s="18"/>
      <c r="VAY933" s="18"/>
      <c r="VAZ933" s="18"/>
      <c r="VBA933" s="18"/>
      <c r="VBB933" s="18"/>
      <c r="VBC933" s="18"/>
      <c r="VBD933" s="18"/>
      <c r="VBE933" s="18"/>
      <c r="VBF933" s="18"/>
      <c r="VBG933" s="18"/>
      <c r="VBH933" s="18"/>
      <c r="VBI933" s="18"/>
      <c r="VBJ933" s="18"/>
      <c r="VBK933" s="18"/>
      <c r="VBL933" s="18"/>
      <c r="VBM933" s="18"/>
      <c r="VBN933" s="18"/>
      <c r="VBO933" s="18"/>
      <c r="VBP933" s="18"/>
      <c r="VBQ933" s="18"/>
      <c r="VBR933" s="18"/>
      <c r="VBS933" s="18"/>
      <c r="VBT933" s="18"/>
      <c r="VBU933" s="18"/>
      <c r="VBV933" s="18"/>
      <c r="VBW933" s="18"/>
      <c r="VBX933" s="18"/>
      <c r="VBY933" s="18"/>
      <c r="VBZ933" s="18"/>
      <c r="VCA933" s="18"/>
      <c r="VCB933" s="18"/>
      <c r="VCC933" s="18"/>
      <c r="VCD933" s="18"/>
      <c r="VCE933" s="18"/>
      <c r="VCF933" s="18"/>
      <c r="VCG933" s="18"/>
      <c r="VCH933" s="18"/>
      <c r="VCI933" s="18"/>
      <c r="VCJ933" s="18"/>
      <c r="VCK933" s="18"/>
      <c r="VCL933" s="18"/>
      <c r="VCM933" s="18"/>
      <c r="VCN933" s="18"/>
      <c r="VCO933" s="18"/>
      <c r="VCP933" s="18"/>
      <c r="VCQ933" s="18"/>
      <c r="VCR933" s="18"/>
      <c r="VCS933" s="18"/>
      <c r="VCT933" s="18"/>
      <c r="VCU933" s="18"/>
      <c r="VCV933" s="18"/>
      <c r="VCW933" s="18"/>
      <c r="VCX933" s="18"/>
      <c r="VCY933" s="18"/>
      <c r="VCZ933" s="18"/>
      <c r="VDA933" s="18"/>
      <c r="VDB933" s="18"/>
      <c r="VDC933" s="18"/>
      <c r="VDD933" s="18"/>
      <c r="VDE933" s="18"/>
      <c r="VDF933" s="18"/>
      <c r="VDG933" s="18"/>
      <c r="VDH933" s="18"/>
      <c r="VDI933" s="18"/>
      <c r="VDJ933" s="18"/>
      <c r="VDK933" s="18"/>
      <c r="VDL933" s="18"/>
      <c r="VDM933" s="18"/>
      <c r="VDN933" s="18"/>
      <c r="VDO933" s="18"/>
      <c r="VDP933" s="18"/>
      <c r="VDQ933" s="18"/>
      <c r="VDR933" s="18"/>
      <c r="VDS933" s="18"/>
      <c r="VDT933" s="18"/>
      <c r="VDU933" s="18"/>
      <c r="VDV933" s="18"/>
      <c r="VDW933" s="18"/>
      <c r="VDX933" s="18"/>
      <c r="VDY933" s="18"/>
      <c r="VDZ933" s="18"/>
      <c r="VEA933" s="18"/>
      <c r="VEB933" s="18"/>
      <c r="VEC933" s="18"/>
      <c r="VED933" s="18"/>
      <c r="VEE933" s="18"/>
      <c r="VEF933" s="18"/>
      <c r="VEG933" s="18"/>
      <c r="VEH933" s="18"/>
      <c r="VEI933" s="18"/>
      <c r="VEJ933" s="18"/>
      <c r="VEK933" s="18"/>
      <c r="VEL933" s="18"/>
      <c r="VEM933" s="18"/>
      <c r="VEN933" s="18"/>
      <c r="VEO933" s="18"/>
      <c r="VEP933" s="18"/>
      <c r="VEQ933" s="18"/>
      <c r="VER933" s="18"/>
      <c r="VES933" s="18"/>
      <c r="VET933" s="18"/>
      <c r="VEU933" s="18"/>
      <c r="VEV933" s="18"/>
      <c r="VEW933" s="18"/>
      <c r="VEX933" s="18"/>
      <c r="VEY933" s="18"/>
      <c r="VEZ933" s="18"/>
      <c r="VFA933" s="18"/>
      <c r="VFB933" s="18"/>
      <c r="VFC933" s="18"/>
      <c r="VFD933" s="18"/>
      <c r="VFE933" s="18"/>
      <c r="VFF933" s="18"/>
      <c r="VFG933" s="18"/>
      <c r="VFH933" s="18"/>
      <c r="VFI933" s="18"/>
      <c r="VFJ933" s="18"/>
      <c r="VFK933" s="18"/>
      <c r="VFL933" s="18"/>
      <c r="VFM933" s="18"/>
      <c r="VFN933" s="18"/>
      <c r="VFO933" s="18"/>
      <c r="VFP933" s="18"/>
      <c r="VFQ933" s="18"/>
      <c r="VFR933" s="18"/>
      <c r="VFS933" s="18"/>
      <c r="VFT933" s="18"/>
      <c r="VFU933" s="18"/>
      <c r="VFV933" s="18"/>
      <c r="VFW933" s="18"/>
      <c r="VFX933" s="18"/>
      <c r="VFY933" s="18"/>
      <c r="VFZ933" s="18"/>
      <c r="VGA933" s="18"/>
      <c r="VGB933" s="18"/>
      <c r="VGC933" s="18"/>
      <c r="VGD933" s="18"/>
      <c r="VGE933" s="18"/>
      <c r="VGF933" s="18"/>
      <c r="VGG933" s="18"/>
      <c r="VGH933" s="18"/>
      <c r="VGI933" s="18"/>
      <c r="VGJ933" s="18"/>
      <c r="VGK933" s="18"/>
      <c r="VGL933" s="18"/>
      <c r="VGM933" s="18"/>
      <c r="VGN933" s="18"/>
      <c r="VGO933" s="18"/>
      <c r="VGP933" s="18"/>
      <c r="VGQ933" s="18"/>
      <c r="VGR933" s="18"/>
      <c r="VGS933" s="18"/>
      <c r="VGT933" s="18"/>
      <c r="VGU933" s="18"/>
      <c r="VGV933" s="18"/>
      <c r="VGW933" s="18"/>
      <c r="VGX933" s="18"/>
      <c r="VGY933" s="18"/>
      <c r="VGZ933" s="18"/>
      <c r="VHA933" s="18"/>
      <c r="VHB933" s="18"/>
      <c r="VHC933" s="18"/>
      <c r="VHD933" s="18"/>
      <c r="VHE933" s="18"/>
      <c r="VHF933" s="18"/>
      <c r="VHG933" s="18"/>
      <c r="VHH933" s="18"/>
      <c r="VHI933" s="18"/>
      <c r="VHJ933" s="18"/>
      <c r="VHK933" s="18"/>
      <c r="VHL933" s="18"/>
      <c r="VHM933" s="18"/>
      <c r="VHN933" s="18"/>
      <c r="VHO933" s="18"/>
      <c r="VHP933" s="18"/>
      <c r="VHQ933" s="18"/>
      <c r="VHR933" s="18"/>
      <c r="VHS933" s="18"/>
      <c r="VHT933" s="18"/>
      <c r="VHU933" s="18"/>
      <c r="VHV933" s="18"/>
      <c r="VHW933" s="18"/>
      <c r="VHX933" s="18"/>
      <c r="VHY933" s="18"/>
      <c r="VHZ933" s="18"/>
      <c r="VIA933" s="18"/>
      <c r="VIB933" s="18"/>
      <c r="VIC933" s="18"/>
      <c r="VID933" s="18"/>
      <c r="VIE933" s="18"/>
      <c r="VIF933" s="18"/>
      <c r="VIG933" s="18"/>
      <c r="VIH933" s="18"/>
      <c r="VII933" s="18"/>
      <c r="VIJ933" s="18"/>
      <c r="VIK933" s="18"/>
      <c r="VIL933" s="18"/>
      <c r="VIM933" s="18"/>
      <c r="VIN933" s="18"/>
      <c r="VIO933" s="18"/>
      <c r="VIP933" s="18"/>
      <c r="VIQ933" s="18"/>
      <c r="VIR933" s="18"/>
      <c r="VIS933" s="18"/>
      <c r="VIT933" s="18"/>
      <c r="VIU933" s="18"/>
      <c r="VIV933" s="18"/>
      <c r="VIW933" s="18"/>
      <c r="VIX933" s="18"/>
      <c r="VIY933" s="18"/>
      <c r="VIZ933" s="18"/>
      <c r="VJA933" s="18"/>
      <c r="VJB933" s="18"/>
      <c r="VJC933" s="18"/>
      <c r="VJD933" s="18"/>
      <c r="VJE933" s="18"/>
      <c r="VJF933" s="18"/>
      <c r="VJG933" s="18"/>
      <c r="VJH933" s="18"/>
      <c r="VJI933" s="18"/>
      <c r="VJJ933" s="18"/>
      <c r="VJK933" s="18"/>
      <c r="VJL933" s="18"/>
      <c r="VJM933" s="18"/>
      <c r="VJN933" s="18"/>
      <c r="VJO933" s="18"/>
      <c r="VJP933" s="18"/>
      <c r="VJQ933" s="18"/>
      <c r="VJR933" s="18"/>
      <c r="VJS933" s="18"/>
      <c r="VJT933" s="18"/>
      <c r="VJU933" s="18"/>
      <c r="VJV933" s="18"/>
      <c r="VJW933" s="18"/>
      <c r="VJX933" s="18"/>
      <c r="VJY933" s="18"/>
      <c r="VJZ933" s="18"/>
      <c r="VKA933" s="18"/>
      <c r="VKB933" s="18"/>
      <c r="VKC933" s="18"/>
      <c r="VKD933" s="18"/>
      <c r="VKE933" s="18"/>
      <c r="VKF933" s="18"/>
      <c r="VKG933" s="18"/>
      <c r="VKH933" s="18"/>
      <c r="VKI933" s="18"/>
      <c r="VKJ933" s="18"/>
      <c r="VKK933" s="18"/>
      <c r="VKL933" s="18"/>
      <c r="VKM933" s="18"/>
      <c r="VKN933" s="18"/>
      <c r="VKO933" s="18"/>
      <c r="VKP933" s="18"/>
      <c r="VKQ933" s="18"/>
      <c r="VKR933" s="18"/>
      <c r="VKS933" s="18"/>
      <c r="VKT933" s="18"/>
      <c r="VKU933" s="18"/>
      <c r="VKV933" s="18"/>
      <c r="VKW933" s="18"/>
      <c r="VKX933" s="18"/>
      <c r="VKY933" s="18"/>
      <c r="VKZ933" s="18"/>
      <c r="VLA933" s="18"/>
      <c r="VLB933" s="18"/>
      <c r="VLC933" s="18"/>
      <c r="VLD933" s="18"/>
      <c r="VLE933" s="18"/>
      <c r="VLF933" s="18"/>
      <c r="VLG933" s="18"/>
      <c r="VLH933" s="18"/>
      <c r="VLI933" s="18"/>
      <c r="VLJ933" s="18"/>
      <c r="VLK933" s="18"/>
      <c r="VLL933" s="18"/>
      <c r="VLM933" s="18"/>
      <c r="VLN933" s="18"/>
      <c r="VLO933" s="18"/>
      <c r="VLP933" s="18"/>
      <c r="VLQ933" s="18"/>
      <c r="VLR933" s="18"/>
      <c r="VLS933" s="18"/>
      <c r="VLT933" s="18"/>
      <c r="VLU933" s="18"/>
      <c r="VLV933" s="18"/>
      <c r="VLW933" s="18"/>
      <c r="VLX933" s="18"/>
      <c r="VLY933" s="18"/>
      <c r="VLZ933" s="18"/>
      <c r="VMA933" s="18"/>
      <c r="VMB933" s="18"/>
      <c r="VMC933" s="18"/>
      <c r="VMD933" s="18"/>
      <c r="VME933" s="18"/>
      <c r="VMF933" s="18"/>
      <c r="VMG933" s="18"/>
      <c r="VMH933" s="18"/>
      <c r="VMI933" s="18"/>
      <c r="VMJ933" s="18"/>
      <c r="VMK933" s="18"/>
      <c r="VML933" s="18"/>
      <c r="VMM933" s="18"/>
      <c r="VMN933" s="18"/>
      <c r="VMO933" s="18"/>
      <c r="VMP933" s="18"/>
      <c r="VMQ933" s="18"/>
      <c r="VMR933" s="18"/>
      <c r="VMS933" s="18"/>
      <c r="VMT933" s="18"/>
      <c r="VMU933" s="18"/>
      <c r="VMV933" s="18"/>
      <c r="VMW933" s="18"/>
      <c r="VMX933" s="18"/>
      <c r="VMY933" s="18"/>
      <c r="VMZ933" s="18"/>
      <c r="VNA933" s="18"/>
      <c r="VNB933" s="18"/>
      <c r="VNC933" s="18"/>
      <c r="VND933" s="18"/>
      <c r="VNE933" s="18"/>
      <c r="VNF933" s="18"/>
      <c r="VNG933" s="18"/>
      <c r="VNH933" s="18"/>
      <c r="VNI933" s="18"/>
      <c r="VNJ933" s="18"/>
      <c r="VNK933" s="18"/>
      <c r="VNL933" s="18"/>
      <c r="VNM933" s="18"/>
      <c r="VNN933" s="18"/>
      <c r="VNO933" s="18"/>
      <c r="VNP933" s="18"/>
      <c r="VNQ933" s="18"/>
      <c r="VNR933" s="18"/>
      <c r="VNS933" s="18"/>
      <c r="VNT933" s="18"/>
      <c r="VNU933" s="18"/>
      <c r="VNV933" s="18"/>
      <c r="VNW933" s="18"/>
      <c r="VNX933" s="18"/>
      <c r="VNY933" s="18"/>
      <c r="VNZ933" s="18"/>
      <c r="VOA933" s="18"/>
      <c r="VOB933" s="18"/>
      <c r="VOC933" s="18"/>
      <c r="VOD933" s="18"/>
      <c r="VOE933" s="18"/>
      <c r="VOF933" s="18"/>
      <c r="VOG933" s="18"/>
      <c r="VOH933" s="18"/>
      <c r="VOI933" s="18"/>
      <c r="VOJ933" s="18"/>
      <c r="VOK933" s="18"/>
      <c r="VOL933" s="18"/>
      <c r="VOM933" s="18"/>
      <c r="VON933" s="18"/>
      <c r="VOO933" s="18"/>
      <c r="VOP933" s="18"/>
      <c r="VOQ933" s="18"/>
      <c r="VOR933" s="18"/>
      <c r="VOS933" s="18"/>
      <c r="VOT933" s="18"/>
      <c r="VOU933" s="18"/>
      <c r="VOV933" s="18"/>
      <c r="VOW933" s="18"/>
      <c r="VOX933" s="18"/>
      <c r="VOY933" s="18"/>
      <c r="VOZ933" s="18"/>
      <c r="VPA933" s="18"/>
      <c r="VPB933" s="18"/>
      <c r="VPC933" s="18"/>
      <c r="VPD933" s="18"/>
      <c r="VPE933" s="18"/>
      <c r="VPF933" s="18"/>
      <c r="VPG933" s="18"/>
      <c r="VPH933" s="18"/>
      <c r="VPI933" s="18"/>
      <c r="VPJ933" s="18"/>
      <c r="VPK933" s="18"/>
      <c r="VPL933" s="18"/>
      <c r="VPM933" s="18"/>
      <c r="VPN933" s="18"/>
      <c r="VPO933" s="18"/>
      <c r="VPP933" s="18"/>
      <c r="VPQ933" s="18"/>
      <c r="VPR933" s="18"/>
      <c r="VPS933" s="18"/>
      <c r="VPT933" s="18"/>
      <c r="VPU933" s="18"/>
      <c r="VPV933" s="18"/>
      <c r="VPW933" s="18"/>
      <c r="VPX933" s="18"/>
      <c r="VPY933" s="18"/>
      <c r="VPZ933" s="18"/>
      <c r="VQA933" s="18"/>
      <c r="VQB933" s="18"/>
      <c r="VQC933" s="18"/>
      <c r="VQD933" s="18"/>
      <c r="VQE933" s="18"/>
      <c r="VQF933" s="18"/>
      <c r="VQG933" s="18"/>
      <c r="VQH933" s="18"/>
      <c r="VQI933" s="18"/>
      <c r="VQJ933" s="18"/>
      <c r="VQK933" s="18"/>
      <c r="VQL933" s="18"/>
      <c r="VQM933" s="18"/>
      <c r="VQN933" s="18"/>
      <c r="VQO933" s="18"/>
      <c r="VQP933" s="18"/>
      <c r="VQQ933" s="18"/>
      <c r="VQR933" s="18"/>
      <c r="VQS933" s="18"/>
      <c r="VQT933" s="18"/>
      <c r="VQU933" s="18"/>
      <c r="VQV933" s="18"/>
      <c r="VQW933" s="18"/>
      <c r="VQX933" s="18"/>
      <c r="VQY933" s="18"/>
      <c r="VQZ933" s="18"/>
      <c r="VRA933" s="18"/>
      <c r="VRB933" s="18"/>
      <c r="VRC933" s="18"/>
      <c r="VRD933" s="18"/>
      <c r="VRE933" s="18"/>
      <c r="VRF933" s="18"/>
      <c r="VRG933" s="18"/>
      <c r="VRH933" s="18"/>
      <c r="VRI933" s="18"/>
      <c r="VRJ933" s="18"/>
      <c r="VRK933" s="18"/>
      <c r="VRL933" s="18"/>
      <c r="VRM933" s="18"/>
      <c r="VRN933" s="18"/>
      <c r="VRO933" s="18"/>
      <c r="VRP933" s="18"/>
      <c r="VRQ933" s="18"/>
      <c r="VRR933" s="18"/>
      <c r="VRS933" s="18"/>
      <c r="VRT933" s="18"/>
      <c r="VRU933" s="18"/>
      <c r="VRV933" s="18"/>
      <c r="VRW933" s="18"/>
      <c r="VRX933" s="18"/>
      <c r="VRY933" s="18"/>
      <c r="VRZ933" s="18"/>
      <c r="VSA933" s="18"/>
      <c r="VSB933" s="18"/>
      <c r="VSC933" s="18"/>
      <c r="VSD933" s="18"/>
      <c r="VSE933" s="18"/>
      <c r="VSF933" s="18"/>
      <c r="VSG933" s="18"/>
      <c r="VSH933" s="18"/>
      <c r="VSI933" s="18"/>
      <c r="VSJ933" s="18"/>
      <c r="VSK933" s="18"/>
      <c r="VSL933" s="18"/>
      <c r="VSM933" s="18"/>
      <c r="VSN933" s="18"/>
      <c r="VSO933" s="18"/>
      <c r="VSP933" s="18"/>
      <c r="VSQ933" s="18"/>
      <c r="VSR933" s="18"/>
      <c r="VSS933" s="18"/>
      <c r="VST933" s="18"/>
      <c r="VSU933" s="18"/>
      <c r="VSV933" s="18"/>
      <c r="VSW933" s="18"/>
      <c r="VSX933" s="18"/>
      <c r="VSY933" s="18"/>
      <c r="VSZ933" s="18"/>
      <c r="VTA933" s="18"/>
      <c r="VTB933" s="18"/>
      <c r="VTC933" s="18"/>
      <c r="VTD933" s="18"/>
      <c r="VTE933" s="18"/>
      <c r="VTF933" s="18"/>
      <c r="VTG933" s="18"/>
      <c r="VTH933" s="18"/>
      <c r="VTI933" s="18"/>
      <c r="VTJ933" s="18"/>
      <c r="VTK933" s="18"/>
      <c r="VTL933" s="18"/>
      <c r="VTM933" s="18"/>
      <c r="VTN933" s="18"/>
      <c r="VTO933" s="18"/>
      <c r="VTP933" s="18"/>
      <c r="VTQ933" s="18"/>
      <c r="VTR933" s="18"/>
      <c r="VTS933" s="18"/>
      <c r="VTT933" s="18"/>
      <c r="VTU933" s="18"/>
      <c r="VTV933" s="18"/>
      <c r="VTW933" s="18"/>
      <c r="VTX933" s="18"/>
      <c r="VTY933" s="18"/>
      <c r="VTZ933" s="18"/>
      <c r="VUA933" s="18"/>
      <c r="VUB933" s="18"/>
      <c r="VUC933" s="18"/>
      <c r="VUD933" s="18"/>
      <c r="VUE933" s="18"/>
      <c r="VUF933" s="18"/>
      <c r="VUG933" s="18"/>
      <c r="VUH933" s="18"/>
      <c r="VUI933" s="18"/>
      <c r="VUJ933" s="18"/>
      <c r="VUK933" s="18"/>
      <c r="VUL933" s="18"/>
      <c r="VUM933" s="18"/>
      <c r="VUN933" s="18"/>
      <c r="VUO933" s="18"/>
      <c r="VUP933" s="18"/>
      <c r="VUQ933" s="18"/>
      <c r="VUR933" s="18"/>
      <c r="VUS933" s="18"/>
      <c r="VUT933" s="18"/>
      <c r="VUU933" s="18"/>
      <c r="VUV933" s="18"/>
      <c r="VUW933" s="18"/>
      <c r="VUX933" s="18"/>
      <c r="VUY933" s="18"/>
      <c r="VUZ933" s="18"/>
      <c r="VVA933" s="18"/>
      <c r="VVB933" s="18"/>
      <c r="VVC933" s="18"/>
      <c r="VVD933" s="18"/>
      <c r="VVE933" s="18"/>
      <c r="VVF933" s="18"/>
      <c r="VVG933" s="18"/>
      <c r="VVH933" s="18"/>
      <c r="VVI933" s="18"/>
      <c r="VVJ933" s="18"/>
      <c r="VVK933" s="18"/>
      <c r="VVL933" s="18"/>
      <c r="VVM933" s="18"/>
      <c r="VVN933" s="18"/>
      <c r="VVO933" s="18"/>
      <c r="VVP933" s="18"/>
      <c r="VVQ933" s="18"/>
      <c r="VVR933" s="18"/>
      <c r="VVS933" s="18"/>
      <c r="VVT933" s="18"/>
      <c r="VVU933" s="18"/>
      <c r="VVV933" s="18"/>
      <c r="VVW933" s="18"/>
      <c r="VVX933" s="18"/>
      <c r="VVY933" s="18"/>
      <c r="VVZ933" s="18"/>
      <c r="VWA933" s="18"/>
      <c r="VWB933" s="18"/>
      <c r="VWC933" s="18"/>
      <c r="VWD933" s="18"/>
      <c r="VWE933" s="18"/>
      <c r="VWF933" s="18"/>
      <c r="VWG933" s="18"/>
      <c r="VWH933" s="18"/>
      <c r="VWI933" s="18"/>
      <c r="VWJ933" s="18"/>
      <c r="VWK933" s="18"/>
      <c r="VWL933" s="18"/>
      <c r="VWM933" s="18"/>
      <c r="VWN933" s="18"/>
      <c r="VWO933" s="18"/>
      <c r="VWP933" s="18"/>
      <c r="VWQ933" s="18"/>
      <c r="VWR933" s="18"/>
      <c r="VWS933" s="18"/>
      <c r="VWT933" s="18"/>
      <c r="VWU933" s="18"/>
      <c r="VWV933" s="18"/>
      <c r="VWW933" s="18"/>
      <c r="VWX933" s="18"/>
      <c r="VWY933" s="18"/>
      <c r="VWZ933" s="18"/>
      <c r="VXA933" s="18"/>
      <c r="VXB933" s="18"/>
      <c r="VXC933" s="18"/>
      <c r="VXD933" s="18"/>
      <c r="VXE933" s="18"/>
      <c r="VXF933" s="18"/>
      <c r="VXG933" s="18"/>
      <c r="VXH933" s="18"/>
      <c r="VXI933" s="18"/>
      <c r="VXJ933" s="18"/>
      <c r="VXK933" s="18"/>
      <c r="VXL933" s="18"/>
      <c r="VXM933" s="18"/>
      <c r="VXN933" s="18"/>
      <c r="VXO933" s="18"/>
      <c r="VXP933" s="18"/>
      <c r="VXQ933" s="18"/>
      <c r="VXR933" s="18"/>
      <c r="VXS933" s="18"/>
      <c r="VXT933" s="18"/>
      <c r="VXU933" s="18"/>
      <c r="VXV933" s="18"/>
      <c r="VXW933" s="18"/>
      <c r="VXX933" s="18"/>
      <c r="VXY933" s="18"/>
      <c r="VXZ933" s="18"/>
      <c r="VYA933" s="18"/>
      <c r="VYB933" s="18"/>
      <c r="VYC933" s="18"/>
      <c r="VYD933" s="18"/>
      <c r="VYE933" s="18"/>
      <c r="VYF933" s="18"/>
      <c r="VYG933" s="18"/>
      <c r="VYH933" s="18"/>
      <c r="VYI933" s="18"/>
      <c r="VYJ933" s="18"/>
      <c r="VYK933" s="18"/>
      <c r="VYL933" s="18"/>
      <c r="VYM933" s="18"/>
      <c r="VYN933" s="18"/>
      <c r="VYO933" s="18"/>
      <c r="VYP933" s="18"/>
      <c r="VYQ933" s="18"/>
      <c r="VYR933" s="18"/>
      <c r="VYS933" s="18"/>
      <c r="VYT933" s="18"/>
      <c r="VYU933" s="18"/>
      <c r="VYV933" s="18"/>
      <c r="VYW933" s="18"/>
      <c r="VYX933" s="18"/>
      <c r="VYY933" s="18"/>
      <c r="VYZ933" s="18"/>
      <c r="VZA933" s="18"/>
      <c r="VZB933" s="18"/>
      <c r="VZC933" s="18"/>
      <c r="VZD933" s="18"/>
      <c r="VZE933" s="18"/>
      <c r="VZF933" s="18"/>
      <c r="VZG933" s="18"/>
      <c r="VZH933" s="18"/>
      <c r="VZI933" s="18"/>
      <c r="VZJ933" s="18"/>
      <c r="VZK933" s="18"/>
      <c r="VZL933" s="18"/>
      <c r="VZM933" s="18"/>
      <c r="VZN933" s="18"/>
      <c r="VZO933" s="18"/>
      <c r="VZP933" s="18"/>
      <c r="VZQ933" s="18"/>
      <c r="VZR933" s="18"/>
      <c r="VZS933" s="18"/>
      <c r="VZT933" s="18"/>
      <c r="VZU933" s="18"/>
      <c r="VZV933" s="18"/>
      <c r="VZW933" s="18"/>
      <c r="VZX933" s="18"/>
      <c r="VZY933" s="18"/>
      <c r="VZZ933" s="18"/>
      <c r="WAA933" s="18"/>
      <c r="WAB933" s="18"/>
      <c r="WAC933" s="18"/>
      <c r="WAD933" s="18"/>
      <c r="WAE933" s="18"/>
      <c r="WAF933" s="18"/>
      <c r="WAG933" s="18"/>
      <c r="WAH933" s="18"/>
      <c r="WAI933" s="18"/>
      <c r="WAJ933" s="18"/>
      <c r="WAK933" s="18"/>
      <c r="WAL933" s="18"/>
      <c r="WAM933" s="18"/>
      <c r="WAN933" s="18"/>
      <c r="WAO933" s="18"/>
      <c r="WAP933" s="18"/>
      <c r="WAQ933" s="18"/>
      <c r="WAR933" s="18"/>
      <c r="WAS933" s="18"/>
      <c r="WAT933" s="18"/>
      <c r="WAU933" s="18"/>
      <c r="WAV933" s="18"/>
      <c r="WAW933" s="18"/>
      <c r="WAX933" s="18"/>
      <c r="WAY933" s="18"/>
      <c r="WAZ933" s="18"/>
      <c r="WBA933" s="18"/>
      <c r="WBB933" s="18"/>
      <c r="WBC933" s="18"/>
      <c r="WBD933" s="18"/>
      <c r="WBE933" s="18"/>
      <c r="WBF933" s="18"/>
      <c r="WBG933" s="18"/>
      <c r="WBH933" s="18"/>
      <c r="WBI933" s="18"/>
      <c r="WBJ933" s="18"/>
      <c r="WBK933" s="18"/>
      <c r="WBL933" s="18"/>
      <c r="WBM933" s="18"/>
      <c r="WBN933" s="18"/>
      <c r="WBO933" s="18"/>
      <c r="WBP933" s="18"/>
      <c r="WBQ933" s="18"/>
      <c r="WBR933" s="18"/>
      <c r="WBS933" s="18"/>
      <c r="WBT933" s="18"/>
      <c r="WBU933" s="18"/>
      <c r="WBV933" s="18"/>
      <c r="WBW933" s="18"/>
      <c r="WBX933" s="18"/>
      <c r="WBY933" s="18"/>
      <c r="WBZ933" s="18"/>
      <c r="WCA933" s="18"/>
      <c r="WCB933" s="18"/>
      <c r="WCC933" s="18"/>
      <c r="WCD933" s="18"/>
      <c r="WCE933" s="18"/>
      <c r="WCF933" s="18"/>
      <c r="WCG933" s="18"/>
      <c r="WCH933" s="18"/>
      <c r="WCI933" s="18"/>
      <c r="WCJ933" s="18"/>
      <c r="WCK933" s="18"/>
      <c r="WCL933" s="18"/>
      <c r="WCM933" s="18"/>
      <c r="WCN933" s="18"/>
      <c r="WCO933" s="18"/>
      <c r="WCP933" s="18"/>
      <c r="WCQ933" s="18"/>
      <c r="WCR933" s="18"/>
      <c r="WCS933" s="18"/>
      <c r="WCT933" s="18"/>
      <c r="WCU933" s="18"/>
      <c r="WCV933" s="18"/>
      <c r="WCW933" s="18"/>
      <c r="WCX933" s="18"/>
      <c r="WCY933" s="18"/>
      <c r="WCZ933" s="18"/>
      <c r="WDA933" s="18"/>
      <c r="WDB933" s="18"/>
      <c r="WDC933" s="18"/>
      <c r="WDD933" s="18"/>
      <c r="WDE933" s="18"/>
      <c r="WDF933" s="18"/>
      <c r="WDG933" s="18"/>
      <c r="WDH933" s="18"/>
      <c r="WDI933" s="18"/>
      <c r="WDJ933" s="18"/>
      <c r="WDK933" s="18"/>
      <c r="WDL933" s="18"/>
      <c r="WDM933" s="18"/>
      <c r="WDN933" s="18"/>
      <c r="WDO933" s="18"/>
      <c r="WDP933" s="18"/>
      <c r="WDQ933" s="18"/>
      <c r="WDR933" s="18"/>
      <c r="WDS933" s="18"/>
      <c r="WDT933" s="18"/>
      <c r="WDU933" s="18"/>
      <c r="WDV933" s="18"/>
      <c r="WDW933" s="18"/>
      <c r="WDX933" s="18"/>
      <c r="WDY933" s="18"/>
      <c r="WDZ933" s="18"/>
      <c r="WEA933" s="18"/>
      <c r="WEB933" s="18"/>
      <c r="WEC933" s="18"/>
      <c r="WED933" s="18"/>
      <c r="WEE933" s="18"/>
      <c r="WEF933" s="18"/>
      <c r="WEG933" s="18"/>
      <c r="WEH933" s="18"/>
      <c r="WEI933" s="18"/>
      <c r="WEJ933" s="18"/>
      <c r="WEK933" s="18"/>
      <c r="WEL933" s="18"/>
      <c r="WEM933" s="18"/>
      <c r="WEN933" s="18"/>
      <c r="WEO933" s="18"/>
      <c r="WEP933" s="18"/>
      <c r="WEQ933" s="18"/>
      <c r="WER933" s="18"/>
      <c r="WES933" s="18"/>
      <c r="WET933" s="18"/>
      <c r="WEU933" s="18"/>
      <c r="WEV933" s="18"/>
      <c r="WEW933" s="18"/>
      <c r="WEX933" s="18"/>
      <c r="WEY933" s="18"/>
      <c r="WEZ933" s="18"/>
      <c r="WFA933" s="18"/>
      <c r="WFB933" s="18"/>
      <c r="WFC933" s="18"/>
      <c r="WFD933" s="18"/>
      <c r="WFE933" s="18"/>
      <c r="WFF933" s="18"/>
      <c r="WFG933" s="18"/>
      <c r="WFH933" s="18"/>
      <c r="WFI933" s="18"/>
      <c r="WFJ933" s="18"/>
      <c r="WFK933" s="18"/>
      <c r="WFL933" s="18"/>
      <c r="WFM933" s="18"/>
      <c r="WFN933" s="18"/>
      <c r="WFO933" s="18"/>
      <c r="WFP933" s="18"/>
      <c r="WFQ933" s="18"/>
      <c r="WFR933" s="18"/>
      <c r="WFS933" s="18"/>
      <c r="WFT933" s="18"/>
      <c r="WFU933" s="18"/>
      <c r="WFV933" s="18"/>
      <c r="WFW933" s="18"/>
      <c r="WFX933" s="18"/>
      <c r="WFY933" s="18"/>
      <c r="WFZ933" s="18"/>
      <c r="WGA933" s="18"/>
      <c r="WGB933" s="18"/>
      <c r="WGC933" s="18"/>
      <c r="WGD933" s="18"/>
      <c r="WGE933" s="18"/>
      <c r="WGF933" s="18"/>
      <c r="WGG933" s="18"/>
      <c r="WGH933" s="18"/>
      <c r="WGI933" s="18"/>
      <c r="WGJ933" s="18"/>
      <c r="WGK933" s="18"/>
      <c r="WGL933" s="18"/>
      <c r="WGM933" s="18"/>
      <c r="WGN933" s="18"/>
      <c r="WGO933" s="18"/>
      <c r="WGP933" s="18"/>
      <c r="WGQ933" s="18"/>
      <c r="WGR933" s="18"/>
      <c r="WGS933" s="18"/>
      <c r="WGT933" s="18"/>
      <c r="WGU933" s="18"/>
      <c r="WGV933" s="18"/>
      <c r="WGW933" s="18"/>
      <c r="WGX933" s="18"/>
      <c r="WGY933" s="18"/>
      <c r="WGZ933" s="18"/>
      <c r="WHA933" s="18"/>
      <c r="WHB933" s="18"/>
      <c r="WHC933" s="18"/>
      <c r="WHD933" s="18"/>
      <c r="WHE933" s="18"/>
      <c r="WHF933" s="18"/>
      <c r="WHG933" s="18"/>
      <c r="WHH933" s="18"/>
      <c r="WHI933" s="18"/>
      <c r="WHJ933" s="18"/>
      <c r="WHK933" s="18"/>
      <c r="WHL933" s="18"/>
      <c r="WHM933" s="18"/>
      <c r="WHN933" s="18"/>
      <c r="WHO933" s="18"/>
      <c r="WHP933" s="18"/>
      <c r="WHQ933" s="18"/>
      <c r="WHR933" s="18"/>
      <c r="WHS933" s="18"/>
      <c r="WHT933" s="18"/>
      <c r="WHU933" s="18"/>
      <c r="WHV933" s="18"/>
      <c r="WHW933" s="18"/>
      <c r="WHX933" s="18"/>
      <c r="WHY933" s="18"/>
      <c r="WHZ933" s="18"/>
      <c r="WIA933" s="18"/>
      <c r="WIB933" s="18"/>
      <c r="WIC933" s="18"/>
      <c r="WID933" s="18"/>
      <c r="WIE933" s="18"/>
      <c r="WIF933" s="18"/>
      <c r="WIG933" s="18"/>
      <c r="WIH933" s="18"/>
      <c r="WII933" s="18"/>
      <c r="WIJ933" s="18"/>
      <c r="WIK933" s="18"/>
      <c r="WIL933" s="18"/>
      <c r="WIM933" s="18"/>
      <c r="WIN933" s="18"/>
      <c r="WIO933" s="18"/>
      <c r="WIP933" s="18"/>
      <c r="WIQ933" s="18"/>
      <c r="WIR933" s="18"/>
      <c r="WIS933" s="18"/>
      <c r="WIT933" s="18"/>
      <c r="WIU933" s="18"/>
      <c r="WIV933" s="18"/>
      <c r="WIW933" s="18"/>
      <c r="WIX933" s="18"/>
      <c r="WIY933" s="18"/>
      <c r="WIZ933" s="18"/>
      <c r="WJA933" s="18"/>
      <c r="WJB933" s="18"/>
      <c r="WJC933" s="18"/>
      <c r="WJD933" s="18"/>
      <c r="WJE933" s="18"/>
      <c r="WJF933" s="18"/>
      <c r="WJG933" s="18"/>
      <c r="WJH933" s="18"/>
      <c r="WJI933" s="18"/>
      <c r="WJJ933" s="18"/>
      <c r="WJK933" s="18"/>
      <c r="WJL933" s="18"/>
      <c r="WJM933" s="18"/>
      <c r="WJN933" s="18"/>
      <c r="WJO933" s="18"/>
      <c r="WJP933" s="18"/>
      <c r="WJQ933" s="18"/>
      <c r="WJR933" s="18"/>
      <c r="WJS933" s="18"/>
      <c r="WJT933" s="18"/>
      <c r="WJU933" s="18"/>
      <c r="WJV933" s="18"/>
      <c r="WJW933" s="18"/>
      <c r="WJX933" s="18"/>
      <c r="WJY933" s="18"/>
      <c r="WJZ933" s="18"/>
      <c r="WKA933" s="18"/>
      <c r="WKB933" s="18"/>
      <c r="WKC933" s="18"/>
      <c r="WKD933" s="18"/>
      <c r="WKE933" s="18"/>
      <c r="WKF933" s="18"/>
      <c r="WKG933" s="18"/>
      <c r="WKH933" s="18"/>
      <c r="WKI933" s="18"/>
      <c r="WKJ933" s="18"/>
      <c r="WKK933" s="18"/>
      <c r="WKL933" s="18"/>
      <c r="WKM933" s="18"/>
      <c r="WKN933" s="18"/>
      <c r="WKO933" s="18"/>
      <c r="WKP933" s="18"/>
      <c r="WKQ933" s="18"/>
      <c r="WKR933" s="18"/>
      <c r="WKS933" s="18"/>
      <c r="WKT933" s="18"/>
      <c r="WKU933" s="18"/>
      <c r="WKV933" s="18"/>
      <c r="WKW933" s="18"/>
      <c r="WKX933" s="18"/>
      <c r="WKY933" s="18"/>
      <c r="WKZ933" s="18"/>
      <c r="WLA933" s="18"/>
      <c r="WLB933" s="18"/>
      <c r="WLC933" s="18"/>
      <c r="WLD933" s="18"/>
      <c r="WLE933" s="18"/>
      <c r="WLF933" s="18"/>
      <c r="WLG933" s="18"/>
      <c r="WLH933" s="18"/>
      <c r="WLI933" s="18"/>
      <c r="WLJ933" s="18"/>
      <c r="WLK933" s="18"/>
      <c r="WLL933" s="18"/>
      <c r="WLM933" s="18"/>
      <c r="WLN933" s="18"/>
      <c r="WLO933" s="18"/>
      <c r="WLP933" s="18"/>
      <c r="WLQ933" s="18"/>
      <c r="WLR933" s="18"/>
      <c r="WLS933" s="18"/>
      <c r="WLT933" s="18"/>
      <c r="WLU933" s="18"/>
      <c r="WLV933" s="18"/>
      <c r="WLW933" s="18"/>
      <c r="WLX933" s="18"/>
      <c r="WLY933" s="18"/>
      <c r="WLZ933" s="18"/>
      <c r="WMA933" s="18"/>
      <c r="WMB933" s="18"/>
      <c r="WMC933" s="18"/>
      <c r="WMD933" s="18"/>
      <c r="WME933" s="18"/>
      <c r="WMF933" s="18"/>
      <c r="WMG933" s="18"/>
      <c r="WMH933" s="18"/>
      <c r="WMI933" s="18"/>
      <c r="WMJ933" s="18"/>
      <c r="WMK933" s="18"/>
      <c r="WML933" s="18"/>
      <c r="WMM933" s="18"/>
      <c r="WMN933" s="18"/>
      <c r="WMO933" s="18"/>
      <c r="WMP933" s="18"/>
      <c r="WMQ933" s="18"/>
      <c r="WMR933" s="18"/>
      <c r="WMS933" s="18"/>
      <c r="WMT933" s="18"/>
      <c r="WMU933" s="18"/>
      <c r="WMV933" s="18"/>
      <c r="WMW933" s="18"/>
      <c r="WMX933" s="18"/>
      <c r="WMY933" s="18"/>
      <c r="WMZ933" s="18"/>
      <c r="WNA933" s="18"/>
      <c r="WNB933" s="18"/>
      <c r="WNC933" s="18"/>
      <c r="WND933" s="18"/>
      <c r="WNE933" s="18"/>
      <c r="WNF933" s="18"/>
      <c r="WNG933" s="18"/>
      <c r="WNH933" s="18"/>
      <c r="WNI933" s="18"/>
      <c r="WNJ933" s="18"/>
      <c r="WNK933" s="18"/>
      <c r="WNL933" s="18"/>
      <c r="WNM933" s="18"/>
      <c r="WNN933" s="18"/>
      <c r="WNO933" s="18"/>
      <c r="WNP933" s="18"/>
      <c r="WNQ933" s="18"/>
      <c r="WNR933" s="18"/>
      <c r="WNS933" s="18"/>
      <c r="WNT933" s="18"/>
      <c r="WNU933" s="18"/>
      <c r="WNV933" s="18"/>
      <c r="WNW933" s="18"/>
      <c r="WNX933" s="18"/>
      <c r="WNY933" s="18"/>
      <c r="WNZ933" s="18"/>
      <c r="WOA933" s="18"/>
      <c r="WOB933" s="18"/>
      <c r="WOC933" s="18"/>
      <c r="WOD933" s="18"/>
      <c r="WOE933" s="18"/>
      <c r="WOF933" s="18"/>
      <c r="WOG933" s="18"/>
      <c r="WOH933" s="18"/>
      <c r="WOI933" s="18"/>
      <c r="WOJ933" s="18"/>
      <c r="WOK933" s="18"/>
      <c r="WOL933" s="18"/>
      <c r="WOM933" s="18"/>
      <c r="WON933" s="18"/>
      <c r="WOO933" s="18"/>
      <c r="WOP933" s="18"/>
      <c r="WOQ933" s="18"/>
      <c r="WOR933" s="18"/>
      <c r="WOS933" s="18"/>
      <c r="WOT933" s="18"/>
      <c r="WOU933" s="18"/>
      <c r="WOV933" s="18"/>
      <c r="WOW933" s="18"/>
      <c r="WOX933" s="18"/>
      <c r="WOY933" s="18"/>
      <c r="WOZ933" s="18"/>
      <c r="WPA933" s="18"/>
      <c r="WPB933" s="18"/>
      <c r="WPC933" s="18"/>
      <c r="WPD933" s="18"/>
      <c r="WPE933" s="18"/>
      <c r="WPF933" s="18"/>
      <c r="WPG933" s="18"/>
      <c r="WPH933" s="18"/>
      <c r="WPI933" s="18"/>
      <c r="WPJ933" s="18"/>
      <c r="WPK933" s="18"/>
      <c r="WPL933" s="18"/>
      <c r="WPM933" s="18"/>
      <c r="WPN933" s="18"/>
      <c r="WPO933" s="18"/>
      <c r="WPP933" s="18"/>
      <c r="WPQ933" s="18"/>
      <c r="WPR933" s="18"/>
      <c r="WPS933" s="18"/>
      <c r="WPT933" s="18"/>
      <c r="WPU933" s="18"/>
      <c r="WPV933" s="18"/>
      <c r="WPW933" s="18"/>
      <c r="WPX933" s="18"/>
      <c r="WPY933" s="18"/>
      <c r="WPZ933" s="18"/>
      <c r="WQA933" s="18"/>
      <c r="WQB933" s="18"/>
      <c r="WQC933" s="18"/>
      <c r="WQD933" s="18"/>
      <c r="WQE933" s="18"/>
      <c r="WQF933" s="18"/>
      <c r="WQG933" s="18"/>
      <c r="WQH933" s="18"/>
      <c r="WQI933" s="18"/>
      <c r="WQJ933" s="18"/>
      <c r="WQK933" s="18"/>
      <c r="WQL933" s="18"/>
      <c r="WQM933" s="18"/>
      <c r="WQN933" s="18"/>
      <c r="WQO933" s="18"/>
      <c r="WQP933" s="18"/>
      <c r="WQQ933" s="18"/>
      <c r="WQR933" s="18"/>
      <c r="WQS933" s="18"/>
      <c r="WQT933" s="18"/>
      <c r="WQU933" s="18"/>
      <c r="WQV933" s="18"/>
      <c r="WQW933" s="18"/>
      <c r="WQX933" s="18"/>
      <c r="WQY933" s="18"/>
      <c r="WQZ933" s="18"/>
      <c r="WRA933" s="18"/>
      <c r="WRB933" s="18"/>
      <c r="WRC933" s="18"/>
      <c r="WRD933" s="18"/>
      <c r="WRE933" s="18"/>
      <c r="WRF933" s="18"/>
      <c r="WRG933" s="18"/>
      <c r="WRH933" s="18"/>
      <c r="WRI933" s="18"/>
      <c r="WRJ933" s="18"/>
      <c r="WRK933" s="18"/>
      <c r="WRL933" s="18"/>
      <c r="WRM933" s="18"/>
      <c r="WRN933" s="18"/>
      <c r="WRO933" s="18"/>
      <c r="WRP933" s="18"/>
      <c r="WRQ933" s="18"/>
      <c r="WRR933" s="18"/>
      <c r="WRS933" s="18"/>
      <c r="WRT933" s="18"/>
      <c r="WRU933" s="18"/>
      <c r="WRV933" s="18"/>
      <c r="WRW933" s="18"/>
      <c r="WRX933" s="18"/>
      <c r="WRY933" s="18"/>
      <c r="WRZ933" s="18"/>
      <c r="WSA933" s="18"/>
      <c r="WSB933" s="18"/>
      <c r="WSC933" s="18"/>
      <c r="WSD933" s="18"/>
      <c r="WSE933" s="18"/>
      <c r="WSF933" s="18"/>
      <c r="WSG933" s="18"/>
      <c r="WSH933" s="18"/>
      <c r="WSI933" s="18"/>
      <c r="WSJ933" s="18"/>
      <c r="WSK933" s="18"/>
      <c r="WSL933" s="18"/>
      <c r="WSM933" s="18"/>
      <c r="WSN933" s="18"/>
      <c r="WSO933" s="18"/>
      <c r="WSP933" s="18"/>
      <c r="WSQ933" s="18"/>
      <c r="WSR933" s="18"/>
      <c r="WSS933" s="18"/>
      <c r="WST933" s="18"/>
      <c r="WSU933" s="18"/>
      <c r="WSV933" s="18"/>
      <c r="WSW933" s="18"/>
      <c r="WSX933" s="18"/>
      <c r="WSY933" s="18"/>
      <c r="WSZ933" s="18"/>
      <c r="WTA933" s="18"/>
      <c r="WTB933" s="18"/>
      <c r="WTC933" s="18"/>
      <c r="WTD933" s="18"/>
      <c r="WTE933" s="18"/>
      <c r="WTF933" s="18"/>
      <c r="WTG933" s="18"/>
      <c r="WTH933" s="18"/>
      <c r="WTI933" s="18"/>
      <c r="WTJ933" s="18"/>
      <c r="WTK933" s="18"/>
      <c r="WTL933" s="18"/>
      <c r="WTM933" s="18"/>
      <c r="WTN933" s="18"/>
      <c r="WTO933" s="18"/>
      <c r="WTP933" s="18"/>
      <c r="WTQ933" s="18"/>
      <c r="WTR933" s="18"/>
      <c r="WTS933" s="18"/>
      <c r="WTT933" s="18"/>
      <c r="WTU933" s="18"/>
      <c r="WTV933" s="18"/>
      <c r="WTW933" s="18"/>
      <c r="WTX933" s="18"/>
      <c r="WTY933" s="18"/>
      <c r="WTZ933" s="18"/>
      <c r="WUA933" s="18"/>
      <c r="WUB933" s="18"/>
      <c r="WUC933" s="18"/>
      <c r="WUD933" s="18"/>
      <c r="WUE933" s="18"/>
      <c r="WUF933" s="18"/>
      <c r="WUG933" s="18"/>
      <c r="WUH933" s="18"/>
      <c r="WUI933" s="18"/>
      <c r="WUJ933" s="18"/>
      <c r="WUK933" s="18"/>
      <c r="WUL933" s="18"/>
      <c r="WUM933" s="18"/>
      <c r="WUN933" s="18"/>
      <c r="WUO933" s="18"/>
      <c r="WUP933" s="18"/>
      <c r="WUQ933" s="18"/>
      <c r="WUR933" s="18"/>
      <c r="WUS933" s="18"/>
      <c r="WUT933" s="18"/>
      <c r="WUU933" s="18"/>
      <c r="WUV933" s="18"/>
      <c r="WUW933" s="18"/>
      <c r="WUX933" s="18"/>
      <c r="WUY933" s="18"/>
      <c r="WUZ933" s="18"/>
      <c r="WVA933" s="18"/>
      <c r="WVB933" s="18"/>
      <c r="WVC933" s="18"/>
      <c r="WVD933" s="18"/>
      <c r="WVE933" s="18"/>
      <c r="WVF933" s="18"/>
      <c r="WVG933" s="18"/>
      <c r="WVH933" s="18"/>
      <c r="WVI933" s="18"/>
      <c r="WVJ933" s="18"/>
      <c r="WVK933" s="18"/>
      <c r="WVL933" s="18"/>
      <c r="WVM933" s="18"/>
      <c r="WVN933" s="18"/>
      <c r="WVO933" s="18"/>
      <c r="WVP933" s="18"/>
      <c r="WVQ933" s="18"/>
      <c r="WVR933" s="18"/>
    </row>
  </sheetData>
  <mergeCells count="9">
    <mergeCell ref="C10:C11"/>
    <mergeCell ref="D10:D11"/>
    <mergeCell ref="E10:H10"/>
    <mergeCell ref="I10:I11"/>
    <mergeCell ref="C2:I2"/>
    <mergeCell ref="C3:I3"/>
    <mergeCell ref="C4:I4"/>
    <mergeCell ref="C5:I5"/>
    <mergeCell ref="H7:I8"/>
  </mergeCells>
  <printOptions horizontalCentered="1"/>
  <pageMargins left="0.51181102362204722" right="0" top="0.55118110236220474" bottom="0.35433070866141736" header="0.31496062992125984" footer="0.31496062992125984"/>
  <pageSetup paperSize="258" fitToHeight="0" orientation="landscape" r:id="rId1"/>
  <rowBreaks count="1" manualBreakCount="1">
    <brk id="91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768"/>
  <sheetViews>
    <sheetView view="pageBreakPreview" topLeftCell="A762" zoomScale="85" zoomScaleNormal="85" zoomScaleSheetLayoutView="85" workbookViewId="0">
      <selection activeCell="C762" sqref="C1:E1048576"/>
    </sheetView>
  </sheetViews>
  <sheetFormatPr defaultColWidth="8.85546875" defaultRowHeight="15"/>
  <cols>
    <col min="1" max="1" width="8" style="464" customWidth="1"/>
    <col min="2" max="2" width="79.5703125" style="465" customWidth="1"/>
    <col min="3" max="3" width="19.85546875" style="466" customWidth="1"/>
    <col min="4" max="4" width="25.28515625" style="466" customWidth="1"/>
    <col min="5" max="5" width="8" style="467" customWidth="1"/>
    <col min="6" max="13" width="9.7109375" style="300" customWidth="1"/>
    <col min="14" max="14" width="10.28515625" style="300" customWidth="1"/>
    <col min="15" max="15" width="3.42578125" style="300" customWidth="1"/>
    <col min="16" max="256" width="8.85546875" style="300"/>
    <col min="257" max="257" width="8" style="300" customWidth="1"/>
    <col min="258" max="258" width="89.28515625" style="300" customWidth="1"/>
    <col min="259" max="260" width="0" style="300" hidden="1" customWidth="1"/>
    <col min="261" max="261" width="10.5703125" style="300" customWidth="1"/>
    <col min="262" max="270" width="10.28515625" style="300" customWidth="1"/>
    <col min="271" max="271" width="3.42578125" style="300" customWidth="1"/>
    <col min="272" max="512" width="8.85546875" style="300"/>
    <col min="513" max="513" width="8" style="300" customWidth="1"/>
    <col min="514" max="514" width="89.28515625" style="300" customWidth="1"/>
    <col min="515" max="516" width="0" style="300" hidden="1" customWidth="1"/>
    <col min="517" max="517" width="10.5703125" style="300" customWidth="1"/>
    <col min="518" max="526" width="10.28515625" style="300" customWidth="1"/>
    <col min="527" max="527" width="3.42578125" style="300" customWidth="1"/>
    <col min="528" max="768" width="8.85546875" style="300"/>
    <col min="769" max="769" width="8" style="300" customWidth="1"/>
    <col min="770" max="770" width="89.28515625" style="300" customWidth="1"/>
    <col min="771" max="772" width="0" style="300" hidden="1" customWidth="1"/>
    <col min="773" max="773" width="10.5703125" style="300" customWidth="1"/>
    <col min="774" max="782" width="10.28515625" style="300" customWidth="1"/>
    <col min="783" max="783" width="3.42578125" style="300" customWidth="1"/>
    <col min="784" max="1024" width="8.85546875" style="300"/>
    <col min="1025" max="1025" width="8" style="300" customWidth="1"/>
    <col min="1026" max="1026" width="89.28515625" style="300" customWidth="1"/>
    <col min="1027" max="1028" width="0" style="300" hidden="1" customWidth="1"/>
    <col min="1029" max="1029" width="10.5703125" style="300" customWidth="1"/>
    <col min="1030" max="1038" width="10.28515625" style="300" customWidth="1"/>
    <col min="1039" max="1039" width="3.42578125" style="300" customWidth="1"/>
    <col min="1040" max="1280" width="8.85546875" style="300"/>
    <col min="1281" max="1281" width="8" style="300" customWidth="1"/>
    <col min="1282" max="1282" width="89.28515625" style="300" customWidth="1"/>
    <col min="1283" max="1284" width="0" style="300" hidden="1" customWidth="1"/>
    <col min="1285" max="1285" width="10.5703125" style="300" customWidth="1"/>
    <col min="1286" max="1294" width="10.28515625" style="300" customWidth="1"/>
    <col min="1295" max="1295" width="3.42578125" style="300" customWidth="1"/>
    <col min="1296" max="1536" width="8.85546875" style="300"/>
    <col min="1537" max="1537" width="8" style="300" customWidth="1"/>
    <col min="1538" max="1538" width="89.28515625" style="300" customWidth="1"/>
    <col min="1539" max="1540" width="0" style="300" hidden="1" customWidth="1"/>
    <col min="1541" max="1541" width="10.5703125" style="300" customWidth="1"/>
    <col min="1542" max="1550" width="10.28515625" style="300" customWidth="1"/>
    <col min="1551" max="1551" width="3.42578125" style="300" customWidth="1"/>
    <col min="1552" max="1792" width="8.85546875" style="300"/>
    <col min="1793" max="1793" width="8" style="300" customWidth="1"/>
    <col min="1794" max="1794" width="89.28515625" style="300" customWidth="1"/>
    <col min="1795" max="1796" width="0" style="300" hidden="1" customWidth="1"/>
    <col min="1797" max="1797" width="10.5703125" style="300" customWidth="1"/>
    <col min="1798" max="1806" width="10.28515625" style="300" customWidth="1"/>
    <col min="1807" max="1807" width="3.42578125" style="300" customWidth="1"/>
    <col min="1808" max="2048" width="8.85546875" style="300"/>
    <col min="2049" max="2049" width="8" style="300" customWidth="1"/>
    <col min="2050" max="2050" width="89.28515625" style="300" customWidth="1"/>
    <col min="2051" max="2052" width="0" style="300" hidden="1" customWidth="1"/>
    <col min="2053" max="2053" width="10.5703125" style="300" customWidth="1"/>
    <col min="2054" max="2062" width="10.28515625" style="300" customWidth="1"/>
    <col min="2063" max="2063" width="3.42578125" style="300" customWidth="1"/>
    <col min="2064" max="2304" width="8.85546875" style="300"/>
    <col min="2305" max="2305" width="8" style="300" customWidth="1"/>
    <col min="2306" max="2306" width="89.28515625" style="300" customWidth="1"/>
    <col min="2307" max="2308" width="0" style="300" hidden="1" customWidth="1"/>
    <col min="2309" max="2309" width="10.5703125" style="300" customWidth="1"/>
    <col min="2310" max="2318" width="10.28515625" style="300" customWidth="1"/>
    <col min="2319" max="2319" width="3.42578125" style="300" customWidth="1"/>
    <col min="2320" max="2560" width="8.85546875" style="300"/>
    <col min="2561" max="2561" width="8" style="300" customWidth="1"/>
    <col min="2562" max="2562" width="89.28515625" style="300" customWidth="1"/>
    <col min="2563" max="2564" width="0" style="300" hidden="1" customWidth="1"/>
    <col min="2565" max="2565" width="10.5703125" style="300" customWidth="1"/>
    <col min="2566" max="2574" width="10.28515625" style="300" customWidth="1"/>
    <col min="2575" max="2575" width="3.42578125" style="300" customWidth="1"/>
    <col min="2576" max="2816" width="8.85546875" style="300"/>
    <col min="2817" max="2817" width="8" style="300" customWidth="1"/>
    <col min="2818" max="2818" width="89.28515625" style="300" customWidth="1"/>
    <col min="2819" max="2820" width="0" style="300" hidden="1" customWidth="1"/>
    <col min="2821" max="2821" width="10.5703125" style="300" customWidth="1"/>
    <col min="2822" max="2830" width="10.28515625" style="300" customWidth="1"/>
    <col min="2831" max="2831" width="3.42578125" style="300" customWidth="1"/>
    <col min="2832" max="3072" width="8.85546875" style="300"/>
    <col min="3073" max="3073" width="8" style="300" customWidth="1"/>
    <col min="3074" max="3074" width="89.28515625" style="300" customWidth="1"/>
    <col min="3075" max="3076" width="0" style="300" hidden="1" customWidth="1"/>
    <col min="3077" max="3077" width="10.5703125" style="300" customWidth="1"/>
    <col min="3078" max="3086" width="10.28515625" style="300" customWidth="1"/>
    <col min="3087" max="3087" width="3.42578125" style="300" customWidth="1"/>
    <col min="3088" max="3328" width="8.85546875" style="300"/>
    <col min="3329" max="3329" width="8" style="300" customWidth="1"/>
    <col min="3330" max="3330" width="89.28515625" style="300" customWidth="1"/>
    <col min="3331" max="3332" width="0" style="300" hidden="1" customWidth="1"/>
    <col min="3333" max="3333" width="10.5703125" style="300" customWidth="1"/>
    <col min="3334" max="3342" width="10.28515625" style="300" customWidth="1"/>
    <col min="3343" max="3343" width="3.42578125" style="300" customWidth="1"/>
    <col min="3344" max="3584" width="8.85546875" style="300"/>
    <col min="3585" max="3585" width="8" style="300" customWidth="1"/>
    <col min="3586" max="3586" width="89.28515625" style="300" customWidth="1"/>
    <col min="3587" max="3588" width="0" style="300" hidden="1" customWidth="1"/>
    <col min="3589" max="3589" width="10.5703125" style="300" customWidth="1"/>
    <col min="3590" max="3598" width="10.28515625" style="300" customWidth="1"/>
    <col min="3599" max="3599" width="3.42578125" style="300" customWidth="1"/>
    <col min="3600" max="3840" width="8.85546875" style="300"/>
    <col min="3841" max="3841" width="8" style="300" customWidth="1"/>
    <col min="3842" max="3842" width="89.28515625" style="300" customWidth="1"/>
    <col min="3843" max="3844" width="0" style="300" hidden="1" customWidth="1"/>
    <col min="3845" max="3845" width="10.5703125" style="300" customWidth="1"/>
    <col min="3846" max="3854" width="10.28515625" style="300" customWidth="1"/>
    <col min="3855" max="3855" width="3.42578125" style="300" customWidth="1"/>
    <col min="3856" max="4096" width="8.85546875" style="300"/>
    <col min="4097" max="4097" width="8" style="300" customWidth="1"/>
    <col min="4098" max="4098" width="89.28515625" style="300" customWidth="1"/>
    <col min="4099" max="4100" width="0" style="300" hidden="1" customWidth="1"/>
    <col min="4101" max="4101" width="10.5703125" style="300" customWidth="1"/>
    <col min="4102" max="4110" width="10.28515625" style="300" customWidth="1"/>
    <col min="4111" max="4111" width="3.42578125" style="300" customWidth="1"/>
    <col min="4112" max="4352" width="8.85546875" style="300"/>
    <col min="4353" max="4353" width="8" style="300" customWidth="1"/>
    <col min="4354" max="4354" width="89.28515625" style="300" customWidth="1"/>
    <col min="4355" max="4356" width="0" style="300" hidden="1" customWidth="1"/>
    <col min="4357" max="4357" width="10.5703125" style="300" customWidth="1"/>
    <col min="4358" max="4366" width="10.28515625" style="300" customWidth="1"/>
    <col min="4367" max="4367" width="3.42578125" style="300" customWidth="1"/>
    <col min="4368" max="4608" width="8.85546875" style="300"/>
    <col min="4609" max="4609" width="8" style="300" customWidth="1"/>
    <col min="4610" max="4610" width="89.28515625" style="300" customWidth="1"/>
    <col min="4611" max="4612" width="0" style="300" hidden="1" customWidth="1"/>
    <col min="4613" max="4613" width="10.5703125" style="300" customWidth="1"/>
    <col min="4614" max="4622" width="10.28515625" style="300" customWidth="1"/>
    <col min="4623" max="4623" width="3.42578125" style="300" customWidth="1"/>
    <col min="4624" max="4864" width="8.85546875" style="300"/>
    <col min="4865" max="4865" width="8" style="300" customWidth="1"/>
    <col min="4866" max="4866" width="89.28515625" style="300" customWidth="1"/>
    <col min="4867" max="4868" width="0" style="300" hidden="1" customWidth="1"/>
    <col min="4869" max="4869" width="10.5703125" style="300" customWidth="1"/>
    <col min="4870" max="4878" width="10.28515625" style="300" customWidth="1"/>
    <col min="4879" max="4879" width="3.42578125" style="300" customWidth="1"/>
    <col min="4880" max="5120" width="8.85546875" style="300"/>
    <col min="5121" max="5121" width="8" style="300" customWidth="1"/>
    <col min="5122" max="5122" width="89.28515625" style="300" customWidth="1"/>
    <col min="5123" max="5124" width="0" style="300" hidden="1" customWidth="1"/>
    <col min="5125" max="5125" width="10.5703125" style="300" customWidth="1"/>
    <col min="5126" max="5134" width="10.28515625" style="300" customWidth="1"/>
    <col min="5135" max="5135" width="3.42578125" style="300" customWidth="1"/>
    <col min="5136" max="5376" width="8.85546875" style="300"/>
    <col min="5377" max="5377" width="8" style="300" customWidth="1"/>
    <col min="5378" max="5378" width="89.28515625" style="300" customWidth="1"/>
    <col min="5379" max="5380" width="0" style="300" hidden="1" customWidth="1"/>
    <col min="5381" max="5381" width="10.5703125" style="300" customWidth="1"/>
    <col min="5382" max="5390" width="10.28515625" style="300" customWidth="1"/>
    <col min="5391" max="5391" width="3.42578125" style="300" customWidth="1"/>
    <col min="5392" max="5632" width="8.85546875" style="300"/>
    <col min="5633" max="5633" width="8" style="300" customWidth="1"/>
    <col min="5634" max="5634" width="89.28515625" style="300" customWidth="1"/>
    <col min="5635" max="5636" width="0" style="300" hidden="1" customWidth="1"/>
    <col min="5637" max="5637" width="10.5703125" style="300" customWidth="1"/>
    <col min="5638" max="5646" width="10.28515625" style="300" customWidth="1"/>
    <col min="5647" max="5647" width="3.42578125" style="300" customWidth="1"/>
    <col min="5648" max="5888" width="8.85546875" style="300"/>
    <col min="5889" max="5889" width="8" style="300" customWidth="1"/>
    <col min="5890" max="5890" width="89.28515625" style="300" customWidth="1"/>
    <col min="5891" max="5892" width="0" style="300" hidden="1" customWidth="1"/>
    <col min="5893" max="5893" width="10.5703125" style="300" customWidth="1"/>
    <col min="5894" max="5902" width="10.28515625" style="300" customWidth="1"/>
    <col min="5903" max="5903" width="3.42578125" style="300" customWidth="1"/>
    <col min="5904" max="6144" width="8.85546875" style="300"/>
    <col min="6145" max="6145" width="8" style="300" customWidth="1"/>
    <col min="6146" max="6146" width="89.28515625" style="300" customWidth="1"/>
    <col min="6147" max="6148" width="0" style="300" hidden="1" customWidth="1"/>
    <col min="6149" max="6149" width="10.5703125" style="300" customWidth="1"/>
    <col min="6150" max="6158" width="10.28515625" style="300" customWidth="1"/>
    <col min="6159" max="6159" width="3.42578125" style="300" customWidth="1"/>
    <col min="6160" max="6400" width="8.85546875" style="300"/>
    <col min="6401" max="6401" width="8" style="300" customWidth="1"/>
    <col min="6402" max="6402" width="89.28515625" style="300" customWidth="1"/>
    <col min="6403" max="6404" width="0" style="300" hidden="1" customWidth="1"/>
    <col min="6405" max="6405" width="10.5703125" style="300" customWidth="1"/>
    <col min="6406" max="6414" width="10.28515625" style="300" customWidth="1"/>
    <col min="6415" max="6415" width="3.42578125" style="300" customWidth="1"/>
    <col min="6416" max="6656" width="8.85546875" style="300"/>
    <col min="6657" max="6657" width="8" style="300" customWidth="1"/>
    <col min="6658" max="6658" width="89.28515625" style="300" customWidth="1"/>
    <col min="6659" max="6660" width="0" style="300" hidden="1" customWidth="1"/>
    <col min="6661" max="6661" width="10.5703125" style="300" customWidth="1"/>
    <col min="6662" max="6670" width="10.28515625" style="300" customWidth="1"/>
    <col min="6671" max="6671" width="3.42578125" style="300" customWidth="1"/>
    <col min="6672" max="6912" width="8.85546875" style="300"/>
    <col min="6913" max="6913" width="8" style="300" customWidth="1"/>
    <col min="6914" max="6914" width="89.28515625" style="300" customWidth="1"/>
    <col min="6915" max="6916" width="0" style="300" hidden="1" customWidth="1"/>
    <col min="6917" max="6917" width="10.5703125" style="300" customWidth="1"/>
    <col min="6918" max="6926" width="10.28515625" style="300" customWidth="1"/>
    <col min="6927" max="6927" width="3.42578125" style="300" customWidth="1"/>
    <col min="6928" max="7168" width="8.85546875" style="300"/>
    <col min="7169" max="7169" width="8" style="300" customWidth="1"/>
    <col min="7170" max="7170" width="89.28515625" style="300" customWidth="1"/>
    <col min="7171" max="7172" width="0" style="300" hidden="1" customWidth="1"/>
    <col min="7173" max="7173" width="10.5703125" style="300" customWidth="1"/>
    <col min="7174" max="7182" width="10.28515625" style="300" customWidth="1"/>
    <col min="7183" max="7183" width="3.42578125" style="300" customWidth="1"/>
    <col min="7184" max="7424" width="8.85546875" style="300"/>
    <col min="7425" max="7425" width="8" style="300" customWidth="1"/>
    <col min="7426" max="7426" width="89.28515625" style="300" customWidth="1"/>
    <col min="7427" max="7428" width="0" style="300" hidden="1" customWidth="1"/>
    <col min="7429" max="7429" width="10.5703125" style="300" customWidth="1"/>
    <col min="7430" max="7438" width="10.28515625" style="300" customWidth="1"/>
    <col min="7439" max="7439" width="3.42578125" style="300" customWidth="1"/>
    <col min="7440" max="7680" width="8.85546875" style="300"/>
    <col min="7681" max="7681" width="8" style="300" customWidth="1"/>
    <col min="7682" max="7682" width="89.28515625" style="300" customWidth="1"/>
    <col min="7683" max="7684" width="0" style="300" hidden="1" customWidth="1"/>
    <col min="7685" max="7685" width="10.5703125" style="300" customWidth="1"/>
    <col min="7686" max="7694" width="10.28515625" style="300" customWidth="1"/>
    <col min="7695" max="7695" width="3.42578125" style="300" customWidth="1"/>
    <col min="7696" max="7936" width="8.85546875" style="300"/>
    <col min="7937" max="7937" width="8" style="300" customWidth="1"/>
    <col min="7938" max="7938" width="89.28515625" style="300" customWidth="1"/>
    <col min="7939" max="7940" width="0" style="300" hidden="1" customWidth="1"/>
    <col min="7941" max="7941" width="10.5703125" style="300" customWidth="1"/>
    <col min="7942" max="7950" width="10.28515625" style="300" customWidth="1"/>
    <col min="7951" max="7951" width="3.42578125" style="300" customWidth="1"/>
    <col min="7952" max="8192" width="8.85546875" style="300"/>
    <col min="8193" max="8193" width="8" style="300" customWidth="1"/>
    <col min="8194" max="8194" width="89.28515625" style="300" customWidth="1"/>
    <col min="8195" max="8196" width="0" style="300" hidden="1" customWidth="1"/>
    <col min="8197" max="8197" width="10.5703125" style="300" customWidth="1"/>
    <col min="8198" max="8206" width="10.28515625" style="300" customWidth="1"/>
    <col min="8207" max="8207" width="3.42578125" style="300" customWidth="1"/>
    <col min="8208" max="8448" width="8.85546875" style="300"/>
    <col min="8449" max="8449" width="8" style="300" customWidth="1"/>
    <col min="8450" max="8450" width="89.28515625" style="300" customWidth="1"/>
    <col min="8451" max="8452" width="0" style="300" hidden="1" customWidth="1"/>
    <col min="8453" max="8453" width="10.5703125" style="300" customWidth="1"/>
    <col min="8454" max="8462" width="10.28515625" style="300" customWidth="1"/>
    <col min="8463" max="8463" width="3.42578125" style="300" customWidth="1"/>
    <col min="8464" max="8704" width="8.85546875" style="300"/>
    <col min="8705" max="8705" width="8" style="300" customWidth="1"/>
    <col min="8706" max="8706" width="89.28515625" style="300" customWidth="1"/>
    <col min="8707" max="8708" width="0" style="300" hidden="1" customWidth="1"/>
    <col min="8709" max="8709" width="10.5703125" style="300" customWidth="1"/>
    <col min="8710" max="8718" width="10.28515625" style="300" customWidth="1"/>
    <col min="8719" max="8719" width="3.42578125" style="300" customWidth="1"/>
    <col min="8720" max="8960" width="8.85546875" style="300"/>
    <col min="8961" max="8961" width="8" style="300" customWidth="1"/>
    <col min="8962" max="8962" width="89.28515625" style="300" customWidth="1"/>
    <col min="8963" max="8964" width="0" style="300" hidden="1" customWidth="1"/>
    <col min="8965" max="8965" width="10.5703125" style="300" customWidth="1"/>
    <col min="8966" max="8974" width="10.28515625" style="300" customWidth="1"/>
    <col min="8975" max="8975" width="3.42578125" style="300" customWidth="1"/>
    <col min="8976" max="9216" width="8.85546875" style="300"/>
    <col min="9217" max="9217" width="8" style="300" customWidth="1"/>
    <col min="9218" max="9218" width="89.28515625" style="300" customWidth="1"/>
    <col min="9219" max="9220" width="0" style="300" hidden="1" customWidth="1"/>
    <col min="9221" max="9221" width="10.5703125" style="300" customWidth="1"/>
    <col min="9222" max="9230" width="10.28515625" style="300" customWidth="1"/>
    <col min="9231" max="9231" width="3.42578125" style="300" customWidth="1"/>
    <col min="9232" max="9472" width="8.85546875" style="300"/>
    <col min="9473" max="9473" width="8" style="300" customWidth="1"/>
    <col min="9474" max="9474" width="89.28515625" style="300" customWidth="1"/>
    <col min="9475" max="9476" width="0" style="300" hidden="1" customWidth="1"/>
    <col min="9477" max="9477" width="10.5703125" style="300" customWidth="1"/>
    <col min="9478" max="9486" width="10.28515625" style="300" customWidth="1"/>
    <col min="9487" max="9487" width="3.42578125" style="300" customWidth="1"/>
    <col min="9488" max="9728" width="8.85546875" style="300"/>
    <col min="9729" max="9729" width="8" style="300" customWidth="1"/>
    <col min="9730" max="9730" width="89.28515625" style="300" customWidth="1"/>
    <col min="9731" max="9732" width="0" style="300" hidden="1" customWidth="1"/>
    <col min="9733" max="9733" width="10.5703125" style="300" customWidth="1"/>
    <col min="9734" max="9742" width="10.28515625" style="300" customWidth="1"/>
    <col min="9743" max="9743" width="3.42578125" style="300" customWidth="1"/>
    <col min="9744" max="9984" width="8.85546875" style="300"/>
    <col min="9985" max="9985" width="8" style="300" customWidth="1"/>
    <col min="9986" max="9986" width="89.28515625" style="300" customWidth="1"/>
    <col min="9987" max="9988" width="0" style="300" hidden="1" customWidth="1"/>
    <col min="9989" max="9989" width="10.5703125" style="300" customWidth="1"/>
    <col min="9990" max="9998" width="10.28515625" style="300" customWidth="1"/>
    <col min="9999" max="9999" width="3.42578125" style="300" customWidth="1"/>
    <col min="10000" max="10240" width="8.85546875" style="300"/>
    <col min="10241" max="10241" width="8" style="300" customWidth="1"/>
    <col min="10242" max="10242" width="89.28515625" style="300" customWidth="1"/>
    <col min="10243" max="10244" width="0" style="300" hidden="1" customWidth="1"/>
    <col min="10245" max="10245" width="10.5703125" style="300" customWidth="1"/>
    <col min="10246" max="10254" width="10.28515625" style="300" customWidth="1"/>
    <col min="10255" max="10255" width="3.42578125" style="300" customWidth="1"/>
    <col min="10256" max="10496" width="8.85546875" style="300"/>
    <col min="10497" max="10497" width="8" style="300" customWidth="1"/>
    <col min="10498" max="10498" width="89.28515625" style="300" customWidth="1"/>
    <col min="10499" max="10500" width="0" style="300" hidden="1" customWidth="1"/>
    <col min="10501" max="10501" width="10.5703125" style="300" customWidth="1"/>
    <col min="10502" max="10510" width="10.28515625" style="300" customWidth="1"/>
    <col min="10511" max="10511" width="3.42578125" style="300" customWidth="1"/>
    <col min="10512" max="10752" width="8.85546875" style="300"/>
    <col min="10753" max="10753" width="8" style="300" customWidth="1"/>
    <col min="10754" max="10754" width="89.28515625" style="300" customWidth="1"/>
    <col min="10755" max="10756" width="0" style="300" hidden="1" customWidth="1"/>
    <col min="10757" max="10757" width="10.5703125" style="300" customWidth="1"/>
    <col min="10758" max="10766" width="10.28515625" style="300" customWidth="1"/>
    <col min="10767" max="10767" width="3.42578125" style="300" customWidth="1"/>
    <col min="10768" max="11008" width="8.85546875" style="300"/>
    <col min="11009" max="11009" width="8" style="300" customWidth="1"/>
    <col min="11010" max="11010" width="89.28515625" style="300" customWidth="1"/>
    <col min="11011" max="11012" width="0" style="300" hidden="1" customWidth="1"/>
    <col min="11013" max="11013" width="10.5703125" style="300" customWidth="1"/>
    <col min="11014" max="11022" width="10.28515625" style="300" customWidth="1"/>
    <col min="11023" max="11023" width="3.42578125" style="300" customWidth="1"/>
    <col min="11024" max="11264" width="8.85546875" style="300"/>
    <col min="11265" max="11265" width="8" style="300" customWidth="1"/>
    <col min="11266" max="11266" width="89.28515625" style="300" customWidth="1"/>
    <col min="11267" max="11268" width="0" style="300" hidden="1" customWidth="1"/>
    <col min="11269" max="11269" width="10.5703125" style="300" customWidth="1"/>
    <col min="11270" max="11278" width="10.28515625" style="300" customWidth="1"/>
    <col min="11279" max="11279" width="3.42578125" style="300" customWidth="1"/>
    <col min="11280" max="11520" width="8.85546875" style="300"/>
    <col min="11521" max="11521" width="8" style="300" customWidth="1"/>
    <col min="11522" max="11522" width="89.28515625" style="300" customWidth="1"/>
    <col min="11523" max="11524" width="0" style="300" hidden="1" customWidth="1"/>
    <col min="11525" max="11525" width="10.5703125" style="300" customWidth="1"/>
    <col min="11526" max="11534" width="10.28515625" style="300" customWidth="1"/>
    <col min="11535" max="11535" width="3.42578125" style="300" customWidth="1"/>
    <col min="11536" max="11776" width="8.85546875" style="300"/>
    <col min="11777" max="11777" width="8" style="300" customWidth="1"/>
    <col min="11778" max="11778" width="89.28515625" style="300" customWidth="1"/>
    <col min="11779" max="11780" width="0" style="300" hidden="1" customWidth="1"/>
    <col min="11781" max="11781" width="10.5703125" style="300" customWidth="1"/>
    <col min="11782" max="11790" width="10.28515625" style="300" customWidth="1"/>
    <col min="11791" max="11791" width="3.42578125" style="300" customWidth="1"/>
    <col min="11792" max="12032" width="8.85546875" style="300"/>
    <col min="12033" max="12033" width="8" style="300" customWidth="1"/>
    <col min="12034" max="12034" width="89.28515625" style="300" customWidth="1"/>
    <col min="12035" max="12036" width="0" style="300" hidden="1" customWidth="1"/>
    <col min="12037" max="12037" width="10.5703125" style="300" customWidth="1"/>
    <col min="12038" max="12046" width="10.28515625" style="300" customWidth="1"/>
    <col min="12047" max="12047" width="3.42578125" style="300" customWidth="1"/>
    <col min="12048" max="12288" width="8.85546875" style="300"/>
    <col min="12289" max="12289" width="8" style="300" customWidth="1"/>
    <col min="12290" max="12290" width="89.28515625" style="300" customWidth="1"/>
    <col min="12291" max="12292" width="0" style="300" hidden="1" customWidth="1"/>
    <col min="12293" max="12293" width="10.5703125" style="300" customWidth="1"/>
    <col min="12294" max="12302" width="10.28515625" style="300" customWidth="1"/>
    <col min="12303" max="12303" width="3.42578125" style="300" customWidth="1"/>
    <col min="12304" max="12544" width="8.85546875" style="300"/>
    <col min="12545" max="12545" width="8" style="300" customWidth="1"/>
    <col min="12546" max="12546" width="89.28515625" style="300" customWidth="1"/>
    <col min="12547" max="12548" width="0" style="300" hidden="1" customWidth="1"/>
    <col min="12549" max="12549" width="10.5703125" style="300" customWidth="1"/>
    <col min="12550" max="12558" width="10.28515625" style="300" customWidth="1"/>
    <col min="12559" max="12559" width="3.42578125" style="300" customWidth="1"/>
    <col min="12560" max="12800" width="8.85546875" style="300"/>
    <col min="12801" max="12801" width="8" style="300" customWidth="1"/>
    <col min="12802" max="12802" width="89.28515625" style="300" customWidth="1"/>
    <col min="12803" max="12804" width="0" style="300" hidden="1" customWidth="1"/>
    <col min="12805" max="12805" width="10.5703125" style="300" customWidth="1"/>
    <col min="12806" max="12814" width="10.28515625" style="300" customWidth="1"/>
    <col min="12815" max="12815" width="3.42578125" style="300" customWidth="1"/>
    <col min="12816" max="13056" width="8.85546875" style="300"/>
    <col min="13057" max="13057" width="8" style="300" customWidth="1"/>
    <col min="13058" max="13058" width="89.28515625" style="300" customWidth="1"/>
    <col min="13059" max="13060" width="0" style="300" hidden="1" customWidth="1"/>
    <col min="13061" max="13061" width="10.5703125" style="300" customWidth="1"/>
    <col min="13062" max="13070" width="10.28515625" style="300" customWidth="1"/>
    <col min="13071" max="13071" width="3.42578125" style="300" customWidth="1"/>
    <col min="13072" max="13312" width="8.85546875" style="300"/>
    <col min="13313" max="13313" width="8" style="300" customWidth="1"/>
    <col min="13314" max="13314" width="89.28515625" style="300" customWidth="1"/>
    <col min="13315" max="13316" width="0" style="300" hidden="1" customWidth="1"/>
    <col min="13317" max="13317" width="10.5703125" style="300" customWidth="1"/>
    <col min="13318" max="13326" width="10.28515625" style="300" customWidth="1"/>
    <col min="13327" max="13327" width="3.42578125" style="300" customWidth="1"/>
    <col min="13328" max="13568" width="8.85546875" style="300"/>
    <col min="13569" max="13569" width="8" style="300" customWidth="1"/>
    <col min="13570" max="13570" width="89.28515625" style="300" customWidth="1"/>
    <col min="13571" max="13572" width="0" style="300" hidden="1" customWidth="1"/>
    <col min="13573" max="13573" width="10.5703125" style="300" customWidth="1"/>
    <col min="13574" max="13582" width="10.28515625" style="300" customWidth="1"/>
    <col min="13583" max="13583" width="3.42578125" style="300" customWidth="1"/>
    <col min="13584" max="13824" width="8.85546875" style="300"/>
    <col min="13825" max="13825" width="8" style="300" customWidth="1"/>
    <col min="13826" max="13826" width="89.28515625" style="300" customWidth="1"/>
    <col min="13827" max="13828" width="0" style="300" hidden="1" customWidth="1"/>
    <col min="13829" max="13829" width="10.5703125" style="300" customWidth="1"/>
    <col min="13830" max="13838" width="10.28515625" style="300" customWidth="1"/>
    <col min="13839" max="13839" width="3.42578125" style="300" customWidth="1"/>
    <col min="13840" max="14080" width="8.85546875" style="300"/>
    <col min="14081" max="14081" width="8" style="300" customWidth="1"/>
    <col min="14082" max="14082" width="89.28515625" style="300" customWidth="1"/>
    <col min="14083" max="14084" width="0" style="300" hidden="1" customWidth="1"/>
    <col min="14085" max="14085" width="10.5703125" style="300" customWidth="1"/>
    <col min="14086" max="14094" width="10.28515625" style="300" customWidth="1"/>
    <col min="14095" max="14095" width="3.42578125" style="300" customWidth="1"/>
    <col min="14096" max="14336" width="8.85546875" style="300"/>
    <col min="14337" max="14337" width="8" style="300" customWidth="1"/>
    <col min="14338" max="14338" width="89.28515625" style="300" customWidth="1"/>
    <col min="14339" max="14340" width="0" style="300" hidden="1" customWidth="1"/>
    <col min="14341" max="14341" width="10.5703125" style="300" customWidth="1"/>
    <col min="14342" max="14350" width="10.28515625" style="300" customWidth="1"/>
    <col min="14351" max="14351" width="3.42578125" style="300" customWidth="1"/>
    <col min="14352" max="14592" width="8.85546875" style="300"/>
    <col min="14593" max="14593" width="8" style="300" customWidth="1"/>
    <col min="14594" max="14594" width="89.28515625" style="300" customWidth="1"/>
    <col min="14595" max="14596" width="0" style="300" hidden="1" customWidth="1"/>
    <col min="14597" max="14597" width="10.5703125" style="300" customWidth="1"/>
    <col min="14598" max="14606" width="10.28515625" style="300" customWidth="1"/>
    <col min="14607" max="14607" width="3.42578125" style="300" customWidth="1"/>
    <col min="14608" max="14848" width="8.85546875" style="300"/>
    <col min="14849" max="14849" width="8" style="300" customWidth="1"/>
    <col min="14850" max="14850" width="89.28515625" style="300" customWidth="1"/>
    <col min="14851" max="14852" width="0" style="300" hidden="1" customWidth="1"/>
    <col min="14853" max="14853" width="10.5703125" style="300" customWidth="1"/>
    <col min="14854" max="14862" width="10.28515625" style="300" customWidth="1"/>
    <col min="14863" max="14863" width="3.42578125" style="300" customWidth="1"/>
    <col min="14864" max="15104" width="8.85546875" style="300"/>
    <col min="15105" max="15105" width="8" style="300" customWidth="1"/>
    <col min="15106" max="15106" width="89.28515625" style="300" customWidth="1"/>
    <col min="15107" max="15108" width="0" style="300" hidden="1" customWidth="1"/>
    <col min="15109" max="15109" width="10.5703125" style="300" customWidth="1"/>
    <col min="15110" max="15118" width="10.28515625" style="300" customWidth="1"/>
    <col min="15119" max="15119" width="3.42578125" style="300" customWidth="1"/>
    <col min="15120" max="15360" width="8.85546875" style="300"/>
    <col min="15361" max="15361" width="8" style="300" customWidth="1"/>
    <col min="15362" max="15362" width="89.28515625" style="300" customWidth="1"/>
    <col min="15363" max="15364" width="0" style="300" hidden="1" customWidth="1"/>
    <col min="15365" max="15365" width="10.5703125" style="300" customWidth="1"/>
    <col min="15366" max="15374" width="10.28515625" style="300" customWidth="1"/>
    <col min="15375" max="15375" width="3.42578125" style="300" customWidth="1"/>
    <col min="15376" max="15616" width="8.85546875" style="300"/>
    <col min="15617" max="15617" width="8" style="300" customWidth="1"/>
    <col min="15618" max="15618" width="89.28515625" style="300" customWidth="1"/>
    <col min="15619" max="15620" width="0" style="300" hidden="1" customWidth="1"/>
    <col min="15621" max="15621" width="10.5703125" style="300" customWidth="1"/>
    <col min="15622" max="15630" width="10.28515625" style="300" customWidth="1"/>
    <col min="15631" max="15631" width="3.42578125" style="300" customWidth="1"/>
    <col min="15632" max="15872" width="8.85546875" style="300"/>
    <col min="15873" max="15873" width="8" style="300" customWidth="1"/>
    <col min="15874" max="15874" width="89.28515625" style="300" customWidth="1"/>
    <col min="15875" max="15876" width="0" style="300" hidden="1" customWidth="1"/>
    <col min="15877" max="15877" width="10.5703125" style="300" customWidth="1"/>
    <col min="15878" max="15886" width="10.28515625" style="300" customWidth="1"/>
    <col min="15887" max="15887" width="3.42578125" style="300" customWidth="1"/>
    <col min="15888" max="16128" width="8.85546875" style="300"/>
    <col min="16129" max="16129" width="8" style="300" customWidth="1"/>
    <col min="16130" max="16130" width="89.28515625" style="300" customWidth="1"/>
    <col min="16131" max="16132" width="0" style="300" hidden="1" customWidth="1"/>
    <col min="16133" max="16133" width="10.5703125" style="300" customWidth="1"/>
    <col min="16134" max="16142" width="10.28515625" style="300" customWidth="1"/>
    <col min="16143" max="16143" width="3.42578125" style="300" customWidth="1"/>
    <col min="16144" max="16384" width="8.85546875" style="300"/>
  </cols>
  <sheetData>
    <row r="1" spans="1:14" s="282" customFormat="1">
      <c r="A1" s="278"/>
      <c r="B1" s="279"/>
      <c r="C1" s="280"/>
      <c r="D1" s="280"/>
      <c r="E1" s="281"/>
    </row>
    <row r="2" spans="1:14" s="282" customFormat="1">
      <c r="A2" s="278"/>
      <c r="B2" s="279"/>
      <c r="C2" s="280"/>
      <c r="D2" s="280"/>
      <c r="E2" s="281"/>
    </row>
    <row r="3" spans="1:14" s="283" customFormat="1" ht="22.5" customHeight="1">
      <c r="A3" s="1743" t="s">
        <v>2550</v>
      </c>
      <c r="B3" s="1743"/>
      <c r="C3" s="1743"/>
      <c r="D3" s="1743"/>
      <c r="E3" s="1743"/>
      <c r="F3" s="1743"/>
      <c r="G3" s="1743"/>
      <c r="H3" s="1743"/>
      <c r="I3" s="1743"/>
      <c r="J3" s="1743"/>
      <c r="K3" s="1743"/>
      <c r="L3" s="1743"/>
      <c r="M3" s="1743"/>
      <c r="N3" s="1743"/>
    </row>
    <row r="4" spans="1:14" s="284" customFormat="1" ht="22.5" customHeight="1">
      <c r="A4" s="1743" t="s">
        <v>2551</v>
      </c>
      <c r="B4" s="1743"/>
      <c r="C4" s="1743"/>
      <c r="D4" s="1743"/>
      <c r="E4" s="1743"/>
      <c r="F4" s="1743"/>
      <c r="G4" s="1743"/>
      <c r="H4" s="1743"/>
      <c r="I4" s="1743"/>
      <c r="J4" s="1743"/>
      <c r="K4" s="1743"/>
      <c r="L4" s="1743"/>
      <c r="M4" s="1743"/>
      <c r="N4" s="1743"/>
    </row>
    <row r="5" spans="1:14" s="283" customFormat="1" ht="22.5" customHeight="1">
      <c r="A5" s="1743" t="s">
        <v>79</v>
      </c>
      <c r="B5" s="1743"/>
      <c r="C5" s="1743"/>
      <c r="D5" s="1743"/>
      <c r="E5" s="1743"/>
      <c r="F5" s="1743"/>
      <c r="G5" s="1743"/>
      <c r="H5" s="1743"/>
      <c r="I5" s="1743"/>
      <c r="J5" s="1743"/>
      <c r="K5" s="1743"/>
      <c r="L5" s="1743"/>
      <c r="M5" s="1743"/>
      <c r="N5" s="1743"/>
    </row>
    <row r="6" spans="1:14" s="282" customFormat="1" ht="15" customHeight="1">
      <c r="A6" s="285"/>
      <c r="B6" s="286"/>
      <c r="C6" s="285"/>
      <c r="D6" s="285"/>
      <c r="E6" s="287"/>
      <c r="F6" s="285"/>
      <c r="G6" s="285"/>
      <c r="H6" s="285"/>
      <c r="I6" s="285"/>
      <c r="J6" s="285"/>
      <c r="K6" s="285"/>
      <c r="L6" s="285"/>
      <c r="M6" s="285"/>
      <c r="N6" s="285"/>
    </row>
    <row r="7" spans="1:14" s="282" customFormat="1" ht="20.25" customHeight="1">
      <c r="A7" s="288" t="s">
        <v>3</v>
      </c>
      <c r="B7" s="289"/>
      <c r="C7" s="290"/>
      <c r="D7" s="290"/>
      <c r="E7" s="291"/>
    </row>
    <row r="8" spans="1:14" s="282" customFormat="1" ht="28.5" customHeight="1">
      <c r="A8" s="1744" t="s">
        <v>4</v>
      </c>
      <c r="B8" s="1744"/>
      <c r="C8" s="292"/>
      <c r="D8" s="292"/>
      <c r="E8" s="293"/>
      <c r="F8" s="1745"/>
      <c r="G8" s="1745"/>
      <c r="H8" s="1745"/>
      <c r="I8" s="1745"/>
      <c r="J8" s="1745"/>
      <c r="K8" s="294"/>
      <c r="M8" s="1746" t="s">
        <v>2552</v>
      </c>
      <c r="N8" s="1746"/>
    </row>
    <row r="9" spans="1:14" s="282" customFormat="1" ht="12.95" customHeight="1">
      <c r="A9" s="295"/>
      <c r="B9" s="296"/>
      <c r="C9" s="297"/>
      <c r="D9" s="297"/>
      <c r="E9" s="298"/>
      <c r="F9" s="299"/>
      <c r="G9" s="299"/>
      <c r="H9" s="299"/>
      <c r="I9" s="299"/>
      <c r="J9" s="299"/>
      <c r="K9" s="299"/>
      <c r="L9" s="299"/>
      <c r="M9" s="299"/>
      <c r="N9" s="299"/>
    </row>
    <row r="10" spans="1:14" ht="34.5" customHeight="1">
      <c r="A10" s="1747" t="s">
        <v>6</v>
      </c>
      <c r="B10" s="1749" t="s">
        <v>7</v>
      </c>
      <c r="C10" s="1751" t="s">
        <v>8</v>
      </c>
      <c r="D10" s="1752"/>
      <c r="E10" s="1753"/>
      <c r="F10" s="1754" t="s">
        <v>9</v>
      </c>
      <c r="G10" s="1754"/>
      <c r="H10" s="1754"/>
      <c r="I10" s="1754"/>
      <c r="J10" s="1754" t="s">
        <v>10</v>
      </c>
      <c r="K10" s="1754"/>
      <c r="L10" s="1754"/>
      <c r="M10" s="1754"/>
      <c r="N10" s="1741" t="s">
        <v>11</v>
      </c>
    </row>
    <row r="11" spans="1:14" ht="114" customHeight="1">
      <c r="A11" s="1748"/>
      <c r="B11" s="1750"/>
      <c r="C11" s="301" t="s">
        <v>2553</v>
      </c>
      <c r="D11" s="301"/>
      <c r="E11" s="302" t="s">
        <v>2554</v>
      </c>
      <c r="F11" s="303" t="s">
        <v>14</v>
      </c>
      <c r="G11" s="303" t="s">
        <v>87</v>
      </c>
      <c r="H11" s="303" t="s">
        <v>2555</v>
      </c>
      <c r="I11" s="303" t="s">
        <v>2556</v>
      </c>
      <c r="J11" s="303" t="s">
        <v>14</v>
      </c>
      <c r="K11" s="303" t="s">
        <v>2557</v>
      </c>
      <c r="L11" s="303" t="s">
        <v>2558</v>
      </c>
      <c r="M11" s="303" t="s">
        <v>2559</v>
      </c>
      <c r="N11" s="1742"/>
    </row>
    <row r="12" spans="1:14" ht="20.100000000000001" customHeight="1">
      <c r="A12" s="304" t="s">
        <v>18</v>
      </c>
      <c r="B12" s="305" t="s">
        <v>19</v>
      </c>
      <c r="C12" s="306" t="s">
        <v>20</v>
      </c>
      <c r="D12" s="306"/>
      <c r="E12" s="307" t="s">
        <v>21</v>
      </c>
      <c r="F12" s="308" t="s">
        <v>22</v>
      </c>
      <c r="G12" s="308" t="s">
        <v>23</v>
      </c>
      <c r="H12" s="308" t="s">
        <v>24</v>
      </c>
      <c r="I12" s="308" t="s">
        <v>25</v>
      </c>
      <c r="J12" s="308" t="s">
        <v>26</v>
      </c>
      <c r="K12" s="308" t="s">
        <v>27</v>
      </c>
      <c r="L12" s="308" t="s">
        <v>28</v>
      </c>
      <c r="M12" s="308" t="s">
        <v>90</v>
      </c>
      <c r="N12" s="308" t="s">
        <v>91</v>
      </c>
    </row>
    <row r="13" spans="1:14" s="314" customFormat="1" ht="21.75" customHeight="1">
      <c r="A13" s="309" t="s">
        <v>92</v>
      </c>
      <c r="B13" s="310" t="s">
        <v>93</v>
      </c>
      <c r="C13" s="311">
        <f>C14</f>
        <v>97405000000</v>
      </c>
      <c r="D13" s="311">
        <v>389351314600</v>
      </c>
      <c r="E13" s="312">
        <f>+C13/D13*100</f>
        <v>25.01725211845477</v>
      </c>
      <c r="F13" s="311"/>
      <c r="G13" s="311"/>
      <c r="H13" s="313"/>
      <c r="I13" s="313"/>
      <c r="J13" s="313"/>
      <c r="K13" s="313"/>
      <c r="L13" s="313"/>
      <c r="M13" s="313"/>
      <c r="N13" s="313"/>
    </row>
    <row r="14" spans="1:14" s="314" customFormat="1" ht="21.75" customHeight="1">
      <c r="A14" s="315"/>
      <c r="B14" s="347" t="s">
        <v>94</v>
      </c>
      <c r="C14" s="799">
        <f>C15+C26+C28+C36+C44+C51+C65+C69+C71</f>
        <v>97405000000</v>
      </c>
      <c r="D14" s="318">
        <v>389351314600</v>
      </c>
      <c r="E14" s="114">
        <f>+C14/D14*100</f>
        <v>25.01725211845477</v>
      </c>
      <c r="F14" s="318"/>
      <c r="G14" s="318"/>
      <c r="H14" s="319"/>
      <c r="I14" s="319"/>
      <c r="J14" s="319"/>
      <c r="K14" s="319"/>
      <c r="L14" s="319"/>
      <c r="M14" s="319"/>
      <c r="N14" s="319"/>
    </row>
    <row r="15" spans="1:14" s="314" customFormat="1" ht="21.75" customHeight="1">
      <c r="A15" s="315"/>
      <c r="B15" s="347" t="s">
        <v>95</v>
      </c>
      <c r="C15" s="799">
        <f>C16+C17+C18+C19+C20+C21+C22+C23+C24+C25</f>
        <v>16069685465</v>
      </c>
      <c r="D15" s="399">
        <v>97405000000</v>
      </c>
      <c r="E15" s="114">
        <f t="shared" ref="E15:E78" si="0">+C15/D15*100</f>
        <v>16.497803464914533</v>
      </c>
      <c r="F15" s="318"/>
      <c r="G15" s="318"/>
      <c r="H15" s="319"/>
      <c r="I15" s="319"/>
      <c r="J15" s="319"/>
      <c r="K15" s="319"/>
      <c r="L15" s="319"/>
      <c r="M15" s="319"/>
      <c r="N15" s="319"/>
    </row>
    <row r="16" spans="1:14" ht="21.75" customHeight="1">
      <c r="A16" s="320"/>
      <c r="B16" s="316" t="s">
        <v>96</v>
      </c>
      <c r="C16" s="317">
        <v>7110290000</v>
      </c>
      <c r="D16" s="321">
        <v>97405000000</v>
      </c>
      <c r="E16" s="114">
        <f t="shared" si="0"/>
        <v>7.2997176736307168</v>
      </c>
      <c r="F16" s="322"/>
      <c r="G16" s="322"/>
      <c r="H16" s="323"/>
      <c r="I16" s="323"/>
      <c r="J16" s="323"/>
      <c r="K16" s="323"/>
      <c r="L16" s="323"/>
      <c r="M16" s="323"/>
      <c r="N16" s="323"/>
    </row>
    <row r="17" spans="1:14" ht="21.75" customHeight="1">
      <c r="A17" s="320"/>
      <c r="B17" s="316" t="s">
        <v>97</v>
      </c>
      <c r="C17" s="317">
        <v>1053466400</v>
      </c>
      <c r="D17" s="321">
        <v>97405000000</v>
      </c>
      <c r="E17" s="114">
        <f t="shared" si="0"/>
        <v>1.0815321595400647</v>
      </c>
      <c r="F17" s="322"/>
      <c r="G17" s="322"/>
      <c r="H17" s="323"/>
      <c r="I17" s="323"/>
      <c r="J17" s="323"/>
      <c r="K17" s="323"/>
      <c r="L17" s="323"/>
      <c r="M17" s="323"/>
      <c r="N17" s="323"/>
    </row>
    <row r="18" spans="1:14" ht="21.75" customHeight="1">
      <c r="A18" s="320"/>
      <c r="B18" s="316" t="s">
        <v>98</v>
      </c>
      <c r="C18" s="317">
        <v>1573457065</v>
      </c>
      <c r="D18" s="321">
        <v>97405000000</v>
      </c>
      <c r="E18" s="114">
        <f t="shared" si="0"/>
        <v>1.6153760741235048</v>
      </c>
      <c r="F18" s="322"/>
      <c r="G18" s="322"/>
      <c r="H18" s="323"/>
      <c r="I18" s="323"/>
      <c r="J18" s="323"/>
      <c r="K18" s="323"/>
      <c r="L18" s="323"/>
      <c r="M18" s="323"/>
      <c r="N18" s="323"/>
    </row>
    <row r="19" spans="1:14" ht="21.75" customHeight="1">
      <c r="A19" s="320"/>
      <c r="B19" s="316" t="s">
        <v>99</v>
      </c>
      <c r="C19" s="317">
        <v>652300000</v>
      </c>
      <c r="D19" s="321">
        <v>97405000000</v>
      </c>
      <c r="E19" s="114">
        <f t="shared" si="0"/>
        <v>0.66967814793901748</v>
      </c>
      <c r="F19" s="322"/>
      <c r="G19" s="322"/>
      <c r="H19" s="323"/>
      <c r="I19" s="323"/>
      <c r="J19" s="323"/>
      <c r="K19" s="323"/>
      <c r="L19" s="323"/>
      <c r="M19" s="323"/>
      <c r="N19" s="323"/>
    </row>
    <row r="20" spans="1:14" ht="21.75" customHeight="1">
      <c r="A20" s="320"/>
      <c r="B20" s="316" t="s">
        <v>100</v>
      </c>
      <c r="C20" s="317">
        <v>943042560</v>
      </c>
      <c r="D20" s="321">
        <v>97405000000</v>
      </c>
      <c r="E20" s="114">
        <f t="shared" si="0"/>
        <v>0.96816648016015605</v>
      </c>
      <c r="F20" s="322"/>
      <c r="G20" s="322"/>
      <c r="H20" s="323"/>
      <c r="I20" s="323"/>
      <c r="J20" s="323"/>
      <c r="K20" s="323"/>
      <c r="L20" s="323"/>
      <c r="M20" s="323"/>
      <c r="N20" s="323"/>
    </row>
    <row r="21" spans="1:14" ht="21.75" customHeight="1">
      <c r="A21" s="320"/>
      <c r="B21" s="316" t="s">
        <v>101</v>
      </c>
      <c r="C21" s="317">
        <v>1639300000</v>
      </c>
      <c r="D21" s="321">
        <v>97405000000</v>
      </c>
      <c r="E21" s="114">
        <f t="shared" si="0"/>
        <v>1.6829731533288843</v>
      </c>
      <c r="F21" s="322"/>
      <c r="G21" s="322"/>
      <c r="H21" s="323"/>
      <c r="I21" s="323"/>
      <c r="J21" s="323"/>
      <c r="K21" s="323"/>
      <c r="L21" s="323"/>
      <c r="M21" s="323"/>
      <c r="N21" s="323"/>
    </row>
    <row r="22" spans="1:14" ht="21.75" customHeight="1">
      <c r="A22" s="320"/>
      <c r="B22" s="316" t="s">
        <v>102</v>
      </c>
      <c r="C22" s="317">
        <v>1857237500</v>
      </c>
      <c r="D22" s="321">
        <v>97405000000</v>
      </c>
      <c r="E22" s="114">
        <f t="shared" si="0"/>
        <v>1.9067168009855757</v>
      </c>
      <c r="F22" s="322"/>
      <c r="G22" s="322"/>
      <c r="H22" s="323"/>
      <c r="I22" s="323"/>
      <c r="J22" s="323"/>
      <c r="K22" s="323"/>
      <c r="L22" s="323"/>
      <c r="M22" s="323"/>
      <c r="N22" s="323"/>
    </row>
    <row r="23" spans="1:14" ht="21.75" customHeight="1">
      <c r="A23" s="320"/>
      <c r="B23" s="316" t="s">
        <v>103</v>
      </c>
      <c r="C23" s="317">
        <v>270099340</v>
      </c>
      <c r="D23" s="321">
        <v>97405000000</v>
      </c>
      <c r="E23" s="114">
        <f t="shared" si="0"/>
        <v>0.27729514911965503</v>
      </c>
      <c r="F23" s="322"/>
      <c r="G23" s="322"/>
      <c r="H23" s="323"/>
      <c r="I23" s="323"/>
      <c r="J23" s="323"/>
      <c r="K23" s="323"/>
      <c r="L23" s="323"/>
      <c r="M23" s="323"/>
      <c r="N23" s="323"/>
    </row>
    <row r="24" spans="1:14" ht="21.75" customHeight="1">
      <c r="A24" s="320"/>
      <c r="B24" s="316" t="s">
        <v>104</v>
      </c>
      <c r="C24" s="317">
        <v>474392600</v>
      </c>
      <c r="D24" s="321">
        <v>97405000000</v>
      </c>
      <c r="E24" s="114">
        <f t="shared" si="0"/>
        <v>0.48703105590062112</v>
      </c>
      <c r="F24" s="322"/>
      <c r="G24" s="322"/>
      <c r="H24" s="323"/>
      <c r="I24" s="323"/>
      <c r="J24" s="323"/>
      <c r="K24" s="323"/>
      <c r="L24" s="323"/>
      <c r="M24" s="323"/>
      <c r="N24" s="323"/>
    </row>
    <row r="25" spans="1:14" ht="33" customHeight="1">
      <c r="A25" s="320"/>
      <c r="B25" s="316" t="s">
        <v>105</v>
      </c>
      <c r="C25" s="317">
        <v>496100000</v>
      </c>
      <c r="D25" s="321">
        <v>97405000000</v>
      </c>
      <c r="E25" s="114">
        <f t="shared" si="0"/>
        <v>0.50931677018633537</v>
      </c>
      <c r="F25" s="322"/>
      <c r="G25" s="322"/>
      <c r="H25" s="323"/>
      <c r="I25" s="323"/>
      <c r="J25" s="323"/>
      <c r="K25" s="323"/>
      <c r="L25" s="323"/>
      <c r="M25" s="323"/>
      <c r="N25" s="323"/>
    </row>
    <row r="26" spans="1:14" s="314" customFormat="1" ht="21.75" customHeight="1">
      <c r="A26" s="315"/>
      <c r="B26" s="347" t="s">
        <v>106</v>
      </c>
      <c r="C26" s="799">
        <f>C27</f>
        <v>2007000000</v>
      </c>
      <c r="D26" s="399">
        <v>97405000000</v>
      </c>
      <c r="E26" s="114">
        <f t="shared" si="0"/>
        <v>2.0604691750936812</v>
      </c>
      <c r="F26" s="318"/>
      <c r="G26" s="318"/>
      <c r="H26" s="319"/>
      <c r="I26" s="319"/>
      <c r="J26" s="319"/>
      <c r="K26" s="319"/>
      <c r="L26" s="319"/>
      <c r="M26" s="319"/>
      <c r="N26" s="319"/>
    </row>
    <row r="27" spans="1:14" ht="21.75" customHeight="1">
      <c r="A27" s="320"/>
      <c r="B27" s="316" t="s">
        <v>107</v>
      </c>
      <c r="C27" s="317">
        <v>2007000000</v>
      </c>
      <c r="D27" s="321">
        <v>97405000000</v>
      </c>
      <c r="E27" s="114">
        <f t="shared" si="0"/>
        <v>2.0604691750936812</v>
      </c>
      <c r="F27" s="322"/>
      <c r="G27" s="322"/>
      <c r="H27" s="323"/>
      <c r="I27" s="323"/>
      <c r="J27" s="323"/>
      <c r="K27" s="323"/>
      <c r="L27" s="323"/>
      <c r="M27" s="323"/>
      <c r="N27" s="323"/>
    </row>
    <row r="28" spans="1:14" s="314" customFormat="1" ht="21.75" customHeight="1">
      <c r="A28" s="315"/>
      <c r="B28" s="347" t="s">
        <v>108</v>
      </c>
      <c r="C28" s="799">
        <f>C29+C30+C31+C32+C33+C34+C35</f>
        <v>14648211325</v>
      </c>
      <c r="D28" s="399">
        <v>97405000000</v>
      </c>
      <c r="E28" s="114">
        <f t="shared" si="0"/>
        <v>15.038459345002822</v>
      </c>
      <c r="F28" s="318"/>
      <c r="G28" s="318"/>
      <c r="H28" s="319"/>
      <c r="I28" s="319"/>
      <c r="J28" s="319"/>
      <c r="K28" s="319"/>
      <c r="L28" s="319"/>
      <c r="M28" s="319"/>
      <c r="N28" s="319"/>
    </row>
    <row r="29" spans="1:14" ht="21.75" customHeight="1">
      <c r="A29" s="320"/>
      <c r="B29" s="316" t="s">
        <v>109</v>
      </c>
      <c r="C29" s="317">
        <v>2644673875</v>
      </c>
      <c r="D29" s="321">
        <v>97405000000</v>
      </c>
      <c r="E29" s="114">
        <f t="shared" si="0"/>
        <v>2.7151315384220522</v>
      </c>
      <c r="F29" s="322"/>
      <c r="G29" s="322"/>
      <c r="H29" s="323"/>
      <c r="I29" s="323"/>
      <c r="J29" s="323"/>
      <c r="K29" s="323"/>
      <c r="L29" s="323"/>
      <c r="M29" s="323"/>
      <c r="N29" s="323"/>
    </row>
    <row r="30" spans="1:14" ht="21.75" customHeight="1">
      <c r="A30" s="320"/>
      <c r="B30" s="316" t="s">
        <v>110</v>
      </c>
      <c r="C30" s="317">
        <v>1538600000</v>
      </c>
      <c r="D30" s="321">
        <v>97405000000</v>
      </c>
      <c r="E30" s="114">
        <f t="shared" si="0"/>
        <v>1.579590370104204</v>
      </c>
      <c r="F30" s="322"/>
      <c r="G30" s="322"/>
      <c r="H30" s="323"/>
      <c r="I30" s="323"/>
      <c r="J30" s="323"/>
      <c r="K30" s="323"/>
      <c r="L30" s="323"/>
      <c r="M30" s="323"/>
      <c r="N30" s="323"/>
    </row>
    <row r="31" spans="1:14" ht="21.75" customHeight="1">
      <c r="A31" s="320"/>
      <c r="B31" s="316" t="s">
        <v>111</v>
      </c>
      <c r="C31" s="317">
        <v>1753600000</v>
      </c>
      <c r="D31" s="321">
        <v>97405000000</v>
      </c>
      <c r="E31" s="114">
        <f t="shared" si="0"/>
        <v>1.8003182588162827</v>
      </c>
      <c r="F31" s="322"/>
      <c r="G31" s="322"/>
      <c r="H31" s="323"/>
      <c r="I31" s="323"/>
      <c r="J31" s="323"/>
      <c r="K31" s="323"/>
      <c r="L31" s="323"/>
      <c r="M31" s="323"/>
      <c r="N31" s="323"/>
    </row>
    <row r="32" spans="1:14" ht="21.75" customHeight="1">
      <c r="A32" s="320"/>
      <c r="B32" s="316" t="s">
        <v>112</v>
      </c>
      <c r="C32" s="317">
        <v>2689597110</v>
      </c>
      <c r="D32" s="321">
        <v>97405000000</v>
      </c>
      <c r="E32" s="114">
        <f t="shared" si="0"/>
        <v>2.761251588727478</v>
      </c>
      <c r="F32" s="322"/>
      <c r="G32" s="322"/>
      <c r="H32" s="323"/>
      <c r="I32" s="323"/>
      <c r="J32" s="323"/>
      <c r="K32" s="323"/>
      <c r="L32" s="323"/>
      <c r="M32" s="323"/>
      <c r="N32" s="323"/>
    </row>
    <row r="33" spans="1:14" ht="21.75" customHeight="1">
      <c r="A33" s="320"/>
      <c r="B33" s="316" t="s">
        <v>113</v>
      </c>
      <c r="C33" s="317">
        <v>3805100000</v>
      </c>
      <c r="D33" s="321">
        <v>97405000000</v>
      </c>
      <c r="E33" s="114">
        <f t="shared" si="0"/>
        <v>3.9064729736666499</v>
      </c>
      <c r="F33" s="322"/>
      <c r="G33" s="322"/>
      <c r="H33" s="323"/>
      <c r="I33" s="323"/>
      <c r="J33" s="323"/>
      <c r="K33" s="323"/>
      <c r="L33" s="323"/>
      <c r="M33" s="323"/>
      <c r="N33" s="323"/>
    </row>
    <row r="34" spans="1:14" ht="21.75" customHeight="1">
      <c r="A34" s="320"/>
      <c r="B34" s="316" t="s">
        <v>114</v>
      </c>
      <c r="C34" s="317">
        <v>1605920340</v>
      </c>
      <c r="D34" s="321">
        <v>97405000000</v>
      </c>
      <c r="E34" s="114">
        <f t="shared" si="0"/>
        <v>1.6487042143627124</v>
      </c>
      <c r="F34" s="322"/>
      <c r="G34" s="322"/>
      <c r="H34" s="323"/>
      <c r="I34" s="323"/>
      <c r="J34" s="323"/>
      <c r="K34" s="323"/>
      <c r="L34" s="323"/>
      <c r="M34" s="323"/>
      <c r="N34" s="323"/>
    </row>
    <row r="35" spans="1:14" ht="21.75" customHeight="1">
      <c r="A35" s="320"/>
      <c r="B35" s="316" t="s">
        <v>115</v>
      </c>
      <c r="C35" s="317">
        <v>610720000</v>
      </c>
      <c r="D35" s="321">
        <v>97405000000</v>
      </c>
      <c r="E35" s="114">
        <f t="shared" si="0"/>
        <v>0.62699040090344438</v>
      </c>
      <c r="F35" s="322"/>
      <c r="G35" s="322"/>
      <c r="H35" s="323"/>
      <c r="I35" s="323"/>
      <c r="J35" s="323"/>
      <c r="K35" s="323"/>
      <c r="L35" s="323"/>
      <c r="M35" s="323"/>
      <c r="N35" s="323"/>
    </row>
    <row r="36" spans="1:14" s="314" customFormat="1" ht="21.75" customHeight="1">
      <c r="A36" s="315"/>
      <c r="B36" s="347" t="s">
        <v>116</v>
      </c>
      <c r="C36" s="799">
        <f>C37+C38+C39+C40+C41+C42+C43</f>
        <v>14016742600</v>
      </c>
      <c r="D36" s="399">
        <v>97405000000</v>
      </c>
      <c r="E36" s="114">
        <f t="shared" si="0"/>
        <v>14.390167445203017</v>
      </c>
      <c r="F36" s="318"/>
      <c r="G36" s="318"/>
      <c r="H36" s="319"/>
      <c r="I36" s="319"/>
      <c r="J36" s="319"/>
      <c r="K36" s="319"/>
      <c r="L36" s="319"/>
      <c r="M36" s="319"/>
      <c r="N36" s="319"/>
    </row>
    <row r="37" spans="1:14" ht="21.75" customHeight="1">
      <c r="A37" s="320"/>
      <c r="B37" s="316" t="s">
        <v>117</v>
      </c>
      <c r="C37" s="317">
        <v>2369332600</v>
      </c>
      <c r="D37" s="321">
        <v>97405000000</v>
      </c>
      <c r="E37" s="114">
        <f t="shared" si="0"/>
        <v>2.4324548021148815</v>
      </c>
      <c r="F37" s="322"/>
      <c r="G37" s="322"/>
      <c r="H37" s="323"/>
      <c r="I37" s="323"/>
      <c r="J37" s="323"/>
      <c r="K37" s="323"/>
      <c r="L37" s="323"/>
      <c r="M37" s="323"/>
      <c r="N37" s="323"/>
    </row>
    <row r="38" spans="1:14" ht="21.75" customHeight="1">
      <c r="A38" s="320"/>
      <c r="B38" s="316" t="s">
        <v>118</v>
      </c>
      <c r="C38" s="317">
        <v>2009750000</v>
      </c>
      <c r="D38" s="321">
        <v>97405000000</v>
      </c>
      <c r="E38" s="114">
        <f t="shared" si="0"/>
        <v>2.0632924387865099</v>
      </c>
      <c r="F38" s="322"/>
      <c r="G38" s="322"/>
      <c r="H38" s="323"/>
      <c r="I38" s="323"/>
      <c r="J38" s="323"/>
      <c r="K38" s="323"/>
      <c r="L38" s="323"/>
      <c r="M38" s="323"/>
      <c r="N38" s="323"/>
    </row>
    <row r="39" spans="1:14" ht="21.75" customHeight="1">
      <c r="A39" s="320"/>
      <c r="B39" s="316" t="s">
        <v>119</v>
      </c>
      <c r="C39" s="317">
        <v>1216224500</v>
      </c>
      <c r="D39" s="321">
        <v>97405000000</v>
      </c>
      <c r="E39" s="114">
        <f t="shared" si="0"/>
        <v>1.2486263538832709</v>
      </c>
      <c r="F39" s="322"/>
      <c r="G39" s="322"/>
      <c r="H39" s="323"/>
      <c r="I39" s="323"/>
      <c r="J39" s="323"/>
      <c r="K39" s="323"/>
      <c r="L39" s="323"/>
      <c r="M39" s="323"/>
      <c r="N39" s="323"/>
    </row>
    <row r="40" spans="1:14" ht="21.75" customHeight="1">
      <c r="A40" s="320"/>
      <c r="B40" s="316" t="s">
        <v>120</v>
      </c>
      <c r="C40" s="317">
        <v>4411687500</v>
      </c>
      <c r="D40" s="321">
        <v>97405000000</v>
      </c>
      <c r="E40" s="114">
        <f t="shared" si="0"/>
        <v>4.529220779220779</v>
      </c>
      <c r="F40" s="322"/>
      <c r="G40" s="322"/>
      <c r="H40" s="323"/>
      <c r="I40" s="323"/>
      <c r="J40" s="323"/>
      <c r="K40" s="323"/>
      <c r="L40" s="323"/>
      <c r="M40" s="323"/>
      <c r="N40" s="323"/>
    </row>
    <row r="41" spans="1:14" ht="21.75" customHeight="1">
      <c r="A41" s="320"/>
      <c r="B41" s="316" t="s">
        <v>121</v>
      </c>
      <c r="C41" s="317">
        <v>1283372250</v>
      </c>
      <c r="D41" s="321">
        <v>97405000000</v>
      </c>
      <c r="E41" s="114">
        <f t="shared" si="0"/>
        <v>1.3175630101124172</v>
      </c>
      <c r="F41" s="322"/>
      <c r="G41" s="322"/>
      <c r="H41" s="323"/>
      <c r="I41" s="323"/>
      <c r="J41" s="323"/>
      <c r="K41" s="323"/>
      <c r="L41" s="323"/>
      <c r="M41" s="323"/>
      <c r="N41" s="323"/>
    </row>
    <row r="42" spans="1:14" ht="21.75" customHeight="1">
      <c r="A42" s="320"/>
      <c r="B42" s="316" t="s">
        <v>122</v>
      </c>
      <c r="C42" s="317">
        <v>2161485000</v>
      </c>
      <c r="D42" s="321">
        <v>97405000000</v>
      </c>
      <c r="E42" s="114">
        <f t="shared" si="0"/>
        <v>2.2190698629433809</v>
      </c>
      <c r="F42" s="322"/>
      <c r="G42" s="322"/>
      <c r="H42" s="323"/>
      <c r="I42" s="323"/>
      <c r="J42" s="323"/>
      <c r="K42" s="323"/>
      <c r="L42" s="323"/>
      <c r="M42" s="323"/>
      <c r="N42" s="323"/>
    </row>
    <row r="43" spans="1:14" ht="21.75" customHeight="1">
      <c r="A43" s="320"/>
      <c r="B43" s="316" t="s">
        <v>123</v>
      </c>
      <c r="C43" s="317">
        <v>564890750</v>
      </c>
      <c r="D43" s="321">
        <v>97405000000</v>
      </c>
      <c r="E43" s="114">
        <f t="shared" si="0"/>
        <v>0.57994019814177922</v>
      </c>
      <c r="F43" s="322"/>
      <c r="G43" s="322"/>
      <c r="H43" s="323"/>
      <c r="I43" s="323"/>
      <c r="J43" s="323"/>
      <c r="K43" s="323"/>
      <c r="L43" s="323"/>
      <c r="M43" s="323"/>
      <c r="N43" s="323"/>
    </row>
    <row r="44" spans="1:14" s="314" customFormat="1" ht="21.75" customHeight="1">
      <c r="A44" s="315"/>
      <c r="B44" s="347" t="s">
        <v>124</v>
      </c>
      <c r="C44" s="799">
        <f>C45+C46+C47+C48+C49+C50</f>
        <v>24288561070</v>
      </c>
      <c r="D44" s="399">
        <v>97405000000</v>
      </c>
      <c r="E44" s="114">
        <f t="shared" si="0"/>
        <v>24.935640952723165</v>
      </c>
      <c r="F44" s="318"/>
      <c r="G44" s="318"/>
      <c r="H44" s="319"/>
      <c r="I44" s="319"/>
      <c r="J44" s="319"/>
      <c r="K44" s="319"/>
      <c r="L44" s="319"/>
      <c r="M44" s="319"/>
      <c r="N44" s="319"/>
    </row>
    <row r="45" spans="1:14" ht="21.75" customHeight="1">
      <c r="A45" s="320"/>
      <c r="B45" s="316" t="s">
        <v>125</v>
      </c>
      <c r="C45" s="317">
        <v>3138997510</v>
      </c>
      <c r="D45" s="321">
        <v>97405000000</v>
      </c>
      <c r="E45" s="114">
        <f t="shared" si="0"/>
        <v>3.2226246188594017</v>
      </c>
      <c r="F45" s="322"/>
      <c r="G45" s="322"/>
      <c r="H45" s="323"/>
      <c r="I45" s="323"/>
      <c r="J45" s="323"/>
      <c r="K45" s="323"/>
      <c r="L45" s="323"/>
      <c r="M45" s="323"/>
      <c r="N45" s="323"/>
    </row>
    <row r="46" spans="1:14" ht="21.75" customHeight="1">
      <c r="A46" s="320"/>
      <c r="B46" s="316" t="s">
        <v>126</v>
      </c>
      <c r="C46" s="317">
        <v>14061110000</v>
      </c>
      <c r="D46" s="321">
        <v>97405000000</v>
      </c>
      <c r="E46" s="114">
        <f t="shared" si="0"/>
        <v>14.435716852317643</v>
      </c>
      <c r="F46" s="322"/>
      <c r="G46" s="322"/>
      <c r="H46" s="323"/>
      <c r="I46" s="323"/>
      <c r="J46" s="323"/>
      <c r="K46" s="323"/>
      <c r="L46" s="323"/>
      <c r="M46" s="323"/>
      <c r="N46" s="323"/>
    </row>
    <row r="47" spans="1:14" ht="21.75" customHeight="1">
      <c r="A47" s="320"/>
      <c r="B47" s="316" t="s">
        <v>127</v>
      </c>
      <c r="C47" s="317">
        <v>4350000000</v>
      </c>
      <c r="D47" s="321">
        <v>97405000000</v>
      </c>
      <c r="E47" s="114">
        <f t="shared" si="0"/>
        <v>4.4658898413839125</v>
      </c>
      <c r="F47" s="322"/>
      <c r="G47" s="322"/>
      <c r="H47" s="323"/>
      <c r="I47" s="323"/>
      <c r="J47" s="323"/>
      <c r="K47" s="323"/>
      <c r="L47" s="323"/>
      <c r="M47" s="323"/>
      <c r="N47" s="323"/>
    </row>
    <row r="48" spans="1:14" ht="21.75" customHeight="1">
      <c r="A48" s="320"/>
      <c r="B48" s="316" t="s">
        <v>128</v>
      </c>
      <c r="C48" s="317">
        <v>300000000</v>
      </c>
      <c r="D48" s="321">
        <v>97405000000</v>
      </c>
      <c r="E48" s="114">
        <f t="shared" si="0"/>
        <v>0.30799240285406293</v>
      </c>
      <c r="F48" s="322"/>
      <c r="G48" s="322"/>
      <c r="H48" s="323"/>
      <c r="I48" s="323"/>
      <c r="J48" s="323"/>
      <c r="K48" s="323"/>
      <c r="L48" s="323"/>
      <c r="M48" s="323"/>
      <c r="N48" s="323"/>
    </row>
    <row r="49" spans="1:14" ht="21.75" customHeight="1">
      <c r="A49" s="320"/>
      <c r="B49" s="316" t="s">
        <v>129</v>
      </c>
      <c r="C49" s="317">
        <v>1638453560</v>
      </c>
      <c r="D49" s="321">
        <v>97405000000</v>
      </c>
      <c r="E49" s="114">
        <f t="shared" si="0"/>
        <v>1.682104163030645</v>
      </c>
      <c r="F49" s="322"/>
      <c r="G49" s="322"/>
      <c r="H49" s="323"/>
      <c r="I49" s="323"/>
      <c r="J49" s="323"/>
      <c r="K49" s="323"/>
      <c r="L49" s="323"/>
      <c r="M49" s="323"/>
      <c r="N49" s="323"/>
    </row>
    <row r="50" spans="1:14" ht="21.75" customHeight="1">
      <c r="A50" s="320"/>
      <c r="B50" s="316" t="s">
        <v>130</v>
      </c>
      <c r="C50" s="317">
        <v>800000000</v>
      </c>
      <c r="D50" s="321">
        <v>97405000000</v>
      </c>
      <c r="E50" s="114">
        <f t="shared" si="0"/>
        <v>0.82131307427750122</v>
      </c>
      <c r="F50" s="322"/>
      <c r="G50" s="322"/>
      <c r="H50" s="323"/>
      <c r="I50" s="323"/>
      <c r="J50" s="323"/>
      <c r="K50" s="323"/>
      <c r="L50" s="323"/>
      <c r="M50" s="323"/>
      <c r="N50" s="323"/>
    </row>
    <row r="51" spans="1:14" s="314" customFormat="1" ht="21.75" customHeight="1">
      <c r="A51" s="315"/>
      <c r="B51" s="347" t="s">
        <v>131</v>
      </c>
      <c r="C51" s="799">
        <f>C52+C53+C54+C55+C56+C57+C58+C59+C60+C61+C62+C63+C64</f>
        <v>22871443316</v>
      </c>
      <c r="D51" s="399">
        <v>97405000000</v>
      </c>
      <c r="E51" s="114">
        <f t="shared" si="0"/>
        <v>23.480769278784457</v>
      </c>
      <c r="F51" s="318"/>
      <c r="G51" s="318"/>
      <c r="H51" s="319"/>
      <c r="I51" s="319"/>
      <c r="J51" s="319"/>
      <c r="K51" s="319"/>
      <c r="L51" s="319"/>
      <c r="M51" s="319"/>
      <c r="N51" s="319"/>
    </row>
    <row r="52" spans="1:14" ht="21.75" customHeight="1">
      <c r="A52" s="320"/>
      <c r="B52" s="316" t="s">
        <v>132</v>
      </c>
      <c r="C52" s="317">
        <v>3299900000</v>
      </c>
      <c r="D52" s="321">
        <v>97405000000</v>
      </c>
      <c r="E52" s="114">
        <f t="shared" si="0"/>
        <v>3.3878137672604081</v>
      </c>
      <c r="F52" s="322"/>
      <c r="G52" s="322"/>
      <c r="H52" s="323"/>
      <c r="I52" s="323"/>
      <c r="J52" s="323"/>
      <c r="K52" s="323"/>
      <c r="L52" s="323"/>
      <c r="M52" s="323"/>
      <c r="N52" s="323"/>
    </row>
    <row r="53" spans="1:14" ht="21.75" customHeight="1">
      <c r="A53" s="320"/>
      <c r="B53" s="316" t="s">
        <v>133</v>
      </c>
      <c r="C53" s="317">
        <v>569702250</v>
      </c>
      <c r="D53" s="321">
        <v>97405000000</v>
      </c>
      <c r="E53" s="114">
        <f t="shared" si="0"/>
        <v>0.58487988296288684</v>
      </c>
      <c r="F53" s="322"/>
      <c r="G53" s="322"/>
      <c r="H53" s="323"/>
      <c r="I53" s="323"/>
      <c r="J53" s="323"/>
      <c r="K53" s="323"/>
      <c r="L53" s="323"/>
      <c r="M53" s="323"/>
      <c r="N53" s="323"/>
    </row>
    <row r="54" spans="1:14" ht="21.75" customHeight="1">
      <c r="A54" s="320"/>
      <c r="B54" s="316" t="s">
        <v>134</v>
      </c>
      <c r="C54" s="317">
        <v>598199350</v>
      </c>
      <c r="D54" s="321">
        <v>97405000000</v>
      </c>
      <c r="E54" s="114">
        <f t="shared" si="0"/>
        <v>0.61413618397412861</v>
      </c>
      <c r="F54" s="322"/>
      <c r="G54" s="322"/>
      <c r="H54" s="323"/>
      <c r="I54" s="323"/>
      <c r="J54" s="323"/>
      <c r="K54" s="323"/>
      <c r="L54" s="323"/>
      <c r="M54" s="323"/>
      <c r="N54" s="323"/>
    </row>
    <row r="55" spans="1:14" ht="21.75" customHeight="1">
      <c r="A55" s="320"/>
      <c r="B55" s="316" t="s">
        <v>135</v>
      </c>
      <c r="C55" s="317">
        <v>1464890000</v>
      </c>
      <c r="D55" s="321">
        <v>97405000000</v>
      </c>
      <c r="E55" s="114">
        <f t="shared" si="0"/>
        <v>1.5039166367229608</v>
      </c>
      <c r="F55" s="322"/>
      <c r="G55" s="322"/>
      <c r="H55" s="323"/>
      <c r="I55" s="323"/>
      <c r="J55" s="323"/>
      <c r="K55" s="323"/>
      <c r="L55" s="323"/>
      <c r="M55" s="323"/>
      <c r="N55" s="323"/>
    </row>
    <row r="56" spans="1:14" ht="21.75" customHeight="1">
      <c r="A56" s="320"/>
      <c r="B56" s="316" t="s">
        <v>136</v>
      </c>
      <c r="C56" s="317">
        <v>935641950</v>
      </c>
      <c r="D56" s="321">
        <v>97405000000</v>
      </c>
      <c r="E56" s="114">
        <f t="shared" si="0"/>
        <v>0.96056870797186999</v>
      </c>
      <c r="F56" s="322"/>
      <c r="G56" s="322"/>
      <c r="H56" s="323"/>
      <c r="I56" s="323"/>
      <c r="J56" s="323"/>
      <c r="K56" s="323"/>
      <c r="L56" s="323"/>
      <c r="M56" s="323"/>
      <c r="N56" s="323"/>
    </row>
    <row r="57" spans="1:14" ht="21.75" customHeight="1">
      <c r="A57" s="320"/>
      <c r="B57" s="316" t="s">
        <v>137</v>
      </c>
      <c r="C57" s="317">
        <v>300000000</v>
      </c>
      <c r="D57" s="321">
        <v>97405000000</v>
      </c>
      <c r="E57" s="114">
        <f t="shared" si="0"/>
        <v>0.30799240285406293</v>
      </c>
      <c r="F57" s="322"/>
      <c r="G57" s="322"/>
      <c r="H57" s="323"/>
      <c r="I57" s="323"/>
      <c r="J57" s="323"/>
      <c r="K57" s="323"/>
      <c r="L57" s="323"/>
      <c r="M57" s="323"/>
      <c r="N57" s="323"/>
    </row>
    <row r="58" spans="1:14" ht="21.75" customHeight="1">
      <c r="A58" s="320"/>
      <c r="B58" s="316" t="s">
        <v>138</v>
      </c>
      <c r="C58" s="317">
        <v>489400000</v>
      </c>
      <c r="D58" s="321">
        <v>97405000000</v>
      </c>
      <c r="E58" s="114">
        <f t="shared" si="0"/>
        <v>0.50243827318926138</v>
      </c>
      <c r="F58" s="322"/>
      <c r="G58" s="322"/>
      <c r="H58" s="323"/>
      <c r="I58" s="323"/>
      <c r="J58" s="323"/>
      <c r="K58" s="323"/>
      <c r="L58" s="323"/>
      <c r="M58" s="323"/>
      <c r="N58" s="323"/>
    </row>
    <row r="59" spans="1:14" ht="21.75" customHeight="1">
      <c r="A59" s="320"/>
      <c r="B59" s="316" t="s">
        <v>139</v>
      </c>
      <c r="C59" s="317">
        <v>2684400000</v>
      </c>
      <c r="D59" s="321">
        <v>97405000000</v>
      </c>
      <c r="E59" s="114">
        <f t="shared" si="0"/>
        <v>2.7559160207381552</v>
      </c>
      <c r="F59" s="322"/>
      <c r="G59" s="322"/>
      <c r="H59" s="323"/>
      <c r="I59" s="323"/>
      <c r="J59" s="323"/>
      <c r="K59" s="323"/>
      <c r="L59" s="323"/>
      <c r="M59" s="323"/>
      <c r="N59" s="323"/>
    </row>
    <row r="60" spans="1:14" ht="21.75" customHeight="1">
      <c r="A60" s="320"/>
      <c r="B60" s="316" t="s">
        <v>140</v>
      </c>
      <c r="C60" s="317">
        <v>1980000000</v>
      </c>
      <c r="D60" s="321">
        <v>97405000000</v>
      </c>
      <c r="E60" s="114">
        <f t="shared" si="0"/>
        <v>2.0327498588368154</v>
      </c>
      <c r="F60" s="322"/>
      <c r="G60" s="322"/>
      <c r="H60" s="323"/>
      <c r="I60" s="323"/>
      <c r="J60" s="323"/>
      <c r="K60" s="323"/>
      <c r="L60" s="323"/>
      <c r="M60" s="323"/>
      <c r="N60" s="323"/>
    </row>
    <row r="61" spans="1:14" ht="21.75" customHeight="1">
      <c r="A61" s="320"/>
      <c r="B61" s="316" t="s">
        <v>141</v>
      </c>
      <c r="C61" s="317">
        <v>1426849641</v>
      </c>
      <c r="D61" s="321">
        <v>97405000000</v>
      </c>
      <c r="E61" s="114">
        <f t="shared" si="0"/>
        <v>1.4648628314768235</v>
      </c>
      <c r="F61" s="322"/>
      <c r="G61" s="322"/>
      <c r="H61" s="323"/>
      <c r="I61" s="323"/>
      <c r="J61" s="323"/>
      <c r="K61" s="323"/>
      <c r="L61" s="323"/>
      <c r="M61" s="323"/>
      <c r="N61" s="323"/>
    </row>
    <row r="62" spans="1:14" ht="21.75" customHeight="1">
      <c r="A62" s="320"/>
      <c r="B62" s="316" t="s">
        <v>142</v>
      </c>
      <c r="C62" s="317">
        <v>699860000</v>
      </c>
      <c r="D62" s="321">
        <v>97405000000</v>
      </c>
      <c r="E62" s="114">
        <f t="shared" si="0"/>
        <v>0.71850521020481495</v>
      </c>
      <c r="F62" s="322"/>
      <c r="G62" s="322"/>
      <c r="H62" s="323"/>
      <c r="I62" s="323"/>
      <c r="J62" s="323"/>
      <c r="K62" s="323"/>
      <c r="L62" s="323"/>
      <c r="M62" s="323"/>
      <c r="N62" s="323"/>
    </row>
    <row r="63" spans="1:14" ht="31.5" customHeight="1">
      <c r="A63" s="320"/>
      <c r="B63" s="316" t="s">
        <v>143</v>
      </c>
      <c r="C63" s="317">
        <v>5422600000</v>
      </c>
      <c r="D63" s="321">
        <v>97405000000</v>
      </c>
      <c r="E63" s="114">
        <f t="shared" si="0"/>
        <v>5.5670653457214723</v>
      </c>
      <c r="F63" s="322"/>
      <c r="G63" s="322"/>
      <c r="H63" s="323"/>
      <c r="I63" s="323"/>
      <c r="J63" s="323"/>
      <c r="K63" s="323"/>
      <c r="L63" s="323"/>
      <c r="M63" s="323"/>
      <c r="N63" s="323"/>
    </row>
    <row r="64" spans="1:14" ht="21.75" customHeight="1">
      <c r="A64" s="320"/>
      <c r="B64" s="316" t="s">
        <v>144</v>
      </c>
      <c r="C64" s="317">
        <v>3000000125</v>
      </c>
      <c r="D64" s="321">
        <v>97405000000</v>
      </c>
      <c r="E64" s="114">
        <f t="shared" si="0"/>
        <v>3.0799241568707969</v>
      </c>
      <c r="F64" s="322"/>
      <c r="G64" s="322"/>
      <c r="H64" s="323"/>
      <c r="I64" s="323"/>
      <c r="J64" s="323"/>
      <c r="K64" s="323"/>
      <c r="L64" s="323"/>
      <c r="M64" s="323"/>
      <c r="N64" s="323"/>
    </row>
    <row r="65" spans="1:14" s="314" customFormat="1" ht="21.75" customHeight="1">
      <c r="A65" s="315"/>
      <c r="B65" s="347" t="s">
        <v>145</v>
      </c>
      <c r="C65" s="799">
        <f>C66+C67+C68</f>
        <v>958899404</v>
      </c>
      <c r="D65" s="399">
        <v>97405000000</v>
      </c>
      <c r="E65" s="114">
        <f t="shared" si="0"/>
        <v>0.98444577177762937</v>
      </c>
      <c r="F65" s="318"/>
      <c r="G65" s="318"/>
      <c r="H65" s="319"/>
      <c r="I65" s="319"/>
      <c r="J65" s="319"/>
      <c r="K65" s="319"/>
      <c r="L65" s="319"/>
      <c r="M65" s="319"/>
      <c r="N65" s="319"/>
    </row>
    <row r="66" spans="1:14" ht="21.75" customHeight="1">
      <c r="A66" s="320"/>
      <c r="B66" s="316" t="s">
        <v>146</v>
      </c>
      <c r="C66" s="317">
        <v>70000000</v>
      </c>
      <c r="D66" s="321">
        <v>97405000000</v>
      </c>
      <c r="E66" s="114">
        <f t="shared" si="0"/>
        <v>7.1864893999281351E-2</v>
      </c>
      <c r="F66" s="322"/>
      <c r="G66" s="322"/>
      <c r="H66" s="323"/>
      <c r="I66" s="323"/>
      <c r="J66" s="323"/>
      <c r="K66" s="323"/>
      <c r="L66" s="323"/>
      <c r="M66" s="323"/>
      <c r="N66" s="323"/>
    </row>
    <row r="67" spans="1:14" ht="21.75" customHeight="1">
      <c r="A67" s="320"/>
      <c r="B67" s="316" t="s">
        <v>147</v>
      </c>
      <c r="C67" s="317">
        <v>740000000</v>
      </c>
      <c r="D67" s="321">
        <v>97405000000</v>
      </c>
      <c r="E67" s="114">
        <f t="shared" si="0"/>
        <v>0.75971459370668859</v>
      </c>
      <c r="F67" s="322"/>
      <c r="G67" s="322"/>
      <c r="H67" s="323"/>
      <c r="I67" s="323"/>
      <c r="J67" s="323"/>
      <c r="K67" s="323"/>
      <c r="L67" s="323"/>
      <c r="M67" s="323"/>
      <c r="N67" s="323"/>
    </row>
    <row r="68" spans="1:14" ht="21.75" customHeight="1">
      <c r="A68" s="320"/>
      <c r="B68" s="316" t="s">
        <v>148</v>
      </c>
      <c r="C68" s="317">
        <v>148899404</v>
      </c>
      <c r="D68" s="321">
        <v>97405000000</v>
      </c>
      <c r="E68" s="114">
        <f t="shared" si="0"/>
        <v>0.15286628407165956</v>
      </c>
      <c r="F68" s="322"/>
      <c r="G68" s="322"/>
      <c r="H68" s="323"/>
      <c r="I68" s="323"/>
      <c r="J68" s="323"/>
      <c r="K68" s="323"/>
      <c r="L68" s="323"/>
      <c r="M68" s="323"/>
      <c r="N68" s="323"/>
    </row>
    <row r="69" spans="1:14" s="314" customFormat="1" ht="21.75" customHeight="1">
      <c r="A69" s="315"/>
      <c r="B69" s="347" t="s">
        <v>149</v>
      </c>
      <c r="C69" s="799">
        <f>C70</f>
        <v>183751075</v>
      </c>
      <c r="D69" s="399">
        <v>97405000000</v>
      </c>
      <c r="E69" s="114">
        <f t="shared" si="0"/>
        <v>0.18864645038755712</v>
      </c>
      <c r="F69" s="318"/>
      <c r="G69" s="318"/>
      <c r="H69" s="319"/>
      <c r="I69" s="319"/>
      <c r="J69" s="319"/>
      <c r="K69" s="319"/>
      <c r="L69" s="319"/>
      <c r="M69" s="319"/>
      <c r="N69" s="319"/>
    </row>
    <row r="70" spans="1:14" ht="21.75" customHeight="1">
      <c r="A70" s="320"/>
      <c r="B70" s="316" t="s">
        <v>150</v>
      </c>
      <c r="C70" s="317">
        <v>183751075</v>
      </c>
      <c r="D70" s="321">
        <v>97405000000</v>
      </c>
      <c r="E70" s="114">
        <f t="shared" si="0"/>
        <v>0.18864645038755712</v>
      </c>
      <c r="F70" s="322"/>
      <c r="G70" s="322"/>
      <c r="H70" s="323"/>
      <c r="I70" s="323"/>
      <c r="J70" s="323"/>
      <c r="K70" s="323"/>
      <c r="L70" s="323"/>
      <c r="M70" s="323"/>
      <c r="N70" s="323"/>
    </row>
    <row r="71" spans="1:14" s="314" customFormat="1" ht="21.75" customHeight="1">
      <c r="A71" s="315"/>
      <c r="B71" s="347" t="s">
        <v>151</v>
      </c>
      <c r="C71" s="799">
        <f>C72+C73+C74+C75+C76+C77+C78+C79+C80</f>
        <v>2360705745</v>
      </c>
      <c r="D71" s="399">
        <v>97405000000</v>
      </c>
      <c r="E71" s="114">
        <f t="shared" si="0"/>
        <v>2.4235981161131357</v>
      </c>
      <c r="F71" s="318"/>
      <c r="G71" s="318"/>
      <c r="H71" s="319"/>
      <c r="I71" s="319"/>
      <c r="J71" s="319"/>
      <c r="K71" s="319"/>
      <c r="L71" s="319"/>
      <c r="M71" s="319"/>
      <c r="N71" s="319"/>
    </row>
    <row r="72" spans="1:14" ht="21.75" customHeight="1">
      <c r="A72" s="320"/>
      <c r="B72" s="316" t="s">
        <v>152</v>
      </c>
      <c r="C72" s="317">
        <v>158000000</v>
      </c>
      <c r="D72" s="321">
        <v>97405000000</v>
      </c>
      <c r="E72" s="114">
        <f t="shared" si="0"/>
        <v>0.16220933216980646</v>
      </c>
      <c r="F72" s="322"/>
      <c r="G72" s="322"/>
      <c r="H72" s="323"/>
      <c r="I72" s="323"/>
      <c r="J72" s="323"/>
      <c r="K72" s="323"/>
      <c r="L72" s="323"/>
      <c r="M72" s="323"/>
      <c r="N72" s="323"/>
    </row>
    <row r="73" spans="1:14" ht="21.75" customHeight="1">
      <c r="A73" s="320"/>
      <c r="B73" s="316" t="s">
        <v>153</v>
      </c>
      <c r="C73" s="317">
        <v>398799000</v>
      </c>
      <c r="D73" s="321">
        <v>97405000000</v>
      </c>
      <c r="E73" s="114">
        <f t="shared" si="0"/>
        <v>0.40942354088599148</v>
      </c>
      <c r="F73" s="322"/>
      <c r="G73" s="322"/>
      <c r="H73" s="323"/>
      <c r="I73" s="323"/>
      <c r="J73" s="323"/>
      <c r="K73" s="323"/>
      <c r="L73" s="323"/>
      <c r="M73" s="323"/>
      <c r="N73" s="323"/>
    </row>
    <row r="74" spans="1:14" ht="21.75" customHeight="1">
      <c r="A74" s="320"/>
      <c r="B74" s="316" t="s">
        <v>154</v>
      </c>
      <c r="C74" s="317">
        <v>690785100</v>
      </c>
      <c r="D74" s="321">
        <v>97405000000</v>
      </c>
      <c r="E74" s="114">
        <f t="shared" si="0"/>
        <v>0.70918854268261389</v>
      </c>
      <c r="F74" s="322"/>
      <c r="G74" s="322"/>
      <c r="H74" s="323"/>
      <c r="I74" s="323"/>
      <c r="J74" s="323"/>
      <c r="K74" s="323"/>
      <c r="L74" s="323"/>
      <c r="M74" s="323"/>
      <c r="N74" s="323"/>
    </row>
    <row r="75" spans="1:14" ht="21.75" customHeight="1">
      <c r="A75" s="320"/>
      <c r="B75" s="316" t="s">
        <v>155</v>
      </c>
      <c r="C75" s="317">
        <v>483216745</v>
      </c>
      <c r="D75" s="321">
        <v>97405000000</v>
      </c>
      <c r="E75" s="114">
        <f t="shared" si="0"/>
        <v>0.49609028797289667</v>
      </c>
      <c r="F75" s="322"/>
      <c r="G75" s="322"/>
      <c r="H75" s="323"/>
      <c r="I75" s="323"/>
      <c r="J75" s="323"/>
      <c r="K75" s="323"/>
      <c r="L75" s="323"/>
      <c r="M75" s="323"/>
      <c r="N75" s="323"/>
    </row>
    <row r="76" spans="1:14" ht="21.75" customHeight="1">
      <c r="A76" s="320"/>
      <c r="B76" s="316" t="s">
        <v>156</v>
      </c>
      <c r="C76" s="317">
        <v>216050000</v>
      </c>
      <c r="D76" s="321">
        <v>97405000000</v>
      </c>
      <c r="E76" s="114">
        <f t="shared" si="0"/>
        <v>0.22180586212206765</v>
      </c>
      <c r="F76" s="322"/>
      <c r="G76" s="322"/>
      <c r="H76" s="323"/>
      <c r="I76" s="323"/>
      <c r="J76" s="323"/>
      <c r="K76" s="323"/>
      <c r="L76" s="323"/>
      <c r="M76" s="323"/>
      <c r="N76" s="323"/>
    </row>
    <row r="77" spans="1:14" ht="21.75" customHeight="1">
      <c r="A77" s="320"/>
      <c r="B77" s="316" t="s">
        <v>157</v>
      </c>
      <c r="C77" s="317">
        <v>100000000</v>
      </c>
      <c r="D77" s="321">
        <v>97405000000</v>
      </c>
      <c r="E77" s="114">
        <f t="shared" si="0"/>
        <v>0.10266413428468765</v>
      </c>
      <c r="F77" s="322"/>
      <c r="G77" s="322"/>
      <c r="H77" s="323"/>
      <c r="I77" s="323"/>
      <c r="J77" s="323"/>
      <c r="K77" s="323"/>
      <c r="L77" s="323"/>
      <c r="M77" s="323"/>
      <c r="N77" s="323"/>
    </row>
    <row r="78" spans="1:14" ht="21.75" customHeight="1">
      <c r="A78" s="320"/>
      <c r="B78" s="316" t="s">
        <v>158</v>
      </c>
      <c r="C78" s="317">
        <v>116464900</v>
      </c>
      <c r="D78" s="321">
        <v>97405000000</v>
      </c>
      <c r="E78" s="114">
        <f t="shared" si="0"/>
        <v>0.11956768133052717</v>
      </c>
      <c r="F78" s="322"/>
      <c r="G78" s="322"/>
      <c r="H78" s="323"/>
      <c r="I78" s="323"/>
      <c r="J78" s="323"/>
      <c r="K78" s="323"/>
      <c r="L78" s="323"/>
      <c r="M78" s="323"/>
      <c r="N78" s="323"/>
    </row>
    <row r="79" spans="1:14" ht="21.75" customHeight="1">
      <c r="A79" s="320"/>
      <c r="B79" s="316" t="s">
        <v>159</v>
      </c>
      <c r="C79" s="317">
        <v>82590000</v>
      </c>
      <c r="D79" s="321">
        <v>97405000000</v>
      </c>
      <c r="E79" s="114">
        <f t="shared" ref="E79:E80" si="1">+C79/D79*100</f>
        <v>8.4790308505723527E-2</v>
      </c>
      <c r="F79" s="322"/>
      <c r="G79" s="322"/>
      <c r="H79" s="323"/>
      <c r="I79" s="323"/>
      <c r="J79" s="323"/>
      <c r="K79" s="323"/>
      <c r="L79" s="323"/>
      <c r="M79" s="323"/>
      <c r="N79" s="323"/>
    </row>
    <row r="80" spans="1:14" ht="21.75" customHeight="1">
      <c r="A80" s="320"/>
      <c r="B80" s="316" t="s">
        <v>160</v>
      </c>
      <c r="C80" s="317">
        <v>114800000</v>
      </c>
      <c r="D80" s="321">
        <v>97405000000</v>
      </c>
      <c r="E80" s="114">
        <f t="shared" si="1"/>
        <v>0.1178584261588214</v>
      </c>
      <c r="F80" s="322"/>
      <c r="G80" s="322"/>
      <c r="H80" s="323"/>
      <c r="I80" s="323"/>
      <c r="J80" s="323"/>
      <c r="K80" s="323"/>
      <c r="L80" s="323"/>
      <c r="M80" s="323"/>
      <c r="N80" s="323"/>
    </row>
    <row r="81" spans="1:14" ht="15" customHeight="1">
      <c r="A81" s="320"/>
      <c r="B81" s="324"/>
      <c r="C81" s="322"/>
      <c r="D81" s="322"/>
      <c r="E81" s="115"/>
      <c r="F81" s="322"/>
      <c r="G81" s="322"/>
      <c r="H81" s="323"/>
      <c r="I81" s="323"/>
      <c r="J81" s="323"/>
      <c r="K81" s="323"/>
      <c r="L81" s="323"/>
      <c r="M81" s="323"/>
      <c r="N81" s="323"/>
    </row>
    <row r="82" spans="1:14" s="314" customFormat="1" ht="24.4" customHeight="1">
      <c r="A82" s="315" t="s">
        <v>383</v>
      </c>
      <c r="B82" s="324" t="s">
        <v>2560</v>
      </c>
      <c r="C82" s="318">
        <f>C83+C118+C161+C174+C190+C224+C250+C282+C313+C322+C343+C376+C387+C417+C442+C461+C480+C495+C509+C547+C560+C572+C599+C624+C645+C657+C674+C701+C755</f>
        <v>590358307140.92993</v>
      </c>
      <c r="D82" s="318">
        <f>D83+D118+D161+D174+D190+D224+D250+D282+D313+D322+D344+D376+D387+D417+D442+D461+D480+D495+D509+D547+D560+D572+D599+D624+D645+D657+D674+D701+D755</f>
        <v>1557407758399.0801</v>
      </c>
      <c r="E82" s="120">
        <f>+C82/D82*100</f>
        <v>37.906470155753055</v>
      </c>
      <c r="F82" s="325"/>
      <c r="G82" s="318"/>
      <c r="H82" s="319"/>
      <c r="I82" s="319"/>
      <c r="J82" s="319"/>
      <c r="K82" s="319"/>
      <c r="L82" s="319"/>
      <c r="M82" s="319"/>
      <c r="N82" s="319"/>
    </row>
    <row r="83" spans="1:14" ht="21.75" customHeight="1">
      <c r="A83" s="315" t="s">
        <v>2561</v>
      </c>
      <c r="B83" s="326" t="s">
        <v>2562</v>
      </c>
      <c r="C83" s="327">
        <f>+C84+C113</f>
        <v>30754041600</v>
      </c>
      <c r="D83" s="125">
        <v>48495887123.160004</v>
      </c>
      <c r="E83" s="127">
        <f>+C83/D83*100</f>
        <v>63.415772809552138</v>
      </c>
      <c r="F83" s="323"/>
      <c r="G83" s="323"/>
      <c r="H83" s="323"/>
      <c r="I83" s="323"/>
      <c r="J83" s="323"/>
      <c r="K83" s="323"/>
      <c r="L83" s="323"/>
      <c r="M83" s="323"/>
      <c r="N83" s="323"/>
    </row>
    <row r="84" spans="1:14" s="314" customFormat="1" ht="21.75" customHeight="1">
      <c r="A84" s="315"/>
      <c r="B84" s="328" t="s">
        <v>387</v>
      </c>
      <c r="C84" s="352">
        <f>SUM(C85+C91+C101+C110)</f>
        <v>27678637440</v>
      </c>
      <c r="D84" s="129">
        <v>48495887123.160004</v>
      </c>
      <c r="E84" s="127">
        <f>+C84/D84*100</f>
        <v>57.074195528596924</v>
      </c>
      <c r="F84" s="319"/>
      <c r="G84" s="319"/>
      <c r="H84" s="319"/>
      <c r="I84" s="319"/>
      <c r="J84" s="319"/>
      <c r="K84" s="319"/>
      <c r="L84" s="319"/>
      <c r="M84" s="319"/>
      <c r="N84" s="319"/>
    </row>
    <row r="85" spans="1:14" s="314" customFormat="1" ht="21.75" customHeight="1">
      <c r="A85" s="315"/>
      <c r="B85" s="328" t="s">
        <v>388</v>
      </c>
      <c r="C85" s="352">
        <f>SUM(C86:C90)</f>
        <v>1316372080</v>
      </c>
      <c r="D85" s="129">
        <v>30754041600</v>
      </c>
      <c r="E85" s="127">
        <f t="shared" ref="E85:E111" si="2">+C85/D85*100</f>
        <v>4.2803222325094339</v>
      </c>
      <c r="F85" s="319"/>
      <c r="G85" s="319"/>
      <c r="H85" s="319"/>
      <c r="I85" s="319"/>
      <c r="J85" s="319"/>
      <c r="K85" s="319"/>
      <c r="L85" s="319"/>
      <c r="M85" s="319"/>
      <c r="N85" s="319"/>
    </row>
    <row r="86" spans="1:14" ht="21.75" customHeight="1">
      <c r="A86" s="315"/>
      <c r="B86" s="331" t="s">
        <v>389</v>
      </c>
      <c r="C86" s="329">
        <v>263420000</v>
      </c>
      <c r="D86" s="125">
        <v>30754041600</v>
      </c>
      <c r="E86" s="127">
        <f t="shared" si="2"/>
        <v>0.85653782818580826</v>
      </c>
      <c r="F86" s="323"/>
      <c r="G86" s="323"/>
      <c r="H86" s="323"/>
      <c r="I86" s="323"/>
      <c r="J86" s="323"/>
      <c r="K86" s="323"/>
      <c r="L86" s="323"/>
      <c r="M86" s="323"/>
      <c r="N86" s="323"/>
    </row>
    <row r="87" spans="1:14" ht="21.75" customHeight="1">
      <c r="A87" s="315"/>
      <c r="B87" s="331" t="s">
        <v>390</v>
      </c>
      <c r="C87" s="329">
        <v>85274985</v>
      </c>
      <c r="D87" s="125">
        <v>30754041600</v>
      </c>
      <c r="E87" s="127">
        <f t="shared" si="2"/>
        <v>0.27728058025388114</v>
      </c>
      <c r="F87" s="323"/>
      <c r="G87" s="323"/>
      <c r="H87" s="323"/>
      <c r="I87" s="323"/>
      <c r="J87" s="323"/>
      <c r="K87" s="323"/>
      <c r="L87" s="323"/>
      <c r="M87" s="323"/>
      <c r="N87" s="323"/>
    </row>
    <row r="88" spans="1:14" ht="21.75" customHeight="1">
      <c r="A88" s="315"/>
      <c r="B88" s="331" t="s">
        <v>391</v>
      </c>
      <c r="C88" s="329">
        <v>564000000</v>
      </c>
      <c r="D88" s="125">
        <v>30754041600</v>
      </c>
      <c r="E88" s="127">
        <f t="shared" si="2"/>
        <v>1.8339053036853534</v>
      </c>
      <c r="F88" s="323"/>
      <c r="G88" s="323"/>
      <c r="H88" s="323"/>
      <c r="I88" s="323"/>
      <c r="J88" s="323"/>
      <c r="K88" s="323"/>
      <c r="L88" s="323"/>
      <c r="M88" s="323"/>
      <c r="N88" s="323"/>
    </row>
    <row r="89" spans="1:14" ht="33.75" customHeight="1">
      <c r="A89" s="315"/>
      <c r="B89" s="331" t="s">
        <v>392</v>
      </c>
      <c r="C89" s="329">
        <v>157500000</v>
      </c>
      <c r="D89" s="125">
        <v>30754041600</v>
      </c>
      <c r="E89" s="127">
        <f t="shared" si="2"/>
        <v>0.51212781086958015</v>
      </c>
      <c r="F89" s="323"/>
      <c r="G89" s="323"/>
      <c r="H89" s="323"/>
      <c r="I89" s="323"/>
      <c r="J89" s="323"/>
      <c r="K89" s="323"/>
      <c r="L89" s="323"/>
      <c r="M89" s="323"/>
      <c r="N89" s="323"/>
    </row>
    <row r="90" spans="1:14" ht="21.75" customHeight="1">
      <c r="A90" s="315"/>
      <c r="B90" s="331" t="s">
        <v>393</v>
      </c>
      <c r="C90" s="329">
        <v>246177095</v>
      </c>
      <c r="D90" s="125">
        <v>30754041600</v>
      </c>
      <c r="E90" s="127">
        <f t="shared" si="2"/>
        <v>0.80047070951481059</v>
      </c>
      <c r="F90" s="323"/>
      <c r="G90" s="323"/>
      <c r="H90" s="323"/>
      <c r="I90" s="323"/>
      <c r="J90" s="323"/>
      <c r="K90" s="323"/>
      <c r="L90" s="323"/>
      <c r="M90" s="323"/>
      <c r="N90" s="323"/>
    </row>
    <row r="91" spans="1:14" s="314" customFormat="1" ht="21.75" customHeight="1">
      <c r="A91" s="315"/>
      <c r="B91" s="328" t="s">
        <v>394</v>
      </c>
      <c r="C91" s="352">
        <f>SUM(C92:C100)</f>
        <v>21430611660</v>
      </c>
      <c r="D91" s="129">
        <v>30754041600</v>
      </c>
      <c r="E91" s="127">
        <f t="shared" si="2"/>
        <v>69.683887206551745</v>
      </c>
      <c r="F91" s="319"/>
      <c r="G91" s="319"/>
      <c r="H91" s="319"/>
      <c r="I91" s="319"/>
      <c r="J91" s="319"/>
      <c r="K91" s="319"/>
      <c r="L91" s="319"/>
      <c r="M91" s="319"/>
      <c r="N91" s="319"/>
    </row>
    <row r="92" spans="1:14" ht="37.5" customHeight="1">
      <c r="A92" s="315"/>
      <c r="B92" s="331" t="s">
        <v>395</v>
      </c>
      <c r="C92" s="329">
        <v>2130000000</v>
      </c>
      <c r="D92" s="125">
        <v>30754041600</v>
      </c>
      <c r="E92" s="127">
        <f t="shared" si="2"/>
        <v>6.9259189660457503</v>
      </c>
      <c r="F92" s="323"/>
      <c r="G92" s="323"/>
      <c r="H92" s="323"/>
      <c r="I92" s="323"/>
      <c r="J92" s="323"/>
      <c r="K92" s="323"/>
      <c r="L92" s="323"/>
      <c r="M92" s="323"/>
      <c r="N92" s="323"/>
    </row>
    <row r="93" spans="1:14" ht="21.75" customHeight="1">
      <c r="A93" s="315"/>
      <c r="B93" s="331" t="s">
        <v>396</v>
      </c>
      <c r="C93" s="329">
        <v>8610000000</v>
      </c>
      <c r="D93" s="125">
        <v>30754041600</v>
      </c>
      <c r="E93" s="127">
        <f t="shared" si="2"/>
        <v>27.996320327537049</v>
      </c>
      <c r="F93" s="323"/>
      <c r="G93" s="323"/>
      <c r="H93" s="323"/>
      <c r="I93" s="323"/>
      <c r="J93" s="323"/>
      <c r="K93" s="323"/>
      <c r="L93" s="323"/>
      <c r="M93" s="323"/>
      <c r="N93" s="323"/>
    </row>
    <row r="94" spans="1:14" ht="37.5" customHeight="1">
      <c r="A94" s="315"/>
      <c r="B94" s="331" t="s">
        <v>397</v>
      </c>
      <c r="C94" s="329">
        <v>3315600000</v>
      </c>
      <c r="D94" s="125">
        <v>30754041600</v>
      </c>
      <c r="E94" s="127">
        <f t="shared" si="2"/>
        <v>10.781022029963047</v>
      </c>
      <c r="F94" s="323"/>
      <c r="G94" s="323"/>
      <c r="H94" s="323"/>
      <c r="I94" s="323"/>
      <c r="J94" s="323"/>
      <c r="K94" s="323"/>
      <c r="L94" s="323"/>
      <c r="M94" s="323"/>
      <c r="N94" s="323"/>
    </row>
    <row r="95" spans="1:14" ht="47.25" customHeight="1">
      <c r="A95" s="315"/>
      <c r="B95" s="331" t="s">
        <v>398</v>
      </c>
      <c r="C95" s="329">
        <v>495675000</v>
      </c>
      <c r="D95" s="125">
        <v>30754041600</v>
      </c>
      <c r="E95" s="127">
        <f t="shared" si="2"/>
        <v>1.6117393819224071</v>
      </c>
      <c r="F95" s="323"/>
      <c r="G95" s="323"/>
      <c r="H95" s="323"/>
      <c r="I95" s="323"/>
      <c r="J95" s="323"/>
      <c r="K95" s="323"/>
      <c r="L95" s="323"/>
      <c r="M95" s="323"/>
      <c r="N95" s="323"/>
    </row>
    <row r="96" spans="1:14" ht="37.5" customHeight="1">
      <c r="A96" s="315"/>
      <c r="B96" s="331" t="s">
        <v>399</v>
      </c>
      <c r="C96" s="329">
        <v>4306426260</v>
      </c>
      <c r="D96" s="125">
        <v>30754041600</v>
      </c>
      <c r="E96" s="127">
        <f t="shared" si="2"/>
        <v>14.00279779812745</v>
      </c>
      <c r="F96" s="323"/>
      <c r="G96" s="323"/>
      <c r="H96" s="323"/>
      <c r="I96" s="323"/>
      <c r="J96" s="323"/>
      <c r="K96" s="323"/>
      <c r="L96" s="323"/>
      <c r="M96" s="323"/>
      <c r="N96" s="323"/>
    </row>
    <row r="97" spans="1:14" ht="21.75" customHeight="1">
      <c r="A97" s="315"/>
      <c r="B97" s="331" t="s">
        <v>400</v>
      </c>
      <c r="C97" s="329">
        <v>188510400</v>
      </c>
      <c r="D97" s="125">
        <v>30754041600</v>
      </c>
      <c r="E97" s="127">
        <f t="shared" si="2"/>
        <v>0.6129613871628502</v>
      </c>
      <c r="F97" s="323"/>
      <c r="G97" s="323"/>
      <c r="H97" s="323"/>
      <c r="I97" s="323"/>
      <c r="J97" s="323"/>
      <c r="K97" s="323"/>
      <c r="L97" s="323"/>
      <c r="M97" s="323"/>
      <c r="N97" s="323"/>
    </row>
    <row r="98" spans="1:14" ht="21.75" customHeight="1">
      <c r="A98" s="315"/>
      <c r="B98" s="331" t="s">
        <v>401</v>
      </c>
      <c r="C98" s="329">
        <v>1778400000</v>
      </c>
      <c r="D98" s="125">
        <v>30754041600</v>
      </c>
      <c r="E98" s="127">
        <f t="shared" si="2"/>
        <v>5.782654595875945</v>
      </c>
      <c r="F98" s="323"/>
      <c r="G98" s="323"/>
      <c r="H98" s="323"/>
      <c r="I98" s="323"/>
      <c r="J98" s="323"/>
      <c r="K98" s="323"/>
      <c r="L98" s="323"/>
      <c r="M98" s="323"/>
      <c r="N98" s="323"/>
    </row>
    <row r="99" spans="1:14" ht="21.75" customHeight="1">
      <c r="A99" s="315"/>
      <c r="B99" s="331" t="s">
        <v>402</v>
      </c>
      <c r="C99" s="329">
        <v>106000000</v>
      </c>
      <c r="D99" s="125">
        <v>30754041600</v>
      </c>
      <c r="E99" s="127">
        <f t="shared" si="2"/>
        <v>0.3446701457280984</v>
      </c>
      <c r="F99" s="323"/>
      <c r="G99" s="323"/>
      <c r="H99" s="323"/>
      <c r="I99" s="323"/>
      <c r="J99" s="323"/>
      <c r="K99" s="323"/>
      <c r="L99" s="323"/>
      <c r="M99" s="323"/>
      <c r="N99" s="323"/>
    </row>
    <row r="100" spans="1:14" ht="21.75" customHeight="1">
      <c r="A100" s="315"/>
      <c r="B100" s="331" t="s">
        <v>403</v>
      </c>
      <c r="C100" s="329">
        <v>500000000</v>
      </c>
      <c r="D100" s="125">
        <v>30754041600</v>
      </c>
      <c r="E100" s="127">
        <f t="shared" si="2"/>
        <v>1.6258025741891433</v>
      </c>
      <c r="F100" s="323"/>
      <c r="G100" s="323"/>
      <c r="H100" s="323"/>
      <c r="I100" s="323"/>
      <c r="J100" s="323"/>
      <c r="K100" s="323"/>
      <c r="L100" s="323"/>
      <c r="M100" s="323"/>
      <c r="N100" s="323"/>
    </row>
    <row r="101" spans="1:14" s="314" customFormat="1" ht="21.75" customHeight="1">
      <c r="A101" s="315"/>
      <c r="B101" s="328" t="s">
        <v>404</v>
      </c>
      <c r="C101" s="352">
        <f>SUM(C102:C109)</f>
        <v>4791643700</v>
      </c>
      <c r="D101" s="129">
        <v>30754041600</v>
      </c>
      <c r="E101" s="127">
        <f t="shared" si="2"/>
        <v>15.580533324114382</v>
      </c>
      <c r="F101" s="319"/>
      <c r="G101" s="319"/>
      <c r="H101" s="319"/>
      <c r="I101" s="319"/>
      <c r="J101" s="319"/>
      <c r="K101" s="319"/>
      <c r="L101" s="319"/>
      <c r="M101" s="319"/>
      <c r="N101" s="319"/>
    </row>
    <row r="102" spans="1:14" ht="21.75" customHeight="1">
      <c r="A102" s="315"/>
      <c r="B102" s="331" t="s">
        <v>405</v>
      </c>
      <c r="C102" s="329">
        <v>420000000</v>
      </c>
      <c r="D102" s="125">
        <v>30754041600</v>
      </c>
      <c r="E102" s="127">
        <f t="shared" si="2"/>
        <v>1.3656741623188804</v>
      </c>
      <c r="F102" s="323"/>
      <c r="G102" s="323"/>
      <c r="H102" s="323"/>
      <c r="I102" s="323"/>
      <c r="J102" s="323"/>
      <c r="K102" s="323"/>
      <c r="L102" s="323"/>
      <c r="M102" s="323"/>
      <c r="N102" s="323"/>
    </row>
    <row r="103" spans="1:14" ht="21.75" customHeight="1">
      <c r="A103" s="315"/>
      <c r="B103" s="331" t="s">
        <v>406</v>
      </c>
      <c r="C103" s="329">
        <v>777000000</v>
      </c>
      <c r="D103" s="125">
        <v>30754041600</v>
      </c>
      <c r="E103" s="127">
        <f t="shared" si="2"/>
        <v>2.5264972002899286</v>
      </c>
      <c r="F103" s="323"/>
      <c r="G103" s="323"/>
      <c r="H103" s="323"/>
      <c r="I103" s="323"/>
      <c r="J103" s="323"/>
      <c r="K103" s="323"/>
      <c r="L103" s="323"/>
      <c r="M103" s="323"/>
      <c r="N103" s="323"/>
    </row>
    <row r="104" spans="1:14" ht="21.75" customHeight="1">
      <c r="A104" s="315"/>
      <c r="B104" s="331" t="s">
        <v>407</v>
      </c>
      <c r="C104" s="329">
        <v>351600000</v>
      </c>
      <c r="D104" s="125">
        <v>30754041600</v>
      </c>
      <c r="E104" s="127">
        <f t="shared" si="2"/>
        <v>1.1432643701698058</v>
      </c>
      <c r="F104" s="323"/>
      <c r="G104" s="323"/>
      <c r="H104" s="323"/>
      <c r="I104" s="323"/>
      <c r="J104" s="323"/>
      <c r="K104" s="323"/>
      <c r="L104" s="323"/>
      <c r="M104" s="323"/>
      <c r="N104" s="323"/>
    </row>
    <row r="105" spans="1:14" ht="21.75" customHeight="1">
      <c r="A105" s="315"/>
      <c r="B105" s="331" t="s">
        <v>408</v>
      </c>
      <c r="C105" s="329">
        <v>1168041620</v>
      </c>
      <c r="D105" s="125">
        <v>30754041600</v>
      </c>
      <c r="E105" s="127">
        <f t="shared" si="2"/>
        <v>3.7980101451121144</v>
      </c>
      <c r="F105" s="323"/>
      <c r="G105" s="323"/>
      <c r="H105" s="323"/>
      <c r="I105" s="323"/>
      <c r="J105" s="323"/>
      <c r="K105" s="323"/>
      <c r="L105" s="323"/>
      <c r="M105" s="323"/>
      <c r="N105" s="323"/>
    </row>
    <row r="106" spans="1:14" ht="38.25" customHeight="1">
      <c r="A106" s="315"/>
      <c r="B106" s="331" t="s">
        <v>409</v>
      </c>
      <c r="C106" s="329">
        <v>405850000</v>
      </c>
      <c r="D106" s="125">
        <v>30754041600</v>
      </c>
      <c r="E106" s="127">
        <f t="shared" si="2"/>
        <v>1.3196639494693276</v>
      </c>
      <c r="F106" s="323"/>
      <c r="G106" s="323"/>
      <c r="H106" s="323"/>
      <c r="I106" s="323"/>
      <c r="J106" s="323"/>
      <c r="K106" s="323"/>
      <c r="L106" s="323"/>
      <c r="M106" s="323"/>
      <c r="N106" s="323"/>
    </row>
    <row r="107" spans="1:14" ht="38.25" customHeight="1">
      <c r="A107" s="315"/>
      <c r="B107" s="331" t="s">
        <v>410</v>
      </c>
      <c r="C107" s="329">
        <v>1213250000</v>
      </c>
      <c r="D107" s="125">
        <v>30754041600</v>
      </c>
      <c r="E107" s="127">
        <f t="shared" si="2"/>
        <v>3.9450099462699564</v>
      </c>
      <c r="F107" s="323"/>
      <c r="G107" s="323"/>
      <c r="H107" s="323"/>
      <c r="I107" s="323"/>
      <c r="J107" s="323"/>
      <c r="K107" s="323"/>
      <c r="L107" s="323"/>
      <c r="M107" s="323"/>
      <c r="N107" s="323"/>
    </row>
    <row r="108" spans="1:14" ht="30.75" customHeight="1">
      <c r="A108" s="315"/>
      <c r="B108" s="331" t="s">
        <v>411</v>
      </c>
      <c r="C108" s="329">
        <v>156902080</v>
      </c>
      <c r="D108" s="125">
        <v>30754041600</v>
      </c>
      <c r="E108" s="127">
        <f t="shared" si="2"/>
        <v>0.5101836111192618</v>
      </c>
      <c r="F108" s="323"/>
      <c r="G108" s="323"/>
      <c r="H108" s="323"/>
      <c r="I108" s="323"/>
      <c r="J108" s="323"/>
      <c r="K108" s="323"/>
      <c r="L108" s="323"/>
      <c r="M108" s="323"/>
      <c r="N108" s="323"/>
    </row>
    <row r="109" spans="1:14" ht="32.25" customHeight="1">
      <c r="A109" s="315"/>
      <c r="B109" s="331" t="s">
        <v>412</v>
      </c>
      <c r="C109" s="329">
        <v>299000000</v>
      </c>
      <c r="D109" s="125">
        <v>30754041600</v>
      </c>
      <c r="E109" s="127">
        <f t="shared" si="2"/>
        <v>0.97222993936510771</v>
      </c>
      <c r="F109" s="323"/>
      <c r="G109" s="323"/>
      <c r="H109" s="323"/>
      <c r="I109" s="323"/>
      <c r="J109" s="323"/>
      <c r="K109" s="323"/>
      <c r="L109" s="323"/>
      <c r="M109" s="323"/>
      <c r="N109" s="323"/>
    </row>
    <row r="110" spans="1:14" s="314" customFormat="1" ht="21.75" customHeight="1">
      <c r="A110" s="315"/>
      <c r="B110" s="328" t="s">
        <v>106</v>
      </c>
      <c r="C110" s="352">
        <f>SUM(C111)</f>
        <v>140010000</v>
      </c>
      <c r="D110" s="129">
        <v>30754041600</v>
      </c>
      <c r="E110" s="127">
        <f t="shared" si="2"/>
        <v>0.45525723682444386</v>
      </c>
      <c r="F110" s="319"/>
      <c r="G110" s="319"/>
      <c r="H110" s="319"/>
      <c r="I110" s="319"/>
      <c r="J110" s="319"/>
      <c r="K110" s="319"/>
      <c r="L110" s="319"/>
      <c r="M110" s="319"/>
      <c r="N110" s="319"/>
    </row>
    <row r="111" spans="1:14" ht="21.75" customHeight="1">
      <c r="A111" s="315"/>
      <c r="B111" s="331" t="s">
        <v>413</v>
      </c>
      <c r="C111" s="329">
        <v>140010000</v>
      </c>
      <c r="D111" s="125">
        <v>30754041600</v>
      </c>
      <c r="E111" s="127">
        <f t="shared" si="2"/>
        <v>0.45525723682444386</v>
      </c>
      <c r="F111" s="323"/>
      <c r="G111" s="323"/>
      <c r="H111" s="323"/>
      <c r="I111" s="323"/>
      <c r="J111" s="323"/>
      <c r="K111" s="323"/>
      <c r="L111" s="323"/>
      <c r="M111" s="323"/>
      <c r="N111" s="323"/>
    </row>
    <row r="112" spans="1:14" ht="15" customHeight="1">
      <c r="A112" s="315"/>
      <c r="B112" s="330"/>
      <c r="C112" s="332"/>
      <c r="D112" s="125">
        <v>30754041600</v>
      </c>
      <c r="E112" s="333"/>
      <c r="F112" s="323"/>
      <c r="G112" s="323"/>
      <c r="H112" s="323"/>
      <c r="I112" s="323"/>
      <c r="J112" s="323"/>
      <c r="K112" s="323"/>
      <c r="L112" s="323"/>
      <c r="M112" s="323"/>
      <c r="N112" s="323"/>
    </row>
    <row r="113" spans="1:14" s="314" customFormat="1" ht="21.75" customHeight="1">
      <c r="A113" s="315"/>
      <c r="B113" s="324" t="s">
        <v>434</v>
      </c>
      <c r="C113" s="352">
        <f>SUM(C114)</f>
        <v>3075404160</v>
      </c>
      <c r="D113" s="129">
        <v>48495887123.160004</v>
      </c>
      <c r="E113" s="127">
        <f t="shared" ref="E113:E116" si="3">+C113/D113*100</f>
        <v>6.3415772809552147</v>
      </c>
      <c r="F113" s="319"/>
      <c r="G113" s="319"/>
      <c r="H113" s="319"/>
      <c r="I113" s="319"/>
      <c r="J113" s="319"/>
      <c r="K113" s="319"/>
      <c r="L113" s="319"/>
      <c r="M113" s="319"/>
      <c r="N113" s="319"/>
    </row>
    <row r="114" spans="1:14" s="314" customFormat="1" ht="21.75" customHeight="1">
      <c r="A114" s="315"/>
      <c r="B114" s="328" t="s">
        <v>435</v>
      </c>
      <c r="C114" s="352">
        <f>SUM(C115)</f>
        <v>3075404160</v>
      </c>
      <c r="D114" s="129">
        <v>30754041600</v>
      </c>
      <c r="E114" s="127">
        <f t="shared" si="3"/>
        <v>10</v>
      </c>
      <c r="F114" s="319"/>
      <c r="G114" s="319"/>
      <c r="H114" s="319"/>
      <c r="I114" s="319"/>
      <c r="J114" s="319"/>
      <c r="K114" s="319"/>
      <c r="L114" s="319"/>
      <c r="M114" s="319"/>
      <c r="N114" s="319"/>
    </row>
    <row r="115" spans="1:14" s="314" customFormat="1" ht="21.75" customHeight="1">
      <c r="A115" s="315"/>
      <c r="B115" s="328" t="s">
        <v>436</v>
      </c>
      <c r="C115" s="352">
        <f>SUM(C116)</f>
        <v>3075404160</v>
      </c>
      <c r="D115" s="129">
        <v>30754041600</v>
      </c>
      <c r="E115" s="127">
        <f t="shared" si="3"/>
        <v>10</v>
      </c>
      <c r="F115" s="319"/>
      <c r="G115" s="319"/>
      <c r="H115" s="319"/>
      <c r="I115" s="319"/>
      <c r="J115" s="319"/>
      <c r="K115" s="319"/>
      <c r="L115" s="319"/>
      <c r="M115" s="319"/>
      <c r="N115" s="319"/>
    </row>
    <row r="116" spans="1:14" ht="21.75" customHeight="1">
      <c r="A116" s="315"/>
      <c r="B116" s="331" t="s">
        <v>437</v>
      </c>
      <c r="C116" s="329">
        <v>3075404160</v>
      </c>
      <c r="D116" s="125">
        <v>30754041600</v>
      </c>
      <c r="E116" s="127">
        <f t="shared" si="3"/>
        <v>10</v>
      </c>
      <c r="F116" s="323"/>
      <c r="G116" s="323"/>
      <c r="H116" s="323"/>
      <c r="I116" s="323"/>
      <c r="J116" s="323"/>
      <c r="K116" s="323"/>
      <c r="L116" s="323"/>
      <c r="M116" s="323"/>
      <c r="N116" s="323"/>
    </row>
    <row r="117" spans="1:14" ht="15" customHeight="1">
      <c r="A117" s="315"/>
      <c r="B117" s="330"/>
      <c r="C117" s="332"/>
      <c r="D117" s="334"/>
      <c r="E117" s="333"/>
      <c r="F117" s="323"/>
      <c r="G117" s="323"/>
      <c r="H117" s="323"/>
      <c r="I117" s="323"/>
      <c r="J117" s="323"/>
      <c r="K117" s="323"/>
      <c r="L117" s="323"/>
      <c r="M117" s="323"/>
      <c r="N117" s="323"/>
    </row>
    <row r="118" spans="1:14" ht="21.75" customHeight="1">
      <c r="A118" s="335" t="s">
        <v>441</v>
      </c>
      <c r="B118" s="336" t="s">
        <v>2563</v>
      </c>
      <c r="C118" s="337">
        <f>+C119+C144+C153+C157</f>
        <v>13146740253.49</v>
      </c>
      <c r="D118" s="129">
        <v>51356987511.629997</v>
      </c>
      <c r="E118" s="338">
        <f>+C118/D118*100</f>
        <v>25.598737173812751</v>
      </c>
      <c r="F118" s="323"/>
      <c r="G118" s="323"/>
      <c r="H118" s="323"/>
      <c r="I118" s="323"/>
      <c r="J118" s="323"/>
      <c r="K118" s="323"/>
      <c r="L118" s="323"/>
      <c r="M118" s="323"/>
      <c r="N118" s="323"/>
    </row>
    <row r="119" spans="1:14" ht="21.75" customHeight="1">
      <c r="A119" s="315"/>
      <c r="B119" s="339" t="s">
        <v>64</v>
      </c>
      <c r="C119" s="340">
        <f>C120+C126+C137+C141</f>
        <v>8028875669</v>
      </c>
      <c r="D119" s="334">
        <v>13146740253</v>
      </c>
      <c r="E119" s="338">
        <f>+C119/D119*100</f>
        <v>61.071227654078456</v>
      </c>
      <c r="F119" s="323"/>
      <c r="G119" s="323"/>
      <c r="H119" s="323"/>
      <c r="I119" s="323"/>
      <c r="J119" s="323"/>
      <c r="K119" s="323"/>
      <c r="L119" s="323"/>
      <c r="M119" s="323"/>
      <c r="N119" s="323"/>
    </row>
    <row r="120" spans="1:14" ht="21.75" customHeight="1">
      <c r="A120" s="315"/>
      <c r="B120" s="341" t="s">
        <v>388</v>
      </c>
      <c r="C120" s="342">
        <v>2147500000</v>
      </c>
      <c r="D120" s="334">
        <v>13146740253</v>
      </c>
      <c r="E120" s="338">
        <f t="shared" ref="E120:E159" si="4">+C120/D120*100</f>
        <v>16.334847716413613</v>
      </c>
      <c r="F120" s="323"/>
      <c r="G120" s="323"/>
      <c r="H120" s="323"/>
      <c r="I120" s="323"/>
      <c r="J120" s="323"/>
      <c r="K120" s="323"/>
      <c r="L120" s="323"/>
      <c r="M120" s="323"/>
      <c r="N120" s="323"/>
    </row>
    <row r="121" spans="1:14" ht="21.75" customHeight="1">
      <c r="A121" s="315"/>
      <c r="B121" s="800" t="s">
        <v>445</v>
      </c>
      <c r="C121" s="340">
        <v>500000000</v>
      </c>
      <c r="D121" s="334">
        <v>13146740253</v>
      </c>
      <c r="E121" s="338">
        <f t="shared" si="4"/>
        <v>3.8032241481754632</v>
      </c>
      <c r="F121" s="323"/>
      <c r="G121" s="323"/>
      <c r="H121" s="323"/>
      <c r="I121" s="323"/>
      <c r="J121" s="323"/>
      <c r="K121" s="323"/>
      <c r="L121" s="323"/>
      <c r="M121" s="323"/>
      <c r="N121" s="323"/>
    </row>
    <row r="122" spans="1:14" ht="21.75" customHeight="1">
      <c r="A122" s="315"/>
      <c r="B122" s="800" t="s">
        <v>446</v>
      </c>
      <c r="C122" s="340">
        <v>80000000</v>
      </c>
      <c r="D122" s="334">
        <v>13146740253</v>
      </c>
      <c r="E122" s="338">
        <f t="shared" si="4"/>
        <v>0.6085158637080742</v>
      </c>
      <c r="F122" s="323"/>
      <c r="G122" s="323"/>
      <c r="H122" s="323"/>
      <c r="I122" s="323"/>
      <c r="J122" s="323"/>
      <c r="K122" s="323"/>
      <c r="L122" s="323"/>
      <c r="M122" s="323"/>
      <c r="N122" s="323"/>
    </row>
    <row r="123" spans="1:14" ht="21.75" customHeight="1">
      <c r="A123" s="315"/>
      <c r="B123" s="800" t="s">
        <v>447</v>
      </c>
      <c r="C123" s="340">
        <v>1147500000</v>
      </c>
      <c r="D123" s="334">
        <v>13146740253</v>
      </c>
      <c r="E123" s="338">
        <f t="shared" si="4"/>
        <v>8.7283994200626882</v>
      </c>
      <c r="F123" s="323"/>
      <c r="G123" s="323"/>
      <c r="H123" s="323"/>
      <c r="I123" s="323"/>
      <c r="J123" s="323"/>
      <c r="K123" s="323"/>
      <c r="L123" s="323"/>
      <c r="M123" s="323"/>
      <c r="N123" s="323"/>
    </row>
    <row r="124" spans="1:14" ht="21.75" customHeight="1">
      <c r="A124" s="315"/>
      <c r="B124" s="800" t="s">
        <v>448</v>
      </c>
      <c r="C124" s="340">
        <v>120000000</v>
      </c>
      <c r="D124" s="334">
        <v>13146740253</v>
      </c>
      <c r="E124" s="338">
        <f t="shared" si="4"/>
        <v>0.91277379556211125</v>
      </c>
      <c r="F124" s="323"/>
      <c r="G124" s="323"/>
      <c r="H124" s="323"/>
      <c r="I124" s="323"/>
      <c r="J124" s="323"/>
      <c r="K124" s="323"/>
      <c r="L124" s="323"/>
      <c r="M124" s="323"/>
      <c r="N124" s="323"/>
    </row>
    <row r="125" spans="1:14" ht="21.75" customHeight="1">
      <c r="A125" s="315"/>
      <c r="B125" s="800" t="s">
        <v>449</v>
      </c>
      <c r="C125" s="340">
        <v>300000000</v>
      </c>
      <c r="D125" s="334">
        <v>13146740253</v>
      </c>
      <c r="E125" s="338">
        <f t="shared" si="4"/>
        <v>2.2819344889052782</v>
      </c>
      <c r="F125" s="323"/>
      <c r="G125" s="323"/>
      <c r="H125" s="323"/>
      <c r="I125" s="323"/>
      <c r="J125" s="323"/>
      <c r="K125" s="323"/>
      <c r="L125" s="323"/>
      <c r="M125" s="323"/>
      <c r="N125" s="323"/>
    </row>
    <row r="126" spans="1:14" ht="21.75" customHeight="1">
      <c r="A126" s="315"/>
      <c r="B126" s="341" t="s">
        <v>394</v>
      </c>
      <c r="C126" s="342">
        <v>4172144000</v>
      </c>
      <c r="D126" s="334">
        <v>13146740253</v>
      </c>
      <c r="E126" s="338">
        <f t="shared" si="4"/>
        <v>31.735197620930737</v>
      </c>
      <c r="F126" s="323"/>
      <c r="G126" s="323"/>
      <c r="H126" s="323"/>
      <c r="I126" s="323"/>
      <c r="J126" s="323"/>
      <c r="K126" s="323"/>
      <c r="L126" s="323"/>
      <c r="M126" s="323"/>
      <c r="N126" s="323"/>
    </row>
    <row r="127" spans="1:14" ht="21.75" customHeight="1">
      <c r="A127" s="315"/>
      <c r="B127" s="800" t="s">
        <v>450</v>
      </c>
      <c r="C127" s="340">
        <v>200000000</v>
      </c>
      <c r="D127" s="334">
        <v>13146740253</v>
      </c>
      <c r="E127" s="338">
        <f t="shared" si="4"/>
        <v>1.5212896592701852</v>
      </c>
      <c r="F127" s="323"/>
      <c r="G127" s="323"/>
      <c r="H127" s="323"/>
      <c r="I127" s="323"/>
      <c r="J127" s="323"/>
      <c r="K127" s="323"/>
      <c r="L127" s="323"/>
      <c r="M127" s="323"/>
      <c r="N127" s="323"/>
    </row>
    <row r="128" spans="1:14" ht="21.75" customHeight="1">
      <c r="A128" s="315"/>
      <c r="B128" s="800" t="s">
        <v>451</v>
      </c>
      <c r="C128" s="340">
        <v>120000000</v>
      </c>
      <c r="D128" s="334">
        <v>13146740253</v>
      </c>
      <c r="E128" s="338">
        <f t="shared" si="4"/>
        <v>0.91277379556211125</v>
      </c>
      <c r="F128" s="323"/>
      <c r="G128" s="323"/>
      <c r="H128" s="323"/>
      <c r="I128" s="323"/>
      <c r="J128" s="323"/>
      <c r="K128" s="323"/>
      <c r="L128" s="323"/>
      <c r="M128" s="323"/>
      <c r="N128" s="323"/>
    </row>
    <row r="129" spans="1:14" ht="21.75" customHeight="1">
      <c r="A129" s="315"/>
      <c r="B129" s="800" t="s">
        <v>452</v>
      </c>
      <c r="C129" s="340">
        <v>100000000</v>
      </c>
      <c r="D129" s="334">
        <v>13146740253</v>
      </c>
      <c r="E129" s="338">
        <f t="shared" si="4"/>
        <v>0.76064482963509261</v>
      </c>
      <c r="F129" s="323"/>
      <c r="G129" s="323"/>
      <c r="H129" s="323"/>
      <c r="I129" s="323"/>
      <c r="J129" s="323"/>
      <c r="K129" s="323"/>
      <c r="L129" s="323"/>
      <c r="M129" s="323"/>
      <c r="N129" s="323"/>
    </row>
    <row r="130" spans="1:14" ht="21.75" customHeight="1">
      <c r="A130" s="315"/>
      <c r="B130" s="800" t="s">
        <v>453</v>
      </c>
      <c r="C130" s="340">
        <v>130000000</v>
      </c>
      <c r="D130" s="334">
        <v>13146740253</v>
      </c>
      <c r="E130" s="338">
        <f t="shared" si="4"/>
        <v>0.98883827852562045</v>
      </c>
      <c r="F130" s="323"/>
      <c r="G130" s="323"/>
      <c r="H130" s="323"/>
      <c r="I130" s="323"/>
      <c r="J130" s="323"/>
      <c r="K130" s="323"/>
      <c r="L130" s="323"/>
      <c r="M130" s="323"/>
      <c r="N130" s="323"/>
    </row>
    <row r="131" spans="1:14" ht="21.75" customHeight="1">
      <c r="A131" s="315"/>
      <c r="B131" s="800" t="s">
        <v>454</v>
      </c>
      <c r="C131" s="340">
        <v>2044080000</v>
      </c>
      <c r="D131" s="334">
        <v>13146740253</v>
      </c>
      <c r="E131" s="338">
        <f t="shared" si="4"/>
        <v>15.548188833605003</v>
      </c>
      <c r="F131" s="323"/>
      <c r="G131" s="323"/>
      <c r="H131" s="323"/>
      <c r="I131" s="323"/>
      <c r="J131" s="323"/>
      <c r="K131" s="323"/>
      <c r="L131" s="323"/>
      <c r="M131" s="323"/>
      <c r="N131" s="323"/>
    </row>
    <row r="132" spans="1:14" ht="21.75" customHeight="1">
      <c r="A132" s="315"/>
      <c r="B132" s="800" t="s">
        <v>455</v>
      </c>
      <c r="C132" s="340">
        <v>811728000</v>
      </c>
      <c r="D132" s="334">
        <v>13146740253</v>
      </c>
      <c r="E132" s="338">
        <f t="shared" si="4"/>
        <v>6.1743670627003446</v>
      </c>
      <c r="F132" s="323"/>
      <c r="G132" s="323"/>
      <c r="H132" s="323"/>
      <c r="I132" s="323"/>
      <c r="J132" s="323"/>
      <c r="K132" s="323"/>
      <c r="L132" s="323"/>
      <c r="M132" s="323"/>
      <c r="N132" s="323"/>
    </row>
    <row r="133" spans="1:14" ht="21.75" customHeight="1">
      <c r="A133" s="315"/>
      <c r="B133" s="800" t="s">
        <v>456</v>
      </c>
      <c r="C133" s="340">
        <v>395000000</v>
      </c>
      <c r="D133" s="334">
        <v>13146740253</v>
      </c>
      <c r="E133" s="338">
        <f t="shared" si="4"/>
        <v>3.004547077058616</v>
      </c>
      <c r="F133" s="323"/>
      <c r="G133" s="323"/>
      <c r="H133" s="323"/>
      <c r="I133" s="323"/>
      <c r="J133" s="323"/>
      <c r="K133" s="323"/>
      <c r="L133" s="323"/>
      <c r="M133" s="323"/>
      <c r="N133" s="323"/>
    </row>
    <row r="134" spans="1:14" ht="21.75" customHeight="1">
      <c r="A134" s="315"/>
      <c r="B134" s="800" t="s">
        <v>457</v>
      </c>
      <c r="C134" s="340">
        <v>120000000</v>
      </c>
      <c r="D134" s="334">
        <v>13146740253</v>
      </c>
      <c r="E134" s="338">
        <f t="shared" si="4"/>
        <v>0.91277379556211125</v>
      </c>
      <c r="F134" s="323"/>
      <c r="G134" s="323"/>
      <c r="H134" s="323"/>
      <c r="I134" s="323"/>
      <c r="J134" s="323"/>
      <c r="K134" s="323"/>
      <c r="L134" s="323"/>
      <c r="M134" s="323"/>
      <c r="N134" s="323"/>
    </row>
    <row r="135" spans="1:14" ht="21.75" customHeight="1">
      <c r="A135" s="315"/>
      <c r="B135" s="800" t="s">
        <v>458</v>
      </c>
      <c r="C135" s="340">
        <v>200000000</v>
      </c>
      <c r="D135" s="334">
        <v>13146740253</v>
      </c>
      <c r="E135" s="338">
        <f t="shared" si="4"/>
        <v>1.5212896592701852</v>
      </c>
      <c r="F135" s="323"/>
      <c r="G135" s="323"/>
      <c r="H135" s="323"/>
      <c r="I135" s="323"/>
      <c r="J135" s="323"/>
      <c r="K135" s="323"/>
      <c r="L135" s="323"/>
      <c r="M135" s="323"/>
      <c r="N135" s="323"/>
    </row>
    <row r="136" spans="1:14" ht="21.75" customHeight="1">
      <c r="A136" s="315"/>
      <c r="B136" s="800" t="s">
        <v>459</v>
      </c>
      <c r="C136" s="340">
        <v>51336000</v>
      </c>
      <c r="D136" s="334">
        <v>13146740253</v>
      </c>
      <c r="E136" s="338">
        <f t="shared" si="4"/>
        <v>0.39048462974147119</v>
      </c>
      <c r="F136" s="323"/>
      <c r="G136" s="323"/>
      <c r="H136" s="323"/>
      <c r="I136" s="323"/>
      <c r="J136" s="323"/>
      <c r="K136" s="323"/>
      <c r="L136" s="323"/>
      <c r="M136" s="323"/>
      <c r="N136" s="323"/>
    </row>
    <row r="137" spans="1:14" ht="21.75" customHeight="1">
      <c r="A137" s="315"/>
      <c r="B137" s="341" t="s">
        <v>106</v>
      </c>
      <c r="C137" s="342">
        <v>800000000</v>
      </c>
      <c r="D137" s="334">
        <v>13146740253</v>
      </c>
      <c r="E137" s="338">
        <f t="shared" si="4"/>
        <v>6.0851586370807409</v>
      </c>
      <c r="F137" s="323"/>
      <c r="G137" s="323"/>
      <c r="H137" s="323"/>
      <c r="I137" s="323"/>
      <c r="J137" s="323"/>
      <c r="K137" s="323"/>
      <c r="L137" s="323"/>
      <c r="M137" s="323"/>
      <c r="N137" s="323"/>
    </row>
    <row r="138" spans="1:14" ht="21.75" customHeight="1">
      <c r="A138" s="315"/>
      <c r="B138" s="800" t="s">
        <v>460</v>
      </c>
      <c r="C138" s="340">
        <v>120000000</v>
      </c>
      <c r="D138" s="334">
        <v>13146740253</v>
      </c>
      <c r="E138" s="338">
        <f t="shared" si="4"/>
        <v>0.91277379556211125</v>
      </c>
      <c r="F138" s="323"/>
      <c r="G138" s="323"/>
      <c r="H138" s="323"/>
      <c r="I138" s="323"/>
      <c r="J138" s="323"/>
      <c r="K138" s="323"/>
      <c r="L138" s="323"/>
      <c r="M138" s="323"/>
      <c r="N138" s="323"/>
    </row>
    <row r="139" spans="1:14" ht="21.75" customHeight="1">
      <c r="A139" s="315"/>
      <c r="B139" s="800" t="s">
        <v>461</v>
      </c>
      <c r="C139" s="340">
        <v>380000000</v>
      </c>
      <c r="D139" s="334">
        <v>13146740253</v>
      </c>
      <c r="E139" s="338">
        <f t="shared" si="4"/>
        <v>2.8904503526133518</v>
      </c>
      <c r="F139" s="323"/>
      <c r="G139" s="323"/>
      <c r="H139" s="323"/>
      <c r="I139" s="323"/>
      <c r="J139" s="323"/>
      <c r="K139" s="323"/>
      <c r="L139" s="323"/>
      <c r="M139" s="323"/>
      <c r="N139" s="323"/>
    </row>
    <row r="140" spans="1:14" ht="21.75" customHeight="1">
      <c r="A140" s="315"/>
      <c r="B140" s="800" t="s">
        <v>462</v>
      </c>
      <c r="C140" s="340">
        <v>300000000</v>
      </c>
      <c r="D140" s="334">
        <v>13146740253</v>
      </c>
      <c r="E140" s="338">
        <f t="shared" si="4"/>
        <v>2.2819344889052782</v>
      </c>
      <c r="F140" s="323"/>
      <c r="G140" s="323"/>
      <c r="H140" s="323"/>
      <c r="I140" s="323"/>
      <c r="J140" s="323"/>
      <c r="K140" s="323"/>
      <c r="L140" s="323"/>
      <c r="M140" s="323"/>
      <c r="N140" s="323"/>
    </row>
    <row r="141" spans="1:14" ht="21.75" customHeight="1">
      <c r="A141" s="315"/>
      <c r="B141" s="341" t="s">
        <v>116</v>
      </c>
      <c r="C141" s="342">
        <v>909231669</v>
      </c>
      <c r="D141" s="334">
        <v>13146740253</v>
      </c>
      <c r="E141" s="338">
        <f t="shared" si="4"/>
        <v>6.9160236796533603</v>
      </c>
      <c r="F141" s="323"/>
      <c r="G141" s="323"/>
      <c r="H141" s="323"/>
      <c r="I141" s="323"/>
      <c r="J141" s="323"/>
      <c r="K141" s="323"/>
      <c r="L141" s="323"/>
      <c r="M141" s="323"/>
      <c r="N141" s="323"/>
    </row>
    <row r="142" spans="1:14" ht="21.75" customHeight="1">
      <c r="A142" s="315"/>
      <c r="B142" s="800" t="s">
        <v>463</v>
      </c>
      <c r="C142" s="340">
        <v>909231669</v>
      </c>
      <c r="D142" s="334">
        <v>13146740253</v>
      </c>
      <c r="E142" s="338">
        <f t="shared" si="4"/>
        <v>6.9160236796533603</v>
      </c>
      <c r="F142" s="323"/>
      <c r="G142" s="323"/>
      <c r="H142" s="323"/>
      <c r="I142" s="323"/>
      <c r="J142" s="323"/>
      <c r="K142" s="323"/>
      <c r="L142" s="323"/>
      <c r="M142" s="323"/>
      <c r="N142" s="323"/>
    </row>
    <row r="143" spans="1:14" ht="21.75" customHeight="1">
      <c r="A143" s="315"/>
      <c r="B143" s="800"/>
      <c r="C143" s="340"/>
      <c r="D143" s="334"/>
      <c r="E143" s="338"/>
      <c r="F143" s="323"/>
      <c r="G143" s="323"/>
      <c r="H143" s="323"/>
      <c r="I143" s="323"/>
      <c r="J143" s="323"/>
      <c r="K143" s="323"/>
      <c r="L143" s="323"/>
      <c r="M143" s="323"/>
      <c r="N143" s="323"/>
    </row>
    <row r="144" spans="1:14" ht="21.75" customHeight="1">
      <c r="A144" s="315"/>
      <c r="B144" s="341" t="s">
        <v>554</v>
      </c>
      <c r="C144" s="342">
        <f>C145</f>
        <v>367864584.49000001</v>
      </c>
      <c r="D144" s="334">
        <v>13146740253</v>
      </c>
      <c r="E144" s="338">
        <f t="shared" si="4"/>
        <v>2.7981429419818018</v>
      </c>
      <c r="F144" s="323"/>
      <c r="G144" s="323"/>
      <c r="H144" s="323"/>
      <c r="I144" s="323"/>
      <c r="J144" s="323"/>
      <c r="K144" s="323"/>
      <c r="L144" s="323"/>
      <c r="M144" s="323"/>
      <c r="N144" s="323"/>
    </row>
    <row r="145" spans="1:14" ht="21.75" customHeight="1">
      <c r="A145" s="315"/>
      <c r="B145" s="341" t="s">
        <v>555</v>
      </c>
      <c r="C145" s="342">
        <f>C146+C148+C150</f>
        <v>367864584.49000001</v>
      </c>
      <c r="D145" s="334">
        <v>13146740253</v>
      </c>
      <c r="E145" s="338">
        <f t="shared" si="4"/>
        <v>2.7981429419818018</v>
      </c>
      <c r="F145" s="323"/>
      <c r="G145" s="323"/>
      <c r="H145" s="323"/>
      <c r="I145" s="323"/>
      <c r="J145" s="323"/>
      <c r="K145" s="323"/>
      <c r="L145" s="323"/>
      <c r="M145" s="323"/>
      <c r="N145" s="323"/>
    </row>
    <row r="146" spans="1:14" ht="21.75" customHeight="1">
      <c r="A146" s="315"/>
      <c r="B146" s="341" t="s">
        <v>556</v>
      </c>
      <c r="C146" s="342">
        <v>150000000</v>
      </c>
      <c r="D146" s="334">
        <v>13146740253</v>
      </c>
      <c r="E146" s="338">
        <f t="shared" si="4"/>
        <v>1.1409672444526391</v>
      </c>
      <c r="F146" s="323"/>
      <c r="G146" s="323"/>
      <c r="H146" s="323"/>
      <c r="I146" s="323"/>
      <c r="J146" s="323"/>
      <c r="K146" s="323"/>
      <c r="L146" s="323"/>
      <c r="M146" s="323"/>
      <c r="N146" s="323"/>
    </row>
    <row r="147" spans="1:14" ht="21.75" customHeight="1">
      <c r="A147" s="315"/>
      <c r="B147" s="800" t="s">
        <v>557</v>
      </c>
      <c r="C147" s="340">
        <v>150000000</v>
      </c>
      <c r="D147" s="334">
        <v>13146740253</v>
      </c>
      <c r="E147" s="338">
        <f t="shared" si="4"/>
        <v>1.1409672444526391</v>
      </c>
      <c r="F147" s="323"/>
      <c r="G147" s="323"/>
      <c r="H147" s="323"/>
      <c r="I147" s="323"/>
      <c r="J147" s="323"/>
      <c r="K147" s="323"/>
      <c r="L147" s="323"/>
      <c r="M147" s="323"/>
      <c r="N147" s="323"/>
    </row>
    <row r="148" spans="1:14" ht="21.75" customHeight="1">
      <c r="A148" s="315"/>
      <c r="B148" s="341" t="s">
        <v>558</v>
      </c>
      <c r="C148" s="342">
        <v>117864584.48999999</v>
      </c>
      <c r="D148" s="334">
        <v>13146740253</v>
      </c>
      <c r="E148" s="338">
        <f t="shared" si="4"/>
        <v>0.89653086789407022</v>
      </c>
      <c r="F148" s="323"/>
      <c r="G148" s="323"/>
      <c r="H148" s="323"/>
      <c r="I148" s="323"/>
      <c r="J148" s="323"/>
      <c r="K148" s="323"/>
      <c r="L148" s="323"/>
      <c r="M148" s="323"/>
      <c r="N148" s="323"/>
    </row>
    <row r="149" spans="1:14" ht="21.75" customHeight="1">
      <c r="A149" s="315"/>
      <c r="B149" s="800" t="s">
        <v>559</v>
      </c>
      <c r="C149" s="340">
        <v>117864584.48999999</v>
      </c>
      <c r="D149" s="334">
        <v>13146740253</v>
      </c>
      <c r="E149" s="338">
        <f t="shared" si="4"/>
        <v>0.89653086789407022</v>
      </c>
      <c r="F149" s="323"/>
      <c r="G149" s="323"/>
      <c r="H149" s="323"/>
      <c r="I149" s="323"/>
      <c r="J149" s="323"/>
      <c r="K149" s="323"/>
      <c r="L149" s="323"/>
      <c r="M149" s="323"/>
      <c r="N149" s="323"/>
    </row>
    <row r="150" spans="1:14" ht="21.75" customHeight="1">
      <c r="A150" s="315"/>
      <c r="B150" s="341" t="s">
        <v>560</v>
      </c>
      <c r="C150" s="342">
        <v>100000000</v>
      </c>
      <c r="D150" s="334">
        <v>13146740253</v>
      </c>
      <c r="E150" s="338">
        <f t="shared" si="4"/>
        <v>0.76064482963509261</v>
      </c>
      <c r="F150" s="323"/>
      <c r="G150" s="323"/>
      <c r="H150" s="323"/>
      <c r="I150" s="323"/>
      <c r="J150" s="323"/>
      <c r="K150" s="323"/>
      <c r="L150" s="323"/>
      <c r="M150" s="323"/>
      <c r="N150" s="323"/>
    </row>
    <row r="151" spans="1:14" ht="21.75" customHeight="1">
      <c r="A151" s="315"/>
      <c r="B151" s="800" t="s">
        <v>561</v>
      </c>
      <c r="C151" s="340">
        <v>100000000</v>
      </c>
      <c r="D151" s="334">
        <v>13146740253</v>
      </c>
      <c r="E151" s="338">
        <f t="shared" si="4"/>
        <v>0.76064482963509261</v>
      </c>
      <c r="F151" s="323"/>
      <c r="G151" s="323"/>
      <c r="H151" s="323"/>
      <c r="I151" s="323"/>
      <c r="J151" s="323"/>
      <c r="K151" s="323"/>
      <c r="L151" s="323"/>
      <c r="M151" s="323"/>
      <c r="N151" s="323"/>
    </row>
    <row r="152" spans="1:14" ht="21.75" customHeight="1">
      <c r="A152" s="315"/>
      <c r="B152" s="800"/>
      <c r="C152" s="340"/>
      <c r="D152" s="334"/>
      <c r="E152" s="338"/>
      <c r="F152" s="323"/>
      <c r="G152" s="323"/>
      <c r="H152" s="323"/>
      <c r="I152" s="323"/>
      <c r="J152" s="323"/>
      <c r="K152" s="323"/>
      <c r="L152" s="323"/>
      <c r="M152" s="323"/>
      <c r="N152" s="323"/>
    </row>
    <row r="153" spans="1:14" ht="21.75" customHeight="1">
      <c r="A153" s="315"/>
      <c r="B153" s="341" t="s">
        <v>582</v>
      </c>
      <c r="C153" s="342">
        <v>250000000</v>
      </c>
      <c r="D153" s="334">
        <v>13146740253</v>
      </c>
      <c r="E153" s="338">
        <f t="shared" si="4"/>
        <v>1.9016120740877316</v>
      </c>
      <c r="F153" s="323"/>
      <c r="G153" s="323"/>
      <c r="H153" s="323"/>
      <c r="I153" s="323"/>
      <c r="J153" s="323"/>
      <c r="K153" s="323"/>
      <c r="L153" s="323"/>
      <c r="M153" s="323"/>
      <c r="N153" s="323"/>
    </row>
    <row r="154" spans="1:14" ht="21.75" customHeight="1">
      <c r="A154" s="315"/>
      <c r="B154" s="341" t="s">
        <v>583</v>
      </c>
      <c r="C154" s="342">
        <v>250000000</v>
      </c>
      <c r="D154" s="334">
        <v>13146740253</v>
      </c>
      <c r="E154" s="338">
        <f t="shared" si="4"/>
        <v>1.9016120740877316</v>
      </c>
      <c r="F154" s="323"/>
      <c r="G154" s="323"/>
      <c r="H154" s="323"/>
      <c r="I154" s="323"/>
      <c r="J154" s="323"/>
      <c r="K154" s="323"/>
      <c r="L154" s="323"/>
      <c r="M154" s="323"/>
      <c r="N154" s="323"/>
    </row>
    <row r="155" spans="1:14" ht="21.75" customHeight="1">
      <c r="A155" s="315"/>
      <c r="B155" s="341" t="s">
        <v>584</v>
      </c>
      <c r="C155" s="342">
        <v>250000000</v>
      </c>
      <c r="D155" s="334">
        <v>13146740253</v>
      </c>
      <c r="E155" s="338">
        <f t="shared" si="4"/>
        <v>1.9016120740877316</v>
      </c>
      <c r="F155" s="323"/>
      <c r="G155" s="323"/>
      <c r="H155" s="323"/>
      <c r="I155" s="323"/>
      <c r="J155" s="323"/>
      <c r="K155" s="323"/>
      <c r="L155" s="323"/>
      <c r="M155" s="323"/>
      <c r="N155" s="323"/>
    </row>
    <row r="156" spans="1:14" ht="31.5" customHeight="1">
      <c r="A156" s="315"/>
      <c r="B156" s="800" t="s">
        <v>585</v>
      </c>
      <c r="C156" s="340">
        <v>250000000</v>
      </c>
      <c r="D156" s="334">
        <v>13146740253</v>
      </c>
      <c r="E156" s="338">
        <f t="shared" si="4"/>
        <v>1.9016120740877316</v>
      </c>
      <c r="F156" s="323"/>
      <c r="G156" s="323"/>
      <c r="H156" s="323"/>
      <c r="I156" s="323"/>
      <c r="J156" s="323"/>
      <c r="K156" s="323"/>
      <c r="L156" s="323"/>
      <c r="M156" s="323"/>
      <c r="N156" s="323"/>
    </row>
    <row r="157" spans="1:14" ht="37.5" customHeight="1">
      <c r="A157" s="315"/>
      <c r="B157" s="341" t="s">
        <v>562</v>
      </c>
      <c r="C157" s="342">
        <f>C158</f>
        <v>4500000000</v>
      </c>
      <c r="D157" s="334">
        <v>13146740253</v>
      </c>
      <c r="E157" s="338">
        <f t="shared" si="4"/>
        <v>34.229017333579172</v>
      </c>
      <c r="F157" s="323"/>
      <c r="G157" s="323"/>
      <c r="H157" s="323"/>
      <c r="I157" s="323"/>
      <c r="J157" s="323"/>
      <c r="K157" s="323"/>
      <c r="L157" s="323"/>
      <c r="M157" s="323"/>
      <c r="N157" s="323"/>
    </row>
    <row r="158" spans="1:14" ht="21.75" customHeight="1">
      <c r="A158" s="315"/>
      <c r="B158" s="341" t="s">
        <v>563</v>
      </c>
      <c r="C158" s="342">
        <f>C159</f>
        <v>4500000000</v>
      </c>
      <c r="D158" s="334">
        <v>13146740253</v>
      </c>
      <c r="E158" s="338">
        <f t="shared" si="4"/>
        <v>34.229017333579172</v>
      </c>
      <c r="F158" s="323"/>
      <c r="G158" s="323"/>
      <c r="H158" s="323"/>
      <c r="I158" s="323"/>
      <c r="J158" s="323"/>
      <c r="K158" s="323"/>
      <c r="L158" s="323"/>
      <c r="M158" s="323"/>
      <c r="N158" s="323"/>
    </row>
    <row r="159" spans="1:14" ht="21.75" customHeight="1">
      <c r="A159" s="315"/>
      <c r="B159" s="800" t="s">
        <v>569</v>
      </c>
      <c r="C159" s="340">
        <v>4500000000</v>
      </c>
      <c r="D159" s="334">
        <v>13146740253</v>
      </c>
      <c r="E159" s="338">
        <f t="shared" si="4"/>
        <v>34.229017333579172</v>
      </c>
      <c r="F159" s="323"/>
      <c r="G159" s="323"/>
      <c r="H159" s="323"/>
      <c r="I159" s="323"/>
      <c r="J159" s="323"/>
      <c r="K159" s="323"/>
      <c r="L159" s="323"/>
      <c r="M159" s="323"/>
      <c r="N159" s="323"/>
    </row>
    <row r="160" spans="1:14" ht="15" customHeight="1">
      <c r="A160" s="315"/>
      <c r="B160" s="330"/>
      <c r="C160" s="332"/>
      <c r="D160" s="334"/>
      <c r="E160" s="333"/>
      <c r="F160" s="323"/>
      <c r="G160" s="323"/>
      <c r="H160" s="323"/>
      <c r="I160" s="323"/>
      <c r="J160" s="323"/>
      <c r="K160" s="323"/>
      <c r="L160" s="323"/>
      <c r="M160" s="323"/>
      <c r="N160" s="323"/>
    </row>
    <row r="161" spans="1:14" ht="21.75" customHeight="1">
      <c r="A161" s="335" t="s">
        <v>586</v>
      </c>
      <c r="B161" s="343" t="s">
        <v>2564</v>
      </c>
      <c r="C161" s="344">
        <f>+C162+C170</f>
        <v>26007156000</v>
      </c>
      <c r="D161" s="345">
        <v>46073463891.389999</v>
      </c>
      <c r="E161" s="346">
        <f>+C161/D161*100</f>
        <v>56.447147237089112</v>
      </c>
      <c r="F161" s="323"/>
      <c r="G161" s="323"/>
      <c r="H161" s="323"/>
      <c r="I161" s="323"/>
      <c r="J161" s="323"/>
      <c r="K161" s="323"/>
      <c r="L161" s="323"/>
      <c r="M161" s="323"/>
      <c r="N161" s="323"/>
    </row>
    <row r="162" spans="1:14" ht="21.75" customHeight="1">
      <c r="A162" s="335"/>
      <c r="B162" s="347" t="s">
        <v>64</v>
      </c>
      <c r="C162" s="342">
        <f>+C163+C165+C167</f>
        <v>21007156000</v>
      </c>
      <c r="D162" s="321">
        <v>26007156000</v>
      </c>
      <c r="E162" s="126">
        <f>+C162/D162*100</f>
        <v>80.774522212271123</v>
      </c>
      <c r="F162" s="323"/>
      <c r="G162" s="323"/>
      <c r="H162" s="323"/>
      <c r="I162" s="323"/>
      <c r="J162" s="323"/>
      <c r="K162" s="323"/>
      <c r="L162" s="323"/>
      <c r="M162" s="323"/>
      <c r="N162" s="323"/>
    </row>
    <row r="163" spans="1:14" ht="21.75" customHeight="1">
      <c r="A163" s="335"/>
      <c r="B163" s="347" t="s">
        <v>588</v>
      </c>
      <c r="C163" s="342">
        <v>528028000</v>
      </c>
      <c r="D163" s="321">
        <v>26007156000</v>
      </c>
      <c r="E163" s="126">
        <f t="shared" ref="E163:E172" si="5">+C163/D163*100</f>
        <v>2.0303181170597817</v>
      </c>
      <c r="F163" s="323"/>
      <c r="G163" s="323"/>
      <c r="H163" s="323"/>
      <c r="I163" s="323"/>
      <c r="J163" s="323"/>
      <c r="K163" s="323"/>
      <c r="L163" s="323"/>
      <c r="M163" s="323"/>
      <c r="N163" s="323"/>
    </row>
    <row r="164" spans="1:14" ht="21.75" customHeight="1">
      <c r="A164" s="335"/>
      <c r="B164" s="316" t="s">
        <v>589</v>
      </c>
      <c r="C164" s="340">
        <v>528028000</v>
      </c>
      <c r="D164" s="321">
        <v>26007156000</v>
      </c>
      <c r="E164" s="126">
        <f t="shared" si="5"/>
        <v>2.0303181170597817</v>
      </c>
      <c r="F164" s="323"/>
      <c r="G164" s="323"/>
      <c r="H164" s="323"/>
      <c r="I164" s="323"/>
      <c r="J164" s="323"/>
      <c r="K164" s="323"/>
      <c r="L164" s="323"/>
      <c r="M164" s="323"/>
      <c r="N164" s="323"/>
    </row>
    <row r="165" spans="1:14" ht="21.75" customHeight="1">
      <c r="A165" s="335"/>
      <c r="B165" s="347" t="s">
        <v>590</v>
      </c>
      <c r="C165" s="342">
        <f>+C166</f>
        <v>19006628000</v>
      </c>
      <c r="D165" s="321">
        <v>26007156000</v>
      </c>
      <c r="E165" s="126">
        <f t="shared" si="5"/>
        <v>73.082300886725179</v>
      </c>
      <c r="F165" s="323"/>
      <c r="G165" s="323"/>
      <c r="H165" s="323"/>
      <c r="I165" s="323"/>
      <c r="J165" s="323"/>
      <c r="K165" s="323"/>
      <c r="L165" s="323"/>
      <c r="M165" s="323"/>
      <c r="N165" s="323"/>
    </row>
    <row r="166" spans="1:14" ht="21.75" customHeight="1">
      <c r="A166" s="335"/>
      <c r="B166" s="316" t="s">
        <v>591</v>
      </c>
      <c r="C166" s="340">
        <v>19006628000</v>
      </c>
      <c r="D166" s="321">
        <v>26007156000</v>
      </c>
      <c r="E166" s="126">
        <f t="shared" si="5"/>
        <v>73.082300886725179</v>
      </c>
      <c r="F166" s="323"/>
      <c r="G166" s="323"/>
      <c r="H166" s="323"/>
      <c r="I166" s="323"/>
      <c r="J166" s="323"/>
      <c r="K166" s="323"/>
      <c r="L166" s="323"/>
      <c r="M166" s="323"/>
      <c r="N166" s="323"/>
    </row>
    <row r="167" spans="1:14" ht="21.75" customHeight="1">
      <c r="A167" s="335"/>
      <c r="B167" s="347" t="s">
        <v>592</v>
      </c>
      <c r="C167" s="342">
        <f>+C168</f>
        <v>1472500000</v>
      </c>
      <c r="D167" s="321">
        <v>26007156000</v>
      </c>
      <c r="E167" s="126">
        <f t="shared" si="5"/>
        <v>5.6619032084861569</v>
      </c>
      <c r="F167" s="323"/>
      <c r="G167" s="323"/>
      <c r="H167" s="323"/>
      <c r="I167" s="323"/>
      <c r="J167" s="323"/>
      <c r="K167" s="323"/>
      <c r="L167" s="323"/>
      <c r="M167" s="323"/>
      <c r="N167" s="323"/>
    </row>
    <row r="168" spans="1:14" ht="21.75" customHeight="1">
      <c r="A168" s="335"/>
      <c r="B168" s="316" t="s">
        <v>593</v>
      </c>
      <c r="C168" s="340">
        <v>1472500000</v>
      </c>
      <c r="D168" s="321">
        <v>26007156000</v>
      </c>
      <c r="E168" s="126">
        <f t="shared" si="5"/>
        <v>5.6619032084861569</v>
      </c>
      <c r="F168" s="323"/>
      <c r="G168" s="323"/>
      <c r="H168" s="323"/>
      <c r="I168" s="323"/>
      <c r="J168" s="323"/>
      <c r="K168" s="323"/>
      <c r="L168" s="323"/>
      <c r="M168" s="323"/>
      <c r="N168" s="323"/>
    </row>
    <row r="169" spans="1:14" ht="15" customHeight="1">
      <c r="A169" s="335"/>
      <c r="B169" s="316"/>
      <c r="C169" s="340"/>
      <c r="D169" s="321"/>
      <c r="E169" s="126"/>
      <c r="F169" s="323"/>
      <c r="G169" s="323"/>
      <c r="H169" s="323"/>
      <c r="I169" s="323"/>
      <c r="J169" s="323"/>
      <c r="K169" s="323"/>
      <c r="L169" s="323"/>
      <c r="M169" s="323"/>
      <c r="N169" s="323"/>
    </row>
    <row r="170" spans="1:14" ht="21.75" customHeight="1">
      <c r="A170" s="335"/>
      <c r="B170" s="347" t="s">
        <v>594</v>
      </c>
      <c r="C170" s="342">
        <f>+C171</f>
        <v>5000000000</v>
      </c>
      <c r="D170" s="321">
        <v>26007156000</v>
      </c>
      <c r="E170" s="126">
        <f t="shared" si="5"/>
        <v>19.225477787728884</v>
      </c>
      <c r="F170" s="323"/>
      <c r="G170" s="323"/>
      <c r="H170" s="323"/>
      <c r="I170" s="323"/>
      <c r="J170" s="323"/>
      <c r="K170" s="323"/>
      <c r="L170" s="323"/>
      <c r="M170" s="323"/>
      <c r="N170" s="323"/>
    </row>
    <row r="171" spans="1:14" ht="21.75" customHeight="1">
      <c r="A171" s="335"/>
      <c r="B171" s="347" t="s">
        <v>595</v>
      </c>
      <c r="C171" s="342">
        <f>+C172</f>
        <v>5000000000</v>
      </c>
      <c r="D171" s="321">
        <v>26007156000</v>
      </c>
      <c r="E171" s="126">
        <f t="shared" si="5"/>
        <v>19.225477787728884</v>
      </c>
      <c r="F171" s="323"/>
      <c r="G171" s="323"/>
      <c r="H171" s="323"/>
      <c r="I171" s="323"/>
      <c r="J171" s="323"/>
      <c r="K171" s="323"/>
      <c r="L171" s="323"/>
      <c r="M171" s="323"/>
      <c r="N171" s="323"/>
    </row>
    <row r="172" spans="1:14" ht="21.75" customHeight="1">
      <c r="A172" s="335"/>
      <c r="B172" s="316" t="s">
        <v>596</v>
      </c>
      <c r="C172" s="340">
        <v>5000000000</v>
      </c>
      <c r="D172" s="321">
        <v>26007156000</v>
      </c>
      <c r="E172" s="126">
        <f t="shared" si="5"/>
        <v>19.225477787728884</v>
      </c>
      <c r="F172" s="323"/>
      <c r="G172" s="323"/>
      <c r="H172" s="323"/>
      <c r="I172" s="323"/>
      <c r="J172" s="323"/>
      <c r="K172" s="323"/>
      <c r="L172" s="323"/>
      <c r="M172" s="323"/>
      <c r="N172" s="323"/>
    </row>
    <row r="173" spans="1:14" ht="15" customHeight="1">
      <c r="A173" s="315"/>
      <c r="B173" s="330"/>
      <c r="C173" s="332"/>
      <c r="D173" s="334"/>
      <c r="E173" s="333"/>
      <c r="F173" s="323"/>
      <c r="G173" s="323"/>
      <c r="H173" s="323"/>
      <c r="I173" s="323"/>
      <c r="J173" s="323"/>
      <c r="K173" s="323"/>
      <c r="L173" s="323"/>
      <c r="M173" s="323"/>
      <c r="N173" s="323"/>
    </row>
    <row r="174" spans="1:14" ht="21.75" customHeight="1">
      <c r="A174" s="335" t="s">
        <v>659</v>
      </c>
      <c r="B174" s="348" t="s">
        <v>2565</v>
      </c>
      <c r="C174" s="349">
        <f>+C175</f>
        <v>13727091972.880001</v>
      </c>
      <c r="D174" s="350">
        <f>+D175</f>
        <v>45756973242.93</v>
      </c>
      <c r="E174" s="338">
        <f>+E175</f>
        <v>30.000000000002185</v>
      </c>
      <c r="F174" s="323"/>
      <c r="G174" s="323"/>
      <c r="H174" s="323"/>
      <c r="I174" s="323"/>
      <c r="J174" s="323"/>
      <c r="K174" s="323"/>
      <c r="L174" s="323"/>
      <c r="M174" s="323"/>
      <c r="N174" s="323"/>
    </row>
    <row r="175" spans="1:14" ht="21.75" customHeight="1">
      <c r="A175" s="315"/>
      <c r="B175" s="328" t="s">
        <v>661</v>
      </c>
      <c r="C175" s="351">
        <f>C176+C186</f>
        <v>13727091972.880001</v>
      </c>
      <c r="D175" s="334">
        <f>+A.4!E668</f>
        <v>45756973242.93</v>
      </c>
      <c r="E175" s="333">
        <f>+C175/D175*100</f>
        <v>30.000000000002185</v>
      </c>
      <c r="F175" s="323"/>
      <c r="G175" s="323"/>
      <c r="H175" s="323"/>
      <c r="I175" s="323"/>
      <c r="J175" s="323"/>
      <c r="K175" s="323"/>
      <c r="L175" s="323"/>
      <c r="M175" s="323"/>
      <c r="N175" s="323"/>
    </row>
    <row r="176" spans="1:14" ht="21.75" customHeight="1">
      <c r="A176" s="315"/>
      <c r="B176" s="328" t="s">
        <v>444</v>
      </c>
      <c r="C176" s="351">
        <f>C177+C179+C182</f>
        <v>4727091972.8800001</v>
      </c>
      <c r="D176" s="334">
        <v>13727091972.879999</v>
      </c>
      <c r="E176" s="333">
        <f t="shared" ref="E176:E188" si="6">+C176/D176*100</f>
        <v>34.436222779151656</v>
      </c>
      <c r="F176" s="323"/>
      <c r="G176" s="323"/>
      <c r="H176" s="323"/>
      <c r="I176" s="323"/>
      <c r="J176" s="323"/>
      <c r="K176" s="323"/>
      <c r="L176" s="323"/>
      <c r="M176" s="323"/>
      <c r="N176" s="323"/>
    </row>
    <row r="177" spans="1:14" ht="21.75" customHeight="1">
      <c r="A177" s="315"/>
      <c r="B177" s="328" t="s">
        <v>588</v>
      </c>
      <c r="C177" s="351">
        <f>C178</f>
        <v>266640000</v>
      </c>
      <c r="D177" s="334">
        <v>13727091972.879999</v>
      </c>
      <c r="E177" s="333">
        <f t="shared" si="6"/>
        <v>1.9424361731296673</v>
      </c>
      <c r="F177" s="323"/>
      <c r="G177" s="323"/>
      <c r="H177" s="323"/>
      <c r="I177" s="323"/>
      <c r="J177" s="323"/>
      <c r="K177" s="323"/>
      <c r="L177" s="323"/>
      <c r="M177" s="323"/>
      <c r="N177" s="323"/>
    </row>
    <row r="178" spans="1:14" ht="21.75" customHeight="1">
      <c r="A178" s="315"/>
      <c r="B178" s="330" t="s">
        <v>662</v>
      </c>
      <c r="C178" s="329">
        <v>266640000</v>
      </c>
      <c r="D178" s="334">
        <v>13727091972.879999</v>
      </c>
      <c r="E178" s="333">
        <f t="shared" si="6"/>
        <v>1.9424361731296673</v>
      </c>
      <c r="F178" s="323"/>
      <c r="G178" s="323"/>
      <c r="H178" s="323"/>
      <c r="I178" s="323"/>
      <c r="J178" s="323"/>
      <c r="K178" s="323"/>
      <c r="L178" s="323"/>
      <c r="M178" s="323"/>
      <c r="N178" s="323"/>
    </row>
    <row r="179" spans="1:14" ht="21.75" customHeight="1">
      <c r="A179" s="315"/>
      <c r="B179" s="328" t="s">
        <v>663</v>
      </c>
      <c r="C179" s="352">
        <f>SUM(C180:C181)</f>
        <v>3208360000</v>
      </c>
      <c r="D179" s="334">
        <v>13727091972.879999</v>
      </c>
      <c r="E179" s="333">
        <f t="shared" si="6"/>
        <v>23.372466698253447</v>
      </c>
      <c r="F179" s="323"/>
      <c r="G179" s="323"/>
      <c r="H179" s="323"/>
      <c r="I179" s="323"/>
      <c r="J179" s="323"/>
      <c r="K179" s="323"/>
      <c r="L179" s="323"/>
      <c r="M179" s="323"/>
      <c r="N179" s="323"/>
    </row>
    <row r="180" spans="1:14" ht="21.75" customHeight="1">
      <c r="A180" s="315"/>
      <c r="B180" s="330" t="s">
        <v>664</v>
      </c>
      <c r="C180" s="329">
        <v>2250000000</v>
      </c>
      <c r="D180" s="334">
        <v>13727091972.879999</v>
      </c>
      <c r="E180" s="333">
        <f t="shared" si="6"/>
        <v>16.390944305212088</v>
      </c>
      <c r="F180" s="323"/>
      <c r="G180" s="323"/>
      <c r="H180" s="323"/>
      <c r="I180" s="323"/>
      <c r="J180" s="323"/>
      <c r="K180" s="323"/>
      <c r="L180" s="323"/>
      <c r="M180" s="323"/>
      <c r="N180" s="323"/>
    </row>
    <row r="181" spans="1:14" ht="21.75" customHeight="1">
      <c r="A181" s="315"/>
      <c r="B181" s="330" t="s">
        <v>665</v>
      </c>
      <c r="C181" s="329">
        <v>958360000</v>
      </c>
      <c r="D181" s="334">
        <v>13727091972.879999</v>
      </c>
      <c r="E181" s="333">
        <f t="shared" si="6"/>
        <v>6.9815223930413586</v>
      </c>
      <c r="F181" s="323"/>
      <c r="G181" s="323"/>
      <c r="H181" s="323"/>
      <c r="I181" s="323"/>
      <c r="J181" s="323"/>
      <c r="K181" s="323"/>
      <c r="L181" s="323"/>
      <c r="M181" s="323"/>
      <c r="N181" s="323"/>
    </row>
    <row r="182" spans="1:14" ht="21.75" customHeight="1">
      <c r="A182" s="315"/>
      <c r="B182" s="328" t="s">
        <v>666</v>
      </c>
      <c r="C182" s="352">
        <f>SUM(C183:C184)</f>
        <v>1252091972.8800001</v>
      </c>
      <c r="D182" s="334">
        <v>13727091972.879999</v>
      </c>
      <c r="E182" s="333">
        <f t="shared" si="6"/>
        <v>9.1213199077685374</v>
      </c>
      <c r="F182" s="323"/>
      <c r="G182" s="323"/>
      <c r="H182" s="323"/>
      <c r="I182" s="323"/>
      <c r="J182" s="323"/>
      <c r="K182" s="323"/>
      <c r="L182" s="323"/>
      <c r="M182" s="323"/>
      <c r="N182" s="323"/>
    </row>
    <row r="183" spans="1:14" ht="21.75" customHeight="1">
      <c r="A183" s="315"/>
      <c r="B183" s="330" t="s">
        <v>667</v>
      </c>
      <c r="C183" s="329">
        <v>750000000</v>
      </c>
      <c r="D183" s="334">
        <v>13727091972.879999</v>
      </c>
      <c r="E183" s="333">
        <f t="shared" si="6"/>
        <v>5.4636481017373635</v>
      </c>
      <c r="F183" s="323"/>
      <c r="G183" s="323"/>
      <c r="H183" s="323"/>
      <c r="I183" s="323"/>
      <c r="J183" s="323"/>
      <c r="K183" s="323"/>
      <c r="L183" s="323"/>
      <c r="M183" s="323"/>
      <c r="N183" s="323"/>
    </row>
    <row r="184" spans="1:14" ht="21.75" customHeight="1">
      <c r="A184" s="315"/>
      <c r="B184" s="330" t="s">
        <v>668</v>
      </c>
      <c r="C184" s="329">
        <v>502091972.88</v>
      </c>
      <c r="D184" s="334">
        <v>13727091972.879999</v>
      </c>
      <c r="E184" s="333">
        <f t="shared" si="6"/>
        <v>3.657671806031173</v>
      </c>
      <c r="F184" s="323"/>
      <c r="G184" s="323"/>
      <c r="H184" s="323"/>
      <c r="I184" s="323"/>
      <c r="J184" s="323"/>
      <c r="K184" s="323"/>
      <c r="L184" s="323"/>
      <c r="M184" s="323"/>
      <c r="N184" s="323"/>
    </row>
    <row r="185" spans="1:14" ht="15" customHeight="1">
      <c r="A185" s="315"/>
      <c r="B185" s="330"/>
      <c r="C185" s="329"/>
      <c r="D185" s="334"/>
      <c r="E185" s="333"/>
      <c r="F185" s="323"/>
      <c r="G185" s="323"/>
      <c r="H185" s="323"/>
      <c r="I185" s="323"/>
      <c r="J185" s="323"/>
      <c r="K185" s="323"/>
      <c r="L185" s="323"/>
      <c r="M185" s="323"/>
      <c r="N185" s="323"/>
    </row>
    <row r="186" spans="1:14" ht="21.75" customHeight="1">
      <c r="A186" s="315"/>
      <c r="B186" s="328" t="s">
        <v>669</v>
      </c>
      <c r="C186" s="352">
        <f>C187</f>
        <v>9000000000</v>
      </c>
      <c r="D186" s="334">
        <v>13727091972.879999</v>
      </c>
      <c r="E186" s="333">
        <f t="shared" si="6"/>
        <v>65.563777220848351</v>
      </c>
      <c r="F186" s="323"/>
      <c r="G186" s="323"/>
      <c r="H186" s="323"/>
      <c r="I186" s="323"/>
      <c r="J186" s="323"/>
      <c r="K186" s="323"/>
      <c r="L186" s="323"/>
      <c r="M186" s="323"/>
      <c r="N186" s="323"/>
    </row>
    <row r="187" spans="1:14" ht="21.75" customHeight="1">
      <c r="A187" s="315"/>
      <c r="B187" s="328" t="s">
        <v>595</v>
      </c>
      <c r="C187" s="352">
        <f>C188</f>
        <v>9000000000</v>
      </c>
      <c r="D187" s="334">
        <v>13727091972.879999</v>
      </c>
      <c r="E187" s="333">
        <f t="shared" si="6"/>
        <v>65.563777220848351</v>
      </c>
      <c r="F187" s="323"/>
      <c r="G187" s="323"/>
      <c r="H187" s="323"/>
      <c r="I187" s="323"/>
      <c r="J187" s="323"/>
      <c r="K187" s="323"/>
      <c r="L187" s="323"/>
      <c r="M187" s="323"/>
      <c r="N187" s="323"/>
    </row>
    <row r="188" spans="1:14" ht="33.75" customHeight="1">
      <c r="A188" s="315"/>
      <c r="B188" s="330" t="s">
        <v>670</v>
      </c>
      <c r="C188" s="329">
        <v>9000000000</v>
      </c>
      <c r="D188" s="334">
        <v>13727091972.879999</v>
      </c>
      <c r="E188" s="333">
        <f t="shared" si="6"/>
        <v>65.563777220848351</v>
      </c>
      <c r="F188" s="323"/>
      <c r="G188" s="323"/>
      <c r="H188" s="323"/>
      <c r="I188" s="323"/>
      <c r="J188" s="323"/>
      <c r="K188" s="323"/>
      <c r="L188" s="323"/>
      <c r="M188" s="323"/>
      <c r="N188" s="323"/>
    </row>
    <row r="189" spans="1:14" ht="15" customHeight="1">
      <c r="A189" s="315"/>
      <c r="B189" s="330"/>
      <c r="C189" s="332"/>
      <c r="D189" s="334"/>
      <c r="E189" s="333"/>
      <c r="F189" s="323"/>
      <c r="G189" s="323"/>
      <c r="H189" s="323"/>
      <c r="I189" s="323"/>
      <c r="J189" s="323"/>
      <c r="K189" s="323"/>
      <c r="L189" s="323"/>
      <c r="M189" s="323"/>
      <c r="N189" s="323"/>
    </row>
    <row r="190" spans="1:14" ht="21.75" customHeight="1">
      <c r="A190" s="335" t="s">
        <v>765</v>
      </c>
      <c r="B190" s="150" t="s">
        <v>2566</v>
      </c>
      <c r="C190" s="337">
        <f>+C191+C217</f>
        <v>25200000000</v>
      </c>
      <c r="D190" s="353">
        <v>45992775230.57</v>
      </c>
      <c r="E190" s="338">
        <f>+C190/D190*100</f>
        <v>54.791214214988983</v>
      </c>
      <c r="F190" s="323"/>
      <c r="G190" s="323"/>
      <c r="H190" s="323"/>
      <c r="I190" s="323"/>
      <c r="J190" s="323"/>
      <c r="K190" s="323"/>
      <c r="L190" s="323"/>
      <c r="M190" s="323"/>
      <c r="N190" s="323"/>
    </row>
    <row r="191" spans="1:14" ht="21.75" customHeight="1">
      <c r="A191" s="315"/>
      <c r="B191" s="111" t="s">
        <v>767</v>
      </c>
      <c r="C191" s="140">
        <f>C192+C196+C201+C205+C209+C211+C213</f>
        <v>17706569226.25</v>
      </c>
      <c r="D191" s="353">
        <v>25200000000</v>
      </c>
      <c r="E191" s="127">
        <f t="shared" ref="E191:E222" si="7">+C191/D191*100</f>
        <v>70.264163596230162</v>
      </c>
      <c r="F191" s="323"/>
      <c r="G191" s="323"/>
      <c r="H191" s="323"/>
      <c r="I191" s="323"/>
      <c r="J191" s="323"/>
      <c r="K191" s="323"/>
      <c r="L191" s="323"/>
      <c r="M191" s="323"/>
      <c r="N191" s="323"/>
    </row>
    <row r="192" spans="1:14" ht="21.75" customHeight="1">
      <c r="A192" s="315"/>
      <c r="B192" s="111" t="s">
        <v>588</v>
      </c>
      <c r="C192" s="140">
        <f>SUM(C193:C195)</f>
        <v>5636927435</v>
      </c>
      <c r="D192" s="353">
        <v>25200000000</v>
      </c>
      <c r="E192" s="127">
        <f t="shared" si="7"/>
        <v>22.368759662698412</v>
      </c>
      <c r="F192" s="323"/>
      <c r="G192" s="323"/>
      <c r="H192" s="323"/>
      <c r="I192" s="323"/>
      <c r="J192" s="323"/>
      <c r="K192" s="323"/>
      <c r="L192" s="323"/>
      <c r="M192" s="323"/>
      <c r="N192" s="323"/>
    </row>
    <row r="193" spans="1:14" ht="21.75" customHeight="1">
      <c r="A193" s="315"/>
      <c r="B193" s="123" t="s">
        <v>768</v>
      </c>
      <c r="C193" s="141">
        <v>2493600000</v>
      </c>
      <c r="D193" s="353">
        <v>25200000000</v>
      </c>
      <c r="E193" s="127">
        <f t="shared" si="7"/>
        <v>9.8952380952380956</v>
      </c>
      <c r="F193" s="323"/>
      <c r="G193" s="323"/>
      <c r="H193" s="323"/>
      <c r="I193" s="323"/>
      <c r="J193" s="323"/>
      <c r="K193" s="323"/>
      <c r="L193" s="323"/>
      <c r="M193" s="323"/>
      <c r="N193" s="323"/>
    </row>
    <row r="194" spans="1:14" ht="21.75" customHeight="1">
      <c r="A194" s="315"/>
      <c r="B194" s="142" t="s">
        <v>769</v>
      </c>
      <c r="C194" s="141">
        <v>2904000000</v>
      </c>
      <c r="D194" s="353">
        <v>25200000000</v>
      </c>
      <c r="E194" s="127">
        <f t="shared" si="7"/>
        <v>11.523809523809524</v>
      </c>
      <c r="F194" s="323"/>
      <c r="G194" s="323"/>
      <c r="H194" s="323"/>
      <c r="I194" s="323"/>
      <c r="J194" s="323"/>
      <c r="K194" s="323"/>
      <c r="L194" s="323"/>
      <c r="M194" s="323"/>
      <c r="N194" s="323"/>
    </row>
    <row r="195" spans="1:14" ht="21.75" customHeight="1">
      <c r="A195" s="315"/>
      <c r="B195" s="142" t="s">
        <v>770</v>
      </c>
      <c r="C195" s="141">
        <v>239327435</v>
      </c>
      <c r="D195" s="353">
        <v>25200000000</v>
      </c>
      <c r="E195" s="127">
        <f t="shared" si="7"/>
        <v>0.94971204365079365</v>
      </c>
      <c r="F195" s="323"/>
      <c r="G195" s="323"/>
      <c r="H195" s="323"/>
      <c r="I195" s="323"/>
      <c r="J195" s="323"/>
      <c r="K195" s="323"/>
      <c r="L195" s="323"/>
      <c r="M195" s="323"/>
      <c r="N195" s="323"/>
    </row>
    <row r="196" spans="1:14" ht="21.75" customHeight="1">
      <c r="A196" s="315"/>
      <c r="B196" s="143" t="s">
        <v>771</v>
      </c>
      <c r="C196" s="140">
        <f>SUM(C197:C200)</f>
        <v>5885872240</v>
      </c>
      <c r="D196" s="353">
        <v>25200000000</v>
      </c>
      <c r="E196" s="127">
        <f t="shared" si="7"/>
        <v>23.356635873015875</v>
      </c>
      <c r="F196" s="323"/>
      <c r="G196" s="323"/>
      <c r="H196" s="323"/>
      <c r="I196" s="323"/>
      <c r="J196" s="323"/>
      <c r="K196" s="323"/>
      <c r="L196" s="323"/>
      <c r="M196" s="323"/>
      <c r="N196" s="323"/>
    </row>
    <row r="197" spans="1:14" ht="21.75" customHeight="1">
      <c r="A197" s="315"/>
      <c r="B197" s="142" t="s">
        <v>772</v>
      </c>
      <c r="C197" s="141">
        <v>3926318240</v>
      </c>
      <c r="D197" s="353">
        <v>25200000000</v>
      </c>
      <c r="E197" s="127">
        <f t="shared" si="7"/>
        <v>15.580627936507938</v>
      </c>
      <c r="F197" s="323"/>
      <c r="G197" s="323"/>
      <c r="H197" s="323"/>
      <c r="I197" s="323"/>
      <c r="J197" s="323"/>
      <c r="K197" s="323"/>
      <c r="L197" s="323"/>
      <c r="M197" s="323"/>
      <c r="N197" s="323"/>
    </row>
    <row r="198" spans="1:14" ht="21.75" customHeight="1">
      <c r="A198" s="315"/>
      <c r="B198" s="142" t="s">
        <v>773</v>
      </c>
      <c r="C198" s="141">
        <v>134754000</v>
      </c>
      <c r="D198" s="353">
        <v>25200000000</v>
      </c>
      <c r="E198" s="127">
        <f t="shared" si="7"/>
        <v>0.53473809523809523</v>
      </c>
      <c r="F198" s="323"/>
      <c r="G198" s="323"/>
      <c r="H198" s="323"/>
      <c r="I198" s="323"/>
      <c r="J198" s="323"/>
      <c r="K198" s="323"/>
      <c r="L198" s="323"/>
      <c r="M198" s="323"/>
      <c r="N198" s="323"/>
    </row>
    <row r="199" spans="1:14" ht="21.75" customHeight="1">
      <c r="A199" s="315"/>
      <c r="B199" s="142" t="s">
        <v>774</v>
      </c>
      <c r="C199" s="141">
        <v>1524800000</v>
      </c>
      <c r="D199" s="353">
        <v>25200000000</v>
      </c>
      <c r="E199" s="127">
        <f t="shared" si="7"/>
        <v>6.0507936507936506</v>
      </c>
      <c r="F199" s="323"/>
      <c r="G199" s="323"/>
      <c r="H199" s="323"/>
      <c r="I199" s="323"/>
      <c r="J199" s="323"/>
      <c r="K199" s="323"/>
      <c r="L199" s="323"/>
      <c r="M199" s="323"/>
      <c r="N199" s="323"/>
    </row>
    <row r="200" spans="1:14" ht="21.75" customHeight="1">
      <c r="A200" s="315"/>
      <c r="B200" s="142" t="s">
        <v>775</v>
      </c>
      <c r="C200" s="141">
        <v>300000000</v>
      </c>
      <c r="D200" s="353">
        <v>25200000000</v>
      </c>
      <c r="E200" s="127">
        <f t="shared" si="7"/>
        <v>1.1904761904761905</v>
      </c>
      <c r="F200" s="323"/>
      <c r="G200" s="323"/>
      <c r="H200" s="323"/>
      <c r="I200" s="323"/>
      <c r="J200" s="323"/>
      <c r="K200" s="323"/>
      <c r="L200" s="323"/>
      <c r="M200" s="323"/>
      <c r="N200" s="323"/>
    </row>
    <row r="201" spans="1:14" ht="21.75" customHeight="1">
      <c r="A201" s="315"/>
      <c r="B201" s="143" t="s">
        <v>666</v>
      </c>
      <c r="C201" s="140">
        <f>SUM(C202:C204)</f>
        <v>1377043509</v>
      </c>
      <c r="D201" s="353">
        <v>25200000000</v>
      </c>
      <c r="E201" s="127">
        <f t="shared" si="7"/>
        <v>5.4644583690476196</v>
      </c>
      <c r="F201" s="323"/>
      <c r="G201" s="323"/>
      <c r="H201" s="323"/>
      <c r="I201" s="323"/>
      <c r="J201" s="323"/>
      <c r="K201" s="323"/>
      <c r="L201" s="323"/>
      <c r="M201" s="323"/>
      <c r="N201" s="323"/>
    </row>
    <row r="202" spans="1:14" ht="21.75" customHeight="1">
      <c r="A202" s="315"/>
      <c r="B202" s="142" t="s">
        <v>776</v>
      </c>
      <c r="C202" s="141">
        <v>234041000</v>
      </c>
      <c r="D202" s="353">
        <v>25200000000</v>
      </c>
      <c r="E202" s="127">
        <f t="shared" si="7"/>
        <v>0.92873412698412705</v>
      </c>
      <c r="F202" s="323"/>
      <c r="G202" s="323"/>
      <c r="H202" s="323"/>
      <c r="I202" s="323"/>
      <c r="J202" s="323"/>
      <c r="K202" s="323"/>
      <c r="L202" s="323"/>
      <c r="M202" s="323"/>
      <c r="N202" s="323"/>
    </row>
    <row r="203" spans="1:14" ht="21.75" customHeight="1">
      <c r="A203" s="315"/>
      <c r="B203" s="142" t="s">
        <v>777</v>
      </c>
      <c r="C203" s="141">
        <v>243002509</v>
      </c>
      <c r="D203" s="353">
        <v>25200000000</v>
      </c>
      <c r="E203" s="127">
        <f t="shared" si="7"/>
        <v>0.96429567063492061</v>
      </c>
      <c r="F203" s="323"/>
      <c r="G203" s="323"/>
      <c r="H203" s="323"/>
      <c r="I203" s="323"/>
      <c r="J203" s="323"/>
      <c r="K203" s="323"/>
      <c r="L203" s="323"/>
      <c r="M203" s="323"/>
      <c r="N203" s="323"/>
    </row>
    <row r="204" spans="1:14" ht="21.75" customHeight="1">
      <c r="A204" s="315"/>
      <c r="B204" s="142" t="s">
        <v>778</v>
      </c>
      <c r="C204" s="141">
        <v>900000000</v>
      </c>
      <c r="D204" s="353">
        <v>25200000000</v>
      </c>
      <c r="E204" s="127">
        <f t="shared" si="7"/>
        <v>3.5714285714285712</v>
      </c>
      <c r="F204" s="323"/>
      <c r="G204" s="323"/>
      <c r="H204" s="323"/>
      <c r="I204" s="323"/>
      <c r="J204" s="323"/>
      <c r="K204" s="323"/>
      <c r="L204" s="323"/>
      <c r="M204" s="323"/>
      <c r="N204" s="323"/>
    </row>
    <row r="205" spans="1:14" ht="21.75" customHeight="1">
      <c r="A205" s="315"/>
      <c r="B205" s="143" t="s">
        <v>779</v>
      </c>
      <c r="C205" s="140">
        <f>SUM(C206:C208)</f>
        <v>2420092217.25</v>
      </c>
      <c r="D205" s="353">
        <v>25200000000</v>
      </c>
      <c r="E205" s="127">
        <f t="shared" si="7"/>
        <v>9.6035405446428559</v>
      </c>
      <c r="F205" s="323"/>
      <c r="G205" s="323"/>
      <c r="H205" s="323"/>
      <c r="I205" s="323"/>
      <c r="J205" s="323"/>
      <c r="K205" s="323"/>
      <c r="L205" s="323"/>
      <c r="M205" s="323"/>
      <c r="N205" s="323"/>
    </row>
    <row r="206" spans="1:14" ht="34.5" customHeight="1">
      <c r="A206" s="315"/>
      <c r="B206" s="142" t="s">
        <v>780</v>
      </c>
      <c r="C206" s="141">
        <v>119200000</v>
      </c>
      <c r="D206" s="353">
        <v>25200000000</v>
      </c>
      <c r="E206" s="127">
        <f t="shared" si="7"/>
        <v>0.473015873015873</v>
      </c>
      <c r="F206" s="323"/>
      <c r="G206" s="323"/>
      <c r="H206" s="323"/>
      <c r="I206" s="323"/>
      <c r="J206" s="323"/>
      <c r="K206" s="323"/>
      <c r="L206" s="323"/>
      <c r="M206" s="323"/>
      <c r="N206" s="323"/>
    </row>
    <row r="207" spans="1:14" ht="21.75" customHeight="1">
      <c r="A207" s="315"/>
      <c r="B207" s="142" t="s">
        <v>781</v>
      </c>
      <c r="C207" s="141">
        <v>899720000</v>
      </c>
      <c r="D207" s="353">
        <v>25200000000</v>
      </c>
      <c r="E207" s="127">
        <f t="shared" si="7"/>
        <v>3.5703174603174603</v>
      </c>
      <c r="F207" s="323"/>
      <c r="G207" s="323"/>
      <c r="H207" s="323"/>
      <c r="I207" s="323"/>
      <c r="J207" s="323"/>
      <c r="K207" s="323"/>
      <c r="L207" s="323"/>
      <c r="M207" s="323"/>
      <c r="N207" s="323"/>
    </row>
    <row r="208" spans="1:14" ht="21.75" customHeight="1">
      <c r="A208" s="315"/>
      <c r="B208" s="142" t="s">
        <v>782</v>
      </c>
      <c r="C208" s="141">
        <v>1401172217.25</v>
      </c>
      <c r="D208" s="353">
        <v>25200000000</v>
      </c>
      <c r="E208" s="127">
        <f t="shared" si="7"/>
        <v>5.5602072113095238</v>
      </c>
      <c r="F208" s="323"/>
      <c r="G208" s="323"/>
      <c r="H208" s="323"/>
      <c r="I208" s="323"/>
      <c r="J208" s="323"/>
      <c r="K208" s="323"/>
      <c r="L208" s="323"/>
      <c r="M208" s="323"/>
      <c r="N208" s="323"/>
    </row>
    <row r="209" spans="1:14" ht="21.75" customHeight="1">
      <c r="A209" s="315"/>
      <c r="B209" s="143" t="s">
        <v>783</v>
      </c>
      <c r="C209" s="140">
        <f>SUM(C210)</f>
        <v>978000000</v>
      </c>
      <c r="D209" s="353">
        <v>25200000000</v>
      </c>
      <c r="E209" s="127">
        <f t="shared" si="7"/>
        <v>3.8809523809523809</v>
      </c>
      <c r="F209" s="323"/>
      <c r="G209" s="323"/>
      <c r="H209" s="323"/>
      <c r="I209" s="323"/>
      <c r="J209" s="323"/>
      <c r="K209" s="323"/>
      <c r="L209" s="323"/>
      <c r="M209" s="323"/>
      <c r="N209" s="323"/>
    </row>
    <row r="210" spans="1:14" ht="21.75" customHeight="1">
      <c r="A210" s="315"/>
      <c r="B210" s="142" t="s">
        <v>784</v>
      </c>
      <c r="C210" s="141">
        <v>978000000</v>
      </c>
      <c r="D210" s="353">
        <v>25200000000</v>
      </c>
      <c r="E210" s="127">
        <f t="shared" si="7"/>
        <v>3.8809523809523809</v>
      </c>
      <c r="F210" s="323"/>
      <c r="G210" s="323"/>
      <c r="H210" s="323"/>
      <c r="I210" s="323"/>
      <c r="J210" s="323"/>
      <c r="K210" s="323"/>
      <c r="L210" s="323"/>
      <c r="M210" s="323"/>
      <c r="N210" s="323"/>
    </row>
    <row r="211" spans="1:14" ht="21.75" customHeight="1">
      <c r="A211" s="315"/>
      <c r="B211" s="143" t="s">
        <v>785</v>
      </c>
      <c r="C211" s="140">
        <f>SUM(C212)</f>
        <v>223510000</v>
      </c>
      <c r="D211" s="353">
        <v>25200000000</v>
      </c>
      <c r="E211" s="127">
        <f t="shared" si="7"/>
        <v>0.88694444444444431</v>
      </c>
      <c r="F211" s="323"/>
      <c r="G211" s="323"/>
      <c r="H211" s="323"/>
      <c r="I211" s="323"/>
      <c r="J211" s="323"/>
      <c r="K211" s="323"/>
      <c r="L211" s="323"/>
      <c r="M211" s="323"/>
      <c r="N211" s="323"/>
    </row>
    <row r="212" spans="1:14" ht="33.75" customHeight="1">
      <c r="A212" s="315"/>
      <c r="B212" s="142" t="s">
        <v>786</v>
      </c>
      <c r="C212" s="141">
        <v>223510000</v>
      </c>
      <c r="D212" s="353">
        <v>25200000000</v>
      </c>
      <c r="E212" s="127">
        <f t="shared" si="7"/>
        <v>0.88694444444444431</v>
      </c>
      <c r="F212" s="323"/>
      <c r="G212" s="323"/>
      <c r="H212" s="323"/>
      <c r="I212" s="323"/>
      <c r="J212" s="323"/>
      <c r="K212" s="323"/>
      <c r="L212" s="323"/>
      <c r="M212" s="323"/>
      <c r="N212" s="323"/>
    </row>
    <row r="213" spans="1:14" ht="21.75" customHeight="1">
      <c r="A213" s="315"/>
      <c r="B213" s="143" t="s">
        <v>787</v>
      </c>
      <c r="C213" s="140">
        <f>SUM(C214:C215)</f>
        <v>1185123825</v>
      </c>
      <c r="D213" s="353">
        <v>25200000000</v>
      </c>
      <c r="E213" s="127">
        <f t="shared" si="7"/>
        <v>4.7028723214285719</v>
      </c>
      <c r="F213" s="323"/>
      <c r="G213" s="323"/>
      <c r="H213" s="323"/>
      <c r="I213" s="323"/>
      <c r="J213" s="323"/>
      <c r="K213" s="323"/>
      <c r="L213" s="323"/>
      <c r="M213" s="323"/>
      <c r="N213" s="323"/>
    </row>
    <row r="214" spans="1:14" ht="33.75" customHeight="1">
      <c r="A214" s="315"/>
      <c r="B214" s="142" t="s">
        <v>788</v>
      </c>
      <c r="C214" s="141">
        <v>711900000</v>
      </c>
      <c r="D214" s="353">
        <v>25200000000</v>
      </c>
      <c r="E214" s="127">
        <f t="shared" si="7"/>
        <v>2.8250000000000002</v>
      </c>
      <c r="F214" s="323"/>
      <c r="G214" s="323"/>
      <c r="H214" s="323"/>
      <c r="I214" s="323"/>
      <c r="J214" s="323"/>
      <c r="K214" s="323"/>
      <c r="L214" s="323"/>
      <c r="M214" s="323"/>
      <c r="N214" s="323"/>
    </row>
    <row r="215" spans="1:14" ht="34.5" customHeight="1">
      <c r="A215" s="315"/>
      <c r="B215" s="142" t="s">
        <v>789</v>
      </c>
      <c r="C215" s="141">
        <v>473223825</v>
      </c>
      <c r="D215" s="353">
        <v>25200000000</v>
      </c>
      <c r="E215" s="127">
        <f t="shared" si="7"/>
        <v>1.8778723214285715</v>
      </c>
      <c r="F215" s="323"/>
      <c r="G215" s="323"/>
      <c r="H215" s="323"/>
      <c r="I215" s="323"/>
      <c r="J215" s="323"/>
      <c r="K215" s="323"/>
      <c r="L215" s="323"/>
      <c r="M215" s="323"/>
      <c r="N215" s="323"/>
    </row>
    <row r="216" spans="1:14" ht="15" customHeight="1">
      <c r="A216" s="315"/>
      <c r="B216" s="142"/>
      <c r="C216" s="141"/>
      <c r="D216" s="353"/>
      <c r="E216" s="127"/>
      <c r="F216" s="323"/>
      <c r="G216" s="323"/>
      <c r="H216" s="323"/>
      <c r="I216" s="323"/>
      <c r="J216" s="323"/>
      <c r="K216" s="323"/>
      <c r="L216" s="323"/>
      <c r="M216" s="323"/>
      <c r="N216" s="323"/>
    </row>
    <row r="217" spans="1:14" ht="24.4" customHeight="1">
      <c r="A217" s="315"/>
      <c r="B217" s="143" t="s">
        <v>790</v>
      </c>
      <c r="C217" s="140">
        <f>C218+C220</f>
        <v>7493430773.75</v>
      </c>
      <c r="D217" s="353">
        <v>25200000000</v>
      </c>
      <c r="E217" s="127">
        <f t="shared" si="7"/>
        <v>29.735836403769838</v>
      </c>
      <c r="F217" s="323"/>
      <c r="G217" s="323"/>
      <c r="H217" s="323"/>
      <c r="I217" s="323"/>
      <c r="J217" s="323"/>
      <c r="K217" s="323"/>
      <c r="L217" s="323"/>
      <c r="M217" s="323"/>
      <c r="N217" s="323"/>
    </row>
    <row r="218" spans="1:14" ht="24.4" customHeight="1">
      <c r="A218" s="315"/>
      <c r="B218" s="143" t="s">
        <v>791</v>
      </c>
      <c r="C218" s="140">
        <f>SUM(C219)</f>
        <v>2000000000</v>
      </c>
      <c r="D218" s="353">
        <v>25200000000</v>
      </c>
      <c r="E218" s="127">
        <f t="shared" si="7"/>
        <v>7.9365079365079358</v>
      </c>
      <c r="F218" s="323"/>
      <c r="G218" s="323"/>
      <c r="H218" s="323"/>
      <c r="I218" s="323"/>
      <c r="J218" s="323"/>
      <c r="K218" s="323"/>
      <c r="L218" s="323"/>
      <c r="M218" s="323"/>
      <c r="N218" s="323"/>
    </row>
    <row r="219" spans="1:14" ht="36" customHeight="1">
      <c r="A219" s="315"/>
      <c r="B219" s="142" t="s">
        <v>792</v>
      </c>
      <c r="C219" s="141">
        <v>2000000000</v>
      </c>
      <c r="D219" s="353">
        <v>25200000000</v>
      </c>
      <c r="E219" s="127">
        <f t="shared" si="7"/>
        <v>7.9365079365079358</v>
      </c>
      <c r="F219" s="323"/>
      <c r="G219" s="323"/>
      <c r="H219" s="323"/>
      <c r="I219" s="323"/>
      <c r="J219" s="323"/>
      <c r="K219" s="323"/>
      <c r="L219" s="323"/>
      <c r="M219" s="323"/>
      <c r="N219" s="323"/>
    </row>
    <row r="220" spans="1:14" ht="24.4" customHeight="1">
      <c r="A220" s="315"/>
      <c r="B220" s="143" t="s">
        <v>793</v>
      </c>
      <c r="C220" s="140">
        <f>SUM(C221:C222)</f>
        <v>5493430773.75</v>
      </c>
      <c r="D220" s="353">
        <v>25200000000</v>
      </c>
      <c r="E220" s="127">
        <f t="shared" si="7"/>
        <v>21.799328467261905</v>
      </c>
      <c r="F220" s="323"/>
      <c r="G220" s="323"/>
      <c r="H220" s="323"/>
      <c r="I220" s="323"/>
      <c r="J220" s="323"/>
      <c r="K220" s="323"/>
      <c r="L220" s="323"/>
      <c r="M220" s="323"/>
      <c r="N220" s="323"/>
    </row>
    <row r="221" spans="1:14" ht="24.4" customHeight="1">
      <c r="A221" s="315"/>
      <c r="B221" s="142" t="s">
        <v>794</v>
      </c>
      <c r="C221" s="141">
        <v>4358403000</v>
      </c>
      <c r="D221" s="353">
        <v>25200000000</v>
      </c>
      <c r="E221" s="127">
        <f t="shared" si="7"/>
        <v>17.295249999999999</v>
      </c>
      <c r="F221" s="323"/>
      <c r="G221" s="323"/>
      <c r="H221" s="323"/>
      <c r="I221" s="323"/>
      <c r="J221" s="323"/>
      <c r="K221" s="323"/>
      <c r="L221" s="323"/>
      <c r="M221" s="323"/>
      <c r="N221" s="323"/>
    </row>
    <row r="222" spans="1:14" ht="24.4" customHeight="1">
      <c r="A222" s="315"/>
      <c r="B222" s="142" t="s">
        <v>795</v>
      </c>
      <c r="C222" s="141">
        <v>1135027773.75</v>
      </c>
      <c r="D222" s="353">
        <v>25200000000</v>
      </c>
      <c r="E222" s="127">
        <f t="shared" si="7"/>
        <v>4.5040784672619045</v>
      </c>
      <c r="F222" s="323"/>
      <c r="G222" s="323"/>
      <c r="H222" s="323"/>
      <c r="I222" s="323"/>
      <c r="J222" s="323"/>
      <c r="K222" s="323"/>
      <c r="L222" s="323"/>
      <c r="M222" s="323"/>
      <c r="N222" s="323"/>
    </row>
    <row r="223" spans="1:14" ht="15" customHeight="1">
      <c r="A223" s="315"/>
      <c r="B223" s="330"/>
      <c r="C223" s="332"/>
      <c r="D223" s="334"/>
      <c r="E223" s="333"/>
      <c r="F223" s="323"/>
      <c r="G223" s="323"/>
      <c r="H223" s="323"/>
      <c r="I223" s="323"/>
      <c r="J223" s="323"/>
      <c r="K223" s="323"/>
      <c r="L223" s="323"/>
      <c r="M223" s="323"/>
      <c r="N223" s="323"/>
    </row>
    <row r="224" spans="1:14" ht="21.75" customHeight="1">
      <c r="A224" s="335" t="s">
        <v>844</v>
      </c>
      <c r="B224" s="150" t="s">
        <v>2567</v>
      </c>
      <c r="C224" s="354">
        <f>+C225+C241+C245</f>
        <v>11000000000.290001</v>
      </c>
      <c r="D224" s="125">
        <v>32261136567.290001</v>
      </c>
      <c r="E224" s="355">
        <f>+C224/D224*100</f>
        <v>34.096752844854969</v>
      </c>
      <c r="F224" s="323"/>
      <c r="G224" s="323"/>
      <c r="H224" s="323"/>
      <c r="I224" s="323"/>
      <c r="J224" s="323"/>
      <c r="K224" s="323"/>
      <c r="L224" s="323"/>
      <c r="M224" s="323"/>
      <c r="N224" s="323"/>
    </row>
    <row r="225" spans="1:14" ht="21.75" customHeight="1">
      <c r="A225" s="315"/>
      <c r="B225" s="111" t="s">
        <v>444</v>
      </c>
      <c r="C225" s="524">
        <f>+C226+C228+C236+C238</f>
        <v>8700000000.2900009</v>
      </c>
      <c r="D225" s="334">
        <v>11000000000</v>
      </c>
      <c r="E225" s="355">
        <f t="shared" ref="E225:E243" si="8">+C225/D225*100</f>
        <v>79.090909093545463</v>
      </c>
      <c r="F225" s="323"/>
      <c r="G225" s="323"/>
      <c r="H225" s="323"/>
      <c r="I225" s="323"/>
      <c r="J225" s="323"/>
      <c r="K225" s="323"/>
      <c r="L225" s="323"/>
      <c r="M225" s="323"/>
      <c r="N225" s="323"/>
    </row>
    <row r="226" spans="1:14" ht="21.75" customHeight="1">
      <c r="A226" s="315"/>
      <c r="B226" s="111" t="s">
        <v>388</v>
      </c>
      <c r="C226" s="524">
        <f>+C227</f>
        <v>392000000.29000002</v>
      </c>
      <c r="D226" s="334">
        <v>11000000000</v>
      </c>
      <c r="E226" s="355">
        <f t="shared" si="8"/>
        <v>3.5636363662727275</v>
      </c>
      <c r="F226" s="323"/>
      <c r="G226" s="323"/>
      <c r="H226" s="323"/>
      <c r="I226" s="323"/>
      <c r="J226" s="323"/>
      <c r="K226" s="323"/>
      <c r="L226" s="323"/>
      <c r="M226" s="323"/>
      <c r="N226" s="323"/>
    </row>
    <row r="227" spans="1:14" ht="21.75" customHeight="1">
      <c r="A227" s="315"/>
      <c r="B227" s="123" t="s">
        <v>846</v>
      </c>
      <c r="C227" s="511">
        <v>392000000.29000002</v>
      </c>
      <c r="D227" s="334">
        <v>11000000000</v>
      </c>
      <c r="E227" s="355">
        <f t="shared" si="8"/>
        <v>3.5636363662727275</v>
      </c>
      <c r="F227" s="323"/>
      <c r="G227" s="323"/>
      <c r="H227" s="323"/>
      <c r="I227" s="323"/>
      <c r="J227" s="323"/>
      <c r="K227" s="323"/>
      <c r="L227" s="323"/>
      <c r="M227" s="323"/>
      <c r="N227" s="323"/>
    </row>
    <row r="228" spans="1:14" ht="21.75" customHeight="1">
      <c r="A228" s="315"/>
      <c r="B228" s="111" t="s">
        <v>394</v>
      </c>
      <c r="C228" s="524">
        <f>SUM(C229:C235)</f>
        <v>7652000000</v>
      </c>
      <c r="D228" s="334">
        <v>11000000000</v>
      </c>
      <c r="E228" s="355">
        <f t="shared" si="8"/>
        <v>69.563636363636363</v>
      </c>
      <c r="F228" s="323"/>
      <c r="G228" s="323"/>
      <c r="H228" s="323"/>
      <c r="I228" s="323"/>
      <c r="J228" s="323"/>
      <c r="K228" s="323"/>
      <c r="L228" s="323"/>
      <c r="M228" s="323"/>
      <c r="N228" s="323"/>
    </row>
    <row r="229" spans="1:14" ht="21.75" customHeight="1">
      <c r="A229" s="315"/>
      <c r="B229" s="123" t="s">
        <v>847</v>
      </c>
      <c r="C229" s="511">
        <v>2757000000</v>
      </c>
      <c r="D229" s="334">
        <v>11000000000</v>
      </c>
      <c r="E229" s="355">
        <f t="shared" si="8"/>
        <v>25.063636363636366</v>
      </c>
      <c r="F229" s="323"/>
      <c r="G229" s="323"/>
      <c r="H229" s="323"/>
      <c r="I229" s="323"/>
      <c r="J229" s="323"/>
      <c r="K229" s="323"/>
      <c r="L229" s="323"/>
      <c r="M229" s="323"/>
      <c r="N229" s="323"/>
    </row>
    <row r="230" spans="1:14" ht="21.75" customHeight="1">
      <c r="A230" s="315"/>
      <c r="B230" s="123" t="s">
        <v>848</v>
      </c>
      <c r="C230" s="511">
        <v>50000000</v>
      </c>
      <c r="D230" s="334">
        <v>11000000000</v>
      </c>
      <c r="E230" s="355">
        <f t="shared" si="8"/>
        <v>0.45454545454545453</v>
      </c>
      <c r="F230" s="323"/>
      <c r="G230" s="323"/>
      <c r="H230" s="323"/>
      <c r="I230" s="323"/>
      <c r="J230" s="323"/>
      <c r="K230" s="323"/>
      <c r="L230" s="323"/>
      <c r="M230" s="323"/>
      <c r="N230" s="323"/>
    </row>
    <row r="231" spans="1:14" ht="21.75" customHeight="1">
      <c r="A231" s="315"/>
      <c r="B231" s="123" t="s">
        <v>849</v>
      </c>
      <c r="C231" s="511">
        <v>809028800</v>
      </c>
      <c r="D231" s="334">
        <v>11000000000</v>
      </c>
      <c r="E231" s="355">
        <f t="shared" si="8"/>
        <v>7.3548072727272737</v>
      </c>
      <c r="F231" s="323"/>
      <c r="G231" s="323"/>
      <c r="H231" s="323"/>
      <c r="I231" s="323"/>
      <c r="J231" s="323"/>
      <c r="K231" s="323"/>
      <c r="L231" s="323"/>
      <c r="M231" s="323"/>
      <c r="N231" s="323"/>
    </row>
    <row r="232" spans="1:14" ht="21.75" customHeight="1">
      <c r="A232" s="315"/>
      <c r="B232" s="123" t="s">
        <v>850</v>
      </c>
      <c r="C232" s="511">
        <v>2505000000</v>
      </c>
      <c r="D232" s="334">
        <v>11000000000</v>
      </c>
      <c r="E232" s="355">
        <f t="shared" si="8"/>
        <v>22.772727272727273</v>
      </c>
      <c r="F232" s="323"/>
      <c r="G232" s="323"/>
      <c r="H232" s="323"/>
      <c r="I232" s="323"/>
      <c r="J232" s="323"/>
      <c r="K232" s="323"/>
      <c r="L232" s="323"/>
      <c r="M232" s="323"/>
      <c r="N232" s="323"/>
    </row>
    <row r="233" spans="1:14" ht="21.75" customHeight="1">
      <c r="A233" s="315"/>
      <c r="B233" s="123" t="s">
        <v>851</v>
      </c>
      <c r="C233" s="511">
        <v>50000000</v>
      </c>
      <c r="D233" s="334">
        <v>11000000000</v>
      </c>
      <c r="E233" s="355">
        <f t="shared" si="8"/>
        <v>0.45454545454545453</v>
      </c>
      <c r="F233" s="323"/>
      <c r="G233" s="323"/>
      <c r="H233" s="323"/>
      <c r="I233" s="323"/>
      <c r="J233" s="323"/>
      <c r="K233" s="323"/>
      <c r="L233" s="323"/>
      <c r="M233" s="323"/>
      <c r="N233" s="323"/>
    </row>
    <row r="234" spans="1:14" ht="21.75" customHeight="1">
      <c r="A234" s="315"/>
      <c r="B234" s="123" t="s">
        <v>852</v>
      </c>
      <c r="C234" s="511">
        <v>600000000</v>
      </c>
      <c r="D234" s="334">
        <v>11000000000</v>
      </c>
      <c r="E234" s="355">
        <f t="shared" si="8"/>
        <v>5.4545454545454541</v>
      </c>
      <c r="F234" s="323"/>
      <c r="G234" s="323"/>
      <c r="H234" s="323"/>
      <c r="I234" s="323"/>
      <c r="J234" s="323"/>
      <c r="K234" s="323"/>
      <c r="L234" s="323"/>
      <c r="M234" s="323"/>
      <c r="N234" s="323"/>
    </row>
    <row r="235" spans="1:14" ht="21.75" customHeight="1">
      <c r="A235" s="315"/>
      <c r="B235" s="123" t="s">
        <v>853</v>
      </c>
      <c r="C235" s="511">
        <v>880971200</v>
      </c>
      <c r="D235" s="334">
        <v>11000000000</v>
      </c>
      <c r="E235" s="355">
        <f t="shared" si="8"/>
        <v>8.0088290909090905</v>
      </c>
      <c r="F235" s="323"/>
      <c r="G235" s="323"/>
      <c r="H235" s="323"/>
      <c r="I235" s="323"/>
      <c r="J235" s="323"/>
      <c r="K235" s="323"/>
      <c r="L235" s="323"/>
      <c r="M235" s="323"/>
      <c r="N235" s="323"/>
    </row>
    <row r="236" spans="1:14" ht="21.75" customHeight="1">
      <c r="A236" s="315"/>
      <c r="B236" s="111" t="s">
        <v>106</v>
      </c>
      <c r="C236" s="524">
        <f>+C237</f>
        <v>156000000</v>
      </c>
      <c r="D236" s="334">
        <v>11000000000</v>
      </c>
      <c r="E236" s="355">
        <f t="shared" si="8"/>
        <v>1.4181818181818182</v>
      </c>
      <c r="F236" s="323"/>
      <c r="G236" s="323"/>
      <c r="H236" s="323"/>
      <c r="I236" s="323"/>
      <c r="J236" s="323"/>
      <c r="K236" s="323"/>
      <c r="L236" s="323"/>
      <c r="M236" s="323"/>
      <c r="N236" s="323"/>
    </row>
    <row r="237" spans="1:14" ht="21.75" customHeight="1">
      <c r="A237" s="315"/>
      <c r="B237" s="123" t="s">
        <v>854</v>
      </c>
      <c r="C237" s="511">
        <v>156000000</v>
      </c>
      <c r="D237" s="334">
        <v>11000000000</v>
      </c>
      <c r="E237" s="355">
        <f t="shared" si="8"/>
        <v>1.4181818181818182</v>
      </c>
      <c r="F237" s="323"/>
      <c r="G237" s="323"/>
      <c r="H237" s="323"/>
      <c r="I237" s="323"/>
      <c r="J237" s="323"/>
      <c r="K237" s="323"/>
      <c r="L237" s="323"/>
      <c r="M237" s="323"/>
      <c r="N237" s="323"/>
    </row>
    <row r="238" spans="1:14" ht="21.75" customHeight="1">
      <c r="A238" s="315"/>
      <c r="B238" s="111" t="s">
        <v>855</v>
      </c>
      <c r="C238" s="524">
        <f>SUM(C239:C239)</f>
        <v>500000000</v>
      </c>
      <c r="D238" s="334">
        <v>11000000000</v>
      </c>
      <c r="E238" s="355">
        <f t="shared" si="8"/>
        <v>4.5454545454545459</v>
      </c>
      <c r="F238" s="323"/>
      <c r="G238" s="323"/>
      <c r="H238" s="323"/>
      <c r="I238" s="323"/>
      <c r="J238" s="323"/>
      <c r="K238" s="323"/>
      <c r="L238" s="323"/>
      <c r="M238" s="323"/>
      <c r="N238" s="323"/>
    </row>
    <row r="239" spans="1:14" ht="33" customHeight="1">
      <c r="A239" s="315"/>
      <c r="B239" s="123" t="s">
        <v>856</v>
      </c>
      <c r="C239" s="511">
        <v>500000000</v>
      </c>
      <c r="D239" s="334">
        <v>11000000000</v>
      </c>
      <c r="E239" s="355">
        <f t="shared" si="8"/>
        <v>4.5454545454545459</v>
      </c>
      <c r="F239" s="323"/>
      <c r="G239" s="323"/>
      <c r="H239" s="323"/>
      <c r="I239" s="323"/>
      <c r="J239" s="323"/>
      <c r="K239" s="323"/>
      <c r="L239" s="323"/>
      <c r="M239" s="323"/>
      <c r="N239" s="323"/>
    </row>
    <row r="240" spans="1:14" ht="15" customHeight="1">
      <c r="A240" s="315"/>
      <c r="B240" s="316"/>
      <c r="C240" s="357"/>
      <c r="D240" s="334">
        <v>11000000000</v>
      </c>
      <c r="E240" s="355">
        <f t="shared" si="8"/>
        <v>0</v>
      </c>
      <c r="F240" s="323"/>
      <c r="G240" s="323"/>
      <c r="H240" s="323"/>
      <c r="I240" s="323"/>
      <c r="J240" s="323"/>
      <c r="K240" s="323"/>
      <c r="L240" s="323"/>
      <c r="M240" s="323"/>
      <c r="N240" s="323"/>
    </row>
    <row r="241" spans="1:14" ht="21.75" customHeight="1">
      <c r="A241" s="315"/>
      <c r="B241" s="347" t="s">
        <v>857</v>
      </c>
      <c r="C241" s="356">
        <f>+C242</f>
        <v>300000000</v>
      </c>
      <c r="D241" s="334">
        <v>11000000000</v>
      </c>
      <c r="E241" s="355">
        <f t="shared" si="8"/>
        <v>2.7272727272727271</v>
      </c>
      <c r="F241" s="323"/>
      <c r="G241" s="323"/>
      <c r="H241" s="323"/>
      <c r="I241" s="323"/>
      <c r="J241" s="323"/>
      <c r="K241" s="323"/>
      <c r="L241" s="323"/>
      <c r="M241" s="323"/>
      <c r="N241" s="323"/>
    </row>
    <row r="242" spans="1:14" ht="21.75" customHeight="1">
      <c r="A242" s="315"/>
      <c r="B242" s="347" t="s">
        <v>388</v>
      </c>
      <c r="C242" s="356">
        <f>+C243</f>
        <v>300000000</v>
      </c>
      <c r="D242" s="334">
        <v>11000000000</v>
      </c>
      <c r="E242" s="355">
        <f t="shared" si="8"/>
        <v>2.7272727272727271</v>
      </c>
      <c r="F242" s="323"/>
      <c r="G242" s="323"/>
      <c r="H242" s="323"/>
      <c r="I242" s="323"/>
      <c r="J242" s="323"/>
      <c r="K242" s="323"/>
      <c r="L242" s="323"/>
      <c r="M242" s="323"/>
      <c r="N242" s="323"/>
    </row>
    <row r="243" spans="1:14" ht="21.75" customHeight="1">
      <c r="A243" s="315"/>
      <c r="B243" s="316" t="s">
        <v>858</v>
      </c>
      <c r="C243" s="357">
        <v>300000000</v>
      </c>
      <c r="D243" s="334">
        <v>11000000000</v>
      </c>
      <c r="E243" s="355">
        <f t="shared" si="8"/>
        <v>2.7272727272727271</v>
      </c>
      <c r="F243" s="323"/>
      <c r="G243" s="323"/>
      <c r="H243" s="323"/>
      <c r="I243" s="323"/>
      <c r="J243" s="323"/>
      <c r="K243" s="323"/>
      <c r="L243" s="323"/>
      <c r="M243" s="323"/>
      <c r="N243" s="323"/>
    </row>
    <row r="244" spans="1:14" ht="15" customHeight="1">
      <c r="A244" s="315"/>
      <c r="B244" s="330"/>
      <c r="C244" s="332"/>
      <c r="D244" s="334"/>
      <c r="E244" s="333"/>
      <c r="F244" s="323"/>
      <c r="G244" s="323"/>
      <c r="H244" s="323"/>
      <c r="I244" s="323"/>
      <c r="J244" s="323"/>
      <c r="K244" s="323"/>
      <c r="L244" s="323"/>
      <c r="M244" s="323"/>
      <c r="N244" s="323"/>
    </row>
    <row r="245" spans="1:14" ht="15" customHeight="1">
      <c r="A245" s="315"/>
      <c r="B245" s="111" t="s">
        <v>440</v>
      </c>
      <c r="C245" s="145">
        <f>+C246</f>
        <v>2000000000</v>
      </c>
      <c r="D245" s="334"/>
      <c r="E245" s="333"/>
      <c r="F245" s="323"/>
      <c r="G245" s="323"/>
      <c r="H245" s="323"/>
      <c r="I245" s="323"/>
      <c r="J245" s="323"/>
      <c r="K245" s="323"/>
      <c r="L245" s="323"/>
      <c r="M245" s="323"/>
      <c r="N245" s="323"/>
    </row>
    <row r="246" spans="1:14" ht="15" customHeight="1">
      <c r="A246" s="315"/>
      <c r="B246" s="111" t="s">
        <v>897</v>
      </c>
      <c r="C246" s="145">
        <f>+C247</f>
        <v>2000000000</v>
      </c>
      <c r="D246" s="334"/>
      <c r="E246" s="333"/>
      <c r="F246" s="323"/>
      <c r="G246" s="323"/>
      <c r="H246" s="323"/>
      <c r="I246" s="323"/>
      <c r="J246" s="323"/>
      <c r="K246" s="323"/>
      <c r="L246" s="323"/>
      <c r="M246" s="323"/>
      <c r="N246" s="323"/>
    </row>
    <row r="247" spans="1:14" ht="21.6" customHeight="1" thickBot="1">
      <c r="A247" s="315"/>
      <c r="B247" s="702" t="s">
        <v>2757</v>
      </c>
      <c r="C247" s="703">
        <v>2000000000</v>
      </c>
      <c r="D247" s="334"/>
      <c r="E247" s="333"/>
      <c r="F247" s="323"/>
      <c r="G247" s="323"/>
      <c r="H247" s="323"/>
      <c r="I247" s="323"/>
      <c r="J247" s="323"/>
      <c r="K247" s="323"/>
      <c r="L247" s="323"/>
      <c r="M247" s="323"/>
      <c r="N247" s="323"/>
    </row>
    <row r="248" spans="1:14" ht="15" customHeight="1">
      <c r="A248" s="315"/>
      <c r="B248" s="330"/>
      <c r="C248" s="332"/>
      <c r="D248" s="334"/>
      <c r="E248" s="333"/>
      <c r="F248" s="323"/>
      <c r="G248" s="323"/>
      <c r="H248" s="323"/>
      <c r="I248" s="323"/>
      <c r="J248" s="323"/>
      <c r="K248" s="323"/>
      <c r="L248" s="323"/>
      <c r="M248" s="323"/>
      <c r="N248" s="323"/>
    </row>
    <row r="249" spans="1:14" ht="15" customHeight="1">
      <c r="A249" s="315"/>
      <c r="B249" s="330"/>
      <c r="C249" s="332"/>
      <c r="D249" s="334"/>
      <c r="E249" s="333"/>
      <c r="F249" s="323"/>
      <c r="G249" s="323"/>
      <c r="H249" s="323"/>
      <c r="I249" s="323"/>
      <c r="J249" s="323"/>
      <c r="K249" s="323"/>
      <c r="L249" s="323"/>
      <c r="M249" s="323"/>
      <c r="N249" s="323"/>
    </row>
    <row r="250" spans="1:14" ht="21.75" customHeight="1">
      <c r="A250" s="335" t="s">
        <v>925</v>
      </c>
      <c r="B250" s="358" t="s">
        <v>2568</v>
      </c>
      <c r="C250" s="359">
        <f>C251+C275</f>
        <v>18170890604</v>
      </c>
      <c r="D250" s="360">
        <v>64189783336.760002</v>
      </c>
      <c r="E250" s="338">
        <f>+C250/D250*100</f>
        <v>28.30807281069907</v>
      </c>
      <c r="F250" s="323"/>
      <c r="G250" s="323"/>
      <c r="H250" s="323"/>
      <c r="I250" s="323"/>
      <c r="J250" s="323"/>
      <c r="K250" s="323"/>
      <c r="L250" s="323"/>
      <c r="M250" s="323"/>
      <c r="N250" s="323"/>
    </row>
    <row r="251" spans="1:14" ht="21.75" customHeight="1">
      <c r="A251" s="335"/>
      <c r="B251" s="328" t="s">
        <v>444</v>
      </c>
      <c r="C251" s="359">
        <f>C252+C255+C257+C265</f>
        <v>11540890604</v>
      </c>
      <c r="D251" s="361">
        <v>18170890604</v>
      </c>
      <c r="E251" s="338">
        <f>+C251/D251*100</f>
        <v>63.513070743266034</v>
      </c>
      <c r="F251" s="323"/>
      <c r="G251" s="323"/>
      <c r="H251" s="323"/>
      <c r="I251" s="323"/>
      <c r="J251" s="323"/>
      <c r="K251" s="323"/>
      <c r="L251" s="323"/>
      <c r="M251" s="323"/>
      <c r="N251" s="323"/>
    </row>
    <row r="252" spans="1:14" ht="21.75" customHeight="1">
      <c r="A252" s="335"/>
      <c r="B252" s="324" t="s">
        <v>388</v>
      </c>
      <c r="C252" s="359">
        <f>C253+C254</f>
        <v>624000000</v>
      </c>
      <c r="D252" s="361">
        <v>18170890604</v>
      </c>
      <c r="E252" s="338">
        <f t="shared" ref="E252:E280" si="9">+C252/D252*100</f>
        <v>3.43406393004555</v>
      </c>
      <c r="F252" s="323"/>
      <c r="G252" s="323"/>
      <c r="H252" s="323"/>
      <c r="I252" s="323"/>
      <c r="J252" s="323"/>
      <c r="K252" s="323"/>
      <c r="L252" s="323"/>
      <c r="M252" s="323"/>
      <c r="N252" s="323"/>
    </row>
    <row r="253" spans="1:14" ht="21.75" customHeight="1">
      <c r="A253" s="335"/>
      <c r="B253" s="330" t="s">
        <v>927</v>
      </c>
      <c r="C253" s="362">
        <v>500000000</v>
      </c>
      <c r="D253" s="361">
        <v>18170890604</v>
      </c>
      <c r="E253" s="338">
        <f t="shared" si="9"/>
        <v>2.7516537901006011</v>
      </c>
      <c r="F253" s="323"/>
      <c r="G253" s="323"/>
      <c r="H253" s="323"/>
      <c r="I253" s="323"/>
      <c r="J253" s="323"/>
      <c r="K253" s="323"/>
      <c r="L253" s="323"/>
      <c r="M253" s="323"/>
      <c r="N253" s="323"/>
    </row>
    <row r="254" spans="1:14" ht="21.75" customHeight="1">
      <c r="A254" s="335"/>
      <c r="B254" s="330" t="s">
        <v>928</v>
      </c>
      <c r="C254" s="362">
        <v>124000000</v>
      </c>
      <c r="D254" s="361">
        <v>18170890604</v>
      </c>
      <c r="E254" s="338">
        <f t="shared" si="9"/>
        <v>0.68241013994494903</v>
      </c>
      <c r="F254" s="323"/>
      <c r="G254" s="323"/>
      <c r="H254" s="323"/>
      <c r="I254" s="323"/>
      <c r="J254" s="323"/>
      <c r="K254" s="323"/>
      <c r="L254" s="323"/>
      <c r="M254" s="323"/>
      <c r="N254" s="323"/>
    </row>
    <row r="255" spans="1:14" ht="21.75" customHeight="1">
      <c r="A255" s="363"/>
      <c r="B255" s="328" t="s">
        <v>106</v>
      </c>
      <c r="C255" s="359">
        <f>C256</f>
        <v>200000000</v>
      </c>
      <c r="D255" s="361">
        <v>18170890604</v>
      </c>
      <c r="E255" s="338">
        <f t="shared" si="9"/>
        <v>1.1006615160402404</v>
      </c>
      <c r="F255" s="323"/>
      <c r="G255" s="323"/>
      <c r="H255" s="323"/>
      <c r="I255" s="323"/>
      <c r="J255" s="323"/>
      <c r="K255" s="323"/>
      <c r="L255" s="323"/>
      <c r="M255" s="323"/>
      <c r="N255" s="323"/>
    </row>
    <row r="256" spans="1:14" ht="33.75" customHeight="1">
      <c r="A256" s="335"/>
      <c r="B256" s="330" t="s">
        <v>929</v>
      </c>
      <c r="C256" s="362">
        <v>200000000</v>
      </c>
      <c r="D256" s="361">
        <v>18170890604</v>
      </c>
      <c r="E256" s="338">
        <f t="shared" si="9"/>
        <v>1.1006615160402404</v>
      </c>
      <c r="F256" s="323"/>
      <c r="G256" s="323"/>
      <c r="H256" s="323"/>
      <c r="I256" s="323"/>
      <c r="J256" s="323"/>
      <c r="K256" s="323"/>
      <c r="L256" s="323"/>
      <c r="M256" s="323"/>
      <c r="N256" s="323"/>
    </row>
    <row r="257" spans="1:14" ht="21.75" customHeight="1">
      <c r="A257" s="335"/>
      <c r="B257" s="328" t="s">
        <v>930</v>
      </c>
      <c r="C257" s="359">
        <f>SUM(C258:C264)</f>
        <v>2499412802</v>
      </c>
      <c r="D257" s="361">
        <v>18170890604</v>
      </c>
      <c r="E257" s="338">
        <f t="shared" si="9"/>
        <v>13.755037419298526</v>
      </c>
      <c r="F257" s="323"/>
      <c r="G257" s="323"/>
      <c r="H257" s="323"/>
      <c r="I257" s="323"/>
      <c r="J257" s="323"/>
      <c r="K257" s="323"/>
      <c r="L257" s="323"/>
      <c r="M257" s="323"/>
      <c r="N257" s="323"/>
    </row>
    <row r="258" spans="1:14" ht="21.75" customHeight="1">
      <c r="A258" s="335"/>
      <c r="B258" s="330" t="s">
        <v>931</v>
      </c>
      <c r="C258" s="362">
        <v>210000000</v>
      </c>
      <c r="D258" s="361">
        <v>18170890604</v>
      </c>
      <c r="E258" s="338">
        <f t="shared" si="9"/>
        <v>1.1556945918422525</v>
      </c>
      <c r="F258" s="323"/>
      <c r="G258" s="323"/>
      <c r="H258" s="323"/>
      <c r="I258" s="323"/>
      <c r="J258" s="323"/>
      <c r="K258" s="323"/>
      <c r="L258" s="323"/>
      <c r="M258" s="323"/>
      <c r="N258" s="323"/>
    </row>
    <row r="259" spans="1:14" ht="21.75" customHeight="1">
      <c r="A259" s="335"/>
      <c r="B259" s="330" t="s">
        <v>932</v>
      </c>
      <c r="C259" s="362">
        <v>198435000</v>
      </c>
      <c r="D259" s="361">
        <v>18170890604</v>
      </c>
      <c r="E259" s="338">
        <f t="shared" si="9"/>
        <v>1.0920488396772254</v>
      </c>
      <c r="F259" s="323"/>
      <c r="G259" s="323"/>
      <c r="H259" s="323"/>
      <c r="I259" s="323"/>
      <c r="J259" s="323"/>
      <c r="K259" s="323"/>
      <c r="L259" s="323"/>
      <c r="M259" s="323"/>
      <c r="N259" s="323"/>
    </row>
    <row r="260" spans="1:14" ht="33" customHeight="1">
      <c r="A260" s="335"/>
      <c r="B260" s="330" t="s">
        <v>933</v>
      </c>
      <c r="C260" s="362">
        <v>366500000</v>
      </c>
      <c r="D260" s="361">
        <v>18170890604</v>
      </c>
      <c r="E260" s="338">
        <f t="shared" si="9"/>
        <v>2.0169622281437407</v>
      </c>
      <c r="F260" s="323"/>
      <c r="G260" s="323"/>
      <c r="H260" s="323"/>
      <c r="I260" s="323"/>
      <c r="J260" s="323"/>
      <c r="K260" s="323"/>
      <c r="L260" s="323"/>
      <c r="M260" s="323"/>
      <c r="N260" s="323"/>
    </row>
    <row r="261" spans="1:14" ht="24.4" customHeight="1">
      <c r="A261" s="335"/>
      <c r="B261" s="330" t="s">
        <v>934</v>
      </c>
      <c r="C261" s="362">
        <v>225000000</v>
      </c>
      <c r="D261" s="361">
        <v>18170890604</v>
      </c>
      <c r="E261" s="338">
        <f t="shared" si="9"/>
        <v>1.2382442055452705</v>
      </c>
      <c r="F261" s="323"/>
      <c r="G261" s="323"/>
      <c r="H261" s="323"/>
      <c r="I261" s="323"/>
      <c r="J261" s="323"/>
      <c r="K261" s="323"/>
      <c r="L261" s="323"/>
      <c r="M261" s="323"/>
      <c r="N261" s="323"/>
    </row>
    <row r="262" spans="1:14" ht="33.75" customHeight="1">
      <c r="A262" s="335"/>
      <c r="B262" s="330" t="s">
        <v>935</v>
      </c>
      <c r="C262" s="362">
        <v>300000000</v>
      </c>
      <c r="D262" s="361">
        <v>18170890604</v>
      </c>
      <c r="E262" s="338">
        <f t="shared" si="9"/>
        <v>1.6509922740603606</v>
      </c>
      <c r="F262" s="323"/>
      <c r="G262" s="323"/>
      <c r="H262" s="323"/>
      <c r="I262" s="323"/>
      <c r="J262" s="323"/>
      <c r="K262" s="323"/>
      <c r="L262" s="323"/>
      <c r="M262" s="323"/>
      <c r="N262" s="323"/>
    </row>
    <row r="263" spans="1:14" ht="37.5" customHeight="1">
      <c r="A263" s="335"/>
      <c r="B263" s="330" t="s">
        <v>936</v>
      </c>
      <c r="C263" s="362">
        <v>210000000</v>
      </c>
      <c r="D263" s="361">
        <v>18170890604</v>
      </c>
      <c r="E263" s="338">
        <f t="shared" si="9"/>
        <v>1.1556945918422525</v>
      </c>
      <c r="F263" s="323"/>
      <c r="G263" s="323"/>
      <c r="H263" s="323"/>
      <c r="I263" s="323"/>
      <c r="J263" s="323"/>
      <c r="K263" s="323"/>
      <c r="L263" s="323"/>
      <c r="M263" s="323"/>
      <c r="N263" s="323"/>
    </row>
    <row r="264" spans="1:14" ht="21.75" customHeight="1">
      <c r="A264" s="335"/>
      <c r="B264" s="330" t="s">
        <v>937</v>
      </c>
      <c r="C264" s="362">
        <v>989477802</v>
      </c>
      <c r="D264" s="361">
        <v>18170890604</v>
      </c>
      <c r="E264" s="338">
        <f t="shared" si="9"/>
        <v>5.4454006881874237</v>
      </c>
      <c r="F264" s="323"/>
      <c r="G264" s="323"/>
      <c r="H264" s="323"/>
      <c r="I264" s="323"/>
      <c r="J264" s="323"/>
      <c r="K264" s="323"/>
      <c r="L264" s="323"/>
      <c r="M264" s="323"/>
      <c r="N264" s="323"/>
    </row>
    <row r="265" spans="1:14" ht="21.75" customHeight="1">
      <c r="A265" s="335"/>
      <c r="B265" s="328" t="s">
        <v>938</v>
      </c>
      <c r="C265" s="359">
        <f>SUM(C266:C273)</f>
        <v>8217477802</v>
      </c>
      <c r="D265" s="361">
        <v>18170890604</v>
      </c>
      <c r="E265" s="338">
        <f t="shared" si="9"/>
        <v>45.223307877881716</v>
      </c>
      <c r="F265" s="323"/>
      <c r="G265" s="323"/>
      <c r="H265" s="323"/>
      <c r="I265" s="323"/>
      <c r="J265" s="323"/>
      <c r="K265" s="323"/>
      <c r="L265" s="323"/>
      <c r="M265" s="323"/>
      <c r="N265" s="323"/>
    </row>
    <row r="266" spans="1:14" ht="21.75" customHeight="1">
      <c r="A266" s="335"/>
      <c r="B266" s="330" t="s">
        <v>939</v>
      </c>
      <c r="C266" s="362">
        <v>4008000000</v>
      </c>
      <c r="D266" s="361">
        <v>18170890604</v>
      </c>
      <c r="E266" s="338">
        <f t="shared" si="9"/>
        <v>22.057256781446419</v>
      </c>
      <c r="F266" s="323"/>
      <c r="G266" s="323"/>
      <c r="H266" s="323"/>
      <c r="I266" s="323"/>
      <c r="J266" s="323"/>
      <c r="K266" s="323"/>
      <c r="L266" s="323"/>
      <c r="M266" s="323"/>
      <c r="N266" s="323"/>
    </row>
    <row r="267" spans="1:14" ht="21.75" customHeight="1">
      <c r="A267" s="335"/>
      <c r="B267" s="330" t="s">
        <v>931</v>
      </c>
      <c r="C267" s="362">
        <v>210000000</v>
      </c>
      <c r="D267" s="361">
        <v>18170890604</v>
      </c>
      <c r="E267" s="338">
        <f t="shared" si="9"/>
        <v>1.1556945918422525</v>
      </c>
      <c r="F267" s="323"/>
      <c r="G267" s="323"/>
      <c r="H267" s="323"/>
      <c r="I267" s="323"/>
      <c r="J267" s="323"/>
      <c r="K267" s="323"/>
      <c r="L267" s="323"/>
      <c r="M267" s="323"/>
      <c r="N267" s="323"/>
    </row>
    <row r="268" spans="1:14" ht="44.25" customHeight="1">
      <c r="A268" s="335"/>
      <c r="B268" s="330" t="s">
        <v>940</v>
      </c>
      <c r="C268" s="362">
        <v>500000000</v>
      </c>
      <c r="D268" s="361">
        <v>18170890604</v>
      </c>
      <c r="E268" s="338">
        <f t="shared" si="9"/>
        <v>2.7516537901006011</v>
      </c>
      <c r="F268" s="323"/>
      <c r="G268" s="323"/>
      <c r="H268" s="323"/>
      <c r="I268" s="323"/>
      <c r="J268" s="323"/>
      <c r="K268" s="323"/>
      <c r="L268" s="323"/>
      <c r="M268" s="323"/>
      <c r="N268" s="323"/>
    </row>
    <row r="269" spans="1:14" ht="24.4" customHeight="1">
      <c r="A269" s="335"/>
      <c r="B269" s="330" t="s">
        <v>941</v>
      </c>
      <c r="C269" s="362">
        <v>300000000</v>
      </c>
      <c r="D269" s="361">
        <v>18170890604</v>
      </c>
      <c r="E269" s="338">
        <f t="shared" si="9"/>
        <v>1.6509922740603606</v>
      </c>
      <c r="F269" s="323"/>
      <c r="G269" s="323"/>
      <c r="H269" s="323"/>
      <c r="I269" s="323"/>
      <c r="J269" s="323"/>
      <c r="K269" s="323"/>
      <c r="L269" s="323"/>
      <c r="M269" s="323"/>
      <c r="N269" s="323"/>
    </row>
    <row r="270" spans="1:14" ht="24.4" customHeight="1">
      <c r="A270" s="335"/>
      <c r="B270" s="330" t="s">
        <v>942</v>
      </c>
      <c r="C270" s="362">
        <v>1000000000</v>
      </c>
      <c r="D270" s="361">
        <v>18170890604</v>
      </c>
      <c r="E270" s="338">
        <f t="shared" si="9"/>
        <v>5.5033075802012021</v>
      </c>
      <c r="F270" s="323"/>
      <c r="G270" s="323"/>
      <c r="H270" s="323"/>
      <c r="I270" s="323"/>
      <c r="J270" s="323"/>
      <c r="K270" s="323"/>
      <c r="L270" s="323"/>
      <c r="M270" s="323"/>
      <c r="N270" s="323"/>
    </row>
    <row r="271" spans="1:14" ht="37.5" customHeight="1">
      <c r="A271" s="335"/>
      <c r="B271" s="330" t="s">
        <v>936</v>
      </c>
      <c r="C271" s="362">
        <v>210000000</v>
      </c>
      <c r="D271" s="361">
        <v>18170890604</v>
      </c>
      <c r="E271" s="338">
        <f t="shared" si="9"/>
        <v>1.1556945918422525</v>
      </c>
      <c r="F271" s="323"/>
      <c r="G271" s="323"/>
      <c r="H271" s="323"/>
      <c r="I271" s="323"/>
      <c r="J271" s="323"/>
      <c r="K271" s="323"/>
      <c r="L271" s="323"/>
      <c r="M271" s="323"/>
      <c r="N271" s="323"/>
    </row>
    <row r="272" spans="1:14" ht="21.75" customHeight="1">
      <c r="A272" s="363"/>
      <c r="B272" s="330" t="s">
        <v>943</v>
      </c>
      <c r="C272" s="362">
        <v>1000000000</v>
      </c>
      <c r="D272" s="361">
        <v>18170890604</v>
      </c>
      <c r="E272" s="338">
        <f t="shared" si="9"/>
        <v>5.5033075802012021</v>
      </c>
      <c r="F272" s="323"/>
      <c r="G272" s="323"/>
      <c r="H272" s="323"/>
      <c r="I272" s="323"/>
      <c r="J272" s="323"/>
      <c r="K272" s="323"/>
      <c r="L272" s="323"/>
      <c r="M272" s="323"/>
      <c r="N272" s="323"/>
    </row>
    <row r="273" spans="1:14" ht="21.75" customHeight="1">
      <c r="A273" s="335"/>
      <c r="B273" s="330" t="s">
        <v>937</v>
      </c>
      <c r="C273" s="362">
        <v>989477802</v>
      </c>
      <c r="D273" s="361">
        <v>18170890604</v>
      </c>
      <c r="E273" s="338">
        <f t="shared" si="9"/>
        <v>5.4454006881874237</v>
      </c>
      <c r="F273" s="323"/>
      <c r="G273" s="323"/>
      <c r="H273" s="323"/>
      <c r="I273" s="323"/>
      <c r="J273" s="323"/>
      <c r="K273" s="323"/>
      <c r="L273" s="323"/>
      <c r="M273" s="323"/>
      <c r="N273" s="323"/>
    </row>
    <row r="274" spans="1:14" ht="15" customHeight="1">
      <c r="A274" s="335"/>
      <c r="B274" s="330"/>
      <c r="C274" s="362"/>
      <c r="D274" s="361"/>
      <c r="E274" s="338"/>
      <c r="F274" s="323"/>
      <c r="G274" s="323"/>
      <c r="H274" s="323"/>
      <c r="I274" s="323"/>
      <c r="J274" s="323"/>
      <c r="K274" s="323"/>
      <c r="L274" s="323"/>
      <c r="M274" s="323"/>
      <c r="N274" s="323"/>
    </row>
    <row r="275" spans="1:14" ht="21.75" customHeight="1">
      <c r="A275" s="363"/>
      <c r="B275" s="364" t="s">
        <v>999</v>
      </c>
      <c r="C275" s="352">
        <f>C276</f>
        <v>6630000000</v>
      </c>
      <c r="D275" s="361">
        <v>18170890604</v>
      </c>
      <c r="E275" s="338">
        <f t="shared" si="9"/>
        <v>36.486929256733966</v>
      </c>
      <c r="F275" s="323"/>
      <c r="G275" s="323"/>
      <c r="H275" s="323"/>
      <c r="I275" s="323"/>
      <c r="J275" s="323"/>
      <c r="K275" s="323"/>
      <c r="L275" s="323"/>
      <c r="M275" s="323"/>
      <c r="N275" s="323"/>
    </row>
    <row r="276" spans="1:14" ht="21.75" customHeight="1">
      <c r="A276" s="335"/>
      <c r="B276" s="328" t="s">
        <v>1075</v>
      </c>
      <c r="C276" s="352">
        <f>C277+C279</f>
        <v>6630000000</v>
      </c>
      <c r="D276" s="361">
        <v>18170890604</v>
      </c>
      <c r="E276" s="338">
        <f t="shared" si="9"/>
        <v>36.486929256733966</v>
      </c>
      <c r="F276" s="323"/>
      <c r="G276" s="323"/>
      <c r="H276" s="323"/>
      <c r="I276" s="323"/>
      <c r="J276" s="323"/>
      <c r="K276" s="323"/>
      <c r="L276" s="323"/>
      <c r="M276" s="323"/>
      <c r="N276" s="323"/>
    </row>
    <row r="277" spans="1:14" ht="21.75" customHeight="1">
      <c r="A277" s="335"/>
      <c r="B277" s="328" t="s">
        <v>1076</v>
      </c>
      <c r="C277" s="352">
        <f>C278</f>
        <v>630000000</v>
      </c>
      <c r="D277" s="361">
        <v>18170890604</v>
      </c>
      <c r="E277" s="338">
        <f t="shared" si="9"/>
        <v>3.4670837755267572</v>
      </c>
      <c r="F277" s="323"/>
      <c r="G277" s="323"/>
      <c r="H277" s="323"/>
      <c r="I277" s="323"/>
      <c r="J277" s="323"/>
      <c r="K277" s="323"/>
      <c r="L277" s="323"/>
      <c r="M277" s="323"/>
      <c r="N277" s="323"/>
    </row>
    <row r="278" spans="1:14" ht="21.75" customHeight="1">
      <c r="A278" s="335"/>
      <c r="B278" s="365" t="s">
        <v>1077</v>
      </c>
      <c r="C278" s="329">
        <v>630000000</v>
      </c>
      <c r="D278" s="361">
        <v>18170890604</v>
      </c>
      <c r="E278" s="338">
        <f t="shared" si="9"/>
        <v>3.4670837755267572</v>
      </c>
      <c r="F278" s="323"/>
      <c r="G278" s="323"/>
      <c r="H278" s="323"/>
      <c r="I278" s="323"/>
      <c r="J278" s="323"/>
      <c r="K278" s="323"/>
      <c r="L278" s="323"/>
      <c r="M278" s="323"/>
      <c r="N278" s="323"/>
    </row>
    <row r="279" spans="1:14" ht="21.75" customHeight="1">
      <c r="A279" s="335"/>
      <c r="B279" s="328" t="s">
        <v>1078</v>
      </c>
      <c r="C279" s="352">
        <f>C280</f>
        <v>6000000000</v>
      </c>
      <c r="D279" s="361">
        <v>18170890604</v>
      </c>
      <c r="E279" s="338">
        <f t="shared" si="9"/>
        <v>33.019845481207213</v>
      </c>
      <c r="F279" s="323"/>
      <c r="G279" s="323"/>
      <c r="H279" s="323"/>
      <c r="I279" s="323"/>
      <c r="J279" s="323"/>
      <c r="K279" s="323"/>
      <c r="L279" s="323"/>
      <c r="M279" s="323"/>
      <c r="N279" s="323"/>
    </row>
    <row r="280" spans="1:14" ht="21.75" customHeight="1">
      <c r="A280" s="335"/>
      <c r="B280" s="365" t="s">
        <v>1079</v>
      </c>
      <c r="C280" s="329">
        <v>6000000000</v>
      </c>
      <c r="D280" s="361">
        <v>18170890604</v>
      </c>
      <c r="E280" s="338">
        <f t="shared" si="9"/>
        <v>33.019845481207213</v>
      </c>
      <c r="F280" s="323"/>
      <c r="G280" s="323"/>
      <c r="H280" s="323"/>
      <c r="I280" s="323"/>
      <c r="J280" s="323"/>
      <c r="K280" s="323"/>
      <c r="L280" s="323"/>
      <c r="M280" s="323"/>
      <c r="N280" s="323"/>
    </row>
    <row r="281" spans="1:14" ht="15" customHeight="1">
      <c r="A281" s="335"/>
      <c r="B281" s="328"/>
      <c r="C281" s="366"/>
      <c r="D281" s="361"/>
      <c r="E281" s="338"/>
      <c r="F281" s="323"/>
      <c r="G281" s="323"/>
      <c r="H281" s="323"/>
      <c r="I281" s="323"/>
      <c r="J281" s="323"/>
      <c r="K281" s="323"/>
      <c r="L281" s="323"/>
      <c r="M281" s="323"/>
      <c r="N281" s="323"/>
    </row>
    <row r="282" spans="1:14" ht="21.75" customHeight="1">
      <c r="A282" s="335" t="s">
        <v>1080</v>
      </c>
      <c r="B282" s="367" t="s">
        <v>2569</v>
      </c>
      <c r="C282" s="368">
        <f>+C283+C308</f>
        <v>21140278295.52</v>
      </c>
      <c r="D282" s="361">
        <v>64622624148.520004</v>
      </c>
      <c r="E282" s="338">
        <f>+C282/D282*100</f>
        <v>32.713432136296426</v>
      </c>
      <c r="F282" s="323"/>
      <c r="G282" s="323"/>
      <c r="H282" s="323"/>
      <c r="I282" s="323"/>
      <c r="J282" s="323"/>
      <c r="K282" s="323"/>
      <c r="L282" s="323"/>
      <c r="M282" s="323"/>
      <c r="N282" s="323"/>
    </row>
    <row r="283" spans="1:14" ht="21.75" customHeight="1">
      <c r="A283" s="335"/>
      <c r="B283" s="324" t="s">
        <v>767</v>
      </c>
      <c r="C283" s="369">
        <f>+C284+C288+C299+C305</f>
        <v>11550378295.52</v>
      </c>
      <c r="D283" s="353">
        <v>21140278295.52</v>
      </c>
      <c r="E283" s="126">
        <f>+C283/D283*100</f>
        <v>54.636831805415397</v>
      </c>
      <c r="F283" s="323"/>
      <c r="G283" s="323"/>
      <c r="H283" s="323"/>
      <c r="I283" s="323"/>
      <c r="J283" s="323"/>
      <c r="K283" s="323"/>
      <c r="L283" s="323"/>
      <c r="M283" s="323"/>
      <c r="N283" s="323"/>
    </row>
    <row r="284" spans="1:14" ht="21.75" customHeight="1">
      <c r="A284" s="335"/>
      <c r="B284" s="151" t="s">
        <v>588</v>
      </c>
      <c r="C284" s="152">
        <v>1650000000</v>
      </c>
      <c r="D284" s="353">
        <v>21140278295.52</v>
      </c>
      <c r="E284" s="126">
        <f t="shared" ref="E284:E306" si="10">+C284/D284*100</f>
        <v>7.8050060502262362</v>
      </c>
      <c r="F284" s="323"/>
      <c r="G284" s="323"/>
      <c r="H284" s="323"/>
      <c r="I284" s="323"/>
      <c r="J284" s="323"/>
      <c r="K284" s="323"/>
      <c r="L284" s="323"/>
      <c r="M284" s="323"/>
      <c r="N284" s="323"/>
    </row>
    <row r="285" spans="1:14" ht="30.75" customHeight="1">
      <c r="A285" s="335"/>
      <c r="B285" s="153" t="s">
        <v>1082</v>
      </c>
      <c r="C285" s="154">
        <v>504000000</v>
      </c>
      <c r="D285" s="353">
        <v>21140278295.52</v>
      </c>
      <c r="E285" s="126">
        <f t="shared" si="10"/>
        <v>2.3840745753418324</v>
      </c>
      <c r="F285" s="323"/>
      <c r="G285" s="323"/>
      <c r="H285" s="323"/>
      <c r="I285" s="323"/>
      <c r="J285" s="323"/>
      <c r="K285" s="323"/>
      <c r="L285" s="323"/>
      <c r="M285" s="323"/>
      <c r="N285" s="323"/>
    </row>
    <row r="286" spans="1:14" ht="21.75" customHeight="1">
      <c r="A286" s="335"/>
      <c r="B286" s="153" t="s">
        <v>1083</v>
      </c>
      <c r="C286" s="154">
        <v>1050000000</v>
      </c>
      <c r="D286" s="353">
        <v>21140278295.52</v>
      </c>
      <c r="E286" s="126">
        <f t="shared" si="10"/>
        <v>4.9668220319621508</v>
      </c>
      <c r="F286" s="323"/>
      <c r="G286" s="323"/>
      <c r="H286" s="323"/>
      <c r="I286" s="323"/>
      <c r="J286" s="323"/>
      <c r="K286" s="323"/>
      <c r="L286" s="323"/>
      <c r="M286" s="323"/>
      <c r="N286" s="323"/>
    </row>
    <row r="287" spans="1:14" ht="21.75" customHeight="1">
      <c r="A287" s="335"/>
      <c r="B287" s="153" t="s">
        <v>1084</v>
      </c>
      <c r="C287" s="154">
        <v>96000000</v>
      </c>
      <c r="D287" s="353">
        <v>21140278295.52</v>
      </c>
      <c r="E287" s="126">
        <f t="shared" si="10"/>
        <v>0.45410944292225375</v>
      </c>
      <c r="F287" s="323"/>
      <c r="G287" s="323"/>
      <c r="H287" s="323"/>
      <c r="I287" s="323"/>
      <c r="J287" s="323"/>
      <c r="K287" s="323"/>
      <c r="L287" s="323"/>
      <c r="M287" s="323"/>
      <c r="N287" s="323"/>
    </row>
    <row r="288" spans="1:14" ht="21.75" customHeight="1">
      <c r="A288" s="335"/>
      <c r="B288" s="151" t="s">
        <v>1085</v>
      </c>
      <c r="C288" s="152">
        <f>SUM(C289:C298)</f>
        <v>8551975343.5200005</v>
      </c>
      <c r="D288" s="353">
        <v>21140278295.52</v>
      </c>
      <c r="E288" s="126">
        <f t="shared" si="10"/>
        <v>40.453466240944977</v>
      </c>
      <c r="F288" s="323"/>
      <c r="G288" s="323"/>
      <c r="H288" s="323"/>
      <c r="I288" s="323"/>
      <c r="J288" s="323"/>
      <c r="K288" s="323"/>
      <c r="L288" s="323"/>
      <c r="M288" s="323"/>
      <c r="N288" s="323"/>
    </row>
    <row r="289" spans="1:14" ht="21.75" customHeight="1">
      <c r="A289" s="335"/>
      <c r="B289" s="153" t="s">
        <v>1086</v>
      </c>
      <c r="C289" s="154">
        <v>200000000</v>
      </c>
      <c r="D289" s="353">
        <v>21140278295.52</v>
      </c>
      <c r="E289" s="126">
        <f t="shared" si="10"/>
        <v>0.94606133942136195</v>
      </c>
      <c r="F289" s="323"/>
      <c r="G289" s="323"/>
      <c r="H289" s="323"/>
      <c r="I289" s="323"/>
      <c r="J289" s="323"/>
      <c r="K289" s="323"/>
      <c r="L289" s="323"/>
      <c r="M289" s="323"/>
      <c r="N289" s="323"/>
    </row>
    <row r="290" spans="1:14" ht="21.75" customHeight="1">
      <c r="A290" s="335"/>
      <c r="B290" s="153" t="s">
        <v>1087</v>
      </c>
      <c r="C290" s="154">
        <v>200000000</v>
      </c>
      <c r="D290" s="353">
        <v>21140278295.52</v>
      </c>
      <c r="E290" s="126">
        <f t="shared" si="10"/>
        <v>0.94606133942136195</v>
      </c>
      <c r="F290" s="323"/>
      <c r="G290" s="323"/>
      <c r="H290" s="323"/>
      <c r="I290" s="323"/>
      <c r="J290" s="323"/>
      <c r="K290" s="323"/>
      <c r="L290" s="323"/>
      <c r="M290" s="323"/>
      <c r="N290" s="323"/>
    </row>
    <row r="291" spans="1:14" ht="21.75" customHeight="1">
      <c r="A291" s="335"/>
      <c r="B291" s="153" t="s">
        <v>1088</v>
      </c>
      <c r="C291" s="154">
        <v>300000000</v>
      </c>
      <c r="D291" s="353">
        <v>21140278295.52</v>
      </c>
      <c r="E291" s="126">
        <f t="shared" si="10"/>
        <v>1.4190920091320431</v>
      </c>
      <c r="F291" s="323"/>
      <c r="G291" s="323"/>
      <c r="H291" s="323"/>
      <c r="I291" s="323"/>
      <c r="J291" s="323"/>
      <c r="K291" s="323"/>
      <c r="L291" s="323"/>
      <c r="M291" s="323"/>
      <c r="N291" s="323"/>
    </row>
    <row r="292" spans="1:14" ht="36.75" customHeight="1">
      <c r="A292" s="335"/>
      <c r="B292" s="153" t="s">
        <v>1089</v>
      </c>
      <c r="C292" s="154">
        <v>1440000000</v>
      </c>
      <c r="D292" s="353">
        <v>21140278295.52</v>
      </c>
      <c r="E292" s="126">
        <f t="shared" si="10"/>
        <v>6.8116416438338074</v>
      </c>
      <c r="F292" s="323"/>
      <c r="G292" s="323"/>
      <c r="H292" s="323"/>
      <c r="I292" s="323"/>
      <c r="J292" s="323"/>
      <c r="K292" s="323"/>
      <c r="L292" s="323"/>
      <c r="M292" s="323"/>
      <c r="N292" s="323"/>
    </row>
    <row r="293" spans="1:14" ht="21.75" customHeight="1">
      <c r="A293" s="335"/>
      <c r="B293" s="153" t="s">
        <v>1090</v>
      </c>
      <c r="C293" s="154">
        <v>2831400000</v>
      </c>
      <c r="D293" s="353">
        <v>21140278295.52</v>
      </c>
      <c r="E293" s="126">
        <f t="shared" si="10"/>
        <v>13.393390382188223</v>
      </c>
      <c r="F293" s="323"/>
      <c r="G293" s="323"/>
      <c r="H293" s="323"/>
      <c r="I293" s="323"/>
      <c r="J293" s="323"/>
      <c r="K293" s="323"/>
      <c r="L293" s="323"/>
      <c r="M293" s="323"/>
      <c r="N293" s="323"/>
    </row>
    <row r="294" spans="1:14" ht="21.75" customHeight="1">
      <c r="A294" s="335"/>
      <c r="B294" s="153" t="s">
        <v>1091</v>
      </c>
      <c r="C294" s="154">
        <v>676078264</v>
      </c>
      <c r="D294" s="353">
        <v>21140278295.52</v>
      </c>
      <c r="E294" s="126">
        <f t="shared" si="10"/>
        <v>3.1980575399675462</v>
      </c>
      <c r="F294" s="323"/>
      <c r="G294" s="323"/>
      <c r="H294" s="323"/>
      <c r="I294" s="323"/>
      <c r="J294" s="323"/>
      <c r="K294" s="323"/>
      <c r="L294" s="323"/>
      <c r="M294" s="323"/>
      <c r="N294" s="323"/>
    </row>
    <row r="295" spans="1:14" ht="33" customHeight="1">
      <c r="A295" s="335"/>
      <c r="B295" s="153" t="s">
        <v>1092</v>
      </c>
      <c r="C295" s="154">
        <v>900000000</v>
      </c>
      <c r="D295" s="353">
        <v>21140278295.52</v>
      </c>
      <c r="E295" s="126">
        <f t="shared" si="10"/>
        <v>4.257276027396129</v>
      </c>
      <c r="F295" s="323"/>
      <c r="G295" s="323"/>
      <c r="H295" s="323"/>
      <c r="I295" s="323"/>
      <c r="J295" s="323"/>
      <c r="K295" s="323"/>
      <c r="L295" s="323"/>
      <c r="M295" s="323"/>
      <c r="N295" s="323"/>
    </row>
    <row r="296" spans="1:14" ht="21.75" customHeight="1">
      <c r="A296" s="335"/>
      <c r="B296" s="153" t="s">
        <v>1093</v>
      </c>
      <c r="C296" s="154">
        <v>657000000</v>
      </c>
      <c r="D296" s="353">
        <v>21140278295.52</v>
      </c>
      <c r="E296" s="126">
        <f t="shared" si="10"/>
        <v>3.1078114999991744</v>
      </c>
      <c r="F296" s="323"/>
      <c r="G296" s="323"/>
      <c r="H296" s="323"/>
      <c r="I296" s="323"/>
      <c r="J296" s="323"/>
      <c r="K296" s="323"/>
      <c r="L296" s="323"/>
      <c r="M296" s="323"/>
      <c r="N296" s="323"/>
    </row>
    <row r="297" spans="1:14" ht="21.75" customHeight="1">
      <c r="A297" s="335"/>
      <c r="B297" s="153" t="s">
        <v>1094</v>
      </c>
      <c r="C297" s="154">
        <v>939528879.51999998</v>
      </c>
      <c r="D297" s="353">
        <v>21140278295.52</v>
      </c>
      <c r="E297" s="126">
        <f t="shared" si="10"/>
        <v>4.4442597509187127</v>
      </c>
      <c r="F297" s="323"/>
      <c r="G297" s="323"/>
      <c r="H297" s="323"/>
      <c r="I297" s="323"/>
      <c r="J297" s="323"/>
      <c r="K297" s="323"/>
      <c r="L297" s="323"/>
      <c r="M297" s="323"/>
      <c r="N297" s="323"/>
    </row>
    <row r="298" spans="1:14" ht="37.5" customHeight="1">
      <c r="A298" s="335"/>
      <c r="B298" s="153" t="s">
        <v>1095</v>
      </c>
      <c r="C298" s="154">
        <v>407968200</v>
      </c>
      <c r="D298" s="353">
        <v>21140278295.52</v>
      </c>
      <c r="E298" s="126">
        <f t="shared" si="10"/>
        <v>1.9298147086666106</v>
      </c>
      <c r="F298" s="323"/>
      <c r="G298" s="323"/>
      <c r="H298" s="323"/>
      <c r="I298" s="323"/>
      <c r="J298" s="323"/>
      <c r="K298" s="323"/>
      <c r="L298" s="323"/>
      <c r="M298" s="323"/>
      <c r="N298" s="323"/>
    </row>
    <row r="299" spans="1:14" ht="21.75" customHeight="1">
      <c r="A299" s="335"/>
      <c r="B299" s="151" t="s">
        <v>1096</v>
      </c>
      <c r="C299" s="152">
        <f>+C300+C301+C302+C303+C304</f>
        <v>1048402952</v>
      </c>
      <c r="D299" s="353">
        <v>21140278295.52</v>
      </c>
      <c r="E299" s="126">
        <f t="shared" si="10"/>
        <v>4.95926750511215</v>
      </c>
      <c r="F299" s="323"/>
      <c r="G299" s="323"/>
      <c r="H299" s="323"/>
      <c r="I299" s="323"/>
      <c r="J299" s="323"/>
      <c r="K299" s="323"/>
      <c r="L299" s="323"/>
      <c r="M299" s="323"/>
      <c r="N299" s="323"/>
    </row>
    <row r="300" spans="1:14" ht="21.75" customHeight="1">
      <c r="A300" s="335"/>
      <c r="B300" s="153" t="s">
        <v>1097</v>
      </c>
      <c r="C300" s="154">
        <v>288000000</v>
      </c>
      <c r="D300" s="353">
        <v>21140278295.52</v>
      </c>
      <c r="E300" s="126">
        <f t="shared" si="10"/>
        <v>1.3623283287667614</v>
      </c>
      <c r="F300" s="323"/>
      <c r="G300" s="323"/>
      <c r="H300" s="323"/>
      <c r="I300" s="323"/>
      <c r="J300" s="323"/>
      <c r="K300" s="323"/>
      <c r="L300" s="323"/>
      <c r="M300" s="323"/>
      <c r="N300" s="323"/>
    </row>
    <row r="301" spans="1:14" ht="37.5" customHeight="1">
      <c r="A301" s="335"/>
      <c r="B301" s="153" t="s">
        <v>1098</v>
      </c>
      <c r="C301" s="154">
        <v>30000000</v>
      </c>
      <c r="D301" s="353">
        <v>21140278295.52</v>
      </c>
      <c r="E301" s="126">
        <f t="shared" si="10"/>
        <v>0.1419092009132043</v>
      </c>
      <c r="F301" s="323"/>
      <c r="G301" s="323"/>
      <c r="H301" s="323"/>
      <c r="I301" s="323"/>
      <c r="J301" s="323"/>
      <c r="K301" s="323"/>
      <c r="L301" s="323"/>
      <c r="M301" s="323"/>
      <c r="N301" s="323"/>
    </row>
    <row r="302" spans="1:14" ht="24.4" customHeight="1">
      <c r="A302" s="335"/>
      <c r="B302" s="153" t="s">
        <v>1099</v>
      </c>
      <c r="C302" s="154">
        <v>535402952</v>
      </c>
      <c r="D302" s="353">
        <v>21140278295.52</v>
      </c>
      <c r="E302" s="126">
        <f t="shared" si="10"/>
        <v>2.5326201694963562</v>
      </c>
      <c r="F302" s="323"/>
      <c r="G302" s="323"/>
      <c r="H302" s="323"/>
      <c r="I302" s="323"/>
      <c r="J302" s="323"/>
      <c r="K302" s="323"/>
      <c r="L302" s="323"/>
      <c r="M302" s="323"/>
      <c r="N302" s="323"/>
    </row>
    <row r="303" spans="1:14" ht="48" customHeight="1">
      <c r="A303" s="335"/>
      <c r="B303" s="153" t="s">
        <v>1100</v>
      </c>
      <c r="C303" s="154">
        <v>75000000</v>
      </c>
      <c r="D303" s="353">
        <v>21140278295.52</v>
      </c>
      <c r="E303" s="126">
        <f t="shared" si="10"/>
        <v>0.35477300228301079</v>
      </c>
      <c r="F303" s="323"/>
      <c r="G303" s="323"/>
      <c r="H303" s="323"/>
      <c r="I303" s="323"/>
      <c r="J303" s="323"/>
      <c r="K303" s="323"/>
      <c r="L303" s="323"/>
      <c r="M303" s="323"/>
      <c r="N303" s="323"/>
    </row>
    <row r="304" spans="1:14" ht="21.75" customHeight="1">
      <c r="A304" s="335"/>
      <c r="B304" s="153" t="s">
        <v>1101</v>
      </c>
      <c r="C304" s="154">
        <v>120000000</v>
      </c>
      <c r="D304" s="353">
        <v>21140278295.52</v>
      </c>
      <c r="E304" s="126">
        <f t="shared" si="10"/>
        <v>0.56763680365281721</v>
      </c>
      <c r="F304" s="323"/>
      <c r="G304" s="323"/>
      <c r="H304" s="323"/>
      <c r="I304" s="323"/>
      <c r="J304" s="323"/>
      <c r="K304" s="323"/>
      <c r="L304" s="323"/>
      <c r="M304" s="323"/>
      <c r="N304" s="323"/>
    </row>
    <row r="305" spans="1:14" ht="21.75" customHeight="1">
      <c r="A305" s="335"/>
      <c r="B305" s="151" t="s">
        <v>1102</v>
      </c>
      <c r="C305" s="152">
        <f>+C306</f>
        <v>300000000</v>
      </c>
      <c r="D305" s="353">
        <v>21140278295.52</v>
      </c>
      <c r="E305" s="126">
        <f t="shared" si="10"/>
        <v>1.4190920091320431</v>
      </c>
      <c r="F305" s="323"/>
      <c r="G305" s="323"/>
      <c r="H305" s="323"/>
      <c r="I305" s="323"/>
      <c r="J305" s="323"/>
      <c r="K305" s="323"/>
      <c r="L305" s="323"/>
      <c r="M305" s="323"/>
      <c r="N305" s="323"/>
    </row>
    <row r="306" spans="1:14" ht="33.75" customHeight="1">
      <c r="A306" s="335"/>
      <c r="B306" s="153" t="s">
        <v>1103</v>
      </c>
      <c r="C306" s="154">
        <v>300000000</v>
      </c>
      <c r="D306" s="353">
        <v>21140278295.52</v>
      </c>
      <c r="E306" s="126">
        <f t="shared" si="10"/>
        <v>1.4190920091320431</v>
      </c>
      <c r="F306" s="323"/>
      <c r="G306" s="323"/>
      <c r="H306" s="323"/>
      <c r="I306" s="323"/>
      <c r="J306" s="323"/>
      <c r="K306" s="323"/>
      <c r="L306" s="323"/>
      <c r="M306" s="323"/>
      <c r="N306" s="323"/>
    </row>
    <row r="307" spans="1:14" ht="15" customHeight="1">
      <c r="A307" s="335"/>
      <c r="B307" s="153"/>
      <c r="C307" s="370"/>
      <c r="D307" s="361"/>
      <c r="E307" s="346"/>
      <c r="F307" s="323"/>
      <c r="G307" s="323"/>
      <c r="H307" s="323"/>
      <c r="I307" s="323"/>
      <c r="J307" s="323"/>
      <c r="K307" s="323"/>
      <c r="L307" s="323"/>
      <c r="M307" s="323"/>
      <c r="N307" s="323"/>
    </row>
    <row r="308" spans="1:14" ht="21.75" customHeight="1">
      <c r="A308" s="335"/>
      <c r="B308" s="324" t="s">
        <v>642</v>
      </c>
      <c r="C308" s="371">
        <f>+C309</f>
        <v>9589900000</v>
      </c>
      <c r="D308" s="353">
        <v>21140278295.52</v>
      </c>
      <c r="E308" s="126">
        <f t="shared" ref="E308:E311" si="11">+C308/D308*100</f>
        <v>45.363168194584595</v>
      </c>
      <c r="F308" s="323"/>
      <c r="G308" s="323"/>
      <c r="H308" s="323"/>
      <c r="I308" s="323"/>
      <c r="J308" s="323"/>
      <c r="K308" s="323"/>
      <c r="L308" s="323"/>
      <c r="M308" s="323"/>
      <c r="N308" s="323"/>
    </row>
    <row r="309" spans="1:14" ht="21.75" customHeight="1">
      <c r="A309" s="335"/>
      <c r="B309" s="347" t="s">
        <v>595</v>
      </c>
      <c r="C309" s="372">
        <f>C310+C311</f>
        <v>9589900000</v>
      </c>
      <c r="D309" s="353">
        <v>21140278295.52</v>
      </c>
      <c r="E309" s="126">
        <f t="shared" si="11"/>
        <v>45.363168194584595</v>
      </c>
      <c r="F309" s="323"/>
      <c r="G309" s="323"/>
      <c r="H309" s="323"/>
      <c r="I309" s="323"/>
      <c r="J309" s="323"/>
      <c r="K309" s="323"/>
      <c r="L309" s="323"/>
      <c r="M309" s="323"/>
      <c r="N309" s="323"/>
    </row>
    <row r="310" spans="1:14" ht="40.15" customHeight="1">
      <c r="A310" s="335"/>
      <c r="B310" s="316" t="s">
        <v>1135</v>
      </c>
      <c r="C310" s="373">
        <v>9048900000</v>
      </c>
      <c r="D310" s="353">
        <v>21140278295.52</v>
      </c>
      <c r="E310" s="126">
        <f t="shared" si="11"/>
        <v>42.804072271449819</v>
      </c>
      <c r="F310" s="323"/>
      <c r="G310" s="323"/>
      <c r="H310" s="323"/>
      <c r="I310" s="323"/>
      <c r="J310" s="323"/>
      <c r="K310" s="323"/>
      <c r="L310" s="323"/>
      <c r="M310" s="323"/>
      <c r="N310" s="323"/>
    </row>
    <row r="311" spans="1:14" ht="34.5" customHeight="1">
      <c r="A311" s="335"/>
      <c r="B311" s="316" t="s">
        <v>1136</v>
      </c>
      <c r="C311" s="373">
        <v>541000000</v>
      </c>
      <c r="D311" s="353">
        <v>21140278295.52</v>
      </c>
      <c r="E311" s="126">
        <f t="shared" si="11"/>
        <v>2.5590959231347843</v>
      </c>
      <c r="F311" s="323"/>
      <c r="G311" s="323"/>
      <c r="H311" s="323"/>
      <c r="I311" s="323"/>
      <c r="J311" s="323"/>
      <c r="K311" s="323"/>
      <c r="L311" s="323"/>
      <c r="M311" s="323"/>
      <c r="N311" s="323"/>
    </row>
    <row r="312" spans="1:14" ht="15" customHeight="1">
      <c r="A312" s="315"/>
      <c r="B312" s="330"/>
      <c r="C312" s="332"/>
      <c r="D312" s="334"/>
      <c r="E312" s="333"/>
      <c r="F312" s="323"/>
      <c r="G312" s="323"/>
      <c r="H312" s="323"/>
      <c r="I312" s="323"/>
      <c r="J312" s="323"/>
      <c r="K312" s="323"/>
      <c r="L312" s="323"/>
      <c r="M312" s="323"/>
      <c r="N312" s="323"/>
    </row>
    <row r="313" spans="1:14" ht="21.75" customHeight="1">
      <c r="A313" s="335" t="s">
        <v>1163</v>
      </c>
      <c r="B313" s="150" t="s">
        <v>1164</v>
      </c>
      <c r="C313" s="337">
        <f>+C314</f>
        <v>9392950967.6599998</v>
      </c>
      <c r="D313" s="361">
        <f>+D314</f>
        <v>31309836558.849998</v>
      </c>
      <c r="E313" s="338">
        <f>+E314</f>
        <v>30.000000000015969</v>
      </c>
      <c r="F313" s="323"/>
      <c r="G313" s="323"/>
      <c r="H313" s="323"/>
      <c r="I313" s="323"/>
      <c r="J313" s="323"/>
      <c r="K313" s="323"/>
      <c r="L313" s="323"/>
      <c r="M313" s="323"/>
      <c r="N313" s="323"/>
    </row>
    <row r="314" spans="1:14" ht="21.75" customHeight="1">
      <c r="A314" s="315"/>
      <c r="B314" s="374" t="s">
        <v>444</v>
      </c>
      <c r="C314" s="158">
        <v>9392950967.6599998</v>
      </c>
      <c r="D314" s="353">
        <v>31309836558.849998</v>
      </c>
      <c r="E314" s="126">
        <f>+C314/D314*100</f>
        <v>30.000000000015969</v>
      </c>
      <c r="F314" s="323"/>
      <c r="G314" s="323"/>
      <c r="H314" s="323"/>
      <c r="I314" s="323"/>
      <c r="J314" s="323"/>
      <c r="K314" s="323"/>
      <c r="L314" s="323"/>
      <c r="M314" s="323"/>
      <c r="N314" s="323"/>
    </row>
    <row r="315" spans="1:14" ht="21.75" customHeight="1">
      <c r="A315" s="315"/>
      <c r="B315" s="374" t="s">
        <v>1165</v>
      </c>
      <c r="C315" s="158">
        <v>6506666671.6599998</v>
      </c>
      <c r="D315" s="353">
        <v>9392950967.6599998</v>
      </c>
      <c r="E315" s="126">
        <f>+C315/D315*100</f>
        <v>69.271804931831355</v>
      </c>
      <c r="F315" s="323"/>
      <c r="G315" s="323"/>
      <c r="H315" s="323"/>
      <c r="I315" s="323"/>
      <c r="J315" s="323"/>
      <c r="K315" s="323"/>
      <c r="L315" s="323"/>
      <c r="M315" s="323"/>
      <c r="N315" s="323"/>
    </row>
    <row r="316" spans="1:14" ht="21.75" customHeight="1">
      <c r="A316" s="315"/>
      <c r="B316" s="375" t="s">
        <v>1166</v>
      </c>
      <c r="C316" s="160">
        <v>4518000000</v>
      </c>
      <c r="D316" s="353">
        <v>9392950967.6599998</v>
      </c>
      <c r="E316" s="126">
        <f t="shared" ref="E316:E320" si="12">+C316/D316*100</f>
        <v>48.099899760527947</v>
      </c>
      <c r="F316" s="323"/>
      <c r="G316" s="323"/>
      <c r="H316" s="323"/>
      <c r="I316" s="323"/>
      <c r="J316" s="323"/>
      <c r="K316" s="323"/>
      <c r="L316" s="323"/>
      <c r="M316" s="323"/>
      <c r="N316" s="323"/>
    </row>
    <row r="317" spans="1:14" ht="21.75" customHeight="1">
      <c r="A317" s="315"/>
      <c r="B317" s="375" t="s">
        <v>1167</v>
      </c>
      <c r="C317" s="160">
        <v>1988666671.6600001</v>
      </c>
      <c r="D317" s="353">
        <v>9392950967.6599998</v>
      </c>
      <c r="E317" s="126">
        <f t="shared" si="12"/>
        <v>21.171905171303397</v>
      </c>
      <c r="F317" s="323"/>
      <c r="G317" s="323"/>
      <c r="H317" s="323"/>
      <c r="I317" s="323"/>
      <c r="J317" s="323"/>
      <c r="K317" s="323"/>
      <c r="L317" s="323"/>
      <c r="M317" s="323"/>
      <c r="N317" s="323"/>
    </row>
    <row r="318" spans="1:14" ht="21.75" customHeight="1">
      <c r="A318" s="315"/>
      <c r="B318" s="374" t="s">
        <v>1168</v>
      </c>
      <c r="C318" s="158">
        <v>2886284296</v>
      </c>
      <c r="D318" s="353">
        <v>9392950967.6599998</v>
      </c>
      <c r="E318" s="126">
        <f t="shared" si="12"/>
        <v>30.728195068168656</v>
      </c>
      <c r="F318" s="323"/>
      <c r="G318" s="323"/>
      <c r="H318" s="323"/>
      <c r="I318" s="323"/>
      <c r="J318" s="323"/>
      <c r="K318" s="323"/>
      <c r="L318" s="323"/>
      <c r="M318" s="323"/>
      <c r="N318" s="323"/>
    </row>
    <row r="319" spans="1:14" ht="21.75" customHeight="1">
      <c r="A319" s="315"/>
      <c r="B319" s="375" t="s">
        <v>1169</v>
      </c>
      <c r="C319" s="160">
        <v>1944000000</v>
      </c>
      <c r="D319" s="353">
        <v>9392950967.6599998</v>
      </c>
      <c r="E319" s="126">
        <f t="shared" si="12"/>
        <v>20.696371211701269</v>
      </c>
      <c r="F319" s="323"/>
      <c r="G319" s="323"/>
      <c r="H319" s="323"/>
      <c r="I319" s="323"/>
      <c r="J319" s="323"/>
      <c r="K319" s="323"/>
      <c r="L319" s="323"/>
      <c r="M319" s="323"/>
      <c r="N319" s="323"/>
    </row>
    <row r="320" spans="1:14" ht="21.75" customHeight="1">
      <c r="A320" s="315"/>
      <c r="B320" s="375" t="s">
        <v>1170</v>
      </c>
      <c r="C320" s="160">
        <v>942284296</v>
      </c>
      <c r="D320" s="353">
        <v>9392950967.6599998</v>
      </c>
      <c r="E320" s="126">
        <f t="shared" si="12"/>
        <v>10.031823856467385</v>
      </c>
      <c r="F320" s="323"/>
      <c r="G320" s="323"/>
      <c r="H320" s="323"/>
      <c r="I320" s="323"/>
      <c r="J320" s="323"/>
      <c r="K320" s="323"/>
      <c r="L320" s="323"/>
      <c r="M320" s="323"/>
      <c r="N320" s="323"/>
    </row>
    <row r="321" spans="1:14" ht="15" customHeight="1">
      <c r="A321" s="315"/>
      <c r="B321" s="330"/>
      <c r="C321" s="332"/>
      <c r="D321" s="334"/>
      <c r="E321" s="333"/>
      <c r="F321" s="323"/>
      <c r="G321" s="323"/>
      <c r="H321" s="323"/>
      <c r="I321" s="323"/>
      <c r="J321" s="323"/>
      <c r="K321" s="323"/>
      <c r="L321" s="323"/>
      <c r="M321" s="323"/>
      <c r="N321" s="323"/>
    </row>
    <row r="322" spans="1:14" ht="24.4" customHeight="1">
      <c r="A322" s="335" t="s">
        <v>1207</v>
      </c>
      <c r="B322" s="150" t="s">
        <v>2570</v>
      </c>
      <c r="C322" s="337">
        <f>+C323+C337</f>
        <v>33854425523</v>
      </c>
      <c r="D322" s="125">
        <v>59981998273.220001</v>
      </c>
      <c r="E322" s="376">
        <f>+C322/D322*100</f>
        <v>56.440976455622504</v>
      </c>
      <c r="F322" s="323"/>
      <c r="G322" s="323"/>
      <c r="H322" s="323"/>
      <c r="I322" s="323"/>
      <c r="J322" s="323"/>
      <c r="K322" s="323"/>
      <c r="L322" s="323"/>
      <c r="M322" s="323"/>
      <c r="N322" s="323"/>
    </row>
    <row r="323" spans="1:14" ht="21.75" customHeight="1">
      <c r="A323" s="315"/>
      <c r="B323" s="377" t="s">
        <v>767</v>
      </c>
      <c r="C323" s="378">
        <f>C324+C328+C332</f>
        <v>27724525523</v>
      </c>
      <c r="D323" s="125">
        <v>59981998273.220001</v>
      </c>
      <c r="E323" s="376">
        <f>+C323/D323*100</f>
        <v>46.221410291657612</v>
      </c>
      <c r="F323" s="323"/>
      <c r="G323" s="323"/>
      <c r="H323" s="323"/>
      <c r="I323" s="323"/>
      <c r="J323" s="323"/>
      <c r="K323" s="323"/>
      <c r="L323" s="323"/>
      <c r="M323" s="323"/>
      <c r="N323" s="323"/>
    </row>
    <row r="324" spans="1:14" ht="21.75" customHeight="1">
      <c r="A324" s="315"/>
      <c r="B324" s="377" t="s">
        <v>388</v>
      </c>
      <c r="C324" s="352">
        <f>SUM(C325:C327)</f>
        <v>4449669935</v>
      </c>
      <c r="D324" s="125">
        <v>59981998273.220001</v>
      </c>
      <c r="E324" s="376">
        <f t="shared" ref="E324:E341" si="13">+C324/D324*100</f>
        <v>7.4183422745131056</v>
      </c>
      <c r="F324" s="323"/>
      <c r="G324" s="323"/>
      <c r="H324" s="323"/>
      <c r="I324" s="323"/>
      <c r="J324" s="323"/>
      <c r="K324" s="323"/>
      <c r="L324" s="323"/>
      <c r="M324" s="323"/>
      <c r="N324" s="323"/>
    </row>
    <row r="325" spans="1:14" ht="21.75" customHeight="1">
      <c r="A325" s="315"/>
      <c r="B325" s="379" t="s">
        <v>1209</v>
      </c>
      <c r="C325" s="329">
        <v>113050000</v>
      </c>
      <c r="D325" s="125">
        <v>59981998273.220001</v>
      </c>
      <c r="E325" s="376">
        <f t="shared" si="13"/>
        <v>0.18847321405507947</v>
      </c>
      <c r="F325" s="323"/>
      <c r="G325" s="323"/>
      <c r="H325" s="323"/>
      <c r="I325" s="323"/>
      <c r="J325" s="323"/>
      <c r="K325" s="323"/>
      <c r="L325" s="323"/>
      <c r="M325" s="323"/>
      <c r="N325" s="323"/>
    </row>
    <row r="326" spans="1:14" ht="30" customHeight="1">
      <c r="A326" s="315"/>
      <c r="B326" s="379" t="s">
        <v>1210</v>
      </c>
      <c r="C326" s="329">
        <v>342790000</v>
      </c>
      <c r="D326" s="125">
        <v>59981998273.220001</v>
      </c>
      <c r="E326" s="376">
        <f t="shared" si="13"/>
        <v>0.5714881295527704</v>
      </c>
      <c r="F326" s="323"/>
      <c r="G326" s="323"/>
      <c r="H326" s="323"/>
      <c r="I326" s="323"/>
      <c r="J326" s="323"/>
      <c r="K326" s="323"/>
      <c r="L326" s="323"/>
      <c r="M326" s="323"/>
      <c r="N326" s="323"/>
    </row>
    <row r="327" spans="1:14" ht="21.75" customHeight="1">
      <c r="A327" s="315"/>
      <c r="B327" s="379" t="s">
        <v>1211</v>
      </c>
      <c r="C327" s="329">
        <v>3993829935</v>
      </c>
      <c r="D327" s="125">
        <v>59981998273.220001</v>
      </c>
      <c r="E327" s="376">
        <f t="shared" si="13"/>
        <v>6.6583809309052553</v>
      </c>
      <c r="F327" s="323"/>
      <c r="G327" s="323"/>
      <c r="H327" s="323"/>
      <c r="I327" s="323"/>
      <c r="J327" s="323"/>
      <c r="K327" s="323"/>
      <c r="L327" s="323"/>
      <c r="M327" s="323"/>
      <c r="N327" s="323"/>
    </row>
    <row r="328" spans="1:14" ht="21.75" customHeight="1">
      <c r="A328" s="315"/>
      <c r="B328" s="377" t="s">
        <v>1212</v>
      </c>
      <c r="C328" s="380">
        <f>SUM(C329:C331)</f>
        <v>17479968888</v>
      </c>
      <c r="D328" s="125">
        <v>59981998273.220001</v>
      </c>
      <c r="E328" s="376">
        <f t="shared" si="13"/>
        <v>29.142024926175615</v>
      </c>
      <c r="F328" s="323"/>
      <c r="G328" s="323"/>
      <c r="H328" s="323"/>
      <c r="I328" s="323"/>
      <c r="J328" s="323"/>
      <c r="K328" s="323"/>
      <c r="L328" s="323"/>
      <c r="M328" s="323"/>
      <c r="N328" s="323"/>
    </row>
    <row r="329" spans="1:14" ht="21.75" customHeight="1">
      <c r="A329" s="315"/>
      <c r="B329" s="381" t="s">
        <v>1213</v>
      </c>
      <c r="C329" s="382">
        <v>7537015800</v>
      </c>
      <c r="D329" s="125">
        <v>59981998273.220001</v>
      </c>
      <c r="E329" s="376">
        <f t="shared" si="13"/>
        <v>12.565463000529995</v>
      </c>
      <c r="F329" s="323"/>
      <c r="G329" s="323"/>
      <c r="H329" s="323"/>
      <c r="I329" s="323"/>
      <c r="J329" s="323"/>
      <c r="K329" s="323"/>
      <c r="L329" s="323"/>
      <c r="M329" s="323"/>
      <c r="N329" s="323"/>
    </row>
    <row r="330" spans="1:14" ht="21.75" customHeight="1">
      <c r="A330" s="315"/>
      <c r="B330" s="379" t="s">
        <v>1214</v>
      </c>
      <c r="C330" s="382">
        <v>5621225888</v>
      </c>
      <c r="D330" s="125">
        <v>59981998273.220001</v>
      </c>
      <c r="E330" s="376">
        <f t="shared" si="13"/>
        <v>9.3715215395044495</v>
      </c>
      <c r="F330" s="323"/>
      <c r="G330" s="323"/>
      <c r="H330" s="323"/>
      <c r="I330" s="323"/>
      <c r="J330" s="323"/>
      <c r="K330" s="323"/>
      <c r="L330" s="323"/>
      <c r="M330" s="323"/>
      <c r="N330" s="323"/>
    </row>
    <row r="331" spans="1:14" ht="21.75" customHeight="1">
      <c r="A331" s="315"/>
      <c r="B331" s="379" t="s">
        <v>1215</v>
      </c>
      <c r="C331" s="382">
        <v>4321727200</v>
      </c>
      <c r="D331" s="125">
        <v>59981998273.220001</v>
      </c>
      <c r="E331" s="376">
        <f t="shared" si="13"/>
        <v>7.2050403861411692</v>
      </c>
      <c r="F331" s="323"/>
      <c r="G331" s="323"/>
      <c r="H331" s="323"/>
      <c r="I331" s="323"/>
      <c r="J331" s="323"/>
      <c r="K331" s="323"/>
      <c r="L331" s="323"/>
      <c r="M331" s="323"/>
      <c r="N331" s="323"/>
    </row>
    <row r="332" spans="1:14" ht="21.75" customHeight="1">
      <c r="A332" s="315"/>
      <c r="B332" s="377" t="s">
        <v>1216</v>
      </c>
      <c r="C332" s="380">
        <f>SUM(C333:C335)</f>
        <v>5794886700</v>
      </c>
      <c r="D332" s="125">
        <v>59981998273.220001</v>
      </c>
      <c r="E332" s="376">
        <f t="shared" si="13"/>
        <v>9.6610430909688905</v>
      </c>
      <c r="F332" s="323"/>
      <c r="G332" s="323"/>
      <c r="H332" s="323"/>
      <c r="I332" s="323"/>
      <c r="J332" s="323"/>
      <c r="K332" s="323"/>
      <c r="L332" s="323"/>
      <c r="M332" s="323"/>
      <c r="N332" s="323"/>
    </row>
    <row r="333" spans="1:14" ht="33" customHeight="1">
      <c r="A333" s="315"/>
      <c r="B333" s="379" t="s">
        <v>1217</v>
      </c>
      <c r="C333" s="382">
        <v>1314741200</v>
      </c>
      <c r="D333" s="125">
        <v>59981998273.220001</v>
      </c>
      <c r="E333" s="376">
        <f t="shared" si="13"/>
        <v>2.1918929643045737</v>
      </c>
      <c r="F333" s="323"/>
      <c r="G333" s="323"/>
      <c r="H333" s="323"/>
      <c r="I333" s="323"/>
      <c r="J333" s="323"/>
      <c r="K333" s="323"/>
      <c r="L333" s="323"/>
      <c r="M333" s="323"/>
      <c r="N333" s="323"/>
    </row>
    <row r="334" spans="1:14" ht="21.75" customHeight="1">
      <c r="A334" s="315"/>
      <c r="B334" s="379" t="s">
        <v>1218</v>
      </c>
      <c r="C334" s="382">
        <v>1608210000</v>
      </c>
      <c r="D334" s="125">
        <v>59981998273.220001</v>
      </c>
      <c r="E334" s="376">
        <f t="shared" si="13"/>
        <v>2.6811544234897773</v>
      </c>
      <c r="F334" s="323"/>
      <c r="G334" s="323"/>
      <c r="H334" s="323"/>
      <c r="I334" s="323"/>
      <c r="J334" s="323"/>
      <c r="K334" s="323"/>
      <c r="L334" s="323"/>
      <c r="M334" s="323"/>
      <c r="N334" s="323"/>
    </row>
    <row r="335" spans="1:14" ht="21.75" customHeight="1">
      <c r="A335" s="315"/>
      <c r="B335" s="379" t="s">
        <v>1215</v>
      </c>
      <c r="C335" s="382">
        <v>2871935500</v>
      </c>
      <c r="D335" s="125">
        <v>59981998273.220001</v>
      </c>
      <c r="E335" s="376">
        <f t="shared" si="13"/>
        <v>4.7879957031745395</v>
      </c>
      <c r="F335" s="323"/>
      <c r="G335" s="323"/>
      <c r="H335" s="323"/>
      <c r="I335" s="323"/>
      <c r="J335" s="323"/>
      <c r="K335" s="323"/>
      <c r="L335" s="323"/>
      <c r="M335" s="323"/>
      <c r="N335" s="323"/>
    </row>
    <row r="336" spans="1:14" ht="21.75" customHeight="1">
      <c r="A336" s="315"/>
      <c r="B336" s="379"/>
      <c r="C336" s="382"/>
      <c r="D336" s="125"/>
      <c r="E336" s="376"/>
      <c r="F336" s="323"/>
      <c r="G336" s="323"/>
      <c r="H336" s="323"/>
      <c r="I336" s="323"/>
      <c r="J336" s="323"/>
      <c r="K336" s="323"/>
      <c r="L336" s="323"/>
      <c r="M336" s="323"/>
      <c r="N336" s="323"/>
    </row>
    <row r="337" spans="1:14" ht="21.75" customHeight="1">
      <c r="A337" s="315"/>
      <c r="B337" s="383" t="s">
        <v>1219</v>
      </c>
      <c r="C337" s="380">
        <f>C338</f>
        <v>6129900000</v>
      </c>
      <c r="D337" s="125">
        <v>59981998273.220001</v>
      </c>
      <c r="E337" s="376">
        <f t="shared" si="13"/>
        <v>10.219566163964897</v>
      </c>
      <c r="F337" s="323"/>
      <c r="G337" s="323"/>
      <c r="H337" s="323"/>
      <c r="I337" s="323"/>
      <c r="J337" s="323"/>
      <c r="K337" s="323"/>
      <c r="L337" s="323"/>
      <c r="M337" s="323"/>
      <c r="N337" s="323"/>
    </row>
    <row r="338" spans="1:14" ht="21.75" customHeight="1">
      <c r="A338" s="315"/>
      <c r="B338" s="383" t="s">
        <v>564</v>
      </c>
      <c r="C338" s="380">
        <f>C339</f>
        <v>6129900000</v>
      </c>
      <c r="D338" s="125">
        <v>59981998273.220001</v>
      </c>
      <c r="E338" s="376">
        <f t="shared" si="13"/>
        <v>10.219566163964897</v>
      </c>
      <c r="F338" s="323"/>
      <c r="G338" s="323"/>
      <c r="H338" s="323"/>
      <c r="I338" s="323"/>
      <c r="J338" s="323"/>
      <c r="K338" s="323"/>
      <c r="L338" s="323"/>
      <c r="M338" s="323"/>
      <c r="N338" s="323"/>
    </row>
    <row r="339" spans="1:14" ht="21.75" customHeight="1">
      <c r="A339" s="315"/>
      <c r="B339" s="383" t="s">
        <v>377</v>
      </c>
      <c r="C339" s="380">
        <f>SUM(C340:C341)</f>
        <v>6129900000</v>
      </c>
      <c r="D339" s="125">
        <v>59981998273.220001</v>
      </c>
      <c r="E339" s="376">
        <f t="shared" si="13"/>
        <v>10.219566163964897</v>
      </c>
      <c r="F339" s="323"/>
      <c r="G339" s="323"/>
      <c r="H339" s="323"/>
      <c r="I339" s="323"/>
      <c r="J339" s="323"/>
      <c r="K339" s="323"/>
      <c r="L339" s="323"/>
      <c r="M339" s="323"/>
      <c r="N339" s="323"/>
    </row>
    <row r="340" spans="1:14" ht="24.4" customHeight="1">
      <c r="A340" s="315"/>
      <c r="B340" s="379" t="s">
        <v>1220</v>
      </c>
      <c r="C340" s="382">
        <v>1680000000</v>
      </c>
      <c r="D340" s="125">
        <v>59981998273.220001</v>
      </c>
      <c r="E340" s="376">
        <f t="shared" si="13"/>
        <v>2.8008403327070632</v>
      </c>
      <c r="F340" s="323"/>
      <c r="G340" s="323"/>
      <c r="H340" s="323"/>
      <c r="I340" s="323"/>
      <c r="J340" s="323"/>
      <c r="K340" s="323"/>
      <c r="L340" s="323"/>
      <c r="M340" s="323"/>
      <c r="N340" s="323"/>
    </row>
    <row r="341" spans="1:14" ht="36" customHeight="1">
      <c r="A341" s="315"/>
      <c r="B341" s="384" t="s">
        <v>1221</v>
      </c>
      <c r="C341" s="382">
        <v>4449900000</v>
      </c>
      <c r="D341" s="125">
        <v>59981998273.220001</v>
      </c>
      <c r="E341" s="376">
        <f t="shared" si="13"/>
        <v>7.4187258312578326</v>
      </c>
      <c r="F341" s="323"/>
      <c r="G341" s="323"/>
      <c r="H341" s="323"/>
      <c r="I341" s="323"/>
      <c r="J341" s="323"/>
      <c r="K341" s="323"/>
      <c r="L341" s="323"/>
      <c r="M341" s="323"/>
      <c r="N341" s="323"/>
    </row>
    <row r="342" spans="1:14" ht="15" customHeight="1">
      <c r="A342" s="315"/>
      <c r="B342" s="330"/>
      <c r="C342" s="332"/>
      <c r="D342" s="334"/>
      <c r="E342" s="333"/>
      <c r="F342" s="323"/>
      <c r="G342" s="323"/>
      <c r="H342" s="323"/>
      <c r="I342" s="323"/>
      <c r="J342" s="323"/>
      <c r="K342" s="323"/>
      <c r="L342" s="323"/>
      <c r="M342" s="323"/>
      <c r="N342" s="323"/>
    </row>
    <row r="343" spans="1:14" s="117" customFormat="1" ht="21.75" customHeight="1">
      <c r="A343" s="260">
        <v>11</v>
      </c>
      <c r="B343" s="121" t="s">
        <v>1242</v>
      </c>
      <c r="C343" s="129">
        <v>61685777431.099998</v>
      </c>
      <c r="D343" s="385">
        <v>1557405258400.0002</v>
      </c>
      <c r="E343" s="127">
        <v>3.9608044918554381</v>
      </c>
      <c r="F343" s="121"/>
      <c r="G343" s="121"/>
      <c r="H343" s="121"/>
      <c r="I343" s="121"/>
      <c r="J343" s="121"/>
      <c r="K343" s="121"/>
      <c r="L343" s="121"/>
      <c r="M343" s="121"/>
      <c r="N343" s="121"/>
    </row>
    <row r="344" spans="1:14" ht="21.75" customHeight="1">
      <c r="A344" s="315"/>
      <c r="B344" s="339" t="s">
        <v>1243</v>
      </c>
      <c r="C344" s="386">
        <v>41038700000</v>
      </c>
      <c r="D344" s="125">
        <v>61685777431.099998</v>
      </c>
      <c r="E344" s="126">
        <v>66.528625736845498</v>
      </c>
      <c r="F344" s="323"/>
      <c r="G344" s="323"/>
      <c r="H344" s="323"/>
      <c r="I344" s="323"/>
      <c r="J344" s="323"/>
      <c r="K344" s="323"/>
      <c r="L344" s="323"/>
      <c r="M344" s="323"/>
      <c r="N344" s="323"/>
    </row>
    <row r="345" spans="1:14" ht="21.75" customHeight="1">
      <c r="A345" s="315"/>
      <c r="B345" s="339" t="s">
        <v>1244</v>
      </c>
      <c r="C345" s="386">
        <v>3092753600</v>
      </c>
      <c r="D345" s="125">
        <v>61685777431.099998</v>
      </c>
      <c r="E345" s="126">
        <v>5.0137223340574</v>
      </c>
      <c r="F345" s="323"/>
      <c r="G345" s="323"/>
      <c r="H345" s="323"/>
      <c r="I345" s="323"/>
      <c r="J345" s="323"/>
      <c r="K345" s="323"/>
      <c r="L345" s="323"/>
      <c r="M345" s="323"/>
      <c r="N345" s="323"/>
    </row>
    <row r="346" spans="1:14" ht="21.75" customHeight="1">
      <c r="A346" s="315"/>
      <c r="B346" s="387" t="s">
        <v>1245</v>
      </c>
      <c r="C346" s="388">
        <v>787500000</v>
      </c>
      <c r="D346" s="125">
        <v>61685777431.099998</v>
      </c>
      <c r="E346" s="126">
        <v>1.2766313934838529</v>
      </c>
      <c r="F346" s="323"/>
      <c r="G346" s="323"/>
      <c r="H346" s="323"/>
      <c r="I346" s="323"/>
      <c r="J346" s="323"/>
      <c r="K346" s="323"/>
      <c r="L346" s="323"/>
      <c r="M346" s="323"/>
      <c r="N346" s="323"/>
    </row>
    <row r="347" spans="1:14" ht="21.75" customHeight="1">
      <c r="A347" s="315"/>
      <c r="B347" s="387" t="s">
        <v>1246</v>
      </c>
      <c r="C347" s="388">
        <v>480000000</v>
      </c>
      <c r="D347" s="125">
        <v>61685777431.099998</v>
      </c>
      <c r="E347" s="126">
        <v>0.77813723031396753</v>
      </c>
      <c r="F347" s="323"/>
      <c r="G347" s="323"/>
      <c r="H347" s="323"/>
      <c r="I347" s="323"/>
      <c r="J347" s="323"/>
      <c r="K347" s="323"/>
      <c r="L347" s="323"/>
      <c r="M347" s="323"/>
      <c r="N347" s="323"/>
    </row>
    <row r="348" spans="1:14" ht="21.75" customHeight="1">
      <c r="A348" s="315"/>
      <c r="B348" s="389" t="s">
        <v>1247</v>
      </c>
      <c r="C348" s="388">
        <v>420000900</v>
      </c>
      <c r="D348" s="125">
        <v>61685777431.099998</v>
      </c>
      <c r="E348" s="126">
        <v>0.68087153553202839</v>
      </c>
      <c r="F348" s="323"/>
      <c r="G348" s="323"/>
      <c r="H348" s="323"/>
      <c r="I348" s="323"/>
      <c r="J348" s="323"/>
      <c r="K348" s="323"/>
      <c r="L348" s="323"/>
      <c r="M348" s="323"/>
      <c r="N348" s="323"/>
    </row>
    <row r="349" spans="1:14" ht="21.75" customHeight="1">
      <c r="A349" s="315"/>
      <c r="B349" s="387" t="s">
        <v>1248</v>
      </c>
      <c r="C349" s="388">
        <v>1050000000</v>
      </c>
      <c r="D349" s="125">
        <v>61685777431.099998</v>
      </c>
      <c r="E349" s="126">
        <v>1.7021751913118042</v>
      </c>
      <c r="F349" s="323"/>
      <c r="G349" s="323"/>
      <c r="H349" s="323"/>
      <c r="I349" s="323"/>
      <c r="J349" s="323"/>
      <c r="K349" s="323"/>
      <c r="L349" s="323"/>
      <c r="M349" s="323"/>
      <c r="N349" s="323"/>
    </row>
    <row r="350" spans="1:14" ht="21.75" customHeight="1">
      <c r="A350" s="315"/>
      <c r="B350" s="387" t="s">
        <v>1249</v>
      </c>
      <c r="C350" s="388">
        <v>355252700</v>
      </c>
      <c r="D350" s="125">
        <v>61685777431.099998</v>
      </c>
      <c r="E350" s="126">
        <v>0.57590698341574753</v>
      </c>
      <c r="F350" s="323"/>
      <c r="G350" s="323"/>
      <c r="H350" s="323"/>
      <c r="I350" s="323"/>
      <c r="J350" s="323"/>
      <c r="K350" s="323"/>
      <c r="L350" s="323"/>
      <c r="M350" s="323"/>
      <c r="N350" s="323"/>
    </row>
    <row r="351" spans="1:14" ht="21.75" customHeight="1">
      <c r="A351" s="315"/>
      <c r="B351" s="339" t="s">
        <v>1250</v>
      </c>
      <c r="C351" s="386">
        <v>23990670618</v>
      </c>
      <c r="D351" s="125">
        <v>61685777431.099998</v>
      </c>
      <c r="E351" s="126">
        <v>38.891737475135834</v>
      </c>
      <c r="F351" s="323"/>
      <c r="G351" s="323"/>
      <c r="H351" s="323"/>
      <c r="I351" s="323"/>
      <c r="J351" s="323"/>
      <c r="K351" s="323"/>
      <c r="L351" s="323"/>
      <c r="M351" s="323"/>
      <c r="N351" s="323"/>
    </row>
    <row r="352" spans="1:14" ht="21.75" customHeight="1">
      <c r="A352" s="315"/>
      <c r="B352" s="387" t="s">
        <v>1251</v>
      </c>
      <c r="C352" s="388">
        <v>2340000000</v>
      </c>
      <c r="D352" s="125">
        <v>61685777431.099998</v>
      </c>
      <c r="E352" s="126">
        <v>3.7934189977805919</v>
      </c>
      <c r="F352" s="323"/>
      <c r="G352" s="323"/>
      <c r="H352" s="323"/>
      <c r="I352" s="323"/>
      <c r="J352" s="323"/>
      <c r="K352" s="323"/>
      <c r="L352" s="323"/>
      <c r="M352" s="323"/>
      <c r="N352" s="323"/>
    </row>
    <row r="353" spans="1:14" ht="33.75" customHeight="1">
      <c r="A353" s="315"/>
      <c r="B353" s="387" t="s">
        <v>1252</v>
      </c>
      <c r="C353" s="388">
        <v>3886159200</v>
      </c>
      <c r="D353" s="125">
        <v>61685777431.099998</v>
      </c>
      <c r="E353" s="126">
        <v>6.2999274092648827</v>
      </c>
      <c r="F353" s="323"/>
      <c r="G353" s="323"/>
      <c r="H353" s="323"/>
      <c r="I353" s="323"/>
      <c r="J353" s="323"/>
      <c r="K353" s="323"/>
      <c r="L353" s="323"/>
      <c r="M353" s="323"/>
      <c r="N353" s="323"/>
    </row>
    <row r="354" spans="1:14" ht="21.75" customHeight="1">
      <c r="A354" s="315"/>
      <c r="B354" s="387" t="s">
        <v>1253</v>
      </c>
      <c r="C354" s="388">
        <v>4122003600</v>
      </c>
      <c r="D354" s="125">
        <v>61685777431.099998</v>
      </c>
      <c r="E354" s="126">
        <v>6.6822593013504239</v>
      </c>
      <c r="F354" s="323"/>
      <c r="G354" s="323"/>
      <c r="H354" s="323"/>
      <c r="I354" s="323"/>
      <c r="J354" s="323"/>
      <c r="K354" s="323"/>
      <c r="L354" s="323"/>
      <c r="M354" s="323"/>
      <c r="N354" s="323"/>
    </row>
    <row r="355" spans="1:14" ht="33" customHeight="1">
      <c r="A355" s="315"/>
      <c r="B355" s="387" t="s">
        <v>1254</v>
      </c>
      <c r="C355" s="388">
        <v>2152500000</v>
      </c>
      <c r="D355" s="125">
        <v>61685777431.099998</v>
      </c>
      <c r="E355" s="126">
        <v>3.4894591421891983</v>
      </c>
      <c r="F355" s="323"/>
      <c r="G355" s="323"/>
      <c r="H355" s="323"/>
      <c r="I355" s="323"/>
      <c r="J355" s="323"/>
      <c r="K355" s="323"/>
      <c r="L355" s="323"/>
      <c r="M355" s="323"/>
      <c r="N355" s="323"/>
    </row>
    <row r="356" spans="1:14" ht="21.75" customHeight="1">
      <c r="A356" s="315"/>
      <c r="B356" s="387" t="s">
        <v>1255</v>
      </c>
      <c r="C356" s="388">
        <v>5378643599.9700003</v>
      </c>
      <c r="D356" s="125">
        <v>61685777431.099998</v>
      </c>
      <c r="E356" s="126">
        <v>8.7194225702637578</v>
      </c>
      <c r="F356" s="323"/>
      <c r="G356" s="323"/>
      <c r="H356" s="323"/>
      <c r="I356" s="323"/>
      <c r="J356" s="323"/>
      <c r="K356" s="323"/>
      <c r="L356" s="323"/>
      <c r="M356" s="323"/>
      <c r="N356" s="323"/>
    </row>
    <row r="357" spans="1:14" ht="21.75" customHeight="1">
      <c r="A357" s="315"/>
      <c r="B357" s="387" t="s">
        <v>1256</v>
      </c>
      <c r="C357" s="388">
        <v>587400000</v>
      </c>
      <c r="D357" s="125">
        <v>61685777431.099998</v>
      </c>
      <c r="E357" s="126">
        <v>0.9522454355967177</v>
      </c>
      <c r="F357" s="323"/>
      <c r="G357" s="323"/>
      <c r="H357" s="323"/>
      <c r="I357" s="323"/>
      <c r="J357" s="323"/>
      <c r="K357" s="323"/>
      <c r="L357" s="323"/>
      <c r="M357" s="323"/>
      <c r="N357" s="323"/>
    </row>
    <row r="358" spans="1:14" ht="21.75" customHeight="1">
      <c r="A358" s="315"/>
      <c r="B358" s="387" t="s">
        <v>1257</v>
      </c>
      <c r="C358" s="388">
        <v>195182900</v>
      </c>
      <c r="D358" s="125">
        <v>61685777431.099998</v>
      </c>
      <c r="E358" s="126">
        <v>0.31641475252218354</v>
      </c>
      <c r="F358" s="323"/>
      <c r="G358" s="323"/>
      <c r="H358" s="323"/>
      <c r="I358" s="323"/>
      <c r="J358" s="323"/>
      <c r="K358" s="323"/>
      <c r="L358" s="323"/>
      <c r="M358" s="323"/>
      <c r="N358" s="323"/>
    </row>
    <row r="359" spans="1:14" ht="21.75" customHeight="1">
      <c r="A359" s="315"/>
      <c r="B359" s="387" t="s">
        <v>1258</v>
      </c>
      <c r="C359" s="388">
        <v>5328781318.0299997</v>
      </c>
      <c r="D359" s="125">
        <v>61685777431.099998</v>
      </c>
      <c r="E359" s="126">
        <v>8.6385898661680791</v>
      </c>
      <c r="F359" s="323"/>
      <c r="G359" s="323"/>
      <c r="H359" s="323"/>
      <c r="I359" s="323"/>
      <c r="J359" s="323"/>
      <c r="K359" s="323"/>
      <c r="L359" s="323"/>
      <c r="M359" s="323"/>
      <c r="N359" s="323"/>
    </row>
    <row r="360" spans="1:14" ht="21.75" customHeight="1">
      <c r="A360" s="315"/>
      <c r="B360" s="339" t="s">
        <v>1259</v>
      </c>
      <c r="C360" s="386">
        <v>5515000655</v>
      </c>
      <c r="D360" s="125">
        <v>61685777431.099998</v>
      </c>
      <c r="E360" s="126">
        <v>8.9404736142946177</v>
      </c>
      <c r="F360" s="323"/>
      <c r="G360" s="323"/>
      <c r="H360" s="323"/>
      <c r="I360" s="323"/>
      <c r="J360" s="323"/>
      <c r="K360" s="323"/>
      <c r="L360" s="323"/>
      <c r="M360" s="323"/>
      <c r="N360" s="323"/>
    </row>
    <row r="361" spans="1:14" ht="21.75" customHeight="1">
      <c r="A361" s="315"/>
      <c r="B361" s="387" t="s">
        <v>1260</v>
      </c>
      <c r="C361" s="388">
        <v>2880000000</v>
      </c>
      <c r="D361" s="125">
        <v>61685777431.099998</v>
      </c>
      <c r="E361" s="126">
        <v>4.6688233818838052</v>
      </c>
      <c r="F361" s="323"/>
      <c r="G361" s="323"/>
      <c r="H361" s="323"/>
      <c r="I361" s="323"/>
      <c r="J361" s="323"/>
      <c r="K361" s="323"/>
      <c r="L361" s="323"/>
      <c r="M361" s="323"/>
      <c r="N361" s="323"/>
    </row>
    <row r="362" spans="1:14" ht="21.75" customHeight="1">
      <c r="A362" s="315"/>
      <c r="B362" s="387" t="s">
        <v>1261</v>
      </c>
      <c r="C362" s="388">
        <v>687000000</v>
      </c>
      <c r="D362" s="125">
        <v>61685777431.099998</v>
      </c>
      <c r="E362" s="126">
        <v>1.1137089108868661</v>
      </c>
      <c r="F362" s="323"/>
      <c r="G362" s="323"/>
      <c r="H362" s="323"/>
      <c r="I362" s="323"/>
      <c r="J362" s="323"/>
      <c r="K362" s="323"/>
      <c r="L362" s="323"/>
      <c r="M362" s="323"/>
      <c r="N362" s="323"/>
    </row>
    <row r="363" spans="1:14" ht="38.25" customHeight="1">
      <c r="A363" s="315"/>
      <c r="B363" s="387" t="s">
        <v>1254</v>
      </c>
      <c r="C363" s="388">
        <v>185800655</v>
      </c>
      <c r="D363" s="125">
        <v>61685777431.099998</v>
      </c>
      <c r="E363" s="126">
        <v>0.3012050147337938</v>
      </c>
      <c r="F363" s="323"/>
      <c r="G363" s="323"/>
      <c r="H363" s="323"/>
      <c r="I363" s="323"/>
      <c r="J363" s="323"/>
      <c r="K363" s="323"/>
      <c r="L363" s="323"/>
      <c r="M363" s="323"/>
      <c r="N363" s="323"/>
    </row>
    <row r="364" spans="1:14" ht="29.45" customHeight="1">
      <c r="A364" s="315"/>
      <c r="B364" s="387" t="s">
        <v>1262</v>
      </c>
      <c r="C364" s="388">
        <v>1762200000</v>
      </c>
      <c r="D364" s="125">
        <v>61685777431.099998</v>
      </c>
      <c r="E364" s="126">
        <v>2.8567363067901534</v>
      </c>
      <c r="F364" s="323"/>
      <c r="G364" s="323"/>
      <c r="H364" s="323"/>
      <c r="I364" s="323"/>
      <c r="J364" s="323"/>
      <c r="K364" s="323"/>
      <c r="L364" s="323"/>
      <c r="M364" s="323"/>
      <c r="N364" s="323"/>
    </row>
    <row r="365" spans="1:14" ht="21.75" customHeight="1">
      <c r="A365" s="315"/>
      <c r="B365" s="339" t="s">
        <v>779</v>
      </c>
      <c r="C365" s="386">
        <v>1786800000</v>
      </c>
      <c r="D365" s="125">
        <v>61685777431.099998</v>
      </c>
      <c r="E365" s="126">
        <v>2.896615839843744</v>
      </c>
      <c r="F365" s="323"/>
      <c r="G365" s="323"/>
      <c r="H365" s="323"/>
      <c r="I365" s="323"/>
      <c r="J365" s="323"/>
      <c r="K365" s="323"/>
      <c r="L365" s="323"/>
      <c r="M365" s="323"/>
      <c r="N365" s="323"/>
    </row>
    <row r="366" spans="1:14" ht="21.75" customHeight="1">
      <c r="A366" s="315"/>
      <c r="B366" s="387" t="s">
        <v>1263</v>
      </c>
      <c r="C366" s="388">
        <v>612000000</v>
      </c>
      <c r="D366" s="125">
        <v>61685777431.099998</v>
      </c>
      <c r="E366" s="126">
        <v>0.99212496865030853</v>
      </c>
      <c r="F366" s="323"/>
      <c r="G366" s="323"/>
      <c r="H366" s="323"/>
      <c r="I366" s="323"/>
      <c r="J366" s="323"/>
      <c r="K366" s="323"/>
      <c r="L366" s="323"/>
      <c r="M366" s="323"/>
      <c r="N366" s="323"/>
    </row>
    <row r="367" spans="1:14" ht="34.5" customHeight="1">
      <c r="A367" s="315"/>
      <c r="B367" s="387" t="s">
        <v>1264</v>
      </c>
      <c r="C367" s="388">
        <v>1174800000</v>
      </c>
      <c r="D367" s="125">
        <v>61685777431.099998</v>
      </c>
      <c r="E367" s="126">
        <v>1.9044908711934354</v>
      </c>
      <c r="F367" s="323"/>
      <c r="G367" s="323"/>
      <c r="H367" s="323"/>
      <c r="I367" s="323"/>
      <c r="J367" s="323"/>
      <c r="K367" s="323"/>
      <c r="L367" s="323"/>
      <c r="M367" s="323"/>
      <c r="N367" s="323"/>
    </row>
    <row r="368" spans="1:14" ht="21.75" customHeight="1">
      <c r="A368" s="315"/>
      <c r="B368" s="390" t="s">
        <v>783</v>
      </c>
      <c r="C368" s="386">
        <v>2550675127</v>
      </c>
      <c r="D368" s="125">
        <v>61685777431.099998</v>
      </c>
      <c r="E368" s="126">
        <v>4.1349484974052242</v>
      </c>
      <c r="F368" s="323"/>
      <c r="G368" s="323"/>
      <c r="H368" s="323"/>
      <c r="I368" s="323"/>
      <c r="J368" s="323"/>
      <c r="K368" s="323"/>
      <c r="L368" s="323"/>
      <c r="M368" s="323"/>
      <c r="N368" s="323"/>
    </row>
    <row r="369" spans="1:14" ht="21.75" customHeight="1">
      <c r="A369" s="315"/>
      <c r="B369" s="387" t="s">
        <v>1260</v>
      </c>
      <c r="C369" s="388">
        <v>900000000</v>
      </c>
      <c r="D369" s="125">
        <v>61685777431.099998</v>
      </c>
      <c r="E369" s="126">
        <v>1.4590073068386893</v>
      </c>
      <c r="F369" s="323"/>
      <c r="G369" s="323"/>
      <c r="H369" s="323"/>
      <c r="I369" s="323"/>
      <c r="J369" s="323"/>
      <c r="K369" s="323"/>
      <c r="L369" s="323"/>
      <c r="M369" s="323"/>
      <c r="N369" s="323"/>
    </row>
    <row r="370" spans="1:14" ht="21.75" customHeight="1">
      <c r="A370" s="315"/>
      <c r="B370" s="387" t="s">
        <v>1265</v>
      </c>
      <c r="C370" s="388">
        <v>400000000</v>
      </c>
      <c r="D370" s="125">
        <v>61685777431.099998</v>
      </c>
      <c r="E370" s="126">
        <v>0.64844769192830631</v>
      </c>
      <c r="F370" s="323"/>
      <c r="G370" s="323"/>
      <c r="H370" s="323"/>
      <c r="I370" s="323"/>
      <c r="J370" s="323"/>
      <c r="K370" s="323"/>
      <c r="L370" s="323"/>
      <c r="M370" s="323"/>
      <c r="N370" s="323"/>
    </row>
    <row r="371" spans="1:14" ht="21.75" customHeight="1">
      <c r="A371" s="315"/>
      <c r="B371" s="387" t="s">
        <v>777</v>
      </c>
      <c r="C371" s="388">
        <v>467475127</v>
      </c>
      <c r="D371" s="125">
        <v>61685777431.099998</v>
      </c>
      <c r="E371" s="126">
        <v>0.75783291784260465</v>
      </c>
      <c r="F371" s="323"/>
      <c r="G371" s="323"/>
      <c r="H371" s="323"/>
      <c r="I371" s="323"/>
      <c r="J371" s="323"/>
      <c r="K371" s="323"/>
      <c r="L371" s="323"/>
      <c r="M371" s="323"/>
      <c r="N371" s="323"/>
    </row>
    <row r="372" spans="1:14" ht="30" customHeight="1">
      <c r="A372" s="315"/>
      <c r="B372" s="387" t="s">
        <v>1266</v>
      </c>
      <c r="C372" s="388">
        <v>783200000</v>
      </c>
      <c r="D372" s="125">
        <v>61685777431.099998</v>
      </c>
      <c r="E372" s="126">
        <v>1.2696605807956236</v>
      </c>
      <c r="F372" s="323"/>
      <c r="G372" s="323"/>
      <c r="H372" s="323"/>
      <c r="I372" s="323"/>
      <c r="J372" s="323"/>
      <c r="K372" s="323"/>
      <c r="L372" s="323"/>
      <c r="M372" s="323"/>
      <c r="N372" s="323"/>
    </row>
    <row r="373" spans="1:14" ht="21.75" customHeight="1">
      <c r="A373" s="315"/>
      <c r="B373" s="390" t="s">
        <v>595</v>
      </c>
      <c r="C373" s="386">
        <v>4102800000</v>
      </c>
      <c r="D373" s="125">
        <v>61685777431.099998</v>
      </c>
      <c r="E373" s="126">
        <v>6.6511279761086382</v>
      </c>
      <c r="F373" s="323"/>
      <c r="G373" s="323"/>
      <c r="H373" s="323"/>
      <c r="I373" s="323"/>
      <c r="J373" s="323"/>
      <c r="K373" s="323"/>
      <c r="L373" s="323"/>
      <c r="M373" s="323"/>
      <c r="N373" s="323"/>
    </row>
    <row r="374" spans="1:14" ht="33.75" customHeight="1">
      <c r="A374" s="315"/>
      <c r="B374" s="387" t="s">
        <v>1267</v>
      </c>
      <c r="C374" s="388">
        <v>4102800000</v>
      </c>
      <c r="D374" s="125">
        <v>61685777431.099998</v>
      </c>
      <c r="E374" s="126">
        <v>6.6511279761086382</v>
      </c>
      <c r="F374" s="323"/>
      <c r="G374" s="323"/>
      <c r="H374" s="323"/>
      <c r="I374" s="323"/>
      <c r="J374" s="323"/>
      <c r="K374" s="323"/>
      <c r="L374" s="323"/>
      <c r="M374" s="323"/>
      <c r="N374" s="323"/>
    </row>
    <row r="375" spans="1:14" ht="15" customHeight="1">
      <c r="A375" s="315"/>
      <c r="B375" s="330"/>
      <c r="C375" s="332"/>
      <c r="D375" s="334"/>
      <c r="E375" s="333"/>
      <c r="F375" s="323"/>
      <c r="G375" s="323"/>
      <c r="H375" s="323"/>
      <c r="I375" s="323"/>
      <c r="J375" s="323"/>
      <c r="K375" s="323"/>
      <c r="L375" s="323"/>
      <c r="M375" s="323"/>
      <c r="N375" s="323"/>
    </row>
    <row r="376" spans="1:14" s="314" customFormat="1" ht="21.75" customHeight="1">
      <c r="A376" s="315">
        <v>12</v>
      </c>
      <c r="B376" s="150" t="s">
        <v>1315</v>
      </c>
      <c r="C376" s="337">
        <f>+C377+C384</f>
        <v>18581820186.599998</v>
      </c>
      <c r="D376" s="361">
        <v>61939361529.599998</v>
      </c>
      <c r="E376" s="338">
        <f>+C376/D376*100</f>
        <v>30.000018934195815</v>
      </c>
      <c r="F376" s="319"/>
      <c r="G376" s="319"/>
      <c r="H376" s="319"/>
      <c r="I376" s="319"/>
      <c r="J376" s="319"/>
      <c r="K376" s="319"/>
      <c r="L376" s="319"/>
      <c r="M376" s="319"/>
      <c r="N376" s="319"/>
    </row>
    <row r="377" spans="1:14" ht="21.75" customHeight="1">
      <c r="A377" s="315"/>
      <c r="B377" s="347" t="s">
        <v>64</v>
      </c>
      <c r="C377" s="391">
        <f>+C378+C381</f>
        <v>12257120186.6</v>
      </c>
      <c r="D377" s="337">
        <v>18581820186.599998</v>
      </c>
      <c r="E377" s="126">
        <f>+C377/D377*100</f>
        <v>65.962968447187095</v>
      </c>
      <c r="F377" s="323"/>
      <c r="G377" s="323"/>
      <c r="H377" s="323"/>
      <c r="I377" s="323"/>
      <c r="J377" s="323"/>
      <c r="K377" s="323"/>
      <c r="L377" s="323"/>
      <c r="M377" s="323"/>
      <c r="N377" s="323"/>
    </row>
    <row r="378" spans="1:14" ht="21.75" customHeight="1">
      <c r="A378" s="315"/>
      <c r="B378" s="347" t="s">
        <v>1085</v>
      </c>
      <c r="C378" s="391">
        <v>9995270186.6000004</v>
      </c>
      <c r="D378" s="337">
        <v>18581820186.599998</v>
      </c>
      <c r="E378" s="126">
        <f t="shared" ref="E378:E382" si="14">+C378/D378*100</f>
        <v>53.790587177288153</v>
      </c>
      <c r="F378" s="323"/>
      <c r="G378" s="323"/>
      <c r="H378" s="323"/>
      <c r="I378" s="323"/>
      <c r="J378" s="323"/>
      <c r="K378" s="323"/>
      <c r="L378" s="323"/>
      <c r="M378" s="323"/>
      <c r="N378" s="323"/>
    </row>
    <row r="379" spans="1:14" ht="21.75" customHeight="1">
      <c r="A379" s="320"/>
      <c r="B379" s="316" t="s">
        <v>2571</v>
      </c>
      <c r="C379" s="392">
        <v>3798000000</v>
      </c>
      <c r="D379" s="337">
        <v>18581820186.599998</v>
      </c>
      <c r="E379" s="126">
        <f t="shared" si="14"/>
        <v>20.439332432776798</v>
      </c>
      <c r="F379" s="323"/>
      <c r="G379" s="323"/>
      <c r="H379" s="323"/>
      <c r="I379" s="323"/>
      <c r="J379" s="323"/>
      <c r="K379" s="323"/>
      <c r="L379" s="323"/>
      <c r="M379" s="323"/>
      <c r="N379" s="323"/>
    </row>
    <row r="380" spans="1:14" ht="21.75" customHeight="1">
      <c r="A380" s="320"/>
      <c r="B380" s="316" t="s">
        <v>2572</v>
      </c>
      <c r="C380" s="392">
        <v>6197270186.6000004</v>
      </c>
      <c r="D380" s="337">
        <v>18581820186.599998</v>
      </c>
      <c r="E380" s="126">
        <f t="shared" si="14"/>
        <v>33.351254744511358</v>
      </c>
      <c r="F380" s="323"/>
      <c r="G380" s="323"/>
      <c r="H380" s="323"/>
      <c r="I380" s="323"/>
      <c r="J380" s="323"/>
      <c r="K380" s="323"/>
      <c r="L380" s="323"/>
      <c r="M380" s="323"/>
      <c r="N380" s="323"/>
    </row>
    <row r="381" spans="1:14" ht="21.75" customHeight="1">
      <c r="A381" s="315"/>
      <c r="B381" s="347" t="s">
        <v>1096</v>
      </c>
      <c r="C381" s="391">
        <v>2261850000</v>
      </c>
      <c r="D381" s="337">
        <v>18581820186.599998</v>
      </c>
      <c r="E381" s="126">
        <f t="shared" si="14"/>
        <v>12.172381269898947</v>
      </c>
      <c r="F381" s="323"/>
      <c r="G381" s="323"/>
      <c r="H381" s="323"/>
      <c r="I381" s="323"/>
      <c r="J381" s="323"/>
      <c r="K381" s="323"/>
      <c r="L381" s="323"/>
      <c r="M381" s="323"/>
      <c r="N381" s="323"/>
    </row>
    <row r="382" spans="1:14" ht="21.75" customHeight="1">
      <c r="A382" s="320"/>
      <c r="B382" s="316" t="s">
        <v>782</v>
      </c>
      <c r="C382" s="392">
        <v>2261850000</v>
      </c>
      <c r="D382" s="337">
        <v>18581820186.599998</v>
      </c>
      <c r="E382" s="126">
        <f t="shared" si="14"/>
        <v>12.172381269898947</v>
      </c>
      <c r="F382" s="323"/>
      <c r="G382" s="323"/>
      <c r="H382" s="323"/>
      <c r="I382" s="323"/>
      <c r="J382" s="323"/>
      <c r="K382" s="323"/>
      <c r="L382" s="323"/>
      <c r="M382" s="323"/>
      <c r="N382" s="323"/>
    </row>
    <row r="383" spans="1:14" ht="15" customHeight="1">
      <c r="A383" s="320"/>
      <c r="B383" s="316"/>
      <c r="C383" s="392"/>
      <c r="D383" s="125"/>
      <c r="E383" s="126"/>
      <c r="F383" s="323"/>
      <c r="G383" s="323"/>
      <c r="H383" s="323"/>
      <c r="I383" s="323"/>
      <c r="J383" s="323"/>
      <c r="K383" s="323"/>
      <c r="L383" s="323"/>
      <c r="M383" s="323"/>
      <c r="N383" s="323"/>
    </row>
    <row r="384" spans="1:14" s="314" customFormat="1" ht="21.75" customHeight="1">
      <c r="A384" s="315"/>
      <c r="B384" s="347" t="s">
        <v>2573</v>
      </c>
      <c r="C384" s="391">
        <f>+C385</f>
        <v>6324700000</v>
      </c>
      <c r="D384" s="337">
        <v>18581820186.599998</v>
      </c>
      <c r="E384" s="126">
        <f t="shared" ref="E384:E385" si="15">+C384/D384*100</f>
        <v>34.037031552812905</v>
      </c>
      <c r="F384" s="319"/>
      <c r="G384" s="319"/>
      <c r="H384" s="319"/>
      <c r="I384" s="319"/>
      <c r="J384" s="319"/>
      <c r="K384" s="319"/>
      <c r="L384" s="319"/>
      <c r="M384" s="319"/>
      <c r="N384" s="319"/>
    </row>
    <row r="385" spans="1:14" ht="21.75" customHeight="1">
      <c r="A385" s="320"/>
      <c r="B385" s="316" t="s">
        <v>2574</v>
      </c>
      <c r="C385" s="392">
        <v>6324700000</v>
      </c>
      <c r="D385" s="337">
        <v>18581820186.599998</v>
      </c>
      <c r="E385" s="126">
        <f t="shared" si="15"/>
        <v>34.037031552812905</v>
      </c>
      <c r="F385" s="323"/>
      <c r="G385" s="323"/>
      <c r="H385" s="323"/>
      <c r="I385" s="323"/>
      <c r="J385" s="323"/>
      <c r="K385" s="323"/>
      <c r="L385" s="323"/>
      <c r="M385" s="323"/>
      <c r="N385" s="323"/>
    </row>
    <row r="386" spans="1:14" ht="15" customHeight="1">
      <c r="A386" s="315"/>
      <c r="B386" s="330"/>
      <c r="C386" s="332"/>
      <c r="D386" s="334"/>
      <c r="E386" s="333"/>
      <c r="F386" s="323"/>
      <c r="G386" s="323"/>
      <c r="H386" s="323"/>
      <c r="I386" s="323"/>
      <c r="J386" s="323"/>
      <c r="K386" s="323"/>
      <c r="L386" s="323"/>
      <c r="M386" s="323"/>
      <c r="N386" s="323"/>
    </row>
    <row r="387" spans="1:14" s="314" customFormat="1" ht="21.75" customHeight="1">
      <c r="A387" s="315">
        <v>13</v>
      </c>
      <c r="B387" s="150" t="s">
        <v>2575</v>
      </c>
      <c r="C387" s="337">
        <f>+C388</f>
        <v>20712123000</v>
      </c>
      <c r="D387" s="353">
        <v>65595198072.370003</v>
      </c>
      <c r="E387" s="338">
        <f>+C387/D387*100</f>
        <v>31.575669574392755</v>
      </c>
      <c r="F387" s="319"/>
      <c r="G387" s="319"/>
      <c r="H387" s="319"/>
      <c r="I387" s="319"/>
      <c r="J387" s="319"/>
      <c r="K387" s="319"/>
      <c r="L387" s="319"/>
      <c r="M387" s="319"/>
      <c r="N387" s="319"/>
    </row>
    <row r="388" spans="1:14" ht="21.75" customHeight="1">
      <c r="A388" s="315"/>
      <c r="B388" s="339" t="s">
        <v>64</v>
      </c>
      <c r="C388" s="393">
        <f>C389+C392+C395+C398+C401+C406+C411</f>
        <v>20712123000</v>
      </c>
      <c r="D388" s="353">
        <v>20712123000</v>
      </c>
      <c r="E388" s="126">
        <f>+C388/D388*100</f>
        <v>100</v>
      </c>
      <c r="F388" s="323"/>
      <c r="G388" s="323"/>
      <c r="H388" s="323"/>
      <c r="I388" s="323"/>
      <c r="J388" s="323"/>
      <c r="K388" s="323"/>
      <c r="L388" s="323"/>
      <c r="M388" s="323"/>
      <c r="N388" s="323"/>
    </row>
    <row r="389" spans="1:14" ht="21.75" customHeight="1">
      <c r="A389" s="315"/>
      <c r="B389" s="394" t="s">
        <v>1383</v>
      </c>
      <c r="C389" s="173">
        <f>SUM(C390:C391)</f>
        <v>1132000000</v>
      </c>
      <c r="D389" s="353">
        <v>20712123000</v>
      </c>
      <c r="E389" s="126">
        <f t="shared" ref="E389:E415" si="16">+C389/D389*100</f>
        <v>5.4653982114725759</v>
      </c>
      <c r="F389" s="323"/>
      <c r="G389" s="323"/>
      <c r="H389" s="323"/>
      <c r="I389" s="323"/>
      <c r="J389" s="323"/>
      <c r="K389" s="323"/>
      <c r="L389" s="323"/>
      <c r="M389" s="323"/>
      <c r="N389" s="323"/>
    </row>
    <row r="390" spans="1:14" ht="21.75" customHeight="1">
      <c r="A390" s="315"/>
      <c r="B390" s="395" t="s">
        <v>1384</v>
      </c>
      <c r="C390" s="175">
        <v>666000000</v>
      </c>
      <c r="D390" s="353">
        <v>20712123000</v>
      </c>
      <c r="E390" s="126">
        <f t="shared" si="16"/>
        <v>3.2155081350183177</v>
      </c>
      <c r="F390" s="323"/>
      <c r="G390" s="323"/>
      <c r="H390" s="323"/>
      <c r="I390" s="323"/>
      <c r="J390" s="323"/>
      <c r="K390" s="323"/>
      <c r="L390" s="323"/>
      <c r="M390" s="323"/>
      <c r="N390" s="323"/>
    </row>
    <row r="391" spans="1:14" ht="21.75" customHeight="1">
      <c r="A391" s="315"/>
      <c r="B391" s="395" t="s">
        <v>1385</v>
      </c>
      <c r="C391" s="175">
        <v>466000000</v>
      </c>
      <c r="D391" s="353">
        <v>20712123000</v>
      </c>
      <c r="E391" s="126">
        <f t="shared" si="16"/>
        <v>2.2498900764542582</v>
      </c>
      <c r="F391" s="323"/>
      <c r="G391" s="323"/>
      <c r="H391" s="323"/>
      <c r="I391" s="323"/>
      <c r="J391" s="323"/>
      <c r="K391" s="323"/>
      <c r="L391" s="323"/>
      <c r="M391" s="323"/>
      <c r="N391" s="323"/>
    </row>
    <row r="392" spans="1:14" ht="21.75" customHeight="1">
      <c r="A392" s="315"/>
      <c r="B392" s="394" t="s">
        <v>1386</v>
      </c>
      <c r="C392" s="173">
        <f>SUM(C393:C394)</f>
        <v>781225000</v>
      </c>
      <c r="D392" s="353">
        <v>20712123000</v>
      </c>
      <c r="E392" s="126">
        <f t="shared" si="16"/>
        <v>3.771824839008536</v>
      </c>
      <c r="F392" s="323"/>
      <c r="G392" s="323"/>
      <c r="H392" s="323"/>
      <c r="I392" s="323"/>
      <c r="J392" s="323"/>
      <c r="K392" s="323"/>
      <c r="L392" s="323"/>
      <c r="M392" s="323"/>
      <c r="N392" s="323"/>
    </row>
    <row r="393" spans="1:14" ht="21.75" customHeight="1">
      <c r="A393" s="315"/>
      <c r="B393" s="395" t="s">
        <v>1387</v>
      </c>
      <c r="C393" s="175">
        <v>645225000</v>
      </c>
      <c r="D393" s="353">
        <v>20712123000</v>
      </c>
      <c r="E393" s="126">
        <f t="shared" si="16"/>
        <v>3.115204559184976</v>
      </c>
      <c r="F393" s="323"/>
      <c r="G393" s="323"/>
      <c r="H393" s="323"/>
      <c r="I393" s="323"/>
      <c r="J393" s="323"/>
      <c r="K393" s="323"/>
      <c r="L393" s="323"/>
      <c r="M393" s="323"/>
      <c r="N393" s="323"/>
    </row>
    <row r="394" spans="1:14" ht="21.75" customHeight="1">
      <c r="A394" s="315"/>
      <c r="B394" s="395" t="s">
        <v>1388</v>
      </c>
      <c r="C394" s="175">
        <v>136000000</v>
      </c>
      <c r="D394" s="353">
        <v>20712123000</v>
      </c>
      <c r="E394" s="126">
        <f t="shared" si="16"/>
        <v>0.65662027982356042</v>
      </c>
      <c r="F394" s="323"/>
      <c r="G394" s="323"/>
      <c r="H394" s="323"/>
      <c r="I394" s="323"/>
      <c r="J394" s="323"/>
      <c r="K394" s="323"/>
      <c r="L394" s="323"/>
      <c r="M394" s="323"/>
      <c r="N394" s="323"/>
    </row>
    <row r="395" spans="1:14" ht="21.75" customHeight="1">
      <c r="A395" s="315"/>
      <c r="B395" s="394" t="s">
        <v>1389</v>
      </c>
      <c r="C395" s="173">
        <f>SUM(C396:C397)</f>
        <v>404000000</v>
      </c>
      <c r="D395" s="353">
        <v>20712123000</v>
      </c>
      <c r="E395" s="126">
        <f t="shared" si="16"/>
        <v>1.9505484782994</v>
      </c>
      <c r="F395" s="323"/>
      <c r="G395" s="323"/>
      <c r="H395" s="323"/>
      <c r="I395" s="323"/>
      <c r="J395" s="323"/>
      <c r="K395" s="323"/>
      <c r="L395" s="323"/>
      <c r="M395" s="323"/>
      <c r="N395" s="323"/>
    </row>
    <row r="396" spans="1:14" ht="21.75" customHeight="1">
      <c r="A396" s="315"/>
      <c r="B396" s="395" t="s">
        <v>1390</v>
      </c>
      <c r="C396" s="175">
        <v>80000000</v>
      </c>
      <c r="D396" s="353">
        <v>20712123000</v>
      </c>
      <c r="E396" s="126">
        <f t="shared" si="16"/>
        <v>0.38624722342562373</v>
      </c>
      <c r="F396" s="323"/>
      <c r="G396" s="323"/>
      <c r="H396" s="323"/>
      <c r="I396" s="323"/>
      <c r="J396" s="323"/>
      <c r="K396" s="323"/>
      <c r="L396" s="323"/>
      <c r="M396" s="323"/>
      <c r="N396" s="323"/>
    </row>
    <row r="397" spans="1:14" ht="21.75" customHeight="1">
      <c r="A397" s="315"/>
      <c r="B397" s="395" t="s">
        <v>1391</v>
      </c>
      <c r="C397" s="175">
        <v>324000000</v>
      </c>
      <c r="D397" s="353">
        <v>20712123000</v>
      </c>
      <c r="E397" s="126">
        <f t="shared" si="16"/>
        <v>1.5643012548737762</v>
      </c>
      <c r="F397" s="323"/>
      <c r="G397" s="323"/>
      <c r="H397" s="323"/>
      <c r="I397" s="323"/>
      <c r="J397" s="323"/>
      <c r="K397" s="323"/>
      <c r="L397" s="323"/>
      <c r="M397" s="323"/>
      <c r="N397" s="323"/>
    </row>
    <row r="398" spans="1:14" ht="21.75" customHeight="1">
      <c r="A398" s="315"/>
      <c r="B398" s="394" t="s">
        <v>1392</v>
      </c>
      <c r="C398" s="173">
        <f>SUM(C399:C400)</f>
        <v>3814500000</v>
      </c>
      <c r="D398" s="353">
        <v>20712123000</v>
      </c>
      <c r="E398" s="126">
        <f t="shared" si="16"/>
        <v>18.41675042196302</v>
      </c>
      <c r="F398" s="323"/>
      <c r="G398" s="323"/>
      <c r="H398" s="323"/>
      <c r="I398" s="323"/>
      <c r="J398" s="323"/>
      <c r="K398" s="323"/>
      <c r="L398" s="323"/>
      <c r="M398" s="323"/>
      <c r="N398" s="323"/>
    </row>
    <row r="399" spans="1:14" ht="38.25" customHeight="1">
      <c r="A399" s="315"/>
      <c r="B399" s="395" t="s">
        <v>1393</v>
      </c>
      <c r="C399" s="175">
        <v>1650000000</v>
      </c>
      <c r="D399" s="353">
        <v>20712123000</v>
      </c>
      <c r="E399" s="126">
        <f t="shared" si="16"/>
        <v>7.9663489831534902</v>
      </c>
      <c r="F399" s="323"/>
      <c r="G399" s="323"/>
      <c r="H399" s="323"/>
      <c r="I399" s="323"/>
      <c r="J399" s="323"/>
      <c r="K399" s="323"/>
      <c r="L399" s="323"/>
      <c r="M399" s="323"/>
      <c r="N399" s="323"/>
    </row>
    <row r="400" spans="1:14" ht="54" customHeight="1">
      <c r="A400" s="315"/>
      <c r="B400" s="395" t="s">
        <v>1394</v>
      </c>
      <c r="C400" s="175">
        <v>2164500000</v>
      </c>
      <c r="D400" s="353">
        <v>20712123000</v>
      </c>
      <c r="E400" s="126">
        <f t="shared" si="16"/>
        <v>10.450401438809532</v>
      </c>
      <c r="F400" s="323"/>
      <c r="G400" s="323"/>
      <c r="H400" s="323"/>
      <c r="I400" s="323"/>
      <c r="J400" s="323"/>
      <c r="K400" s="323"/>
      <c r="L400" s="323"/>
      <c r="M400" s="323"/>
      <c r="N400" s="323"/>
    </row>
    <row r="401" spans="1:14" ht="21.75" customHeight="1">
      <c r="A401" s="315"/>
      <c r="B401" s="394" t="s">
        <v>1212</v>
      </c>
      <c r="C401" s="173">
        <f>SUM(C402:C405)</f>
        <v>10110273000</v>
      </c>
      <c r="D401" s="353">
        <v>20712123000</v>
      </c>
      <c r="E401" s="126">
        <f t="shared" si="16"/>
        <v>48.813310929063135</v>
      </c>
      <c r="F401" s="323"/>
      <c r="G401" s="323"/>
      <c r="H401" s="323"/>
      <c r="I401" s="323"/>
      <c r="J401" s="323"/>
      <c r="K401" s="323"/>
      <c r="L401" s="323"/>
      <c r="M401" s="323"/>
      <c r="N401" s="323"/>
    </row>
    <row r="402" spans="1:14" ht="54" customHeight="1">
      <c r="A402" s="315"/>
      <c r="B402" s="395" t="s">
        <v>1395</v>
      </c>
      <c r="C402" s="175">
        <v>376000000</v>
      </c>
      <c r="D402" s="353">
        <v>20712123000</v>
      </c>
      <c r="E402" s="126">
        <f t="shared" si="16"/>
        <v>1.8153619501004314</v>
      </c>
      <c r="F402" s="323"/>
      <c r="G402" s="323"/>
      <c r="H402" s="323"/>
      <c r="I402" s="323"/>
      <c r="J402" s="323"/>
      <c r="K402" s="323"/>
      <c r="L402" s="323"/>
      <c r="M402" s="323"/>
      <c r="N402" s="323"/>
    </row>
    <row r="403" spans="1:14" ht="21.75" customHeight="1">
      <c r="A403" s="315"/>
      <c r="B403" s="395" t="s">
        <v>1396</v>
      </c>
      <c r="C403" s="175">
        <v>4788000000</v>
      </c>
      <c r="D403" s="353">
        <v>20712123000</v>
      </c>
      <c r="E403" s="126">
        <f t="shared" si="16"/>
        <v>23.116896322023582</v>
      </c>
      <c r="F403" s="323"/>
      <c r="G403" s="323"/>
      <c r="H403" s="323"/>
      <c r="I403" s="323"/>
      <c r="J403" s="323"/>
      <c r="K403" s="323"/>
      <c r="L403" s="323"/>
      <c r="M403" s="323"/>
      <c r="N403" s="323"/>
    </row>
    <row r="404" spans="1:14" ht="21.75" customHeight="1">
      <c r="A404" s="315"/>
      <c r="B404" s="395" t="s">
        <v>1397</v>
      </c>
      <c r="C404" s="175">
        <v>2707728000</v>
      </c>
      <c r="D404" s="353">
        <v>20712123000</v>
      </c>
      <c r="E404" s="126">
        <f t="shared" si="16"/>
        <v>13.073155272397715</v>
      </c>
      <c r="F404" s="323"/>
      <c r="G404" s="323"/>
      <c r="H404" s="323"/>
      <c r="I404" s="323"/>
      <c r="J404" s="323"/>
      <c r="K404" s="323"/>
      <c r="L404" s="323"/>
      <c r="M404" s="323"/>
      <c r="N404" s="323"/>
    </row>
    <row r="405" spans="1:14" ht="21.75" customHeight="1">
      <c r="A405" s="315"/>
      <c r="B405" s="395" t="s">
        <v>1398</v>
      </c>
      <c r="C405" s="175">
        <v>2238545000</v>
      </c>
      <c r="D405" s="353">
        <v>20712123000</v>
      </c>
      <c r="E405" s="126">
        <f t="shared" si="16"/>
        <v>10.807897384541411</v>
      </c>
      <c r="F405" s="323"/>
      <c r="G405" s="323"/>
      <c r="H405" s="323"/>
      <c r="I405" s="323"/>
      <c r="J405" s="323"/>
      <c r="K405" s="323"/>
      <c r="L405" s="323"/>
      <c r="M405" s="323"/>
      <c r="N405" s="323"/>
    </row>
    <row r="406" spans="1:14" ht="21.75" customHeight="1">
      <c r="A406" s="315"/>
      <c r="B406" s="394" t="s">
        <v>1216</v>
      </c>
      <c r="C406" s="173">
        <f>SUM(C407:C410)</f>
        <v>3505058000</v>
      </c>
      <c r="D406" s="353">
        <v>20712123000</v>
      </c>
      <c r="E406" s="126">
        <f t="shared" si="16"/>
        <v>16.922736505572122</v>
      </c>
      <c r="F406" s="323"/>
      <c r="G406" s="323"/>
      <c r="H406" s="323"/>
      <c r="I406" s="323"/>
      <c r="J406" s="323"/>
      <c r="K406" s="323"/>
      <c r="L406" s="323"/>
      <c r="M406" s="323"/>
      <c r="N406" s="323"/>
    </row>
    <row r="407" spans="1:14" ht="21.75" customHeight="1">
      <c r="A407" s="315"/>
      <c r="B407" s="395" t="s">
        <v>667</v>
      </c>
      <c r="C407" s="175">
        <v>1368000000</v>
      </c>
      <c r="D407" s="353">
        <v>20712123000</v>
      </c>
      <c r="E407" s="126">
        <f t="shared" si="16"/>
        <v>6.6048275205781657</v>
      </c>
      <c r="F407" s="323"/>
      <c r="G407" s="323"/>
      <c r="H407" s="323"/>
      <c r="I407" s="323"/>
      <c r="J407" s="323"/>
      <c r="K407" s="323"/>
      <c r="L407" s="323"/>
      <c r="M407" s="323"/>
      <c r="N407" s="323"/>
    </row>
    <row r="408" spans="1:14" ht="21.75" customHeight="1">
      <c r="A408" s="315"/>
      <c r="B408" s="395" t="s">
        <v>1399</v>
      </c>
      <c r="C408" s="175">
        <v>162000000</v>
      </c>
      <c r="D408" s="353">
        <v>20712123000</v>
      </c>
      <c r="E408" s="126">
        <f t="shared" si="16"/>
        <v>0.78215062743688812</v>
      </c>
      <c r="F408" s="323"/>
      <c r="G408" s="323"/>
      <c r="H408" s="323"/>
      <c r="I408" s="323"/>
      <c r="J408" s="323"/>
      <c r="K408" s="323"/>
      <c r="L408" s="323"/>
      <c r="M408" s="323"/>
      <c r="N408" s="323"/>
    </row>
    <row r="409" spans="1:14" ht="21.75" customHeight="1">
      <c r="A409" s="315"/>
      <c r="B409" s="395" t="s">
        <v>1400</v>
      </c>
      <c r="C409" s="175">
        <v>1398158000</v>
      </c>
      <c r="D409" s="353">
        <v>20712123000</v>
      </c>
      <c r="E409" s="126">
        <f t="shared" si="16"/>
        <v>6.7504330676290403</v>
      </c>
      <c r="F409" s="323"/>
      <c r="G409" s="323"/>
      <c r="H409" s="323"/>
      <c r="I409" s="323"/>
      <c r="J409" s="323"/>
      <c r="K409" s="323"/>
      <c r="L409" s="323"/>
      <c r="M409" s="323"/>
      <c r="N409" s="323"/>
    </row>
    <row r="410" spans="1:14" ht="21.75" customHeight="1">
      <c r="A410" s="315"/>
      <c r="B410" s="395" t="s">
        <v>1401</v>
      </c>
      <c r="C410" s="175">
        <v>576900000</v>
      </c>
      <c r="D410" s="353">
        <v>20712123000</v>
      </c>
      <c r="E410" s="126">
        <f t="shared" si="16"/>
        <v>2.785325289928029</v>
      </c>
      <c r="F410" s="323"/>
      <c r="G410" s="323"/>
      <c r="H410" s="323"/>
      <c r="I410" s="323"/>
      <c r="J410" s="323"/>
      <c r="K410" s="323"/>
      <c r="L410" s="323"/>
      <c r="M410" s="323"/>
      <c r="N410" s="323"/>
    </row>
    <row r="411" spans="1:14" ht="21.75" customHeight="1">
      <c r="A411" s="315"/>
      <c r="B411" s="394" t="s">
        <v>1402</v>
      </c>
      <c r="C411" s="173">
        <f>SUM(C412:C415)</f>
        <v>965067000</v>
      </c>
      <c r="D411" s="353">
        <v>20712123000</v>
      </c>
      <c r="E411" s="126">
        <f t="shared" si="16"/>
        <v>4.659430614621205</v>
      </c>
      <c r="F411" s="323"/>
      <c r="G411" s="323"/>
      <c r="H411" s="323"/>
      <c r="I411" s="323"/>
      <c r="J411" s="323"/>
      <c r="K411" s="323"/>
      <c r="L411" s="323"/>
      <c r="M411" s="323"/>
      <c r="N411" s="323"/>
    </row>
    <row r="412" spans="1:14" ht="21.75" customHeight="1">
      <c r="A412" s="315"/>
      <c r="B412" s="395" t="s">
        <v>1403</v>
      </c>
      <c r="C412" s="175">
        <v>279067000</v>
      </c>
      <c r="D412" s="353">
        <v>20712123000</v>
      </c>
      <c r="E412" s="126">
        <f t="shared" si="16"/>
        <v>1.3473606737464818</v>
      </c>
      <c r="F412" s="323"/>
      <c r="G412" s="323"/>
      <c r="H412" s="323"/>
      <c r="I412" s="323"/>
      <c r="J412" s="323"/>
      <c r="K412" s="323"/>
      <c r="L412" s="323"/>
      <c r="M412" s="323"/>
      <c r="N412" s="323"/>
    </row>
    <row r="413" spans="1:14" ht="21.75" customHeight="1">
      <c r="A413" s="315"/>
      <c r="B413" s="395" t="s">
        <v>1404</v>
      </c>
      <c r="C413" s="175">
        <v>50000000</v>
      </c>
      <c r="D413" s="353">
        <v>20712123000</v>
      </c>
      <c r="E413" s="126">
        <f t="shared" si="16"/>
        <v>0.24140451464101484</v>
      </c>
      <c r="F413" s="323"/>
      <c r="G413" s="323"/>
      <c r="H413" s="323"/>
      <c r="I413" s="323"/>
      <c r="J413" s="323"/>
      <c r="K413" s="323"/>
      <c r="L413" s="323"/>
      <c r="M413" s="323"/>
      <c r="N413" s="323"/>
    </row>
    <row r="414" spans="1:14" ht="21.75" customHeight="1">
      <c r="A414" s="315"/>
      <c r="B414" s="395" t="s">
        <v>1405</v>
      </c>
      <c r="C414" s="175">
        <v>540000000</v>
      </c>
      <c r="D414" s="353">
        <v>20712123000</v>
      </c>
      <c r="E414" s="126">
        <f t="shared" si="16"/>
        <v>2.6071687581229601</v>
      </c>
      <c r="F414" s="323"/>
      <c r="G414" s="323"/>
      <c r="H414" s="323"/>
      <c r="I414" s="323"/>
      <c r="J414" s="323"/>
      <c r="K414" s="323"/>
      <c r="L414" s="323"/>
      <c r="M414" s="323"/>
      <c r="N414" s="323"/>
    </row>
    <row r="415" spans="1:14" ht="21.75" customHeight="1">
      <c r="A415" s="315"/>
      <c r="B415" s="395" t="s">
        <v>1406</v>
      </c>
      <c r="C415" s="175">
        <v>96000000</v>
      </c>
      <c r="D415" s="353">
        <v>20712123000</v>
      </c>
      <c r="E415" s="126">
        <f t="shared" si="16"/>
        <v>0.46349666811074847</v>
      </c>
      <c r="F415" s="323"/>
      <c r="G415" s="323"/>
      <c r="H415" s="323"/>
      <c r="I415" s="323"/>
      <c r="J415" s="323"/>
      <c r="K415" s="323"/>
      <c r="L415" s="323"/>
      <c r="M415" s="323"/>
      <c r="N415" s="323"/>
    </row>
    <row r="416" spans="1:14" ht="15" customHeight="1">
      <c r="A416" s="315"/>
      <c r="B416" s="330"/>
      <c r="C416" s="332"/>
      <c r="D416" s="334"/>
      <c r="E416" s="333"/>
      <c r="F416" s="323"/>
      <c r="G416" s="323"/>
      <c r="H416" s="323"/>
      <c r="I416" s="323"/>
      <c r="J416" s="323"/>
      <c r="K416" s="323"/>
      <c r="L416" s="323"/>
      <c r="M416" s="323"/>
      <c r="N416" s="323"/>
    </row>
    <row r="417" spans="1:14" ht="24.4" customHeight="1">
      <c r="A417" s="315">
        <v>14</v>
      </c>
      <c r="B417" s="396" t="s">
        <v>1479</v>
      </c>
      <c r="C417" s="337">
        <f>+C418</f>
        <v>21432337259</v>
      </c>
      <c r="D417" s="129">
        <v>62592857239.279999</v>
      </c>
      <c r="E417" s="338">
        <f>+C417/D417*100</f>
        <v>34.240867415699611</v>
      </c>
      <c r="F417" s="323"/>
      <c r="G417" s="323"/>
      <c r="H417" s="323"/>
      <c r="I417" s="323"/>
      <c r="J417" s="323"/>
      <c r="K417" s="323"/>
      <c r="L417" s="323"/>
      <c r="M417" s="323"/>
      <c r="N417" s="323"/>
    </row>
    <row r="418" spans="1:14" ht="24.4" customHeight="1">
      <c r="A418" s="315"/>
      <c r="B418" s="397" t="s">
        <v>64</v>
      </c>
      <c r="C418" s="398">
        <f>+C419+C422+C427+C429+C432+C434+C438</f>
        <v>21432337259</v>
      </c>
      <c r="D418" s="399">
        <v>21432337259</v>
      </c>
      <c r="E418" s="127">
        <f>+C418/D418*100</f>
        <v>100</v>
      </c>
      <c r="F418" s="323"/>
      <c r="G418" s="323"/>
      <c r="H418" s="323"/>
      <c r="I418" s="323"/>
      <c r="J418" s="323"/>
      <c r="K418" s="323"/>
      <c r="L418" s="323"/>
      <c r="M418" s="323"/>
      <c r="N418" s="323"/>
    </row>
    <row r="419" spans="1:14" ht="24.4" customHeight="1">
      <c r="A419" s="315"/>
      <c r="B419" s="397" t="s">
        <v>388</v>
      </c>
      <c r="C419" s="398">
        <f>+C420+C421</f>
        <v>2300000000</v>
      </c>
      <c r="D419" s="399">
        <v>21432337259</v>
      </c>
      <c r="E419" s="127">
        <f t="shared" ref="E419:E440" si="17">+C419/D419*100</f>
        <v>10.731447402145418</v>
      </c>
      <c r="F419" s="323"/>
      <c r="G419" s="323"/>
      <c r="H419" s="323"/>
      <c r="I419" s="323"/>
      <c r="J419" s="323"/>
      <c r="K419" s="323"/>
      <c r="L419" s="323"/>
      <c r="M419" s="323"/>
      <c r="N419" s="323"/>
    </row>
    <row r="420" spans="1:14" ht="24.4" customHeight="1">
      <c r="A420" s="315"/>
      <c r="B420" s="400" t="s">
        <v>1480</v>
      </c>
      <c r="C420" s="401">
        <v>700000000</v>
      </c>
      <c r="D420" s="399">
        <v>21432337259</v>
      </c>
      <c r="E420" s="127">
        <f t="shared" si="17"/>
        <v>3.2660926876094751</v>
      </c>
      <c r="F420" s="323"/>
      <c r="G420" s="323"/>
      <c r="H420" s="323"/>
      <c r="I420" s="323"/>
      <c r="J420" s="323"/>
      <c r="K420" s="323"/>
      <c r="L420" s="323"/>
      <c r="M420" s="323"/>
      <c r="N420" s="323"/>
    </row>
    <row r="421" spans="1:14" ht="24.4" customHeight="1">
      <c r="A421" s="315"/>
      <c r="B421" s="400" t="s">
        <v>1481</v>
      </c>
      <c r="C421" s="401">
        <v>1600000000</v>
      </c>
      <c r="D421" s="399">
        <v>21432337259</v>
      </c>
      <c r="E421" s="127">
        <f t="shared" si="17"/>
        <v>7.4653547145359429</v>
      </c>
      <c r="F421" s="323"/>
      <c r="G421" s="323"/>
      <c r="H421" s="323"/>
      <c r="I421" s="323"/>
      <c r="J421" s="323"/>
      <c r="K421" s="323"/>
      <c r="L421" s="323"/>
      <c r="M421" s="323"/>
      <c r="N421" s="323"/>
    </row>
    <row r="422" spans="1:14" ht="24.4" customHeight="1">
      <c r="A422" s="315"/>
      <c r="B422" s="397" t="s">
        <v>394</v>
      </c>
      <c r="C422" s="398">
        <f>+C423+C424+C425+C426</f>
        <v>8602000000</v>
      </c>
      <c r="D422" s="399">
        <v>21432337259</v>
      </c>
      <c r="E422" s="127">
        <f t="shared" si="17"/>
        <v>40.135613284023862</v>
      </c>
      <c r="F422" s="323"/>
      <c r="G422" s="323"/>
      <c r="H422" s="323"/>
      <c r="I422" s="323"/>
      <c r="J422" s="323"/>
      <c r="K422" s="323"/>
      <c r="L422" s="323"/>
      <c r="M422" s="323"/>
      <c r="N422" s="323"/>
    </row>
    <row r="423" spans="1:14" ht="24.4" customHeight="1">
      <c r="A423" s="315"/>
      <c r="B423" s="400" t="s">
        <v>1482</v>
      </c>
      <c r="C423" s="401">
        <v>412000000</v>
      </c>
      <c r="D423" s="399">
        <v>21432337259</v>
      </c>
      <c r="E423" s="127">
        <f t="shared" si="17"/>
        <v>1.9223288389930051</v>
      </c>
      <c r="F423" s="323"/>
      <c r="G423" s="323"/>
      <c r="H423" s="323"/>
      <c r="I423" s="323"/>
      <c r="J423" s="323"/>
      <c r="K423" s="323"/>
      <c r="L423" s="323"/>
      <c r="M423" s="323"/>
      <c r="N423" s="323"/>
    </row>
    <row r="424" spans="1:14" ht="24.4" customHeight="1">
      <c r="A424" s="315"/>
      <c r="B424" s="400" t="s">
        <v>1483</v>
      </c>
      <c r="C424" s="401">
        <v>5800000000</v>
      </c>
      <c r="D424" s="399">
        <v>21432337259</v>
      </c>
      <c r="E424" s="127">
        <f t="shared" si="17"/>
        <v>27.061910840192795</v>
      </c>
      <c r="F424" s="323"/>
      <c r="G424" s="323"/>
      <c r="H424" s="323"/>
      <c r="I424" s="323"/>
      <c r="J424" s="323"/>
      <c r="K424" s="323"/>
      <c r="L424" s="323"/>
      <c r="M424" s="323"/>
      <c r="N424" s="323"/>
    </row>
    <row r="425" spans="1:14" ht="24.4" customHeight="1">
      <c r="A425" s="315"/>
      <c r="B425" s="400" t="s">
        <v>1484</v>
      </c>
      <c r="C425" s="401">
        <v>1590000000</v>
      </c>
      <c r="D425" s="399">
        <v>21432337259</v>
      </c>
      <c r="E425" s="127">
        <f t="shared" si="17"/>
        <v>7.418696247570093</v>
      </c>
      <c r="F425" s="323"/>
      <c r="G425" s="323"/>
      <c r="H425" s="323"/>
      <c r="I425" s="323"/>
      <c r="J425" s="323"/>
      <c r="K425" s="323"/>
      <c r="L425" s="323"/>
      <c r="M425" s="323"/>
      <c r="N425" s="323"/>
    </row>
    <row r="426" spans="1:14" ht="24.4" customHeight="1">
      <c r="A426" s="315"/>
      <c r="B426" s="400" t="s">
        <v>1485</v>
      </c>
      <c r="C426" s="401">
        <v>800000000</v>
      </c>
      <c r="D426" s="399">
        <v>21432337259</v>
      </c>
      <c r="E426" s="127">
        <f t="shared" si="17"/>
        <v>3.7326773572679715</v>
      </c>
      <c r="F426" s="323"/>
      <c r="G426" s="323"/>
      <c r="H426" s="323"/>
      <c r="I426" s="323"/>
      <c r="J426" s="323"/>
      <c r="K426" s="323"/>
      <c r="L426" s="323"/>
      <c r="M426" s="323"/>
      <c r="N426" s="323"/>
    </row>
    <row r="427" spans="1:14" ht="24.4" customHeight="1">
      <c r="A427" s="315"/>
      <c r="B427" s="397" t="s">
        <v>404</v>
      </c>
      <c r="C427" s="398">
        <f>+C428</f>
        <v>2760337259</v>
      </c>
      <c r="D427" s="399">
        <v>21432337259</v>
      </c>
      <c r="E427" s="127">
        <f t="shared" si="17"/>
        <v>12.879310481365543</v>
      </c>
      <c r="F427" s="323"/>
      <c r="G427" s="323"/>
      <c r="H427" s="323"/>
      <c r="I427" s="323"/>
      <c r="J427" s="323"/>
      <c r="K427" s="323"/>
      <c r="L427" s="323"/>
      <c r="M427" s="323"/>
      <c r="N427" s="323"/>
    </row>
    <row r="428" spans="1:14" ht="24.4" customHeight="1">
      <c r="A428" s="315"/>
      <c r="B428" s="400" t="s">
        <v>1486</v>
      </c>
      <c r="C428" s="402">
        <v>2760337259</v>
      </c>
      <c r="D428" s="399">
        <v>21432337259</v>
      </c>
      <c r="E428" s="127">
        <f t="shared" si="17"/>
        <v>12.879310481365543</v>
      </c>
      <c r="F428" s="323"/>
      <c r="G428" s="323"/>
      <c r="H428" s="323"/>
      <c r="I428" s="323"/>
      <c r="J428" s="323"/>
      <c r="K428" s="323"/>
      <c r="L428" s="323"/>
      <c r="M428" s="323"/>
      <c r="N428" s="323"/>
    </row>
    <row r="429" spans="1:14" ht="24.4" customHeight="1">
      <c r="A429" s="315"/>
      <c r="B429" s="397" t="s">
        <v>1487</v>
      </c>
      <c r="C429" s="398">
        <f>+C430+C431</f>
        <v>970000000</v>
      </c>
      <c r="D429" s="399">
        <v>21432337259</v>
      </c>
      <c r="E429" s="127">
        <f t="shared" si="17"/>
        <v>4.5258712956874154</v>
      </c>
      <c r="F429" s="323"/>
      <c r="G429" s="323"/>
      <c r="H429" s="323"/>
      <c r="I429" s="323"/>
      <c r="J429" s="323"/>
      <c r="K429" s="323"/>
      <c r="L429" s="323"/>
      <c r="M429" s="323"/>
      <c r="N429" s="323"/>
    </row>
    <row r="430" spans="1:14" ht="24.4" customHeight="1">
      <c r="A430" s="315"/>
      <c r="B430" s="400" t="s">
        <v>1388</v>
      </c>
      <c r="C430" s="401">
        <v>420000000</v>
      </c>
      <c r="D430" s="399">
        <v>21432337259</v>
      </c>
      <c r="E430" s="127">
        <f t="shared" si="17"/>
        <v>1.959655612565685</v>
      </c>
      <c r="F430" s="323"/>
      <c r="G430" s="323"/>
      <c r="H430" s="323"/>
      <c r="I430" s="323"/>
      <c r="J430" s="323"/>
      <c r="K430" s="323"/>
      <c r="L430" s="323"/>
      <c r="M430" s="323"/>
      <c r="N430" s="323"/>
    </row>
    <row r="431" spans="1:14" ht="24.4" customHeight="1">
      <c r="A431" s="315"/>
      <c r="B431" s="400" t="s">
        <v>1488</v>
      </c>
      <c r="C431" s="401">
        <v>550000000</v>
      </c>
      <c r="D431" s="399">
        <v>21432337259</v>
      </c>
      <c r="E431" s="127">
        <f t="shared" si="17"/>
        <v>2.5662156831217304</v>
      </c>
      <c r="F431" s="323"/>
      <c r="G431" s="323"/>
      <c r="H431" s="323"/>
      <c r="I431" s="323"/>
      <c r="J431" s="323"/>
      <c r="K431" s="323"/>
      <c r="L431" s="323"/>
      <c r="M431" s="323"/>
      <c r="N431" s="323"/>
    </row>
    <row r="432" spans="1:14" ht="24.4" customHeight="1">
      <c r="A432" s="315"/>
      <c r="B432" s="397" t="s">
        <v>108</v>
      </c>
      <c r="C432" s="398">
        <f>+C433</f>
        <v>1300000000</v>
      </c>
      <c r="D432" s="399">
        <v>21432337259</v>
      </c>
      <c r="E432" s="127">
        <f t="shared" si="17"/>
        <v>6.0656007055604544</v>
      </c>
      <c r="F432" s="323"/>
      <c r="G432" s="323"/>
      <c r="H432" s="323"/>
      <c r="I432" s="323"/>
      <c r="J432" s="323"/>
      <c r="K432" s="323"/>
      <c r="L432" s="323"/>
      <c r="M432" s="323"/>
      <c r="N432" s="323"/>
    </row>
    <row r="433" spans="1:14" ht="24.4" customHeight="1">
      <c r="A433" s="315"/>
      <c r="B433" s="400" t="s">
        <v>1489</v>
      </c>
      <c r="C433" s="401">
        <v>1300000000</v>
      </c>
      <c r="D433" s="399">
        <v>21432337259</v>
      </c>
      <c r="E433" s="127">
        <f t="shared" si="17"/>
        <v>6.0656007055604544</v>
      </c>
      <c r="F433" s="323"/>
      <c r="G433" s="323"/>
      <c r="H433" s="323"/>
      <c r="I433" s="323"/>
      <c r="J433" s="323"/>
      <c r="K433" s="323"/>
      <c r="L433" s="323"/>
      <c r="M433" s="323"/>
      <c r="N433" s="323"/>
    </row>
    <row r="434" spans="1:14" ht="24.4" customHeight="1">
      <c r="A434" s="315"/>
      <c r="B434" s="397" t="s">
        <v>116</v>
      </c>
      <c r="C434" s="398">
        <f>+C435+C436+C437</f>
        <v>3500000000</v>
      </c>
      <c r="D434" s="399">
        <v>21432337259</v>
      </c>
      <c r="E434" s="127">
        <f t="shared" si="17"/>
        <v>16.330463438047374</v>
      </c>
      <c r="F434" s="323"/>
      <c r="G434" s="323"/>
      <c r="H434" s="323"/>
      <c r="I434" s="323"/>
      <c r="J434" s="323"/>
      <c r="K434" s="323"/>
      <c r="L434" s="323"/>
      <c r="M434" s="323"/>
      <c r="N434" s="323"/>
    </row>
    <row r="435" spans="1:14" ht="24.4" customHeight="1">
      <c r="A435" s="315"/>
      <c r="B435" s="400" t="s">
        <v>1490</v>
      </c>
      <c r="C435" s="401">
        <v>2000000000</v>
      </c>
      <c r="D435" s="399">
        <v>21432337259</v>
      </c>
      <c r="E435" s="127">
        <f t="shared" si="17"/>
        <v>9.33169339316993</v>
      </c>
      <c r="F435" s="323"/>
      <c r="G435" s="323"/>
      <c r="H435" s="323"/>
      <c r="I435" s="323"/>
      <c r="J435" s="323"/>
      <c r="K435" s="323"/>
      <c r="L435" s="323"/>
      <c r="M435" s="323"/>
      <c r="N435" s="323"/>
    </row>
    <row r="436" spans="1:14" ht="24.4" customHeight="1">
      <c r="A436" s="315"/>
      <c r="B436" s="400" t="s">
        <v>1491</v>
      </c>
      <c r="C436" s="401">
        <v>1300000000</v>
      </c>
      <c r="D436" s="399">
        <v>21432337259</v>
      </c>
      <c r="E436" s="127">
        <f t="shared" si="17"/>
        <v>6.0656007055604544</v>
      </c>
      <c r="F436" s="323"/>
      <c r="G436" s="323"/>
      <c r="H436" s="323"/>
      <c r="I436" s="323"/>
      <c r="J436" s="323"/>
      <c r="K436" s="323"/>
      <c r="L436" s="323"/>
      <c r="M436" s="323"/>
      <c r="N436" s="323"/>
    </row>
    <row r="437" spans="1:14" ht="24.4" customHeight="1">
      <c r="A437" s="315"/>
      <c r="B437" s="400" t="s">
        <v>1492</v>
      </c>
      <c r="C437" s="401">
        <v>200000000</v>
      </c>
      <c r="D437" s="399">
        <v>21432337259</v>
      </c>
      <c r="E437" s="127">
        <f t="shared" si="17"/>
        <v>0.93316933931699286</v>
      </c>
      <c r="F437" s="323"/>
      <c r="G437" s="323"/>
      <c r="H437" s="323"/>
      <c r="I437" s="323"/>
      <c r="J437" s="323"/>
      <c r="K437" s="323"/>
      <c r="L437" s="323"/>
      <c r="M437" s="323"/>
      <c r="N437" s="323"/>
    </row>
    <row r="438" spans="1:14" ht="24.4" customHeight="1">
      <c r="A438" s="315"/>
      <c r="B438" s="397" t="s">
        <v>276</v>
      </c>
      <c r="C438" s="398">
        <f>+C439+C440</f>
        <v>2000000000</v>
      </c>
      <c r="D438" s="399">
        <v>21432337259</v>
      </c>
      <c r="E438" s="127">
        <f t="shared" si="17"/>
        <v>9.33169339316993</v>
      </c>
      <c r="F438" s="323"/>
      <c r="G438" s="323"/>
      <c r="H438" s="323"/>
      <c r="I438" s="323"/>
      <c r="J438" s="323"/>
      <c r="K438" s="323"/>
      <c r="L438" s="323"/>
      <c r="M438" s="323"/>
      <c r="N438" s="323"/>
    </row>
    <row r="439" spans="1:14" ht="24.4" customHeight="1">
      <c r="A439" s="315"/>
      <c r="B439" s="400" t="s">
        <v>1493</v>
      </c>
      <c r="C439" s="401">
        <v>1000000000</v>
      </c>
      <c r="D439" s="399">
        <v>21432337259</v>
      </c>
      <c r="E439" s="127">
        <f t="shared" si="17"/>
        <v>4.665846696584965</v>
      </c>
      <c r="F439" s="323"/>
      <c r="G439" s="323"/>
      <c r="H439" s="323"/>
      <c r="I439" s="323"/>
      <c r="J439" s="323"/>
      <c r="K439" s="323"/>
      <c r="L439" s="323"/>
      <c r="M439" s="323"/>
      <c r="N439" s="323"/>
    </row>
    <row r="440" spans="1:14" ht="24.4" customHeight="1">
      <c r="A440" s="315"/>
      <c r="B440" s="400" t="s">
        <v>1494</v>
      </c>
      <c r="C440" s="401">
        <v>1000000000</v>
      </c>
      <c r="D440" s="399">
        <v>21432337259</v>
      </c>
      <c r="E440" s="127">
        <f t="shared" si="17"/>
        <v>4.665846696584965</v>
      </c>
      <c r="F440" s="323"/>
      <c r="G440" s="323"/>
      <c r="H440" s="323"/>
      <c r="I440" s="323"/>
      <c r="J440" s="323"/>
      <c r="K440" s="323"/>
      <c r="L440" s="323"/>
      <c r="M440" s="323"/>
      <c r="N440" s="323"/>
    </row>
    <row r="441" spans="1:14" ht="15" customHeight="1">
      <c r="A441" s="315"/>
      <c r="B441" s="331"/>
      <c r="C441" s="332"/>
      <c r="D441" s="403"/>
      <c r="E441" s="333"/>
      <c r="F441" s="323"/>
      <c r="G441" s="323"/>
      <c r="H441" s="323"/>
      <c r="I441" s="323"/>
      <c r="J441" s="323"/>
      <c r="K441" s="323"/>
      <c r="L441" s="323"/>
      <c r="M441" s="323"/>
      <c r="N441" s="323"/>
    </row>
    <row r="442" spans="1:14" s="314" customFormat="1" ht="21.75" customHeight="1">
      <c r="A442" s="315">
        <v>15</v>
      </c>
      <c r="B442" s="343" t="s">
        <v>2576</v>
      </c>
      <c r="C442" s="327">
        <f>+C443</f>
        <v>19430850000</v>
      </c>
      <c r="D442" s="321">
        <v>64759842666.910004</v>
      </c>
      <c r="E442" s="126">
        <f>+C442/D442*100</f>
        <v>30.004473759984101</v>
      </c>
      <c r="F442" s="319"/>
      <c r="G442" s="319"/>
      <c r="H442" s="319"/>
      <c r="I442" s="319"/>
      <c r="J442" s="319"/>
      <c r="K442" s="319"/>
      <c r="L442" s="319"/>
      <c r="M442" s="319"/>
      <c r="N442" s="319"/>
    </row>
    <row r="443" spans="1:14" ht="21.75" customHeight="1">
      <c r="A443" s="315"/>
      <c r="B443" s="404" t="s">
        <v>444</v>
      </c>
      <c r="C443" s="405">
        <f>C444+C446+C453+C458</f>
        <v>19430850000</v>
      </c>
      <c r="D443" s="321">
        <v>19430850000</v>
      </c>
      <c r="E443" s="126">
        <f>+C443/D443*100</f>
        <v>100</v>
      </c>
      <c r="F443" s="323"/>
      <c r="G443" s="323"/>
      <c r="H443" s="323"/>
      <c r="I443" s="323"/>
      <c r="J443" s="323"/>
      <c r="K443" s="323"/>
      <c r="L443" s="323"/>
      <c r="M443" s="323"/>
      <c r="N443" s="323"/>
    </row>
    <row r="444" spans="1:14" ht="21.75" customHeight="1">
      <c r="A444" s="315"/>
      <c r="B444" s="404" t="s">
        <v>388</v>
      </c>
      <c r="C444" s="405">
        <f>SUM(C445:C445)</f>
        <v>745200000</v>
      </c>
      <c r="D444" s="321">
        <v>19430850000</v>
      </c>
      <c r="E444" s="126">
        <f t="shared" ref="E444:E459" si="18">+C444/D444*100</f>
        <v>3.8351384525123713</v>
      </c>
      <c r="F444" s="323"/>
      <c r="G444" s="323"/>
      <c r="H444" s="323"/>
      <c r="I444" s="323"/>
      <c r="J444" s="323"/>
      <c r="K444" s="323"/>
      <c r="L444" s="323"/>
      <c r="M444" s="323"/>
      <c r="N444" s="323"/>
    </row>
    <row r="445" spans="1:14" ht="21.75" customHeight="1">
      <c r="A445" s="315"/>
      <c r="B445" s="406" t="s">
        <v>1544</v>
      </c>
      <c r="C445" s="407">
        <v>745200000</v>
      </c>
      <c r="D445" s="321">
        <v>19430850000</v>
      </c>
      <c r="E445" s="126">
        <f t="shared" si="18"/>
        <v>3.8351384525123713</v>
      </c>
      <c r="F445" s="323"/>
      <c r="G445" s="323"/>
      <c r="H445" s="323"/>
      <c r="I445" s="323"/>
      <c r="J445" s="323"/>
      <c r="K445" s="323"/>
      <c r="L445" s="323"/>
      <c r="M445" s="323"/>
      <c r="N445" s="323"/>
    </row>
    <row r="446" spans="1:14" ht="21.75" customHeight="1">
      <c r="A446" s="315"/>
      <c r="B446" s="404" t="s">
        <v>394</v>
      </c>
      <c r="C446" s="405">
        <f>SUM(C447:C452)</f>
        <v>14914957000</v>
      </c>
      <c r="D446" s="321">
        <v>19430850000</v>
      </c>
      <c r="E446" s="126">
        <f t="shared" si="18"/>
        <v>76.759158760424782</v>
      </c>
      <c r="F446" s="323"/>
      <c r="G446" s="323"/>
      <c r="H446" s="323"/>
      <c r="I446" s="323"/>
      <c r="J446" s="323"/>
      <c r="K446" s="323"/>
      <c r="L446" s="323"/>
      <c r="M446" s="323"/>
      <c r="N446" s="323"/>
    </row>
    <row r="447" spans="1:14" ht="21.75" customHeight="1">
      <c r="A447" s="315"/>
      <c r="B447" s="406" t="s">
        <v>1545</v>
      </c>
      <c r="C447" s="407">
        <v>1009102000</v>
      </c>
      <c r="D447" s="321">
        <v>19430850000</v>
      </c>
      <c r="E447" s="126">
        <f t="shared" si="18"/>
        <v>5.1932982859730785</v>
      </c>
      <c r="F447" s="323"/>
      <c r="G447" s="323"/>
      <c r="H447" s="323"/>
      <c r="I447" s="323"/>
      <c r="J447" s="323"/>
      <c r="K447" s="323"/>
      <c r="L447" s="323"/>
      <c r="M447" s="323"/>
      <c r="N447" s="323"/>
    </row>
    <row r="448" spans="1:14" ht="21.75" customHeight="1">
      <c r="A448" s="315"/>
      <c r="B448" s="406" t="s">
        <v>1546</v>
      </c>
      <c r="C448" s="407">
        <v>727981000</v>
      </c>
      <c r="D448" s="321">
        <v>19430850000</v>
      </c>
      <c r="E448" s="126">
        <f t="shared" si="18"/>
        <v>3.7465216395577134</v>
      </c>
      <c r="F448" s="323"/>
      <c r="G448" s="323"/>
      <c r="H448" s="323"/>
      <c r="I448" s="323"/>
      <c r="J448" s="323"/>
      <c r="K448" s="323"/>
      <c r="L448" s="323"/>
      <c r="M448" s="323"/>
      <c r="N448" s="323"/>
    </row>
    <row r="449" spans="1:14" ht="21.75" customHeight="1">
      <c r="A449" s="315"/>
      <c r="B449" s="406" t="s">
        <v>1547</v>
      </c>
      <c r="C449" s="407">
        <v>198674000</v>
      </c>
      <c r="D449" s="321">
        <v>19430850000</v>
      </c>
      <c r="E449" s="126">
        <f t="shared" si="18"/>
        <v>1.0224668503951191</v>
      </c>
      <c r="F449" s="323"/>
      <c r="G449" s="323"/>
      <c r="H449" s="323"/>
      <c r="I449" s="323"/>
      <c r="J449" s="323"/>
      <c r="K449" s="323"/>
      <c r="L449" s="323"/>
      <c r="M449" s="323"/>
      <c r="N449" s="323"/>
    </row>
    <row r="450" spans="1:14" ht="21.75" customHeight="1">
      <c r="A450" s="315"/>
      <c r="B450" s="406" t="s">
        <v>1548</v>
      </c>
      <c r="C450" s="407">
        <v>3608400000</v>
      </c>
      <c r="D450" s="321">
        <v>19430850000</v>
      </c>
      <c r="E450" s="126">
        <f t="shared" si="18"/>
        <v>18.570469125128337</v>
      </c>
      <c r="F450" s="323"/>
      <c r="G450" s="323"/>
      <c r="H450" s="323"/>
      <c r="I450" s="323"/>
      <c r="J450" s="323"/>
      <c r="K450" s="323"/>
      <c r="L450" s="323"/>
      <c r="M450" s="323"/>
      <c r="N450" s="323"/>
    </row>
    <row r="451" spans="1:14" ht="21.75" customHeight="1">
      <c r="A451" s="315"/>
      <c r="B451" s="406" t="s">
        <v>1549</v>
      </c>
      <c r="C451" s="407">
        <v>6038400000</v>
      </c>
      <c r="D451" s="321">
        <v>19430850000</v>
      </c>
      <c r="E451" s="126">
        <f t="shared" si="18"/>
        <v>31.076355383320852</v>
      </c>
      <c r="F451" s="323"/>
      <c r="G451" s="323"/>
      <c r="H451" s="323"/>
      <c r="I451" s="323"/>
      <c r="J451" s="323"/>
      <c r="K451" s="323"/>
      <c r="L451" s="323"/>
      <c r="M451" s="323"/>
      <c r="N451" s="323"/>
    </row>
    <row r="452" spans="1:14" ht="21.75" customHeight="1">
      <c r="A452" s="315"/>
      <c r="B452" s="406" t="s">
        <v>1550</v>
      </c>
      <c r="C452" s="407">
        <v>3332400000</v>
      </c>
      <c r="D452" s="321">
        <v>19430850000</v>
      </c>
      <c r="E452" s="126">
        <f t="shared" si="18"/>
        <v>17.150047476049686</v>
      </c>
      <c r="F452" s="323"/>
      <c r="G452" s="323"/>
      <c r="H452" s="323"/>
      <c r="I452" s="323"/>
      <c r="J452" s="323"/>
      <c r="K452" s="323"/>
      <c r="L452" s="323"/>
      <c r="M452" s="323"/>
      <c r="N452" s="323"/>
    </row>
    <row r="453" spans="1:14" ht="21.75" customHeight="1">
      <c r="A453" s="315"/>
      <c r="B453" s="404" t="s">
        <v>404</v>
      </c>
      <c r="C453" s="405">
        <f>SUM(C454:C457)</f>
        <v>2839293000</v>
      </c>
      <c r="D453" s="321">
        <v>19430850000</v>
      </c>
      <c r="E453" s="126">
        <f t="shared" si="18"/>
        <v>14.612294366947406</v>
      </c>
      <c r="F453" s="323"/>
      <c r="G453" s="323"/>
      <c r="H453" s="323"/>
      <c r="I453" s="323"/>
      <c r="J453" s="323"/>
      <c r="K453" s="323"/>
      <c r="L453" s="323"/>
      <c r="M453" s="323"/>
      <c r="N453" s="323"/>
    </row>
    <row r="454" spans="1:14" ht="21.75" customHeight="1">
      <c r="A454" s="315"/>
      <c r="B454" s="406" t="s">
        <v>1551</v>
      </c>
      <c r="C454" s="407">
        <v>195850000</v>
      </c>
      <c r="D454" s="321">
        <v>19430850000</v>
      </c>
      <c r="E454" s="126">
        <f t="shared" si="18"/>
        <v>1.0079332607683142</v>
      </c>
      <c r="F454" s="323"/>
      <c r="G454" s="323"/>
      <c r="H454" s="323"/>
      <c r="I454" s="323"/>
      <c r="J454" s="323"/>
      <c r="K454" s="323"/>
      <c r="L454" s="323"/>
      <c r="M454" s="323"/>
      <c r="N454" s="323"/>
    </row>
    <row r="455" spans="1:14" ht="21.75" customHeight="1">
      <c r="A455" s="315"/>
      <c r="B455" s="406" t="s">
        <v>1552</v>
      </c>
      <c r="C455" s="407">
        <v>479400000</v>
      </c>
      <c r="D455" s="321">
        <v>19430850000</v>
      </c>
      <c r="E455" s="126">
        <f t="shared" si="18"/>
        <v>2.4672106469866217</v>
      </c>
      <c r="F455" s="323"/>
      <c r="G455" s="323"/>
      <c r="H455" s="323"/>
      <c r="I455" s="323"/>
      <c r="J455" s="323"/>
      <c r="K455" s="323"/>
      <c r="L455" s="323"/>
      <c r="M455" s="323"/>
      <c r="N455" s="323"/>
    </row>
    <row r="456" spans="1:14" ht="21.75" customHeight="1">
      <c r="A456" s="315"/>
      <c r="B456" s="406" t="s">
        <v>1553</v>
      </c>
      <c r="C456" s="407">
        <v>1807200000</v>
      </c>
      <c r="D456" s="321">
        <v>19430850000</v>
      </c>
      <c r="E456" s="126">
        <f t="shared" si="18"/>
        <v>9.3006739283150246</v>
      </c>
      <c r="F456" s="323"/>
      <c r="G456" s="323"/>
      <c r="H456" s="323"/>
      <c r="I456" s="323"/>
      <c r="J456" s="323"/>
      <c r="K456" s="323"/>
      <c r="L456" s="323"/>
      <c r="M456" s="323"/>
      <c r="N456" s="323"/>
    </row>
    <row r="457" spans="1:14" ht="21.75" customHeight="1">
      <c r="A457" s="315"/>
      <c r="B457" s="406" t="s">
        <v>1554</v>
      </c>
      <c r="C457" s="407">
        <v>356843000</v>
      </c>
      <c r="D457" s="321">
        <v>19430850000</v>
      </c>
      <c r="E457" s="126">
        <f t="shared" si="18"/>
        <v>1.8364765308774449</v>
      </c>
      <c r="F457" s="323"/>
      <c r="G457" s="323"/>
      <c r="H457" s="323"/>
      <c r="I457" s="323"/>
      <c r="J457" s="323"/>
      <c r="K457" s="323"/>
      <c r="L457" s="323"/>
      <c r="M457" s="323"/>
      <c r="N457" s="323"/>
    </row>
    <row r="458" spans="1:14" ht="21.75" customHeight="1">
      <c r="A458" s="315"/>
      <c r="B458" s="404" t="s">
        <v>1555</v>
      </c>
      <c r="C458" s="405">
        <f>SUM(C459:C459)</f>
        <v>931400000</v>
      </c>
      <c r="D458" s="321">
        <v>19430850000</v>
      </c>
      <c r="E458" s="126">
        <f t="shared" si="18"/>
        <v>4.7934084201154352</v>
      </c>
      <c r="F458" s="323"/>
      <c r="G458" s="323"/>
      <c r="H458" s="323"/>
      <c r="I458" s="323"/>
      <c r="J458" s="323"/>
      <c r="K458" s="323"/>
      <c r="L458" s="323"/>
      <c r="M458" s="323"/>
      <c r="N458" s="323"/>
    </row>
    <row r="459" spans="1:14" ht="36" customHeight="1">
      <c r="A459" s="315"/>
      <c r="B459" s="406" t="s">
        <v>1556</v>
      </c>
      <c r="C459" s="407">
        <v>931400000</v>
      </c>
      <c r="D459" s="321">
        <v>19430850000</v>
      </c>
      <c r="E459" s="126">
        <f t="shared" si="18"/>
        <v>4.7934084201154352</v>
      </c>
      <c r="F459" s="323"/>
      <c r="G459" s="323"/>
      <c r="H459" s="323"/>
      <c r="I459" s="323"/>
      <c r="J459" s="323"/>
      <c r="K459" s="323"/>
      <c r="L459" s="323"/>
      <c r="M459" s="323"/>
      <c r="N459" s="323"/>
    </row>
    <row r="460" spans="1:14" ht="15" customHeight="1">
      <c r="A460" s="315"/>
      <c r="B460" s="331"/>
      <c r="C460" s="332"/>
      <c r="D460" s="403"/>
      <c r="E460" s="333"/>
      <c r="F460" s="323"/>
      <c r="G460" s="323"/>
      <c r="H460" s="323"/>
      <c r="I460" s="323"/>
      <c r="J460" s="323"/>
      <c r="K460" s="323"/>
      <c r="L460" s="323"/>
      <c r="M460" s="323"/>
      <c r="N460" s="323"/>
    </row>
    <row r="461" spans="1:14" ht="21.75" customHeight="1">
      <c r="A461" s="315">
        <v>16</v>
      </c>
      <c r="B461" s="221" t="s">
        <v>1585</v>
      </c>
      <c r="C461" s="337">
        <f>+C462</f>
        <v>18559929236</v>
      </c>
      <c r="D461" s="361">
        <v>44404979591.989998</v>
      </c>
      <c r="E461" s="338">
        <f>+C461/D461*100</f>
        <v>41.796954770694086</v>
      </c>
      <c r="F461" s="323"/>
      <c r="G461" s="323"/>
      <c r="H461" s="323"/>
      <c r="I461" s="323"/>
      <c r="J461" s="323"/>
      <c r="K461" s="323"/>
      <c r="L461" s="323"/>
      <c r="M461" s="323"/>
      <c r="N461" s="323"/>
    </row>
    <row r="462" spans="1:14" ht="21.75" customHeight="1">
      <c r="A462" s="315"/>
      <c r="B462" s="240" t="s">
        <v>1586</v>
      </c>
      <c r="C462" s="222">
        <f>C463+C467+C473+C475</f>
        <v>18559929236</v>
      </c>
      <c r="D462" s="408">
        <v>18559929236</v>
      </c>
      <c r="E462" s="338">
        <f>+C462/D462*100</f>
        <v>100</v>
      </c>
      <c r="F462" s="323"/>
      <c r="G462" s="323"/>
      <c r="H462" s="323"/>
      <c r="I462" s="323"/>
      <c r="J462" s="323"/>
      <c r="K462" s="323"/>
      <c r="L462" s="323"/>
      <c r="M462" s="323"/>
      <c r="N462" s="323"/>
    </row>
    <row r="463" spans="1:14" ht="21.75" customHeight="1">
      <c r="A463" s="315"/>
      <c r="B463" s="111" t="s">
        <v>388</v>
      </c>
      <c r="C463" s="222">
        <f>SUM(C464:C466)</f>
        <v>2036900000</v>
      </c>
      <c r="D463" s="408">
        <v>18559929236</v>
      </c>
      <c r="E463" s="338">
        <f t="shared" ref="E463:E478" si="19">+C463/D463*100</f>
        <v>10.97471856761771</v>
      </c>
      <c r="F463" s="323"/>
      <c r="G463" s="323"/>
      <c r="H463" s="323"/>
      <c r="I463" s="323"/>
      <c r="J463" s="323"/>
      <c r="K463" s="323"/>
      <c r="L463" s="323"/>
      <c r="M463" s="323"/>
      <c r="N463" s="323"/>
    </row>
    <row r="464" spans="1:14" ht="21.75" customHeight="1">
      <c r="A464" s="315"/>
      <c r="B464" s="57" t="s">
        <v>1588</v>
      </c>
      <c r="C464" s="223">
        <v>1695600000</v>
      </c>
      <c r="D464" s="408">
        <v>18559929236</v>
      </c>
      <c r="E464" s="338">
        <f t="shared" si="19"/>
        <v>9.135810694316163</v>
      </c>
      <c r="F464" s="323"/>
      <c r="G464" s="323"/>
      <c r="H464" s="323"/>
      <c r="I464" s="323"/>
      <c r="J464" s="323"/>
      <c r="K464" s="323"/>
      <c r="L464" s="323"/>
      <c r="M464" s="323"/>
      <c r="N464" s="323"/>
    </row>
    <row r="465" spans="1:14" ht="21.75" customHeight="1">
      <c r="A465" s="315"/>
      <c r="B465" s="57" t="s">
        <v>1589</v>
      </c>
      <c r="C465" s="223">
        <v>36000000</v>
      </c>
      <c r="D465" s="408">
        <v>18559929236</v>
      </c>
      <c r="E465" s="338">
        <f t="shared" si="19"/>
        <v>0.19396625677953636</v>
      </c>
      <c r="F465" s="323"/>
      <c r="G465" s="323"/>
      <c r="H465" s="323"/>
      <c r="I465" s="323"/>
      <c r="J465" s="323"/>
      <c r="K465" s="323"/>
      <c r="L465" s="323"/>
      <c r="M465" s="323"/>
      <c r="N465" s="323"/>
    </row>
    <row r="466" spans="1:14" ht="21.75" customHeight="1">
      <c r="A466" s="315"/>
      <c r="B466" s="57" t="s">
        <v>1590</v>
      </c>
      <c r="C466" s="223">
        <v>305300000</v>
      </c>
      <c r="D466" s="408">
        <v>18559929236</v>
      </c>
      <c r="E466" s="338">
        <f t="shared" si="19"/>
        <v>1.6449416165220123</v>
      </c>
      <c r="F466" s="323"/>
      <c r="G466" s="323"/>
      <c r="H466" s="323"/>
      <c r="I466" s="323"/>
      <c r="J466" s="323"/>
      <c r="K466" s="323"/>
      <c r="L466" s="323"/>
      <c r="M466" s="323"/>
      <c r="N466" s="323"/>
    </row>
    <row r="467" spans="1:14" ht="21.75" customHeight="1">
      <c r="A467" s="315"/>
      <c r="B467" s="111" t="s">
        <v>394</v>
      </c>
      <c r="C467" s="224">
        <f>SUM(C468:C472)</f>
        <v>13890019502</v>
      </c>
      <c r="D467" s="408">
        <v>18559929236</v>
      </c>
      <c r="E467" s="338">
        <f t="shared" si="19"/>
        <v>74.838752483269431</v>
      </c>
      <c r="F467" s="323"/>
      <c r="G467" s="323"/>
      <c r="H467" s="323"/>
      <c r="I467" s="323"/>
      <c r="J467" s="323"/>
      <c r="K467" s="323"/>
      <c r="L467" s="323"/>
      <c r="M467" s="323"/>
      <c r="N467" s="323"/>
    </row>
    <row r="468" spans="1:14" ht="21.75" customHeight="1">
      <c r="A468" s="315"/>
      <c r="B468" s="57" t="s">
        <v>1482</v>
      </c>
      <c r="C468" s="223">
        <v>823819500</v>
      </c>
      <c r="D468" s="408">
        <v>18559929236</v>
      </c>
      <c r="E468" s="338">
        <f t="shared" si="19"/>
        <v>4.4386995743608129</v>
      </c>
      <c r="F468" s="323"/>
      <c r="G468" s="323"/>
      <c r="H468" s="323"/>
      <c r="I468" s="323"/>
      <c r="J468" s="323"/>
      <c r="K468" s="323"/>
      <c r="L468" s="323"/>
      <c r="M468" s="323"/>
      <c r="N468" s="323"/>
    </row>
    <row r="469" spans="1:14" ht="21.75" customHeight="1">
      <c r="A469" s="315"/>
      <c r="B469" s="57" t="s">
        <v>1592</v>
      </c>
      <c r="C469" s="223">
        <v>7675700000</v>
      </c>
      <c r="D469" s="408">
        <v>18559929236</v>
      </c>
      <c r="E469" s="338">
        <f t="shared" si="19"/>
        <v>41.356299921185759</v>
      </c>
      <c r="F469" s="323"/>
      <c r="G469" s="323"/>
      <c r="H469" s="323"/>
      <c r="I469" s="323"/>
      <c r="J469" s="323"/>
      <c r="K469" s="323"/>
      <c r="L469" s="323"/>
      <c r="M469" s="323"/>
      <c r="N469" s="323"/>
    </row>
    <row r="470" spans="1:14" ht="21.75" customHeight="1">
      <c r="A470" s="315"/>
      <c r="B470" s="57" t="s">
        <v>1593</v>
      </c>
      <c r="C470" s="223">
        <v>2064000000</v>
      </c>
      <c r="D470" s="408">
        <v>18559929236</v>
      </c>
      <c r="E470" s="338">
        <f t="shared" si="19"/>
        <v>11.120732055360085</v>
      </c>
      <c r="F470" s="323"/>
      <c r="G470" s="323"/>
      <c r="H470" s="323"/>
      <c r="I470" s="323"/>
      <c r="J470" s="323"/>
      <c r="K470" s="323"/>
      <c r="L470" s="323"/>
      <c r="M470" s="323"/>
      <c r="N470" s="323"/>
    </row>
    <row r="471" spans="1:14" ht="33.75" customHeight="1">
      <c r="A471" s="315"/>
      <c r="B471" s="57" t="s">
        <v>1594</v>
      </c>
      <c r="C471" s="223">
        <v>1982500002</v>
      </c>
      <c r="D471" s="408">
        <v>18559929236</v>
      </c>
      <c r="E471" s="338">
        <f t="shared" si="19"/>
        <v>10.681614012593426</v>
      </c>
      <c r="F471" s="323"/>
      <c r="G471" s="323"/>
      <c r="H471" s="323"/>
      <c r="I471" s="323"/>
      <c r="J471" s="323"/>
      <c r="K471" s="323"/>
      <c r="L471" s="323"/>
      <c r="M471" s="323"/>
      <c r="N471" s="323"/>
    </row>
    <row r="472" spans="1:14" ht="32.25" customHeight="1">
      <c r="A472" s="315"/>
      <c r="B472" s="57" t="s">
        <v>1595</v>
      </c>
      <c r="C472" s="223">
        <v>1344000000</v>
      </c>
      <c r="D472" s="408">
        <v>18559929236</v>
      </c>
      <c r="E472" s="338">
        <f t="shared" si="19"/>
        <v>7.2414069197693571</v>
      </c>
      <c r="F472" s="323"/>
      <c r="G472" s="323"/>
      <c r="H472" s="323"/>
      <c r="I472" s="323"/>
      <c r="J472" s="323"/>
      <c r="K472" s="323"/>
      <c r="L472" s="323"/>
      <c r="M472" s="323"/>
      <c r="N472" s="323"/>
    </row>
    <row r="473" spans="1:14" ht="21.75" customHeight="1">
      <c r="A473" s="315"/>
      <c r="B473" s="111" t="s">
        <v>404</v>
      </c>
      <c r="C473" s="146">
        <f>SUM(C474:C474)</f>
        <v>1808860736</v>
      </c>
      <c r="D473" s="408">
        <v>18559929236</v>
      </c>
      <c r="E473" s="338">
        <f t="shared" si="19"/>
        <v>9.7460540554832544</v>
      </c>
      <c r="F473" s="323"/>
      <c r="G473" s="323"/>
      <c r="H473" s="323"/>
      <c r="I473" s="323"/>
      <c r="J473" s="323"/>
      <c r="K473" s="323"/>
      <c r="L473" s="323"/>
      <c r="M473" s="323"/>
      <c r="N473" s="323"/>
    </row>
    <row r="474" spans="1:14" ht="21.75" customHeight="1">
      <c r="A474" s="315"/>
      <c r="B474" s="57" t="s">
        <v>1596</v>
      </c>
      <c r="C474" s="223">
        <v>1808860736</v>
      </c>
      <c r="D474" s="408">
        <v>18559929236</v>
      </c>
      <c r="E474" s="338">
        <f t="shared" si="19"/>
        <v>9.7460540554832544</v>
      </c>
      <c r="F474" s="323"/>
      <c r="G474" s="323"/>
      <c r="H474" s="323"/>
      <c r="I474" s="323"/>
      <c r="J474" s="323"/>
      <c r="K474" s="323"/>
      <c r="L474" s="323"/>
      <c r="M474" s="323"/>
      <c r="N474" s="323"/>
    </row>
    <row r="475" spans="1:14" ht="21.75" customHeight="1">
      <c r="A475" s="315"/>
      <c r="B475" s="111" t="s">
        <v>2766</v>
      </c>
      <c r="C475" s="224">
        <f>SUM(C476:C478)</f>
        <v>824148998</v>
      </c>
      <c r="D475" s="408">
        <v>18559929236</v>
      </c>
      <c r="E475" s="338">
        <f t="shared" si="19"/>
        <v>4.4404748936295997</v>
      </c>
      <c r="F475" s="323"/>
      <c r="G475" s="323"/>
      <c r="H475" s="323"/>
      <c r="I475" s="323"/>
      <c r="J475" s="323"/>
      <c r="K475" s="323"/>
      <c r="L475" s="323"/>
      <c r="M475" s="323"/>
      <c r="N475" s="323"/>
    </row>
    <row r="476" spans="1:14" ht="21.75" customHeight="1">
      <c r="A476" s="315"/>
      <c r="B476" s="123" t="s">
        <v>2760</v>
      </c>
      <c r="C476" s="223">
        <v>91010998</v>
      </c>
      <c r="D476" s="408">
        <v>18559929236</v>
      </c>
      <c r="E476" s="338">
        <f t="shared" si="19"/>
        <v>0.49036285021749643</v>
      </c>
      <c r="F476" s="323"/>
      <c r="G476" s="323"/>
      <c r="H476" s="323"/>
      <c r="I476" s="323"/>
      <c r="J476" s="323"/>
      <c r="K476" s="323"/>
      <c r="L476" s="323"/>
      <c r="M476" s="323"/>
      <c r="N476" s="323"/>
    </row>
    <row r="477" spans="1:14" ht="21.75" customHeight="1">
      <c r="A477" s="315"/>
      <c r="B477" s="57" t="s">
        <v>1597</v>
      </c>
      <c r="C477" s="223">
        <v>151890000</v>
      </c>
      <c r="D477" s="408">
        <v>18559929236</v>
      </c>
      <c r="E477" s="338">
        <f t="shared" si="19"/>
        <v>0.81837596506232713</v>
      </c>
      <c r="F477" s="323"/>
      <c r="G477" s="323"/>
      <c r="H477" s="323"/>
      <c r="I477" s="323"/>
      <c r="J477" s="323"/>
      <c r="K477" s="323"/>
      <c r="L477" s="323"/>
      <c r="M477" s="323"/>
      <c r="N477" s="323"/>
    </row>
    <row r="478" spans="1:14" ht="33" customHeight="1">
      <c r="A478" s="315"/>
      <c r="B478" s="57" t="s">
        <v>1598</v>
      </c>
      <c r="C478" s="223">
        <v>581248000</v>
      </c>
      <c r="D478" s="408">
        <v>18559929236</v>
      </c>
      <c r="E478" s="338">
        <f t="shared" si="19"/>
        <v>3.1317360783497761</v>
      </c>
      <c r="F478" s="323"/>
      <c r="G478" s="323"/>
      <c r="H478" s="323"/>
      <c r="I478" s="323"/>
      <c r="J478" s="323"/>
      <c r="K478" s="323"/>
      <c r="L478" s="323"/>
      <c r="M478" s="323"/>
      <c r="N478" s="323"/>
    </row>
    <row r="479" spans="1:14" ht="15" customHeight="1">
      <c r="A479" s="315"/>
      <c r="B479" s="331"/>
      <c r="C479" s="332"/>
      <c r="D479" s="403"/>
      <c r="E479" s="333"/>
      <c r="F479" s="323"/>
      <c r="G479" s="323"/>
      <c r="H479" s="323"/>
      <c r="I479" s="323"/>
      <c r="J479" s="323"/>
      <c r="K479" s="323"/>
      <c r="L479" s="323"/>
      <c r="M479" s="323"/>
      <c r="N479" s="323"/>
    </row>
    <row r="480" spans="1:14" ht="21.75" customHeight="1">
      <c r="A480" s="315">
        <v>17</v>
      </c>
      <c r="B480" s="396" t="s">
        <v>2577</v>
      </c>
      <c r="C480" s="1665">
        <f>C481</f>
        <v>10500000000.559999</v>
      </c>
      <c r="D480" s="409">
        <v>29015053505</v>
      </c>
      <c r="E480" s="338">
        <f>+C480/D480*100</f>
        <v>36.188111797728013</v>
      </c>
      <c r="F480" s="323"/>
      <c r="G480" s="323"/>
      <c r="H480" s="323"/>
      <c r="I480" s="323"/>
      <c r="J480" s="323"/>
      <c r="K480" s="323"/>
      <c r="L480" s="323"/>
      <c r="M480" s="323"/>
      <c r="N480" s="323"/>
    </row>
    <row r="481" spans="1:14" ht="21.75" customHeight="1">
      <c r="A481" s="315"/>
      <c r="B481" s="150" t="s">
        <v>767</v>
      </c>
      <c r="C481" s="231">
        <f>C482+C484+C492</f>
        <v>10500000000.559999</v>
      </c>
      <c r="D481" s="321">
        <v>10500000000</v>
      </c>
      <c r="E481" s="126">
        <f>+C481/D481*100</f>
        <v>100.00000000533333</v>
      </c>
      <c r="F481" s="323"/>
      <c r="G481" s="323"/>
      <c r="H481" s="323"/>
      <c r="I481" s="323"/>
      <c r="J481" s="323"/>
      <c r="K481" s="323"/>
      <c r="L481" s="323"/>
      <c r="M481" s="323"/>
      <c r="N481" s="323"/>
    </row>
    <row r="482" spans="1:14" s="314" customFormat="1" ht="21.75" customHeight="1">
      <c r="A482" s="315"/>
      <c r="B482" s="150" t="s">
        <v>1670</v>
      </c>
      <c r="C482" s="231">
        <f>SUM(C483:C483)</f>
        <v>960000000</v>
      </c>
      <c r="D482" s="321">
        <v>10500000000</v>
      </c>
      <c r="E482" s="126">
        <f t="shared" ref="E482:E493" si="20">+C482/D482*100</f>
        <v>9.1428571428571423</v>
      </c>
      <c r="F482" s="319"/>
      <c r="G482" s="319"/>
      <c r="H482" s="319"/>
      <c r="I482" s="319"/>
      <c r="J482" s="319"/>
      <c r="K482" s="319"/>
      <c r="L482" s="319"/>
      <c r="M482" s="319"/>
      <c r="N482" s="319"/>
    </row>
    <row r="483" spans="1:14" ht="21.75" customHeight="1">
      <c r="A483" s="315"/>
      <c r="B483" s="228" t="s">
        <v>1671</v>
      </c>
      <c r="C483" s="694">
        <v>960000000</v>
      </c>
      <c r="D483" s="321">
        <v>10500000000</v>
      </c>
      <c r="E483" s="126">
        <f t="shared" si="20"/>
        <v>9.1428571428571423</v>
      </c>
      <c r="F483" s="323"/>
      <c r="G483" s="323"/>
      <c r="H483" s="323"/>
      <c r="I483" s="323"/>
      <c r="J483" s="323"/>
      <c r="K483" s="323"/>
      <c r="L483" s="323"/>
      <c r="M483" s="323"/>
      <c r="N483" s="323"/>
    </row>
    <row r="484" spans="1:14" ht="21.75" customHeight="1">
      <c r="A484" s="315"/>
      <c r="B484" s="150" t="s">
        <v>1672</v>
      </c>
      <c r="C484" s="231">
        <f>SUM(C485:C491)</f>
        <v>8485100000.5599995</v>
      </c>
      <c r="D484" s="321">
        <v>10500000000</v>
      </c>
      <c r="E484" s="126">
        <f t="shared" si="20"/>
        <v>80.810476195809528</v>
      </c>
      <c r="F484" s="323"/>
      <c r="G484" s="323"/>
      <c r="H484" s="323"/>
      <c r="I484" s="323"/>
      <c r="J484" s="323"/>
      <c r="K484" s="323"/>
      <c r="L484" s="323"/>
      <c r="M484" s="323"/>
      <c r="N484" s="323"/>
    </row>
    <row r="485" spans="1:14" ht="21.75" customHeight="1">
      <c r="A485" s="315"/>
      <c r="B485" s="228" t="s">
        <v>1673</v>
      </c>
      <c r="C485" s="694">
        <v>1920000000</v>
      </c>
      <c r="D485" s="321">
        <v>10500000000</v>
      </c>
      <c r="E485" s="126">
        <f t="shared" si="20"/>
        <v>18.285714285714285</v>
      </c>
      <c r="F485" s="323"/>
      <c r="G485" s="323"/>
      <c r="H485" s="323"/>
      <c r="I485" s="323"/>
      <c r="J485" s="323"/>
      <c r="K485" s="323"/>
      <c r="L485" s="323"/>
      <c r="M485" s="323"/>
      <c r="N485" s="323"/>
    </row>
    <row r="486" spans="1:14" ht="21.75" customHeight="1">
      <c r="A486" s="315"/>
      <c r="B486" s="123" t="s">
        <v>1674</v>
      </c>
      <c r="C486" s="694">
        <v>1296000000</v>
      </c>
      <c r="D486" s="321">
        <v>10500000000</v>
      </c>
      <c r="E486" s="126">
        <f t="shared" si="20"/>
        <v>12.342857142857143</v>
      </c>
      <c r="F486" s="323"/>
      <c r="G486" s="323"/>
      <c r="H486" s="323"/>
      <c r="I486" s="323"/>
      <c r="J486" s="323"/>
      <c r="K486" s="323"/>
      <c r="L486" s="323"/>
      <c r="M486" s="323"/>
      <c r="N486" s="323"/>
    </row>
    <row r="487" spans="1:14" ht="33" customHeight="1">
      <c r="A487" s="315"/>
      <c r="B487" s="57" t="s">
        <v>1675</v>
      </c>
      <c r="C487" s="694">
        <v>80800000.560000002</v>
      </c>
      <c r="D487" s="321">
        <v>10500000000</v>
      </c>
      <c r="E487" s="126">
        <f t="shared" si="20"/>
        <v>0.76952381485714283</v>
      </c>
      <c r="F487" s="323"/>
      <c r="G487" s="323"/>
      <c r="H487" s="323"/>
      <c r="I487" s="323"/>
      <c r="J487" s="323"/>
      <c r="K487" s="323"/>
      <c r="L487" s="323"/>
      <c r="M487" s="323"/>
      <c r="N487" s="323"/>
    </row>
    <row r="488" spans="1:14" ht="34.5" customHeight="1">
      <c r="A488" s="315"/>
      <c r="B488" s="229" t="s">
        <v>1676</v>
      </c>
      <c r="C488" s="694">
        <v>2328696000</v>
      </c>
      <c r="D488" s="321">
        <v>10500000000</v>
      </c>
      <c r="E488" s="126">
        <f t="shared" si="20"/>
        <v>22.178057142857142</v>
      </c>
      <c r="F488" s="323"/>
      <c r="G488" s="323"/>
      <c r="H488" s="323"/>
      <c r="I488" s="323"/>
      <c r="J488" s="323"/>
      <c r="K488" s="323"/>
      <c r="L488" s="323"/>
      <c r="M488" s="323"/>
      <c r="N488" s="323"/>
    </row>
    <row r="489" spans="1:14" ht="21.75" customHeight="1">
      <c r="A489" s="315"/>
      <c r="B489" s="123" t="s">
        <v>1677</v>
      </c>
      <c r="C489" s="694">
        <v>2179008000</v>
      </c>
      <c r="D489" s="321">
        <v>10500000000</v>
      </c>
      <c r="E489" s="126">
        <f t="shared" si="20"/>
        <v>20.752457142857143</v>
      </c>
      <c r="F489" s="323"/>
      <c r="G489" s="323"/>
      <c r="H489" s="323"/>
      <c r="I489" s="323"/>
      <c r="J489" s="323"/>
      <c r="K489" s="323"/>
      <c r="L489" s="323"/>
      <c r="M489" s="323"/>
      <c r="N489" s="323"/>
    </row>
    <row r="490" spans="1:14" ht="21.75" customHeight="1">
      <c r="A490" s="315"/>
      <c r="B490" s="228" t="s">
        <v>1678</v>
      </c>
      <c r="C490" s="694">
        <v>435694000</v>
      </c>
      <c r="D490" s="321">
        <v>10500000000</v>
      </c>
      <c r="E490" s="126">
        <f t="shared" si="20"/>
        <v>4.1494666666666662</v>
      </c>
      <c r="F490" s="323"/>
      <c r="G490" s="323"/>
      <c r="H490" s="323"/>
      <c r="I490" s="323"/>
      <c r="J490" s="323"/>
      <c r="K490" s="323"/>
      <c r="L490" s="323"/>
      <c r="M490" s="323"/>
      <c r="N490" s="323"/>
    </row>
    <row r="491" spans="1:14" ht="21.75" customHeight="1">
      <c r="A491" s="315"/>
      <c r="B491" s="228" t="s">
        <v>1679</v>
      </c>
      <c r="C491" s="694">
        <v>244902000</v>
      </c>
      <c r="D491" s="321">
        <v>10500000000</v>
      </c>
      <c r="E491" s="126">
        <f t="shared" si="20"/>
        <v>2.3324000000000003</v>
      </c>
      <c r="F491" s="323"/>
      <c r="G491" s="323"/>
      <c r="H491" s="323"/>
      <c r="I491" s="323"/>
      <c r="J491" s="323"/>
      <c r="K491" s="323"/>
      <c r="L491" s="323"/>
      <c r="M491" s="323"/>
      <c r="N491" s="323"/>
    </row>
    <row r="492" spans="1:14" ht="21.75" customHeight="1">
      <c r="A492" s="315"/>
      <c r="B492" s="230" t="s">
        <v>1680</v>
      </c>
      <c r="C492" s="231">
        <f>C493</f>
        <v>1054900000</v>
      </c>
      <c r="D492" s="321">
        <v>10500000000</v>
      </c>
      <c r="E492" s="126">
        <f t="shared" si="20"/>
        <v>10.046666666666667</v>
      </c>
      <c r="F492" s="323"/>
      <c r="G492" s="323"/>
      <c r="H492" s="323"/>
      <c r="I492" s="323"/>
      <c r="J492" s="323"/>
      <c r="K492" s="323"/>
      <c r="L492" s="323"/>
      <c r="M492" s="323"/>
      <c r="N492" s="323"/>
    </row>
    <row r="493" spans="1:14" ht="33" customHeight="1">
      <c r="A493" s="315"/>
      <c r="B493" s="123" t="s">
        <v>1681</v>
      </c>
      <c r="C493" s="695">
        <v>1054900000</v>
      </c>
      <c r="D493" s="321">
        <v>10500000000</v>
      </c>
      <c r="E493" s="126">
        <f t="shared" si="20"/>
        <v>10.046666666666667</v>
      </c>
      <c r="F493" s="323"/>
      <c r="G493" s="323"/>
      <c r="H493" s="323"/>
      <c r="I493" s="323"/>
      <c r="J493" s="323"/>
      <c r="K493" s="323"/>
      <c r="L493" s="323"/>
      <c r="M493" s="323"/>
      <c r="N493" s="323"/>
    </row>
    <row r="494" spans="1:14" ht="15" customHeight="1">
      <c r="A494" s="315"/>
      <c r="B494" s="331"/>
      <c r="C494" s="332"/>
      <c r="D494" s="403"/>
      <c r="E494" s="333"/>
      <c r="F494" s="323"/>
      <c r="G494" s="323"/>
      <c r="H494" s="323"/>
      <c r="I494" s="323"/>
      <c r="J494" s="323"/>
      <c r="K494" s="323"/>
      <c r="L494" s="323"/>
      <c r="M494" s="323"/>
      <c r="N494" s="323"/>
    </row>
    <row r="495" spans="1:14" ht="21.75" customHeight="1">
      <c r="A495" s="315">
        <v>18</v>
      </c>
      <c r="B495" s="396" t="s">
        <v>1721</v>
      </c>
      <c r="C495" s="344">
        <f>+C496+C505</f>
        <v>13356421950</v>
      </c>
      <c r="D495" s="125">
        <v>43827566023.510002</v>
      </c>
      <c r="E495" s="127">
        <f>+C495/D495*100</f>
        <v>30.474934297823751</v>
      </c>
      <c r="F495" s="323"/>
      <c r="G495" s="323"/>
      <c r="H495" s="323"/>
      <c r="I495" s="323"/>
      <c r="J495" s="323"/>
      <c r="K495" s="323"/>
      <c r="L495" s="323"/>
      <c r="M495" s="323"/>
      <c r="N495" s="323"/>
    </row>
    <row r="496" spans="1:14" ht="21.75" customHeight="1">
      <c r="A496" s="315"/>
      <c r="B496" s="347" t="s">
        <v>444</v>
      </c>
      <c r="C496" s="413">
        <f>C497+C500+C502</f>
        <v>3356421950</v>
      </c>
      <c r="D496" s="125">
        <v>13356421950</v>
      </c>
      <c r="E496" s="127">
        <f>+C496/D496*100</f>
        <v>25.12964896261008</v>
      </c>
      <c r="F496" s="323"/>
      <c r="G496" s="323"/>
      <c r="H496" s="323"/>
      <c r="I496" s="323"/>
      <c r="J496" s="323"/>
      <c r="K496" s="323"/>
      <c r="L496" s="323"/>
      <c r="M496" s="323"/>
      <c r="N496" s="323"/>
    </row>
    <row r="497" spans="1:14" ht="21.75" customHeight="1">
      <c r="A497" s="315"/>
      <c r="B497" s="347" t="s">
        <v>394</v>
      </c>
      <c r="C497" s="414">
        <f>SUM(C498:C499)</f>
        <v>1000000000</v>
      </c>
      <c r="D497" s="125">
        <v>13356421950</v>
      </c>
      <c r="E497" s="127">
        <f t="shared" ref="E497:E507" si="21">+C497/D497*100</f>
        <v>7.4870351037389931</v>
      </c>
      <c r="F497" s="323"/>
      <c r="G497" s="323"/>
      <c r="H497" s="323"/>
      <c r="I497" s="323"/>
      <c r="J497" s="323"/>
      <c r="K497" s="323"/>
      <c r="L497" s="323"/>
      <c r="M497" s="323"/>
      <c r="N497" s="323"/>
    </row>
    <row r="498" spans="1:14" ht="21.75" customHeight="1">
      <c r="A498" s="315"/>
      <c r="B498" s="316" t="s">
        <v>1722</v>
      </c>
      <c r="C498" s="415">
        <v>600000000</v>
      </c>
      <c r="D498" s="125">
        <v>13356421950</v>
      </c>
      <c r="E498" s="127">
        <f t="shared" si="21"/>
        <v>4.4922210622433951</v>
      </c>
      <c r="F498" s="323"/>
      <c r="G498" s="323"/>
      <c r="H498" s="323"/>
      <c r="I498" s="323"/>
      <c r="J498" s="323"/>
      <c r="K498" s="323"/>
      <c r="L498" s="323"/>
      <c r="M498" s="323"/>
      <c r="N498" s="323"/>
    </row>
    <row r="499" spans="1:14" ht="21.75" customHeight="1">
      <c r="A499" s="315"/>
      <c r="B499" s="316" t="s">
        <v>1723</v>
      </c>
      <c r="C499" s="415">
        <v>400000000</v>
      </c>
      <c r="D499" s="125">
        <v>13356421950</v>
      </c>
      <c r="E499" s="127">
        <f t="shared" si="21"/>
        <v>2.9948140414955966</v>
      </c>
      <c r="F499" s="323"/>
      <c r="G499" s="323"/>
      <c r="H499" s="323"/>
      <c r="I499" s="323"/>
      <c r="J499" s="323"/>
      <c r="K499" s="323"/>
      <c r="L499" s="323"/>
      <c r="M499" s="323"/>
      <c r="N499" s="323"/>
    </row>
    <row r="500" spans="1:14" ht="21.75" customHeight="1">
      <c r="A500" s="315"/>
      <c r="B500" s="347" t="s">
        <v>108</v>
      </c>
      <c r="C500" s="414">
        <v>356421950</v>
      </c>
      <c r="D500" s="125">
        <v>13356421950</v>
      </c>
      <c r="E500" s="127">
        <f t="shared" si="21"/>
        <v>2.668543651393104</v>
      </c>
      <c r="F500" s="323"/>
      <c r="G500" s="323"/>
      <c r="H500" s="323"/>
      <c r="I500" s="323"/>
      <c r="J500" s="323"/>
      <c r="K500" s="323"/>
      <c r="L500" s="323"/>
      <c r="M500" s="323"/>
      <c r="N500" s="323"/>
    </row>
    <row r="501" spans="1:14" ht="32.25" customHeight="1">
      <c r="A501" s="315"/>
      <c r="B501" s="316" t="s">
        <v>1724</v>
      </c>
      <c r="C501" s="415">
        <v>356421950</v>
      </c>
      <c r="D501" s="125">
        <v>13356421950</v>
      </c>
      <c r="E501" s="127">
        <f t="shared" si="21"/>
        <v>2.668543651393104</v>
      </c>
      <c r="F501" s="323"/>
      <c r="G501" s="323"/>
      <c r="H501" s="323"/>
      <c r="I501" s="323"/>
      <c r="J501" s="323"/>
      <c r="K501" s="323"/>
      <c r="L501" s="323"/>
      <c r="M501" s="323"/>
      <c r="N501" s="323"/>
    </row>
    <row r="502" spans="1:14" ht="21.75" customHeight="1">
      <c r="A502" s="315"/>
      <c r="B502" s="347" t="s">
        <v>1725</v>
      </c>
      <c r="C502" s="414">
        <f>C503</f>
        <v>2000000000</v>
      </c>
      <c r="D502" s="125">
        <v>13356421950</v>
      </c>
      <c r="E502" s="127">
        <f t="shared" si="21"/>
        <v>14.974070207477986</v>
      </c>
      <c r="F502" s="323"/>
      <c r="G502" s="323"/>
      <c r="H502" s="323"/>
      <c r="I502" s="323"/>
      <c r="J502" s="323"/>
      <c r="K502" s="323"/>
      <c r="L502" s="323"/>
      <c r="M502" s="323"/>
      <c r="N502" s="323"/>
    </row>
    <row r="503" spans="1:14" ht="31.5" customHeight="1">
      <c r="A503" s="315"/>
      <c r="B503" s="316" t="s">
        <v>1726</v>
      </c>
      <c r="C503" s="415">
        <v>2000000000</v>
      </c>
      <c r="D503" s="125">
        <v>13356421950</v>
      </c>
      <c r="E503" s="127">
        <f t="shared" si="21"/>
        <v>14.974070207477986</v>
      </c>
      <c r="F503" s="323"/>
      <c r="G503" s="323"/>
      <c r="H503" s="323"/>
      <c r="I503" s="323"/>
      <c r="J503" s="323"/>
      <c r="K503" s="323"/>
      <c r="L503" s="323"/>
      <c r="M503" s="323"/>
      <c r="N503" s="323"/>
    </row>
    <row r="504" spans="1:14" ht="15" customHeight="1">
      <c r="A504" s="315"/>
      <c r="B504" s="316"/>
      <c r="C504" s="415"/>
      <c r="D504" s="125">
        <v>13356421950</v>
      </c>
      <c r="E504" s="127">
        <f t="shared" si="21"/>
        <v>0</v>
      </c>
      <c r="F504" s="323"/>
      <c r="G504" s="323"/>
      <c r="H504" s="323"/>
      <c r="I504" s="323"/>
      <c r="J504" s="323"/>
      <c r="K504" s="323"/>
      <c r="L504" s="323"/>
      <c r="M504" s="323"/>
      <c r="N504" s="323"/>
    </row>
    <row r="505" spans="1:14" ht="21.75" customHeight="1">
      <c r="A505" s="315"/>
      <c r="B505" s="347" t="s">
        <v>1373</v>
      </c>
      <c r="C505" s="414">
        <v>10000000000</v>
      </c>
      <c r="D505" s="125">
        <v>13356421950</v>
      </c>
      <c r="E505" s="127">
        <f t="shared" si="21"/>
        <v>74.870351037389909</v>
      </c>
      <c r="F505" s="323"/>
      <c r="G505" s="323"/>
      <c r="H505" s="323"/>
      <c r="I505" s="323"/>
      <c r="J505" s="323"/>
      <c r="K505" s="323"/>
      <c r="L505" s="323"/>
      <c r="M505" s="323"/>
      <c r="N505" s="323"/>
    </row>
    <row r="506" spans="1:14" ht="21.75" customHeight="1">
      <c r="A506" s="315"/>
      <c r="B506" s="347" t="s">
        <v>375</v>
      </c>
      <c r="C506" s="414">
        <v>10000000000</v>
      </c>
      <c r="D506" s="125">
        <v>13356421950</v>
      </c>
      <c r="E506" s="127">
        <f t="shared" si="21"/>
        <v>74.870351037389909</v>
      </c>
      <c r="F506" s="323"/>
      <c r="G506" s="323"/>
      <c r="H506" s="323"/>
      <c r="I506" s="323"/>
      <c r="J506" s="323"/>
      <c r="K506" s="323"/>
      <c r="L506" s="323"/>
      <c r="M506" s="323"/>
      <c r="N506" s="323"/>
    </row>
    <row r="507" spans="1:14" ht="21.75" customHeight="1">
      <c r="A507" s="315"/>
      <c r="B507" s="316" t="s">
        <v>1727</v>
      </c>
      <c r="C507" s="415">
        <v>10000000000</v>
      </c>
      <c r="D507" s="125">
        <v>13356421950</v>
      </c>
      <c r="E507" s="127">
        <f t="shared" si="21"/>
        <v>74.870351037389909</v>
      </c>
      <c r="F507" s="323"/>
      <c r="G507" s="323"/>
      <c r="H507" s="323"/>
      <c r="I507" s="323"/>
      <c r="J507" s="323"/>
      <c r="K507" s="323"/>
      <c r="L507" s="323"/>
      <c r="M507" s="323"/>
      <c r="N507" s="323"/>
    </row>
    <row r="508" spans="1:14" ht="15" customHeight="1">
      <c r="A508" s="315"/>
      <c r="B508" s="331"/>
      <c r="C508" s="332"/>
      <c r="D508" s="403"/>
      <c r="E508" s="333"/>
      <c r="F508" s="323"/>
      <c r="G508" s="323"/>
      <c r="H508" s="323"/>
      <c r="I508" s="323"/>
      <c r="J508" s="323"/>
      <c r="K508" s="323"/>
      <c r="L508" s="323"/>
      <c r="M508" s="323"/>
      <c r="N508" s="323"/>
    </row>
    <row r="509" spans="1:14" ht="21.75" customHeight="1">
      <c r="A509" s="315">
        <v>19</v>
      </c>
      <c r="B509" s="416" t="s">
        <v>2578</v>
      </c>
      <c r="C509" s="344">
        <f>+C510</f>
        <v>13020790660</v>
      </c>
      <c r="D509" s="125">
        <v>43402635532.330002</v>
      </c>
      <c r="E509" s="417">
        <f>+C509/D509*100</f>
        <v>30.000000000693504</v>
      </c>
      <c r="F509" s="323"/>
      <c r="G509" s="323"/>
      <c r="H509" s="323"/>
      <c r="I509" s="323"/>
      <c r="J509" s="323"/>
      <c r="K509" s="323"/>
      <c r="L509" s="323"/>
      <c r="M509" s="323"/>
      <c r="N509" s="323"/>
    </row>
    <row r="510" spans="1:14" ht="21.75" customHeight="1">
      <c r="A510" s="315"/>
      <c r="B510" s="328" t="s">
        <v>444</v>
      </c>
      <c r="C510" s="418">
        <f>SUM(C511,C517,C543)</f>
        <v>13020790660</v>
      </c>
      <c r="D510" s="125">
        <v>13020790660</v>
      </c>
      <c r="E510" s="126">
        <f>+C510/D510*100</f>
        <v>100</v>
      </c>
      <c r="F510" s="323"/>
      <c r="G510" s="323"/>
      <c r="H510" s="323"/>
      <c r="I510" s="323"/>
      <c r="J510" s="323"/>
      <c r="K510" s="323"/>
      <c r="L510" s="323"/>
      <c r="M510" s="323"/>
      <c r="N510" s="323"/>
    </row>
    <row r="511" spans="1:14" ht="21.75" customHeight="1">
      <c r="A511" s="315"/>
      <c r="B511" s="328" t="s">
        <v>388</v>
      </c>
      <c r="C511" s="419">
        <f>SUM(C512:C516)</f>
        <v>1400000000</v>
      </c>
      <c r="D511" s="125">
        <v>13020790660</v>
      </c>
      <c r="E511" s="126">
        <f t="shared" ref="E511:E545" si="22">+C511/D511*100</f>
        <v>10.752035237774109</v>
      </c>
      <c r="F511" s="323"/>
      <c r="G511" s="323"/>
      <c r="H511" s="323"/>
      <c r="I511" s="323"/>
      <c r="J511" s="323"/>
      <c r="K511" s="323"/>
      <c r="L511" s="323"/>
      <c r="M511" s="323"/>
      <c r="N511" s="323"/>
    </row>
    <row r="512" spans="1:14" ht="21.75" customHeight="1">
      <c r="A512" s="315"/>
      <c r="B512" s="330" t="s">
        <v>1209</v>
      </c>
      <c r="C512" s="420">
        <v>700000000</v>
      </c>
      <c r="D512" s="125">
        <v>13020790660</v>
      </c>
      <c r="E512" s="126">
        <f t="shared" si="22"/>
        <v>5.3760176188870545</v>
      </c>
      <c r="F512" s="323"/>
      <c r="G512" s="323"/>
      <c r="H512" s="323"/>
      <c r="I512" s="323"/>
      <c r="J512" s="323"/>
      <c r="K512" s="323"/>
      <c r="L512" s="323"/>
      <c r="M512" s="323"/>
      <c r="N512" s="323"/>
    </row>
    <row r="513" spans="1:14" ht="21.75" customHeight="1">
      <c r="A513" s="315"/>
      <c r="B513" s="330" t="s">
        <v>1751</v>
      </c>
      <c r="C513" s="420">
        <v>250000000</v>
      </c>
      <c r="D513" s="125">
        <v>13020790660</v>
      </c>
      <c r="E513" s="126">
        <f t="shared" si="22"/>
        <v>1.9200062924596621</v>
      </c>
      <c r="F513" s="323"/>
      <c r="G513" s="323"/>
      <c r="H513" s="323"/>
      <c r="I513" s="323"/>
      <c r="J513" s="323"/>
      <c r="K513" s="323"/>
      <c r="L513" s="323"/>
      <c r="M513" s="323"/>
      <c r="N513" s="323"/>
    </row>
    <row r="514" spans="1:14" ht="21.75" customHeight="1">
      <c r="A514" s="315"/>
      <c r="B514" s="330" t="s">
        <v>1752</v>
      </c>
      <c r="C514" s="420">
        <v>50000000</v>
      </c>
      <c r="D514" s="125">
        <v>13020790660</v>
      </c>
      <c r="E514" s="126">
        <f t="shared" si="22"/>
        <v>0.38400125849193245</v>
      </c>
      <c r="F514" s="323"/>
      <c r="G514" s="323"/>
      <c r="H514" s="323"/>
      <c r="I514" s="323"/>
      <c r="J514" s="323"/>
      <c r="K514" s="323"/>
      <c r="L514" s="323"/>
      <c r="M514" s="323"/>
      <c r="N514" s="323"/>
    </row>
    <row r="515" spans="1:14" ht="21.75" customHeight="1">
      <c r="A515" s="315"/>
      <c r="B515" s="330" t="s">
        <v>1753</v>
      </c>
      <c r="C515" s="420">
        <v>50000000</v>
      </c>
      <c r="D515" s="125">
        <v>13020790660</v>
      </c>
      <c r="E515" s="126">
        <f t="shared" si="22"/>
        <v>0.38400125849193245</v>
      </c>
      <c r="F515" s="323"/>
      <c r="G515" s="323"/>
      <c r="H515" s="323"/>
      <c r="I515" s="323"/>
      <c r="J515" s="323"/>
      <c r="K515" s="323"/>
      <c r="L515" s="323"/>
      <c r="M515" s="323"/>
      <c r="N515" s="323"/>
    </row>
    <row r="516" spans="1:14" ht="21.75" customHeight="1">
      <c r="A516" s="315"/>
      <c r="B516" s="330" t="s">
        <v>1754</v>
      </c>
      <c r="C516" s="420">
        <v>350000000</v>
      </c>
      <c r="D516" s="125">
        <v>13020790660</v>
      </c>
      <c r="E516" s="126">
        <f t="shared" si="22"/>
        <v>2.6880088094435273</v>
      </c>
      <c r="F516" s="323"/>
      <c r="G516" s="323"/>
      <c r="H516" s="323"/>
      <c r="I516" s="323"/>
      <c r="J516" s="323"/>
      <c r="K516" s="323"/>
      <c r="L516" s="323"/>
      <c r="M516" s="323"/>
      <c r="N516" s="323"/>
    </row>
    <row r="517" spans="1:14" ht="21.75" customHeight="1">
      <c r="A517" s="315"/>
      <c r="B517" s="328" t="s">
        <v>394</v>
      </c>
      <c r="C517" s="419">
        <f>SUM(C518:C542)</f>
        <v>10970790660</v>
      </c>
      <c r="D517" s="125">
        <v>13020790660</v>
      </c>
      <c r="E517" s="126">
        <f t="shared" si="22"/>
        <v>84.255948401830778</v>
      </c>
      <c r="F517" s="323"/>
      <c r="G517" s="323"/>
      <c r="H517" s="323"/>
      <c r="I517" s="323"/>
      <c r="J517" s="323"/>
      <c r="K517" s="323"/>
      <c r="L517" s="323"/>
      <c r="M517" s="323"/>
      <c r="N517" s="323"/>
    </row>
    <row r="518" spans="1:14" ht="21.75" customHeight="1">
      <c r="A518" s="315"/>
      <c r="B518" s="330" t="s">
        <v>1755</v>
      </c>
      <c r="C518" s="420">
        <v>500000000</v>
      </c>
      <c r="D518" s="125">
        <v>13020790660</v>
      </c>
      <c r="E518" s="126">
        <f t="shared" si="22"/>
        <v>3.8400125849193243</v>
      </c>
      <c r="F518" s="323"/>
      <c r="G518" s="323"/>
      <c r="H518" s="323"/>
      <c r="I518" s="323"/>
      <c r="J518" s="323"/>
      <c r="K518" s="323"/>
      <c r="L518" s="323"/>
      <c r="M518" s="323"/>
      <c r="N518" s="323"/>
    </row>
    <row r="519" spans="1:14" ht="21.75" customHeight="1">
      <c r="A519" s="315"/>
      <c r="B519" s="330" t="s">
        <v>1756</v>
      </c>
      <c r="C519" s="235">
        <v>350000000</v>
      </c>
      <c r="D519" s="125">
        <v>13020790660</v>
      </c>
      <c r="E519" s="126">
        <f t="shared" si="22"/>
        <v>2.6880088094435273</v>
      </c>
      <c r="F519" s="323"/>
      <c r="G519" s="323"/>
      <c r="H519" s="323"/>
      <c r="I519" s="323"/>
      <c r="J519" s="323"/>
      <c r="K519" s="323"/>
      <c r="L519" s="323"/>
      <c r="M519" s="323"/>
      <c r="N519" s="323"/>
    </row>
    <row r="520" spans="1:14" ht="34.5" customHeight="1">
      <c r="A520" s="315"/>
      <c r="B520" s="330" t="s">
        <v>1757</v>
      </c>
      <c r="C520" s="420">
        <v>445790660</v>
      </c>
      <c r="D520" s="125">
        <v>13020790660</v>
      </c>
      <c r="E520" s="126">
        <f t="shared" si="22"/>
        <v>3.4236834892789836</v>
      </c>
      <c r="F520" s="323"/>
      <c r="G520" s="323"/>
      <c r="H520" s="323"/>
      <c r="I520" s="323"/>
      <c r="J520" s="323"/>
      <c r="K520" s="323"/>
      <c r="L520" s="323"/>
      <c r="M520" s="323"/>
      <c r="N520" s="323"/>
    </row>
    <row r="521" spans="1:14" ht="21.75" customHeight="1">
      <c r="A521" s="315"/>
      <c r="B521" s="330" t="s">
        <v>1758</v>
      </c>
      <c r="C521" s="420">
        <v>100000000</v>
      </c>
      <c r="D521" s="125">
        <v>13020790660</v>
      </c>
      <c r="E521" s="126">
        <f t="shared" si="22"/>
        <v>0.7680025169838649</v>
      </c>
      <c r="F521" s="323"/>
      <c r="G521" s="323"/>
      <c r="H521" s="323"/>
      <c r="I521" s="323"/>
      <c r="J521" s="323"/>
      <c r="K521" s="323"/>
      <c r="L521" s="323"/>
      <c r="M521" s="323"/>
      <c r="N521" s="323"/>
    </row>
    <row r="522" spans="1:14" ht="21.75" customHeight="1">
      <c r="A522" s="315"/>
      <c r="B522" s="330" t="s">
        <v>1759</v>
      </c>
      <c r="C522" s="420">
        <v>350000000</v>
      </c>
      <c r="D522" s="125">
        <v>13020790660</v>
      </c>
      <c r="E522" s="126">
        <f t="shared" si="22"/>
        <v>2.6880088094435273</v>
      </c>
      <c r="F522" s="323"/>
      <c r="G522" s="323"/>
      <c r="H522" s="323"/>
      <c r="I522" s="323"/>
      <c r="J522" s="323"/>
      <c r="K522" s="323"/>
      <c r="L522" s="323"/>
      <c r="M522" s="323"/>
      <c r="N522" s="323"/>
    </row>
    <row r="523" spans="1:14" ht="21.75" customHeight="1">
      <c r="A523" s="315"/>
      <c r="B523" s="330" t="s">
        <v>1760</v>
      </c>
      <c r="C523" s="420">
        <v>2700000000</v>
      </c>
      <c r="D523" s="125">
        <v>13020790660</v>
      </c>
      <c r="E523" s="126">
        <f t="shared" si="22"/>
        <v>20.736067958564352</v>
      </c>
      <c r="F523" s="323"/>
      <c r="G523" s="323"/>
      <c r="H523" s="323"/>
      <c r="I523" s="323"/>
      <c r="J523" s="323"/>
      <c r="K523" s="323"/>
      <c r="L523" s="323"/>
      <c r="M523" s="323"/>
      <c r="N523" s="323"/>
    </row>
    <row r="524" spans="1:14" ht="21.75" customHeight="1">
      <c r="A524" s="315"/>
      <c r="B524" s="330" t="s">
        <v>1545</v>
      </c>
      <c r="C524" s="420">
        <v>450000000</v>
      </c>
      <c r="D524" s="125">
        <v>13020790660</v>
      </c>
      <c r="E524" s="126">
        <f t="shared" si="22"/>
        <v>3.4560113264273924</v>
      </c>
      <c r="F524" s="323"/>
      <c r="G524" s="323"/>
      <c r="H524" s="323"/>
      <c r="I524" s="323"/>
      <c r="J524" s="323"/>
      <c r="K524" s="323"/>
      <c r="L524" s="323"/>
      <c r="M524" s="323"/>
      <c r="N524" s="323"/>
    </row>
    <row r="525" spans="1:14" ht="35.25" customHeight="1">
      <c r="A525" s="315"/>
      <c r="B525" s="330" t="s">
        <v>1761</v>
      </c>
      <c r="C525" s="420">
        <v>150000000</v>
      </c>
      <c r="D525" s="125">
        <v>13020790660</v>
      </c>
      <c r="E525" s="126">
        <f t="shared" si="22"/>
        <v>1.1520037754757972</v>
      </c>
      <c r="F525" s="323"/>
      <c r="G525" s="323"/>
      <c r="H525" s="323"/>
      <c r="I525" s="323"/>
      <c r="J525" s="323"/>
      <c r="K525" s="323"/>
      <c r="L525" s="323"/>
      <c r="M525" s="323"/>
      <c r="N525" s="323"/>
    </row>
    <row r="526" spans="1:14" ht="21.75" customHeight="1">
      <c r="A526" s="315"/>
      <c r="B526" s="330" t="s">
        <v>1762</v>
      </c>
      <c r="C526" s="420">
        <v>200000000</v>
      </c>
      <c r="D526" s="125">
        <v>13020790660</v>
      </c>
      <c r="E526" s="126">
        <f t="shared" si="22"/>
        <v>1.5360050339677298</v>
      </c>
      <c r="F526" s="323"/>
      <c r="G526" s="323"/>
      <c r="H526" s="323"/>
      <c r="I526" s="323"/>
      <c r="J526" s="323"/>
      <c r="K526" s="323"/>
      <c r="L526" s="323"/>
      <c r="M526" s="323"/>
      <c r="N526" s="323"/>
    </row>
    <row r="527" spans="1:14" ht="21.75" customHeight="1">
      <c r="A527" s="315"/>
      <c r="B527" s="330" t="s">
        <v>1763</v>
      </c>
      <c r="C527" s="420">
        <v>500000000</v>
      </c>
      <c r="D527" s="125">
        <v>13020790660</v>
      </c>
      <c r="E527" s="126">
        <f t="shared" si="22"/>
        <v>3.8400125849193243</v>
      </c>
      <c r="F527" s="323"/>
      <c r="G527" s="323"/>
      <c r="H527" s="323"/>
      <c r="I527" s="323"/>
      <c r="J527" s="323"/>
      <c r="K527" s="323"/>
      <c r="L527" s="323"/>
      <c r="M527" s="323"/>
      <c r="N527" s="323"/>
    </row>
    <row r="528" spans="1:14" ht="21.75" customHeight="1">
      <c r="A528" s="315"/>
      <c r="B528" s="330" t="s">
        <v>1764</v>
      </c>
      <c r="C528" s="420">
        <v>250000000</v>
      </c>
      <c r="D528" s="125">
        <v>13020790660</v>
      </c>
      <c r="E528" s="126">
        <f t="shared" si="22"/>
        <v>1.9200062924596621</v>
      </c>
      <c r="F528" s="323"/>
      <c r="G528" s="323"/>
      <c r="H528" s="323"/>
      <c r="I528" s="323"/>
      <c r="J528" s="323"/>
      <c r="K528" s="323"/>
      <c r="L528" s="323"/>
      <c r="M528" s="323"/>
      <c r="N528" s="323"/>
    </row>
    <row r="529" spans="1:14" ht="21.75" customHeight="1">
      <c r="A529" s="315"/>
      <c r="B529" s="330" t="s">
        <v>1765</v>
      </c>
      <c r="C529" s="420">
        <v>65000000</v>
      </c>
      <c r="D529" s="125">
        <v>13020790660</v>
      </c>
      <c r="E529" s="126">
        <f t="shared" si="22"/>
        <v>0.49920163603951218</v>
      </c>
      <c r="F529" s="323"/>
      <c r="G529" s="323"/>
      <c r="H529" s="323"/>
      <c r="I529" s="323"/>
      <c r="J529" s="323"/>
      <c r="K529" s="323"/>
      <c r="L529" s="323"/>
      <c r="M529" s="323"/>
      <c r="N529" s="323"/>
    </row>
    <row r="530" spans="1:14" ht="21.75" customHeight="1">
      <c r="A530" s="315"/>
      <c r="B530" s="330" t="s">
        <v>1766</v>
      </c>
      <c r="C530" s="420">
        <v>450000000</v>
      </c>
      <c r="D530" s="125">
        <v>13020790660</v>
      </c>
      <c r="E530" s="126">
        <f t="shared" si="22"/>
        <v>3.4560113264273924</v>
      </c>
      <c r="F530" s="323"/>
      <c r="G530" s="323"/>
      <c r="H530" s="323"/>
      <c r="I530" s="323"/>
      <c r="J530" s="323"/>
      <c r="K530" s="323"/>
      <c r="L530" s="323"/>
      <c r="M530" s="323"/>
      <c r="N530" s="323"/>
    </row>
    <row r="531" spans="1:14" ht="21.75" customHeight="1">
      <c r="A531" s="315"/>
      <c r="B531" s="330" t="s">
        <v>1767</v>
      </c>
      <c r="C531" s="420">
        <v>191000000</v>
      </c>
      <c r="D531" s="125">
        <v>13020790660</v>
      </c>
      <c r="E531" s="126">
        <f t="shared" si="22"/>
        <v>1.466884807439182</v>
      </c>
      <c r="F531" s="323"/>
      <c r="G531" s="323"/>
      <c r="H531" s="323"/>
      <c r="I531" s="323"/>
      <c r="J531" s="323"/>
      <c r="K531" s="323"/>
      <c r="L531" s="323"/>
      <c r="M531" s="323"/>
      <c r="N531" s="323"/>
    </row>
    <row r="532" spans="1:14" ht="36" customHeight="1">
      <c r="A532" s="315"/>
      <c r="B532" s="330" t="s">
        <v>1768</v>
      </c>
      <c r="C532" s="420">
        <v>154300000</v>
      </c>
      <c r="D532" s="125">
        <v>13020790660</v>
      </c>
      <c r="E532" s="126">
        <f t="shared" si="22"/>
        <v>1.1850278837061035</v>
      </c>
      <c r="F532" s="323"/>
      <c r="G532" s="323"/>
      <c r="H532" s="323"/>
      <c r="I532" s="323"/>
      <c r="J532" s="323"/>
      <c r="K532" s="323"/>
      <c r="L532" s="323"/>
      <c r="M532" s="323"/>
      <c r="N532" s="323"/>
    </row>
    <row r="533" spans="1:14" ht="32.25" customHeight="1">
      <c r="A533" s="315"/>
      <c r="B533" s="330" t="s">
        <v>1769</v>
      </c>
      <c r="C533" s="420">
        <v>432000000</v>
      </c>
      <c r="D533" s="125">
        <v>13020790660</v>
      </c>
      <c r="E533" s="126">
        <f t="shared" si="22"/>
        <v>3.3177708733702969</v>
      </c>
      <c r="F533" s="323"/>
      <c r="G533" s="323"/>
      <c r="H533" s="323"/>
      <c r="I533" s="323"/>
      <c r="J533" s="323"/>
      <c r="K533" s="323"/>
      <c r="L533" s="323"/>
      <c r="M533" s="323"/>
      <c r="N533" s="323"/>
    </row>
    <row r="534" spans="1:14" ht="21.75" customHeight="1">
      <c r="A534" s="315"/>
      <c r="B534" s="330" t="s">
        <v>1770</v>
      </c>
      <c r="C534" s="420">
        <v>330250000</v>
      </c>
      <c r="D534" s="125">
        <v>13020790660</v>
      </c>
      <c r="E534" s="126">
        <f t="shared" si="22"/>
        <v>2.5363283123392142</v>
      </c>
      <c r="F534" s="323"/>
      <c r="G534" s="323"/>
      <c r="H534" s="323"/>
      <c r="I534" s="323"/>
      <c r="J534" s="323"/>
      <c r="K534" s="323"/>
      <c r="L534" s="323"/>
      <c r="M534" s="323"/>
      <c r="N534" s="323"/>
    </row>
    <row r="535" spans="1:14" ht="55.5" customHeight="1">
      <c r="A535" s="315"/>
      <c r="B535" s="330" t="s">
        <v>1771</v>
      </c>
      <c r="C535" s="420">
        <v>150000000</v>
      </c>
      <c r="D535" s="125">
        <v>13020790660</v>
      </c>
      <c r="E535" s="126">
        <f t="shared" si="22"/>
        <v>1.1520037754757972</v>
      </c>
      <c r="F535" s="323"/>
      <c r="G535" s="323"/>
      <c r="H535" s="323"/>
      <c r="I535" s="323"/>
      <c r="J535" s="323"/>
      <c r="K535" s="323"/>
      <c r="L535" s="323"/>
      <c r="M535" s="323"/>
      <c r="N535" s="323"/>
    </row>
    <row r="536" spans="1:14" ht="36" customHeight="1">
      <c r="A536" s="315"/>
      <c r="B536" s="330" t="s">
        <v>1761</v>
      </c>
      <c r="C536" s="420">
        <v>100000000</v>
      </c>
      <c r="D536" s="125">
        <v>13020790660</v>
      </c>
      <c r="E536" s="126">
        <f t="shared" si="22"/>
        <v>0.7680025169838649</v>
      </c>
      <c r="F536" s="323"/>
      <c r="G536" s="323"/>
      <c r="H536" s="323"/>
      <c r="I536" s="323"/>
      <c r="J536" s="323"/>
      <c r="K536" s="323"/>
      <c r="L536" s="323"/>
      <c r="M536" s="323"/>
      <c r="N536" s="323"/>
    </row>
    <row r="537" spans="1:14" ht="36" customHeight="1">
      <c r="A537" s="315"/>
      <c r="B537" s="330" t="s">
        <v>1772</v>
      </c>
      <c r="C537" s="420">
        <v>290000000</v>
      </c>
      <c r="D537" s="125">
        <v>13020790660</v>
      </c>
      <c r="E537" s="126">
        <f t="shared" si="22"/>
        <v>2.2272072992532084</v>
      </c>
      <c r="F537" s="323"/>
      <c r="G537" s="323"/>
      <c r="H537" s="323"/>
      <c r="I537" s="323"/>
      <c r="J537" s="323"/>
      <c r="K537" s="323"/>
      <c r="L537" s="323"/>
      <c r="M537" s="323"/>
      <c r="N537" s="323"/>
    </row>
    <row r="538" spans="1:14" ht="21.75" customHeight="1">
      <c r="A538" s="315"/>
      <c r="B538" s="330" t="s">
        <v>1773</v>
      </c>
      <c r="C538" s="420">
        <v>150000000</v>
      </c>
      <c r="D538" s="125">
        <v>13020790660</v>
      </c>
      <c r="E538" s="126">
        <f t="shared" si="22"/>
        <v>1.1520037754757972</v>
      </c>
      <c r="F538" s="323"/>
      <c r="G538" s="323"/>
      <c r="H538" s="323"/>
      <c r="I538" s="323"/>
      <c r="J538" s="323"/>
      <c r="K538" s="323"/>
      <c r="L538" s="323"/>
      <c r="M538" s="323"/>
      <c r="N538" s="323"/>
    </row>
    <row r="539" spans="1:14" ht="21.75" customHeight="1">
      <c r="A539" s="315"/>
      <c r="B539" s="330" t="s">
        <v>1774</v>
      </c>
      <c r="C539" s="420">
        <v>1747250000</v>
      </c>
      <c r="D539" s="125">
        <v>13020790660</v>
      </c>
      <c r="E539" s="126">
        <f t="shared" si="22"/>
        <v>13.41892397800058</v>
      </c>
      <c r="F539" s="323"/>
      <c r="G539" s="323"/>
      <c r="H539" s="323"/>
      <c r="I539" s="323"/>
      <c r="J539" s="323"/>
      <c r="K539" s="323"/>
      <c r="L539" s="323"/>
      <c r="M539" s="323"/>
      <c r="N539" s="323"/>
    </row>
    <row r="540" spans="1:14" ht="21.75" customHeight="1">
      <c r="A540" s="315"/>
      <c r="B540" s="330" t="s">
        <v>1546</v>
      </c>
      <c r="C540" s="420">
        <v>388340000</v>
      </c>
      <c r="D540" s="125">
        <v>13020790660</v>
      </c>
      <c r="E540" s="126">
        <f t="shared" si="22"/>
        <v>2.9824609744551411</v>
      </c>
      <c r="F540" s="323"/>
      <c r="G540" s="323"/>
      <c r="H540" s="323"/>
      <c r="I540" s="323"/>
      <c r="J540" s="323"/>
      <c r="K540" s="323"/>
      <c r="L540" s="323"/>
      <c r="M540" s="323"/>
      <c r="N540" s="323"/>
    </row>
    <row r="541" spans="1:14" ht="21.75" customHeight="1">
      <c r="A541" s="315"/>
      <c r="B541" s="330" t="s">
        <v>1775</v>
      </c>
      <c r="C541" s="420">
        <v>272755000</v>
      </c>
      <c r="D541" s="125">
        <v>13020790660</v>
      </c>
      <c r="E541" s="126">
        <f t="shared" si="22"/>
        <v>2.0947652651993409</v>
      </c>
      <c r="F541" s="323"/>
      <c r="G541" s="323"/>
      <c r="H541" s="323"/>
      <c r="I541" s="323"/>
      <c r="J541" s="323"/>
      <c r="K541" s="323"/>
      <c r="L541" s="323"/>
      <c r="M541" s="323"/>
      <c r="N541" s="323"/>
    </row>
    <row r="542" spans="1:14" ht="21.75" customHeight="1">
      <c r="A542" s="315"/>
      <c r="B542" s="330" t="s">
        <v>1776</v>
      </c>
      <c r="C542" s="420">
        <v>254105000</v>
      </c>
      <c r="D542" s="125">
        <v>13020790660</v>
      </c>
      <c r="E542" s="126">
        <f t="shared" si="22"/>
        <v>1.95153279578185</v>
      </c>
      <c r="F542" s="323"/>
      <c r="G542" s="323"/>
      <c r="H542" s="323"/>
      <c r="I542" s="323"/>
      <c r="J542" s="323"/>
      <c r="K542" s="323"/>
      <c r="L542" s="323"/>
      <c r="M542" s="323"/>
      <c r="N542" s="323"/>
    </row>
    <row r="543" spans="1:14" ht="21.75" customHeight="1">
      <c r="A543" s="315"/>
      <c r="B543" s="328" t="s">
        <v>106</v>
      </c>
      <c r="C543" s="418">
        <f>SUM(C544:C545)</f>
        <v>650000000</v>
      </c>
      <c r="D543" s="125">
        <v>13020790660</v>
      </c>
      <c r="E543" s="126">
        <f t="shared" si="22"/>
        <v>4.9920163603951222</v>
      </c>
      <c r="F543" s="323"/>
      <c r="G543" s="323"/>
      <c r="H543" s="323"/>
      <c r="I543" s="323"/>
      <c r="J543" s="323"/>
      <c r="K543" s="323"/>
      <c r="L543" s="323"/>
      <c r="M543" s="323"/>
      <c r="N543" s="323"/>
    </row>
    <row r="544" spans="1:14" ht="21.75" customHeight="1">
      <c r="A544" s="315"/>
      <c r="B544" s="330" t="s">
        <v>1777</v>
      </c>
      <c r="C544" s="329">
        <v>300000000</v>
      </c>
      <c r="D544" s="125">
        <v>13020790660</v>
      </c>
      <c r="E544" s="126">
        <f t="shared" si="22"/>
        <v>2.3040075509515945</v>
      </c>
      <c r="F544" s="323"/>
      <c r="G544" s="323"/>
      <c r="H544" s="323"/>
      <c r="I544" s="323"/>
      <c r="J544" s="323"/>
      <c r="K544" s="323"/>
      <c r="L544" s="323"/>
      <c r="M544" s="323"/>
      <c r="N544" s="323"/>
    </row>
    <row r="545" spans="1:14" ht="34.5" customHeight="1">
      <c r="A545" s="315"/>
      <c r="B545" s="330" t="s">
        <v>1778</v>
      </c>
      <c r="C545" s="329">
        <v>350000000</v>
      </c>
      <c r="D545" s="125">
        <v>13020790660</v>
      </c>
      <c r="E545" s="126">
        <f t="shared" si="22"/>
        <v>2.6880088094435273</v>
      </c>
      <c r="F545" s="323"/>
      <c r="G545" s="323"/>
      <c r="H545" s="323"/>
      <c r="I545" s="323"/>
      <c r="J545" s="323"/>
      <c r="K545" s="323"/>
      <c r="L545" s="323"/>
      <c r="M545" s="323"/>
      <c r="N545" s="323"/>
    </row>
    <row r="546" spans="1:14" ht="15" customHeight="1">
      <c r="A546" s="315"/>
      <c r="B546" s="331"/>
      <c r="C546" s="332"/>
      <c r="D546" s="403"/>
      <c r="E546" s="333"/>
      <c r="F546" s="323"/>
      <c r="G546" s="323"/>
      <c r="H546" s="323"/>
      <c r="I546" s="323"/>
      <c r="J546" s="323"/>
      <c r="K546" s="323"/>
      <c r="L546" s="323"/>
      <c r="M546" s="323"/>
      <c r="N546" s="323"/>
    </row>
    <row r="547" spans="1:14" ht="21.75" customHeight="1">
      <c r="A547" s="315">
        <v>20</v>
      </c>
      <c r="B547" s="421" t="s">
        <v>2579</v>
      </c>
      <c r="C547" s="366">
        <f>C548</f>
        <v>17719866527.669998</v>
      </c>
      <c r="D547" s="422">
        <v>59066221758.909996</v>
      </c>
      <c r="E547" s="338">
        <f>+C547/D547*100</f>
        <v>29.99999999999492</v>
      </c>
      <c r="F547" s="323"/>
      <c r="G547" s="323"/>
      <c r="H547" s="323"/>
      <c r="I547" s="323"/>
      <c r="J547" s="323"/>
      <c r="K547" s="323"/>
      <c r="L547" s="323"/>
      <c r="M547" s="323"/>
      <c r="N547" s="323"/>
    </row>
    <row r="548" spans="1:14" ht="21.75" customHeight="1">
      <c r="A548" s="315"/>
      <c r="B548" s="423" t="s">
        <v>64</v>
      </c>
      <c r="C548" s="424">
        <f>+C549+C555</f>
        <v>17719866527.669998</v>
      </c>
      <c r="D548" s="321">
        <v>17719866527.669998</v>
      </c>
      <c r="E548" s="126">
        <f>+C548/D548*100</f>
        <v>100</v>
      </c>
      <c r="F548" s="323"/>
      <c r="G548" s="323"/>
      <c r="H548" s="323"/>
      <c r="I548" s="323"/>
      <c r="J548" s="323"/>
      <c r="K548" s="323"/>
      <c r="L548" s="323"/>
      <c r="M548" s="323"/>
      <c r="N548" s="323"/>
    </row>
    <row r="549" spans="1:14" ht="21.75" customHeight="1">
      <c r="A549" s="315"/>
      <c r="B549" s="423" t="s">
        <v>1212</v>
      </c>
      <c r="C549" s="425">
        <v>14819445562.25</v>
      </c>
      <c r="D549" s="321">
        <v>17719866527.669998</v>
      </c>
      <c r="E549" s="126">
        <f t="shared" ref="E549:E558" si="23">+C549/D549*100</f>
        <v>83.631812570986796</v>
      </c>
      <c r="F549" s="323"/>
      <c r="G549" s="323"/>
      <c r="H549" s="323"/>
      <c r="I549" s="323"/>
      <c r="J549" s="323"/>
      <c r="K549" s="323"/>
      <c r="L549" s="323"/>
      <c r="M549" s="323"/>
      <c r="N549" s="323"/>
    </row>
    <row r="550" spans="1:14" ht="21.75" customHeight="1">
      <c r="A550" s="315"/>
      <c r="B550" s="426" t="s">
        <v>1871</v>
      </c>
      <c r="C550" s="427">
        <v>2000000052</v>
      </c>
      <c r="D550" s="321">
        <v>17719866527.669998</v>
      </c>
      <c r="E550" s="126">
        <f t="shared" si="23"/>
        <v>11.286767024328043</v>
      </c>
      <c r="F550" s="323"/>
      <c r="G550" s="323"/>
      <c r="H550" s="323"/>
      <c r="I550" s="323"/>
      <c r="J550" s="323"/>
      <c r="K550" s="323"/>
      <c r="L550" s="323"/>
      <c r="M550" s="323"/>
      <c r="N550" s="323"/>
    </row>
    <row r="551" spans="1:14" ht="21.75" customHeight="1">
      <c r="A551" s="315"/>
      <c r="B551" s="426" t="s">
        <v>1872</v>
      </c>
      <c r="C551" s="427">
        <v>1033344000</v>
      </c>
      <c r="D551" s="321">
        <v>17719866527.669998</v>
      </c>
      <c r="E551" s="126">
        <f t="shared" si="23"/>
        <v>5.8315563403731545</v>
      </c>
      <c r="F551" s="323"/>
      <c r="G551" s="323"/>
      <c r="H551" s="323"/>
      <c r="I551" s="323"/>
      <c r="J551" s="323"/>
      <c r="K551" s="323"/>
      <c r="L551" s="323"/>
      <c r="M551" s="323"/>
      <c r="N551" s="323"/>
    </row>
    <row r="552" spans="1:14" ht="21.75" customHeight="1">
      <c r="A552" s="315"/>
      <c r="B552" s="426" t="s">
        <v>1873</v>
      </c>
      <c r="C552" s="427">
        <v>1033344000</v>
      </c>
      <c r="D552" s="321">
        <v>17719866527.669998</v>
      </c>
      <c r="E552" s="126">
        <f t="shared" si="23"/>
        <v>5.8315563403731545</v>
      </c>
      <c r="F552" s="323"/>
      <c r="G552" s="323"/>
      <c r="H552" s="323"/>
      <c r="I552" s="323"/>
      <c r="J552" s="323"/>
      <c r="K552" s="323"/>
      <c r="L552" s="323"/>
      <c r="M552" s="323"/>
      <c r="N552" s="323"/>
    </row>
    <row r="553" spans="1:14" ht="33.75" customHeight="1">
      <c r="A553" s="315"/>
      <c r="B553" s="426" t="s">
        <v>1874</v>
      </c>
      <c r="C553" s="427">
        <v>262500000</v>
      </c>
      <c r="D553" s="321">
        <v>17719866527.669998</v>
      </c>
      <c r="E553" s="126">
        <f t="shared" si="23"/>
        <v>1.4813881334269643</v>
      </c>
      <c r="F553" s="323"/>
      <c r="G553" s="323"/>
      <c r="H553" s="323"/>
      <c r="I553" s="323"/>
      <c r="J553" s="323"/>
      <c r="K553" s="323"/>
      <c r="L553" s="323"/>
      <c r="M553" s="323"/>
      <c r="N553" s="323"/>
    </row>
    <row r="554" spans="1:14" ht="21.75" customHeight="1">
      <c r="A554" s="315"/>
      <c r="B554" s="426" t="s">
        <v>1875</v>
      </c>
      <c r="C554" s="427">
        <v>11523601510.25</v>
      </c>
      <c r="D554" s="321">
        <v>17719866527.669998</v>
      </c>
      <c r="E554" s="126">
        <f t="shared" si="23"/>
        <v>65.032101072858637</v>
      </c>
      <c r="F554" s="323"/>
      <c r="G554" s="323"/>
      <c r="H554" s="323"/>
      <c r="I554" s="323"/>
      <c r="J554" s="323"/>
      <c r="K554" s="323"/>
      <c r="L554" s="323"/>
      <c r="M554" s="323"/>
      <c r="N554" s="323"/>
    </row>
    <row r="555" spans="1:14" ht="21.75" customHeight="1">
      <c r="A555" s="315"/>
      <c r="B555" s="423" t="s">
        <v>1876</v>
      </c>
      <c r="C555" s="425">
        <v>2900420965.4200001</v>
      </c>
      <c r="D555" s="321">
        <v>17719866527.669998</v>
      </c>
      <c r="E555" s="126">
        <f t="shared" si="23"/>
        <v>16.368187429013208</v>
      </c>
      <c r="F555" s="323"/>
      <c r="G555" s="323"/>
      <c r="H555" s="323"/>
      <c r="I555" s="323"/>
      <c r="J555" s="323"/>
      <c r="K555" s="323"/>
      <c r="L555" s="323"/>
      <c r="M555" s="323"/>
      <c r="N555" s="323"/>
    </row>
    <row r="556" spans="1:14" ht="21.75" customHeight="1">
      <c r="A556" s="315"/>
      <c r="B556" s="426" t="s">
        <v>1871</v>
      </c>
      <c r="C556" s="427">
        <v>870426000</v>
      </c>
      <c r="D556" s="321">
        <v>17719866527.669998</v>
      </c>
      <c r="E556" s="126">
        <f t="shared" si="23"/>
        <v>4.9121476092430427</v>
      </c>
      <c r="F556" s="323"/>
      <c r="G556" s="323"/>
      <c r="H556" s="323"/>
      <c r="I556" s="323"/>
      <c r="J556" s="323"/>
      <c r="K556" s="323"/>
      <c r="L556" s="323"/>
      <c r="M556" s="323"/>
      <c r="N556" s="323"/>
    </row>
    <row r="557" spans="1:14" ht="21.75" customHeight="1">
      <c r="A557" s="315"/>
      <c r="B557" s="426" t="s">
        <v>1877</v>
      </c>
      <c r="C557" s="427">
        <v>1099994053</v>
      </c>
      <c r="D557" s="321">
        <v>17719866527.669998</v>
      </c>
      <c r="E557" s="126">
        <f t="shared" si="23"/>
        <v>6.2076881407787852</v>
      </c>
      <c r="F557" s="323"/>
      <c r="G557" s="323"/>
      <c r="H557" s="323"/>
      <c r="I557" s="323"/>
      <c r="J557" s="323"/>
      <c r="K557" s="323"/>
      <c r="L557" s="323"/>
      <c r="M557" s="323"/>
      <c r="N557" s="323"/>
    </row>
    <row r="558" spans="1:14" ht="21.75" customHeight="1">
      <c r="A558" s="315"/>
      <c r="B558" s="426" t="s">
        <v>1875</v>
      </c>
      <c r="C558" s="427">
        <v>930000912.41999996</v>
      </c>
      <c r="D558" s="321">
        <v>17719866527.669998</v>
      </c>
      <c r="E558" s="126">
        <f t="shared" si="23"/>
        <v>5.24835167899138</v>
      </c>
      <c r="F558" s="323"/>
      <c r="G558" s="323"/>
      <c r="H558" s="323"/>
      <c r="I558" s="323"/>
      <c r="J558" s="323"/>
      <c r="K558" s="323"/>
      <c r="L558" s="323"/>
      <c r="M558" s="323"/>
      <c r="N558" s="323"/>
    </row>
    <row r="559" spans="1:14" ht="15" customHeight="1">
      <c r="A559" s="315"/>
      <c r="B559" s="428"/>
      <c r="C559" s="429"/>
      <c r="D559" s="422"/>
      <c r="E559" s="338"/>
      <c r="F559" s="323"/>
      <c r="G559" s="323"/>
      <c r="H559" s="323"/>
      <c r="I559" s="323"/>
      <c r="J559" s="323"/>
      <c r="K559" s="323"/>
      <c r="L559" s="323"/>
      <c r="M559" s="323"/>
      <c r="N559" s="323"/>
    </row>
    <row r="560" spans="1:14" ht="21.75" customHeight="1">
      <c r="A560" s="315">
        <v>21</v>
      </c>
      <c r="B560" s="430" t="s">
        <v>2580</v>
      </c>
      <c r="C560" s="431">
        <f>C561</f>
        <v>18655752692</v>
      </c>
      <c r="D560" s="353">
        <v>62185842294.059998</v>
      </c>
      <c r="E560" s="338">
        <f>+C560/D560*100</f>
        <v>30.000000006081773</v>
      </c>
      <c r="F560" s="323"/>
      <c r="G560" s="323"/>
      <c r="H560" s="323"/>
      <c r="I560" s="323"/>
      <c r="J560" s="323"/>
      <c r="K560" s="323"/>
      <c r="L560" s="323"/>
      <c r="M560" s="323"/>
      <c r="N560" s="323"/>
    </row>
    <row r="561" spans="1:14" ht="21.75" customHeight="1">
      <c r="A561" s="315"/>
      <c r="B561" s="347" t="s">
        <v>1920</v>
      </c>
      <c r="C561" s="432">
        <f>C562+C565</f>
        <v>18655752692</v>
      </c>
      <c r="D561" s="353">
        <v>18655752692</v>
      </c>
      <c r="E561" s="126">
        <f>+C561/D561*100</f>
        <v>100</v>
      </c>
      <c r="F561" s="323"/>
      <c r="G561" s="323"/>
      <c r="H561" s="323"/>
      <c r="I561" s="323"/>
      <c r="J561" s="323"/>
      <c r="K561" s="323"/>
      <c r="L561" s="323"/>
      <c r="M561" s="323"/>
      <c r="N561" s="323"/>
    </row>
    <row r="562" spans="1:14" ht="21.75" customHeight="1">
      <c r="A562" s="315"/>
      <c r="B562" s="347" t="s">
        <v>388</v>
      </c>
      <c r="C562" s="432">
        <f>SUM(C563:C564)</f>
        <v>578800000</v>
      </c>
      <c r="D562" s="353">
        <v>18655752692</v>
      </c>
      <c r="E562" s="126">
        <f t="shared" ref="E562:E570" si="24">+C562/D562*100</f>
        <v>3.1025282632965125</v>
      </c>
      <c r="F562" s="323"/>
      <c r="G562" s="323"/>
      <c r="H562" s="323"/>
      <c r="I562" s="323"/>
      <c r="J562" s="323"/>
      <c r="K562" s="323"/>
      <c r="L562" s="323"/>
      <c r="M562" s="323"/>
      <c r="N562" s="323"/>
    </row>
    <row r="563" spans="1:14" ht="21.75" customHeight="1">
      <c r="A563" s="315"/>
      <c r="B563" s="316" t="s">
        <v>1921</v>
      </c>
      <c r="C563" s="433">
        <v>300000000</v>
      </c>
      <c r="D563" s="353">
        <v>18655752692</v>
      </c>
      <c r="E563" s="126">
        <f t="shared" si="24"/>
        <v>1.6080830666706181</v>
      </c>
      <c r="F563" s="323"/>
      <c r="G563" s="323"/>
      <c r="H563" s="323"/>
      <c r="I563" s="323"/>
      <c r="J563" s="323"/>
      <c r="K563" s="323"/>
      <c r="L563" s="323"/>
      <c r="M563" s="323"/>
      <c r="N563" s="323"/>
    </row>
    <row r="564" spans="1:14" ht="21.75" customHeight="1">
      <c r="A564" s="315"/>
      <c r="B564" s="316" t="s">
        <v>1922</v>
      </c>
      <c r="C564" s="433">
        <v>278800000</v>
      </c>
      <c r="D564" s="353">
        <v>18655752692</v>
      </c>
      <c r="E564" s="126">
        <f t="shared" si="24"/>
        <v>1.4944451966258945</v>
      </c>
      <c r="F564" s="323"/>
      <c r="G564" s="323"/>
      <c r="H564" s="323"/>
      <c r="I564" s="323"/>
      <c r="J564" s="323"/>
      <c r="K564" s="323"/>
      <c r="L564" s="323"/>
      <c r="M564" s="323"/>
      <c r="N564" s="323"/>
    </row>
    <row r="565" spans="1:14" ht="21.75" customHeight="1">
      <c r="A565" s="315"/>
      <c r="B565" s="347" t="s">
        <v>394</v>
      </c>
      <c r="C565" s="432">
        <f>SUM(C566:C570)</f>
        <v>18076952692</v>
      </c>
      <c r="D565" s="353">
        <v>18655752692</v>
      </c>
      <c r="E565" s="126">
        <f t="shared" si="24"/>
        <v>96.897471736703494</v>
      </c>
      <c r="F565" s="323"/>
      <c r="G565" s="323"/>
      <c r="H565" s="323"/>
      <c r="I565" s="323"/>
      <c r="J565" s="323"/>
      <c r="K565" s="323"/>
      <c r="L565" s="323"/>
      <c r="M565" s="323"/>
      <c r="N565" s="323"/>
    </row>
    <row r="566" spans="1:14" ht="21.75" customHeight="1">
      <c r="A566" s="315"/>
      <c r="B566" s="316" t="s">
        <v>1923</v>
      </c>
      <c r="C566" s="433">
        <v>2215908492</v>
      </c>
      <c r="D566" s="353">
        <v>18655752692</v>
      </c>
      <c r="E566" s="126">
        <f t="shared" si="24"/>
        <v>11.877883077589416</v>
      </c>
      <c r="F566" s="323"/>
      <c r="G566" s="323"/>
      <c r="H566" s="323"/>
      <c r="I566" s="323"/>
      <c r="J566" s="323"/>
      <c r="K566" s="323"/>
      <c r="L566" s="323"/>
      <c r="M566" s="323"/>
      <c r="N566" s="323"/>
    </row>
    <row r="567" spans="1:14" ht="21.75" customHeight="1">
      <c r="A567" s="315"/>
      <c r="B567" s="316" t="s">
        <v>1924</v>
      </c>
      <c r="C567" s="433">
        <v>467940000</v>
      </c>
      <c r="D567" s="353">
        <v>18655752692</v>
      </c>
      <c r="E567" s="126">
        <f t="shared" si="24"/>
        <v>2.50828796739283</v>
      </c>
      <c r="F567" s="323"/>
      <c r="G567" s="323"/>
      <c r="H567" s="323"/>
      <c r="I567" s="323"/>
      <c r="J567" s="323"/>
      <c r="K567" s="323"/>
      <c r="L567" s="323"/>
      <c r="M567" s="323"/>
      <c r="N567" s="323"/>
    </row>
    <row r="568" spans="1:14" ht="21.75" customHeight="1">
      <c r="A568" s="315"/>
      <c r="B568" s="316" t="s">
        <v>1925</v>
      </c>
      <c r="C568" s="433">
        <v>757900000</v>
      </c>
      <c r="D568" s="353">
        <v>18655752692</v>
      </c>
      <c r="E568" s="126">
        <f t="shared" si="24"/>
        <v>4.062553854098871</v>
      </c>
      <c r="F568" s="323"/>
      <c r="G568" s="323"/>
      <c r="H568" s="323"/>
      <c r="I568" s="323"/>
      <c r="J568" s="323"/>
      <c r="K568" s="323"/>
      <c r="L568" s="323"/>
      <c r="M568" s="323"/>
      <c r="N568" s="323"/>
    </row>
    <row r="569" spans="1:14" ht="21.75" customHeight="1">
      <c r="A569" s="315"/>
      <c r="B569" s="316" t="s">
        <v>1926</v>
      </c>
      <c r="C569" s="433">
        <v>8013600000</v>
      </c>
      <c r="D569" s="353">
        <v>18655752692</v>
      </c>
      <c r="E569" s="126">
        <f t="shared" si="24"/>
        <v>42.955114876905554</v>
      </c>
      <c r="F569" s="323"/>
      <c r="G569" s="323"/>
      <c r="H569" s="323"/>
      <c r="I569" s="323"/>
      <c r="J569" s="323"/>
      <c r="K569" s="323"/>
      <c r="L569" s="323"/>
      <c r="M569" s="323"/>
      <c r="N569" s="323"/>
    </row>
    <row r="570" spans="1:14" ht="21.75" customHeight="1">
      <c r="A570" s="315"/>
      <c r="B570" s="316" t="s">
        <v>1927</v>
      </c>
      <c r="C570" s="433">
        <v>6621604200</v>
      </c>
      <c r="D570" s="353">
        <v>18655752692</v>
      </c>
      <c r="E570" s="126">
        <f t="shared" si="24"/>
        <v>35.493631960716812</v>
      </c>
      <c r="F570" s="323"/>
      <c r="G570" s="323"/>
      <c r="H570" s="323"/>
      <c r="I570" s="323"/>
      <c r="J570" s="323"/>
      <c r="K570" s="323"/>
      <c r="L570" s="323"/>
      <c r="M570" s="323"/>
      <c r="N570" s="323"/>
    </row>
    <row r="571" spans="1:14" ht="15" customHeight="1">
      <c r="A571" s="315"/>
      <c r="B571" s="331"/>
      <c r="C571" s="332"/>
      <c r="D571" s="403"/>
      <c r="E571" s="333"/>
      <c r="F571" s="323"/>
      <c r="G571" s="323"/>
      <c r="H571" s="323"/>
      <c r="I571" s="323"/>
      <c r="J571" s="323"/>
      <c r="K571" s="323"/>
      <c r="L571" s="323"/>
      <c r="M571" s="323"/>
      <c r="N571" s="323"/>
    </row>
    <row r="572" spans="1:14" ht="21.75" customHeight="1">
      <c r="A572" s="315">
        <v>22</v>
      </c>
      <c r="B572" s="324" t="s">
        <v>2581</v>
      </c>
      <c r="C572" s="327">
        <f>+C573</f>
        <v>19746690084</v>
      </c>
      <c r="D572" s="125">
        <v>65793806208</v>
      </c>
      <c r="E572" s="338">
        <f>+C572/D572*100</f>
        <v>30.01299244122308</v>
      </c>
      <c r="F572" s="323"/>
      <c r="G572" s="323"/>
      <c r="H572" s="323"/>
      <c r="I572" s="323"/>
      <c r="J572" s="323"/>
      <c r="K572" s="323"/>
      <c r="L572" s="323"/>
      <c r="M572" s="323"/>
      <c r="N572" s="323"/>
    </row>
    <row r="573" spans="1:14" ht="21.75" customHeight="1">
      <c r="A573" s="315"/>
      <c r="B573" s="339" t="s">
        <v>444</v>
      </c>
      <c r="C573" s="434">
        <f>C574+C576+C590+C592</f>
        <v>19746690084</v>
      </c>
      <c r="D573" s="125">
        <v>19746690084</v>
      </c>
      <c r="E573" s="126">
        <f>+C573/D573*100</f>
        <v>100</v>
      </c>
      <c r="F573" s="323"/>
      <c r="G573" s="323"/>
      <c r="H573" s="323"/>
      <c r="I573" s="323"/>
      <c r="J573" s="323"/>
      <c r="K573" s="323"/>
      <c r="L573" s="323"/>
      <c r="M573" s="323"/>
      <c r="N573" s="323"/>
    </row>
    <row r="574" spans="1:14" ht="21.75" customHeight="1">
      <c r="A574" s="315"/>
      <c r="B574" s="339" t="s">
        <v>388</v>
      </c>
      <c r="C574" s="434">
        <f>C575</f>
        <v>204586000</v>
      </c>
      <c r="D574" s="125">
        <v>19746690084</v>
      </c>
      <c r="E574" s="126">
        <f t="shared" ref="E574:E597" si="25">+C574/D574*100</f>
        <v>1.0360521136945797</v>
      </c>
      <c r="F574" s="323"/>
      <c r="G574" s="323"/>
      <c r="H574" s="323"/>
      <c r="I574" s="323"/>
      <c r="J574" s="323"/>
      <c r="K574" s="323"/>
      <c r="L574" s="323"/>
      <c r="M574" s="323"/>
      <c r="N574" s="323"/>
    </row>
    <row r="575" spans="1:14" ht="21.75" customHeight="1">
      <c r="A575" s="315"/>
      <c r="B575" s="412" t="s">
        <v>1979</v>
      </c>
      <c r="C575" s="435">
        <v>204586000</v>
      </c>
      <c r="D575" s="125">
        <v>19746690084</v>
      </c>
      <c r="E575" s="126">
        <f t="shared" si="25"/>
        <v>1.0360521136945797</v>
      </c>
      <c r="F575" s="323"/>
      <c r="G575" s="323"/>
      <c r="H575" s="323"/>
      <c r="I575" s="323"/>
      <c r="J575" s="323"/>
      <c r="K575" s="323"/>
      <c r="L575" s="323"/>
      <c r="M575" s="323"/>
      <c r="N575" s="323"/>
    </row>
    <row r="576" spans="1:14" ht="21.75" customHeight="1">
      <c r="A576" s="315"/>
      <c r="B576" s="339" t="s">
        <v>394</v>
      </c>
      <c r="C576" s="434">
        <f>SUM(C577:C589)</f>
        <v>13381334084</v>
      </c>
      <c r="D576" s="125">
        <v>19746690084</v>
      </c>
      <c r="E576" s="126">
        <f t="shared" si="25"/>
        <v>67.764947072534412</v>
      </c>
      <c r="F576" s="323"/>
      <c r="G576" s="323"/>
      <c r="H576" s="323"/>
      <c r="I576" s="323"/>
      <c r="J576" s="323"/>
      <c r="K576" s="323"/>
      <c r="L576" s="323"/>
      <c r="M576" s="323"/>
      <c r="N576" s="323"/>
    </row>
    <row r="577" spans="1:14" ht="21.75" customHeight="1">
      <c r="A577" s="315"/>
      <c r="B577" s="412" t="s">
        <v>1980</v>
      </c>
      <c r="C577" s="435">
        <v>1499980000</v>
      </c>
      <c r="D577" s="125">
        <v>19746690084</v>
      </c>
      <c r="E577" s="126">
        <f t="shared" si="25"/>
        <v>7.5961084800504235</v>
      </c>
      <c r="F577" s="323"/>
      <c r="G577" s="323"/>
      <c r="H577" s="323"/>
      <c r="I577" s="323"/>
      <c r="J577" s="323"/>
      <c r="K577" s="323"/>
      <c r="L577" s="323"/>
      <c r="M577" s="323"/>
      <c r="N577" s="323"/>
    </row>
    <row r="578" spans="1:14" ht="21.75" customHeight="1">
      <c r="A578" s="315"/>
      <c r="B578" s="412" t="s">
        <v>1981</v>
      </c>
      <c r="C578" s="435">
        <v>250000000</v>
      </c>
      <c r="D578" s="125">
        <v>19746690084</v>
      </c>
      <c r="E578" s="126">
        <f t="shared" si="25"/>
        <v>1.2660349604745436</v>
      </c>
      <c r="F578" s="323"/>
      <c r="G578" s="323"/>
      <c r="H578" s="323"/>
      <c r="I578" s="323"/>
      <c r="J578" s="323"/>
      <c r="K578" s="323"/>
      <c r="L578" s="323"/>
      <c r="M578" s="323"/>
      <c r="N578" s="323"/>
    </row>
    <row r="579" spans="1:14" ht="21.75" customHeight="1">
      <c r="A579" s="315"/>
      <c r="B579" s="412" t="s">
        <v>1400</v>
      </c>
      <c r="C579" s="435">
        <v>967760000</v>
      </c>
      <c r="D579" s="125">
        <v>19746690084</v>
      </c>
      <c r="E579" s="126">
        <f t="shared" si="25"/>
        <v>4.9008719733953772</v>
      </c>
      <c r="F579" s="323"/>
      <c r="G579" s="323"/>
      <c r="H579" s="323"/>
      <c r="I579" s="323"/>
      <c r="J579" s="323"/>
      <c r="K579" s="323"/>
      <c r="L579" s="323"/>
      <c r="M579" s="323"/>
      <c r="N579" s="323"/>
    </row>
    <row r="580" spans="1:14" ht="21.75" customHeight="1">
      <c r="A580" s="315"/>
      <c r="B580" s="412" t="s">
        <v>1982</v>
      </c>
      <c r="C580" s="435">
        <v>480000000</v>
      </c>
      <c r="D580" s="125">
        <v>19746690084</v>
      </c>
      <c r="E580" s="126">
        <f t="shared" si="25"/>
        <v>2.4307871241111236</v>
      </c>
      <c r="F580" s="323"/>
      <c r="G580" s="323"/>
      <c r="H580" s="323"/>
      <c r="I580" s="323"/>
      <c r="J580" s="323"/>
      <c r="K580" s="323"/>
      <c r="L580" s="323"/>
      <c r="M580" s="323"/>
      <c r="N580" s="323"/>
    </row>
    <row r="581" spans="1:14" ht="21.75" customHeight="1">
      <c r="A581" s="315"/>
      <c r="B581" s="412" t="s">
        <v>1983</v>
      </c>
      <c r="C581" s="435">
        <v>682814640</v>
      </c>
      <c r="D581" s="125">
        <v>19746690084</v>
      </c>
      <c r="E581" s="126">
        <f t="shared" si="25"/>
        <v>3.4578688230553585</v>
      </c>
      <c r="F581" s="323"/>
      <c r="G581" s="323"/>
      <c r="H581" s="323"/>
      <c r="I581" s="323"/>
      <c r="J581" s="323"/>
      <c r="K581" s="323"/>
      <c r="L581" s="323"/>
      <c r="M581" s="323"/>
      <c r="N581" s="323"/>
    </row>
    <row r="582" spans="1:14" ht="21.75" customHeight="1">
      <c r="A582" s="315"/>
      <c r="B582" s="412" t="s">
        <v>1984</v>
      </c>
      <c r="C582" s="435">
        <v>319181000</v>
      </c>
      <c r="D582" s="125">
        <v>19746690084</v>
      </c>
      <c r="E582" s="126">
        <f t="shared" si="25"/>
        <v>1.616377218876901</v>
      </c>
      <c r="F582" s="323"/>
      <c r="G582" s="323"/>
      <c r="H582" s="323"/>
      <c r="I582" s="323"/>
      <c r="J582" s="323"/>
      <c r="K582" s="323"/>
      <c r="L582" s="323"/>
      <c r="M582" s="323"/>
      <c r="N582" s="323"/>
    </row>
    <row r="583" spans="1:14" ht="21.75" customHeight="1">
      <c r="A583" s="315"/>
      <c r="B583" s="412" t="s">
        <v>1985</v>
      </c>
      <c r="C583" s="435">
        <v>177700000</v>
      </c>
      <c r="D583" s="125">
        <v>19746690084</v>
      </c>
      <c r="E583" s="126">
        <f t="shared" si="25"/>
        <v>0.89989764990530552</v>
      </c>
      <c r="F583" s="323"/>
      <c r="G583" s="323"/>
      <c r="H583" s="323"/>
      <c r="I583" s="323"/>
      <c r="J583" s="323"/>
      <c r="K583" s="323"/>
      <c r="L583" s="323"/>
      <c r="M583" s="323"/>
      <c r="N583" s="323"/>
    </row>
    <row r="584" spans="1:14" ht="21.75" customHeight="1">
      <c r="A584" s="315"/>
      <c r="B584" s="412" t="s">
        <v>1986</v>
      </c>
      <c r="C584" s="435">
        <v>1860000444</v>
      </c>
      <c r="D584" s="125">
        <v>19746690084</v>
      </c>
      <c r="E584" s="126">
        <f t="shared" si="25"/>
        <v>9.4193023544086927</v>
      </c>
      <c r="F584" s="323"/>
      <c r="G584" s="323"/>
      <c r="H584" s="323"/>
      <c r="I584" s="323"/>
      <c r="J584" s="323"/>
      <c r="K584" s="323"/>
      <c r="L584" s="323"/>
      <c r="M584" s="323"/>
      <c r="N584" s="323"/>
    </row>
    <row r="585" spans="1:14" ht="33.75" customHeight="1">
      <c r="A585" s="315"/>
      <c r="B585" s="412" t="s">
        <v>1987</v>
      </c>
      <c r="C585" s="435">
        <v>200000000</v>
      </c>
      <c r="D585" s="125">
        <v>19746690084</v>
      </c>
      <c r="E585" s="126">
        <f t="shared" si="25"/>
        <v>1.0128279683796348</v>
      </c>
      <c r="F585" s="323"/>
      <c r="G585" s="323"/>
      <c r="H585" s="323"/>
      <c r="I585" s="323"/>
      <c r="J585" s="323"/>
      <c r="K585" s="323"/>
      <c r="L585" s="323"/>
      <c r="M585" s="323"/>
      <c r="N585" s="323"/>
    </row>
    <row r="586" spans="1:14" ht="21.75" customHeight="1">
      <c r="A586" s="315"/>
      <c r="B586" s="412" t="s">
        <v>1988</v>
      </c>
      <c r="C586" s="435">
        <v>2876160000</v>
      </c>
      <c r="D586" s="125">
        <v>19746690084</v>
      </c>
      <c r="E586" s="126">
        <f t="shared" si="25"/>
        <v>14.565276447673853</v>
      </c>
      <c r="F586" s="323"/>
      <c r="G586" s="323"/>
      <c r="H586" s="323"/>
      <c r="I586" s="323"/>
      <c r="J586" s="323"/>
      <c r="K586" s="323"/>
      <c r="L586" s="323"/>
      <c r="M586" s="323"/>
      <c r="N586" s="323"/>
    </row>
    <row r="587" spans="1:14" ht="35.25" customHeight="1">
      <c r="A587" s="315"/>
      <c r="B587" s="412" t="s">
        <v>1989</v>
      </c>
      <c r="C587" s="435">
        <v>2700000000</v>
      </c>
      <c r="D587" s="125">
        <v>19746690084</v>
      </c>
      <c r="E587" s="126">
        <f t="shared" si="25"/>
        <v>13.67317757312507</v>
      </c>
      <c r="F587" s="323"/>
      <c r="G587" s="323"/>
      <c r="H587" s="323"/>
      <c r="I587" s="323"/>
      <c r="J587" s="323"/>
      <c r="K587" s="323"/>
      <c r="L587" s="323"/>
      <c r="M587" s="323"/>
      <c r="N587" s="323"/>
    </row>
    <row r="588" spans="1:14" ht="35.25" customHeight="1">
      <c r="A588" s="315"/>
      <c r="B588" s="412" t="s">
        <v>1990</v>
      </c>
      <c r="C588" s="435">
        <v>1111988000</v>
      </c>
      <c r="D588" s="125">
        <v>19746690084</v>
      </c>
      <c r="E588" s="126">
        <f t="shared" si="25"/>
        <v>5.6312627345126671</v>
      </c>
      <c r="F588" s="323"/>
      <c r="G588" s="323"/>
      <c r="H588" s="323"/>
      <c r="I588" s="323"/>
      <c r="J588" s="323"/>
      <c r="K588" s="323"/>
      <c r="L588" s="323"/>
      <c r="M588" s="323"/>
      <c r="N588" s="323"/>
    </row>
    <row r="589" spans="1:14" ht="21.75" customHeight="1">
      <c r="A589" s="315"/>
      <c r="B589" s="412" t="s">
        <v>1991</v>
      </c>
      <c r="C589" s="435">
        <v>255750000</v>
      </c>
      <c r="D589" s="125">
        <v>19746690084</v>
      </c>
      <c r="E589" s="126">
        <f t="shared" si="25"/>
        <v>1.2951537645654578</v>
      </c>
      <c r="F589" s="323"/>
      <c r="G589" s="323"/>
      <c r="H589" s="323"/>
      <c r="I589" s="323"/>
      <c r="J589" s="323"/>
      <c r="K589" s="323"/>
      <c r="L589" s="323"/>
      <c r="M589" s="323"/>
      <c r="N589" s="323"/>
    </row>
    <row r="590" spans="1:14" ht="21.75" customHeight="1">
      <c r="A590" s="315"/>
      <c r="B590" s="339" t="s">
        <v>404</v>
      </c>
      <c r="C590" s="434">
        <f>C591</f>
        <v>270765000</v>
      </c>
      <c r="D590" s="125">
        <v>19746690084</v>
      </c>
      <c r="E590" s="126">
        <f t="shared" si="25"/>
        <v>1.3711918242915591</v>
      </c>
      <c r="F590" s="323"/>
      <c r="G590" s="323"/>
      <c r="H590" s="323"/>
      <c r="I590" s="323"/>
      <c r="J590" s="323"/>
      <c r="K590" s="323"/>
      <c r="L590" s="323"/>
      <c r="M590" s="323"/>
      <c r="N590" s="323"/>
    </row>
    <row r="591" spans="1:14" ht="21.75" customHeight="1">
      <c r="A591" s="315"/>
      <c r="B591" s="412" t="s">
        <v>1403</v>
      </c>
      <c r="C591" s="435">
        <v>270765000</v>
      </c>
      <c r="D591" s="125">
        <v>19746690084</v>
      </c>
      <c r="E591" s="126">
        <f t="shared" si="25"/>
        <v>1.3711918242915591</v>
      </c>
      <c r="F591" s="323"/>
      <c r="G591" s="323"/>
      <c r="H591" s="323"/>
      <c r="I591" s="323"/>
      <c r="J591" s="323"/>
      <c r="K591" s="323"/>
      <c r="L591" s="323"/>
      <c r="M591" s="323"/>
      <c r="N591" s="323"/>
    </row>
    <row r="592" spans="1:14" ht="21.75" customHeight="1">
      <c r="A592" s="315"/>
      <c r="B592" s="339" t="s">
        <v>108</v>
      </c>
      <c r="C592" s="434">
        <f>SUM(C593:C597)</f>
        <v>5890005000</v>
      </c>
      <c r="D592" s="125">
        <v>19746690084</v>
      </c>
      <c r="E592" s="126">
        <f t="shared" si="25"/>
        <v>29.827808989479454</v>
      </c>
      <c r="F592" s="323"/>
      <c r="G592" s="323"/>
      <c r="H592" s="323"/>
      <c r="I592" s="323"/>
      <c r="J592" s="323"/>
      <c r="K592" s="323"/>
      <c r="L592" s="323"/>
      <c r="M592" s="323"/>
      <c r="N592" s="323"/>
    </row>
    <row r="593" spans="1:14" ht="21.75" customHeight="1">
      <c r="A593" s="315"/>
      <c r="B593" s="412" t="s">
        <v>1992</v>
      </c>
      <c r="C593" s="435">
        <v>1890000000</v>
      </c>
      <c r="D593" s="125">
        <v>19746690084</v>
      </c>
      <c r="E593" s="126">
        <f t="shared" si="25"/>
        <v>9.5712243011875486</v>
      </c>
      <c r="F593" s="323"/>
      <c r="G593" s="323"/>
      <c r="H593" s="323"/>
      <c r="I593" s="323"/>
      <c r="J593" s="323"/>
      <c r="K593" s="323"/>
      <c r="L593" s="323"/>
      <c r="M593" s="323"/>
      <c r="N593" s="323"/>
    </row>
    <row r="594" spans="1:14" ht="35.25" customHeight="1">
      <c r="A594" s="315"/>
      <c r="B594" s="412" t="s">
        <v>1993</v>
      </c>
      <c r="C594" s="435">
        <v>598005000</v>
      </c>
      <c r="D594" s="125">
        <v>19746690084</v>
      </c>
      <c r="E594" s="126">
        <f t="shared" si="25"/>
        <v>3.0283809461543179</v>
      </c>
      <c r="F594" s="323"/>
      <c r="G594" s="323"/>
      <c r="H594" s="323"/>
      <c r="I594" s="323"/>
      <c r="J594" s="323"/>
      <c r="K594" s="323"/>
      <c r="L594" s="323"/>
      <c r="M594" s="323"/>
      <c r="N594" s="323"/>
    </row>
    <row r="595" spans="1:14" ht="35.25" customHeight="1">
      <c r="A595" s="315"/>
      <c r="B595" s="412" t="s">
        <v>1994</v>
      </c>
      <c r="C595" s="435">
        <v>204000000</v>
      </c>
      <c r="D595" s="125">
        <v>19746690084</v>
      </c>
      <c r="E595" s="126">
        <f t="shared" si="25"/>
        <v>1.0330845277472274</v>
      </c>
      <c r="F595" s="323"/>
      <c r="G595" s="323"/>
      <c r="H595" s="323"/>
      <c r="I595" s="323"/>
      <c r="J595" s="323"/>
      <c r="K595" s="323"/>
      <c r="L595" s="323"/>
      <c r="M595" s="323"/>
      <c r="N595" s="323"/>
    </row>
    <row r="596" spans="1:14" ht="21.75" customHeight="1">
      <c r="A596" s="315"/>
      <c r="B596" s="412" t="s">
        <v>1995</v>
      </c>
      <c r="C596" s="435">
        <v>2814000000</v>
      </c>
      <c r="D596" s="125">
        <v>19746690084</v>
      </c>
      <c r="E596" s="126">
        <f t="shared" si="25"/>
        <v>14.25048951510146</v>
      </c>
      <c r="F596" s="323"/>
      <c r="G596" s="323"/>
      <c r="H596" s="323"/>
      <c r="I596" s="323"/>
      <c r="J596" s="323"/>
      <c r="K596" s="323"/>
      <c r="L596" s="323"/>
      <c r="M596" s="323"/>
      <c r="N596" s="323"/>
    </row>
    <row r="597" spans="1:14" ht="21.75" customHeight="1">
      <c r="A597" s="315"/>
      <c r="B597" s="412" t="s">
        <v>1996</v>
      </c>
      <c r="C597" s="435">
        <v>384000000</v>
      </c>
      <c r="D597" s="125">
        <v>19746690084</v>
      </c>
      <c r="E597" s="126">
        <f t="shared" si="25"/>
        <v>1.9446296992888987</v>
      </c>
      <c r="F597" s="323"/>
      <c r="G597" s="323"/>
      <c r="H597" s="323"/>
      <c r="I597" s="323"/>
      <c r="J597" s="323"/>
      <c r="K597" s="323"/>
      <c r="L597" s="323"/>
      <c r="M597" s="323"/>
      <c r="N597" s="323"/>
    </row>
    <row r="598" spans="1:14" ht="9" customHeight="1">
      <c r="A598" s="315"/>
      <c r="B598" s="331"/>
      <c r="C598" s="332"/>
      <c r="D598" s="403"/>
      <c r="E598" s="333"/>
      <c r="F598" s="323"/>
      <c r="G598" s="323"/>
      <c r="H598" s="323"/>
      <c r="I598" s="323"/>
      <c r="J598" s="323"/>
      <c r="K598" s="323"/>
      <c r="L598" s="323"/>
      <c r="M598" s="323"/>
      <c r="N598" s="323"/>
    </row>
    <row r="599" spans="1:14" ht="21.75" customHeight="1">
      <c r="A599" s="315">
        <v>23</v>
      </c>
      <c r="B599" s="328" t="s">
        <v>2582</v>
      </c>
      <c r="C599" s="366">
        <f>+C600+C620</f>
        <v>23237470638</v>
      </c>
      <c r="D599" s="436">
        <f>+A.2!E38</f>
        <v>61543588793.150002</v>
      </c>
      <c r="E599" s="338">
        <f>+C599/D599*100</f>
        <v>37.757743891247372</v>
      </c>
      <c r="F599" s="323"/>
      <c r="G599" s="323"/>
      <c r="H599" s="323"/>
      <c r="I599" s="323"/>
      <c r="J599" s="323"/>
      <c r="K599" s="323"/>
      <c r="L599" s="323"/>
      <c r="M599" s="323"/>
      <c r="N599" s="323"/>
    </row>
    <row r="600" spans="1:14" s="314" customFormat="1" ht="21.75" customHeight="1">
      <c r="A600" s="315"/>
      <c r="B600" s="150" t="s">
        <v>444</v>
      </c>
      <c r="C600" s="129">
        <v>18977470638</v>
      </c>
      <c r="D600" s="399">
        <v>23237470638</v>
      </c>
      <c r="E600" s="338">
        <f>+C600/D600*100</f>
        <v>81.667540041842315</v>
      </c>
      <c r="F600" s="319"/>
      <c r="G600" s="319"/>
      <c r="H600" s="319"/>
      <c r="I600" s="319"/>
      <c r="J600" s="319"/>
      <c r="K600" s="319"/>
      <c r="L600" s="319"/>
      <c r="M600" s="319"/>
      <c r="N600" s="319"/>
    </row>
    <row r="601" spans="1:14" s="314" customFormat="1" ht="21.75" customHeight="1">
      <c r="A601" s="315"/>
      <c r="B601" s="150" t="s">
        <v>388</v>
      </c>
      <c r="C601" s="129">
        <v>1224000000</v>
      </c>
      <c r="D601" s="399">
        <v>23237470638</v>
      </c>
      <c r="E601" s="338">
        <f t="shared" ref="E601:E622" si="26">+C601/D601*100</f>
        <v>5.2673546922030541</v>
      </c>
      <c r="F601" s="319"/>
      <c r="G601" s="319"/>
      <c r="H601" s="319"/>
      <c r="I601" s="319"/>
      <c r="J601" s="319"/>
      <c r="K601" s="319"/>
      <c r="L601" s="319"/>
      <c r="M601" s="319"/>
      <c r="N601" s="319"/>
    </row>
    <row r="602" spans="1:14" ht="21.75" customHeight="1">
      <c r="A602" s="315"/>
      <c r="B602" s="57" t="s">
        <v>2016</v>
      </c>
      <c r="C602" s="125">
        <v>1224000000</v>
      </c>
      <c r="D602" s="399">
        <v>23237470638</v>
      </c>
      <c r="E602" s="338">
        <f t="shared" si="26"/>
        <v>5.2673546922030541</v>
      </c>
      <c r="F602" s="323"/>
      <c r="G602" s="323"/>
      <c r="H602" s="323"/>
      <c r="I602" s="323"/>
      <c r="J602" s="323"/>
      <c r="K602" s="323"/>
      <c r="L602" s="323"/>
      <c r="M602" s="323"/>
      <c r="N602" s="323"/>
    </row>
    <row r="603" spans="1:14" s="314" customFormat="1" ht="21.75" customHeight="1">
      <c r="A603" s="315"/>
      <c r="B603" s="150" t="s">
        <v>2017</v>
      </c>
      <c r="C603" s="129">
        <v>990161000</v>
      </c>
      <c r="D603" s="399">
        <v>23237470638</v>
      </c>
      <c r="E603" s="338">
        <f t="shared" si="26"/>
        <v>4.2610532593026704</v>
      </c>
      <c r="F603" s="319"/>
      <c r="G603" s="319"/>
      <c r="H603" s="319"/>
      <c r="I603" s="319"/>
      <c r="J603" s="319"/>
      <c r="K603" s="319"/>
      <c r="L603" s="319"/>
      <c r="M603" s="319"/>
      <c r="N603" s="319"/>
    </row>
    <row r="604" spans="1:14" ht="28.9" customHeight="1">
      <c r="A604" s="315"/>
      <c r="B604" s="57" t="s">
        <v>2018</v>
      </c>
      <c r="C604" s="125">
        <v>690161000</v>
      </c>
      <c r="D604" s="399">
        <v>23237470638</v>
      </c>
      <c r="E604" s="338">
        <f t="shared" si="26"/>
        <v>2.970034952390157</v>
      </c>
      <c r="F604" s="323"/>
      <c r="G604" s="323"/>
      <c r="H604" s="323"/>
      <c r="I604" s="323"/>
      <c r="J604" s="323"/>
      <c r="K604" s="323"/>
      <c r="L604" s="323"/>
      <c r="M604" s="323"/>
      <c r="N604" s="323"/>
    </row>
    <row r="605" spans="1:14" ht="21.75" customHeight="1">
      <c r="A605" s="315"/>
      <c r="B605" s="57" t="s">
        <v>1388</v>
      </c>
      <c r="C605" s="125">
        <v>300000000</v>
      </c>
      <c r="D605" s="399">
        <v>23237470638</v>
      </c>
      <c r="E605" s="338">
        <f t="shared" si="26"/>
        <v>1.2910183069125134</v>
      </c>
      <c r="F605" s="323"/>
      <c r="G605" s="323"/>
      <c r="H605" s="323"/>
      <c r="I605" s="323"/>
      <c r="J605" s="323"/>
      <c r="K605" s="323"/>
      <c r="L605" s="323"/>
      <c r="M605" s="323"/>
      <c r="N605" s="323"/>
    </row>
    <row r="606" spans="1:14" s="314" customFormat="1" ht="21.75" customHeight="1">
      <c r="A606" s="315"/>
      <c r="B606" s="150" t="s">
        <v>2019</v>
      </c>
      <c r="C606" s="129">
        <v>6271245000</v>
      </c>
      <c r="D606" s="399">
        <v>23237470638</v>
      </c>
      <c r="E606" s="338">
        <f t="shared" si="26"/>
        <v>26.987640340445214</v>
      </c>
      <c r="F606" s="319"/>
      <c r="G606" s="319"/>
      <c r="H606" s="319"/>
      <c r="I606" s="319"/>
      <c r="J606" s="319"/>
      <c r="K606" s="319"/>
      <c r="L606" s="319"/>
      <c r="M606" s="319"/>
      <c r="N606" s="319"/>
    </row>
    <row r="607" spans="1:14" ht="21.75" customHeight="1">
      <c r="A607" s="315"/>
      <c r="B607" s="57" t="s">
        <v>2020</v>
      </c>
      <c r="C607" s="125">
        <v>403245000</v>
      </c>
      <c r="D607" s="399">
        <v>23237470638</v>
      </c>
      <c r="E607" s="338">
        <f t="shared" si="26"/>
        <v>1.7353222572364546</v>
      </c>
      <c r="F607" s="323"/>
      <c r="G607" s="323"/>
      <c r="H607" s="323"/>
      <c r="I607" s="323"/>
      <c r="J607" s="323"/>
      <c r="K607" s="323"/>
      <c r="L607" s="323"/>
      <c r="M607" s="323"/>
      <c r="N607" s="323"/>
    </row>
    <row r="608" spans="1:14" ht="21.75" customHeight="1">
      <c r="A608" s="315"/>
      <c r="B608" s="57" t="s">
        <v>2021</v>
      </c>
      <c r="C608" s="125">
        <v>5868000000</v>
      </c>
      <c r="D608" s="399">
        <v>23237470638</v>
      </c>
      <c r="E608" s="338">
        <f t="shared" si="26"/>
        <v>25.252318083208756</v>
      </c>
      <c r="F608" s="323"/>
      <c r="G608" s="323"/>
      <c r="H608" s="323"/>
      <c r="I608" s="323"/>
      <c r="J608" s="323"/>
      <c r="K608" s="323"/>
      <c r="L608" s="323"/>
      <c r="M608" s="323"/>
      <c r="N608" s="323"/>
    </row>
    <row r="609" spans="1:14" s="314" customFormat="1" ht="21.75" customHeight="1">
      <c r="A609" s="315"/>
      <c r="B609" s="150" t="s">
        <v>2022</v>
      </c>
      <c r="C609" s="129">
        <v>1930575638</v>
      </c>
      <c r="D609" s="399">
        <v>23237470638</v>
      </c>
      <c r="E609" s="338">
        <f t="shared" si="26"/>
        <v>8.3080283051243509</v>
      </c>
      <c r="F609" s="319"/>
      <c r="G609" s="319"/>
      <c r="H609" s="319"/>
      <c r="I609" s="319"/>
      <c r="J609" s="319"/>
      <c r="K609" s="319"/>
      <c r="L609" s="319"/>
      <c r="M609" s="319"/>
      <c r="N609" s="319"/>
    </row>
    <row r="610" spans="1:14" ht="21.75" customHeight="1">
      <c r="A610" s="315"/>
      <c r="B610" s="57" t="s">
        <v>2023</v>
      </c>
      <c r="C610" s="125">
        <v>1327575638</v>
      </c>
      <c r="D610" s="399">
        <v>23237470638</v>
      </c>
      <c r="E610" s="338">
        <f t="shared" si="26"/>
        <v>5.7130815082301982</v>
      </c>
      <c r="F610" s="323"/>
      <c r="G610" s="323"/>
      <c r="H610" s="323"/>
      <c r="I610" s="323"/>
      <c r="J610" s="323"/>
      <c r="K610" s="323"/>
      <c r="L610" s="323"/>
      <c r="M610" s="323"/>
      <c r="N610" s="323"/>
    </row>
    <row r="611" spans="1:14" ht="33" customHeight="1">
      <c r="A611" s="315"/>
      <c r="B611" s="57" t="s">
        <v>1874</v>
      </c>
      <c r="C611" s="125">
        <v>603000000</v>
      </c>
      <c r="D611" s="399">
        <v>23237470638</v>
      </c>
      <c r="E611" s="338">
        <f t="shared" si="26"/>
        <v>2.5949467968941518</v>
      </c>
      <c r="F611" s="323"/>
      <c r="G611" s="323"/>
      <c r="H611" s="323"/>
      <c r="I611" s="323"/>
      <c r="J611" s="323"/>
      <c r="K611" s="323"/>
      <c r="L611" s="323"/>
      <c r="M611" s="323"/>
      <c r="N611" s="323"/>
    </row>
    <row r="612" spans="1:14" s="314" customFormat="1" ht="21.75" customHeight="1">
      <c r="A612" s="315"/>
      <c r="B612" s="150" t="s">
        <v>2024</v>
      </c>
      <c r="C612" s="129">
        <v>2771939000</v>
      </c>
      <c r="D612" s="399">
        <v>23237470638</v>
      </c>
      <c r="E612" s="338">
        <f t="shared" si="26"/>
        <v>11.928746648815885</v>
      </c>
      <c r="F612" s="319"/>
      <c r="G612" s="319"/>
      <c r="H612" s="319"/>
      <c r="I612" s="319"/>
      <c r="J612" s="319"/>
      <c r="K612" s="319"/>
      <c r="L612" s="319"/>
      <c r="M612" s="319"/>
      <c r="N612" s="319"/>
    </row>
    <row r="613" spans="1:14" ht="21.75" customHeight="1">
      <c r="A613" s="315"/>
      <c r="B613" s="57" t="s">
        <v>2025</v>
      </c>
      <c r="C613" s="125">
        <v>487970000</v>
      </c>
      <c r="D613" s="399">
        <v>23237470638</v>
      </c>
      <c r="E613" s="338">
        <f t="shared" si="26"/>
        <v>2.0999273440803301</v>
      </c>
      <c r="F613" s="323"/>
      <c r="G613" s="323"/>
      <c r="H613" s="323"/>
      <c r="I613" s="323"/>
      <c r="J613" s="323"/>
      <c r="K613" s="323"/>
      <c r="L613" s="323"/>
      <c r="M613" s="323"/>
      <c r="N613" s="323"/>
    </row>
    <row r="614" spans="1:14" ht="21.75" customHeight="1">
      <c r="A614" s="315"/>
      <c r="B614" s="57" t="s">
        <v>2026</v>
      </c>
      <c r="C614" s="125">
        <v>555969000</v>
      </c>
      <c r="D614" s="399">
        <v>23237470638</v>
      </c>
      <c r="E614" s="338">
        <f t="shared" si="26"/>
        <v>2.3925538569194771</v>
      </c>
      <c r="F614" s="323"/>
      <c r="G614" s="323"/>
      <c r="H614" s="323"/>
      <c r="I614" s="323"/>
      <c r="J614" s="323"/>
      <c r="K614" s="323"/>
      <c r="L614" s="323"/>
      <c r="M614" s="323"/>
      <c r="N614" s="323"/>
    </row>
    <row r="615" spans="1:14" ht="21.75" customHeight="1">
      <c r="A615" s="315"/>
      <c r="B615" s="57" t="s">
        <v>667</v>
      </c>
      <c r="C615" s="125">
        <v>1728000000</v>
      </c>
      <c r="D615" s="399">
        <v>23237470638</v>
      </c>
      <c r="E615" s="338">
        <f t="shared" si="26"/>
        <v>7.4362654478160763</v>
      </c>
      <c r="F615" s="323"/>
      <c r="G615" s="323"/>
      <c r="H615" s="323"/>
      <c r="I615" s="323"/>
      <c r="J615" s="323"/>
      <c r="K615" s="323"/>
      <c r="L615" s="323"/>
      <c r="M615" s="323"/>
      <c r="N615" s="323"/>
    </row>
    <row r="616" spans="1:14" s="314" customFormat="1" ht="21.75" customHeight="1">
      <c r="A616" s="315"/>
      <c r="B616" s="150" t="s">
        <v>2027</v>
      </c>
      <c r="C616" s="129">
        <v>1529550000</v>
      </c>
      <c r="D616" s="399">
        <v>23237470638</v>
      </c>
      <c r="E616" s="338">
        <f t="shared" si="26"/>
        <v>6.5822568377934489</v>
      </c>
      <c r="F616" s="319"/>
      <c r="G616" s="319"/>
      <c r="H616" s="319"/>
      <c r="I616" s="319"/>
      <c r="J616" s="319"/>
      <c r="K616" s="319"/>
      <c r="L616" s="319"/>
      <c r="M616" s="319"/>
      <c r="N616" s="319"/>
    </row>
    <row r="617" spans="1:14" ht="21.75" customHeight="1">
      <c r="A617" s="315"/>
      <c r="B617" s="57" t="s">
        <v>2028</v>
      </c>
      <c r="C617" s="125">
        <v>125550000</v>
      </c>
      <c r="D617" s="399">
        <v>23237470638</v>
      </c>
      <c r="E617" s="338">
        <f t="shared" si="26"/>
        <v>0.5402911614428868</v>
      </c>
      <c r="F617" s="323"/>
      <c r="G617" s="323"/>
      <c r="H617" s="323"/>
      <c r="I617" s="323"/>
      <c r="J617" s="323"/>
      <c r="K617" s="323"/>
      <c r="L617" s="323"/>
      <c r="M617" s="323"/>
      <c r="N617" s="323"/>
    </row>
    <row r="618" spans="1:14" ht="21.75" customHeight="1">
      <c r="A618" s="315"/>
      <c r="B618" s="57" t="s">
        <v>667</v>
      </c>
      <c r="C618" s="125">
        <v>1404000000</v>
      </c>
      <c r="D618" s="399">
        <v>23237470638</v>
      </c>
      <c r="E618" s="338">
        <f t="shared" si="26"/>
        <v>6.0419656763505625</v>
      </c>
      <c r="F618" s="323"/>
      <c r="G618" s="323"/>
      <c r="H618" s="323"/>
      <c r="I618" s="323"/>
      <c r="J618" s="323"/>
      <c r="K618" s="323"/>
      <c r="L618" s="323"/>
      <c r="M618" s="323"/>
      <c r="N618" s="323"/>
    </row>
    <row r="619" spans="1:14" ht="8.25" customHeight="1">
      <c r="A619" s="315"/>
      <c r="B619" s="57"/>
      <c r="C619" s="125"/>
      <c r="D619" s="399">
        <v>23237470638</v>
      </c>
      <c r="E619" s="338">
        <f t="shared" si="26"/>
        <v>0</v>
      </c>
      <c r="F619" s="323"/>
      <c r="G619" s="323"/>
      <c r="H619" s="323"/>
      <c r="I619" s="323"/>
      <c r="J619" s="323"/>
      <c r="K619" s="323"/>
      <c r="L619" s="323"/>
      <c r="M619" s="323"/>
      <c r="N619" s="323"/>
    </row>
    <row r="620" spans="1:14" s="314" customFormat="1" ht="21.75" customHeight="1">
      <c r="A620" s="315"/>
      <c r="B620" s="150" t="s">
        <v>563</v>
      </c>
      <c r="C620" s="129">
        <f>+C621</f>
        <v>4260000000</v>
      </c>
      <c r="D620" s="399">
        <v>23237470638</v>
      </c>
      <c r="E620" s="338">
        <f t="shared" si="26"/>
        <v>18.332459958157688</v>
      </c>
      <c r="F620" s="319"/>
      <c r="G620" s="319"/>
      <c r="H620" s="319"/>
      <c r="I620" s="319"/>
      <c r="J620" s="319"/>
      <c r="K620" s="319"/>
      <c r="L620" s="319"/>
      <c r="M620" s="319"/>
      <c r="N620" s="319"/>
    </row>
    <row r="621" spans="1:14" ht="21.75" customHeight="1">
      <c r="A621" s="315"/>
      <c r="B621" s="57" t="s">
        <v>2029</v>
      </c>
      <c r="C621" s="125">
        <v>4260000000</v>
      </c>
      <c r="D621" s="399">
        <v>23237470638</v>
      </c>
      <c r="E621" s="338">
        <f t="shared" si="26"/>
        <v>18.332459958157688</v>
      </c>
      <c r="F621" s="323"/>
      <c r="G621" s="323"/>
      <c r="H621" s="323"/>
      <c r="I621" s="323"/>
      <c r="J621" s="323"/>
      <c r="K621" s="323"/>
      <c r="L621" s="323"/>
      <c r="M621" s="323"/>
      <c r="N621" s="323"/>
    </row>
    <row r="622" spans="1:14" ht="21.75" customHeight="1">
      <c r="A622" s="315"/>
      <c r="B622" s="57" t="s">
        <v>2029</v>
      </c>
      <c r="C622" s="125">
        <v>4260000000</v>
      </c>
      <c r="D622" s="399">
        <v>23237470638</v>
      </c>
      <c r="E622" s="338">
        <f t="shared" si="26"/>
        <v>18.332459958157688</v>
      </c>
      <c r="F622" s="323"/>
      <c r="G622" s="323"/>
      <c r="H622" s="323"/>
      <c r="I622" s="323"/>
      <c r="J622" s="323"/>
      <c r="K622" s="323"/>
      <c r="L622" s="323"/>
      <c r="M622" s="323"/>
      <c r="N622" s="323"/>
    </row>
    <row r="623" spans="1:14" ht="4.5" customHeight="1">
      <c r="A623" s="315"/>
      <c r="B623" s="331"/>
      <c r="C623" s="332"/>
      <c r="D623" s="403"/>
      <c r="E623" s="333"/>
      <c r="F623" s="323"/>
      <c r="G623" s="323"/>
      <c r="H623" s="323"/>
      <c r="I623" s="323"/>
      <c r="J623" s="323"/>
      <c r="K623" s="323"/>
      <c r="L623" s="323"/>
      <c r="M623" s="323"/>
      <c r="N623" s="323"/>
    </row>
    <row r="624" spans="1:14" s="314" customFormat="1" ht="21.75" customHeight="1">
      <c r="A624" s="315">
        <v>24</v>
      </c>
      <c r="B624" s="150" t="s">
        <v>2583</v>
      </c>
      <c r="C624" s="337">
        <f>+C625+C641</f>
        <v>18463376074.669998</v>
      </c>
      <c r="D624" s="321">
        <v>61544586915.559998</v>
      </c>
      <c r="E624" s="338">
        <f>+C624/D624*100</f>
        <v>30.000000000003247</v>
      </c>
      <c r="F624" s="319"/>
      <c r="G624" s="319"/>
      <c r="H624" s="319"/>
      <c r="I624" s="319"/>
      <c r="J624" s="319"/>
      <c r="K624" s="319"/>
      <c r="L624" s="319"/>
      <c r="M624" s="319"/>
      <c r="N624" s="319"/>
    </row>
    <row r="625" spans="1:14" ht="21.75" customHeight="1">
      <c r="A625" s="315"/>
      <c r="B625" s="111" t="s">
        <v>64</v>
      </c>
      <c r="C625" s="247">
        <f>C626+C629+C631+C634+C636</f>
        <v>17463376074.669998</v>
      </c>
      <c r="D625" s="321">
        <v>18463376075</v>
      </c>
      <c r="E625" s="126">
        <f>+C625/D625*100</f>
        <v>94.583872438778769</v>
      </c>
      <c r="F625" s="323"/>
      <c r="G625" s="323"/>
      <c r="H625" s="323"/>
      <c r="I625" s="323"/>
      <c r="J625" s="323"/>
      <c r="K625" s="323"/>
      <c r="L625" s="323"/>
      <c r="M625" s="323"/>
      <c r="N625" s="323"/>
    </row>
    <row r="626" spans="1:14" ht="21.75" customHeight="1">
      <c r="A626" s="315"/>
      <c r="B626" s="148" t="s">
        <v>388</v>
      </c>
      <c r="C626" s="247">
        <f>C627+C628</f>
        <v>586500000</v>
      </c>
      <c r="D626" s="321">
        <v>18463376075</v>
      </c>
      <c r="E626" s="126">
        <f t="shared" ref="E626:E639" si="27">+C626/D626*100</f>
        <v>3.1765588136079819</v>
      </c>
      <c r="F626" s="323"/>
      <c r="G626" s="323"/>
      <c r="H626" s="323"/>
      <c r="I626" s="323"/>
      <c r="J626" s="323"/>
      <c r="K626" s="323"/>
      <c r="L626" s="323"/>
      <c r="M626" s="323"/>
      <c r="N626" s="323"/>
    </row>
    <row r="627" spans="1:14" ht="21.75" customHeight="1">
      <c r="A627" s="315"/>
      <c r="B627" s="57" t="s">
        <v>2068</v>
      </c>
      <c r="C627" s="248">
        <v>346500000</v>
      </c>
      <c r="D627" s="321">
        <v>18463376075</v>
      </c>
      <c r="E627" s="126">
        <f t="shared" si="27"/>
        <v>1.8766881993438462</v>
      </c>
      <c r="F627" s="323"/>
      <c r="G627" s="323"/>
      <c r="H627" s="323"/>
      <c r="I627" s="323"/>
      <c r="J627" s="323"/>
      <c r="K627" s="323"/>
      <c r="L627" s="323"/>
      <c r="M627" s="323"/>
      <c r="N627" s="323"/>
    </row>
    <row r="628" spans="1:14" ht="21.75" customHeight="1">
      <c r="A628" s="315"/>
      <c r="B628" s="57" t="s">
        <v>2069</v>
      </c>
      <c r="C628" s="248">
        <v>240000000</v>
      </c>
      <c r="D628" s="321">
        <v>18463376075</v>
      </c>
      <c r="E628" s="126">
        <f t="shared" si="27"/>
        <v>1.2998706142641359</v>
      </c>
      <c r="F628" s="323"/>
      <c r="G628" s="323"/>
      <c r="H628" s="323"/>
      <c r="I628" s="323"/>
      <c r="J628" s="323"/>
      <c r="K628" s="323"/>
      <c r="L628" s="323"/>
      <c r="M628" s="323"/>
      <c r="N628" s="323"/>
    </row>
    <row r="629" spans="1:14" ht="21.75" customHeight="1">
      <c r="A629" s="315"/>
      <c r="B629" s="148" t="s">
        <v>2070</v>
      </c>
      <c r="C629" s="247">
        <f>SUM(C630:C630)</f>
        <v>1128000000</v>
      </c>
      <c r="D629" s="321">
        <v>18463376075</v>
      </c>
      <c r="E629" s="126">
        <f t="shared" si="27"/>
        <v>6.1093918870414381</v>
      </c>
      <c r="F629" s="323"/>
      <c r="G629" s="323"/>
      <c r="H629" s="323"/>
      <c r="I629" s="323"/>
      <c r="J629" s="323"/>
      <c r="K629" s="323"/>
      <c r="L629" s="323"/>
      <c r="M629" s="323"/>
      <c r="N629" s="323"/>
    </row>
    <row r="630" spans="1:14" ht="21.75" customHeight="1">
      <c r="A630" s="315"/>
      <c r="B630" s="57" t="s">
        <v>2071</v>
      </c>
      <c r="C630" s="248">
        <v>1128000000</v>
      </c>
      <c r="D630" s="321">
        <v>18463376075</v>
      </c>
      <c r="E630" s="126">
        <f t="shared" si="27"/>
        <v>6.1093918870414381</v>
      </c>
      <c r="F630" s="323"/>
      <c r="G630" s="323"/>
      <c r="H630" s="323"/>
      <c r="I630" s="323"/>
      <c r="J630" s="323"/>
      <c r="K630" s="323"/>
      <c r="L630" s="323"/>
      <c r="M630" s="323"/>
      <c r="N630" s="323"/>
    </row>
    <row r="631" spans="1:14" ht="21.75" customHeight="1">
      <c r="A631" s="315"/>
      <c r="B631" s="148" t="s">
        <v>2072</v>
      </c>
      <c r="C631" s="247">
        <f>SUM(C632:C633)</f>
        <v>1083300000</v>
      </c>
      <c r="D631" s="321">
        <v>18463376075</v>
      </c>
      <c r="E631" s="126">
        <f t="shared" si="27"/>
        <v>5.8672909851347432</v>
      </c>
      <c r="F631" s="323"/>
      <c r="G631" s="323"/>
      <c r="H631" s="323"/>
      <c r="I631" s="323"/>
      <c r="J631" s="323"/>
      <c r="K631" s="323"/>
      <c r="L631" s="323"/>
      <c r="M631" s="323"/>
      <c r="N631" s="323"/>
    </row>
    <row r="632" spans="1:14" ht="21.75" customHeight="1">
      <c r="A632" s="315"/>
      <c r="B632" s="57" t="s">
        <v>2073</v>
      </c>
      <c r="C632" s="248">
        <v>552000000</v>
      </c>
      <c r="D632" s="321">
        <v>18463376075</v>
      </c>
      <c r="E632" s="126">
        <f t="shared" si="27"/>
        <v>2.9897024128075125</v>
      </c>
      <c r="F632" s="323"/>
      <c r="G632" s="323"/>
      <c r="H632" s="323"/>
      <c r="I632" s="323"/>
      <c r="J632" s="323"/>
      <c r="K632" s="323"/>
      <c r="L632" s="323"/>
      <c r="M632" s="323"/>
      <c r="N632" s="323"/>
    </row>
    <row r="633" spans="1:14" ht="21.75" customHeight="1">
      <c r="A633" s="315"/>
      <c r="B633" s="57" t="s">
        <v>2074</v>
      </c>
      <c r="C633" s="248">
        <v>531300000</v>
      </c>
      <c r="D633" s="321">
        <v>18463376075</v>
      </c>
      <c r="E633" s="126">
        <f t="shared" si="27"/>
        <v>2.8775885723272308</v>
      </c>
      <c r="F633" s="323"/>
      <c r="G633" s="323"/>
      <c r="H633" s="323"/>
      <c r="I633" s="323"/>
      <c r="J633" s="323"/>
      <c r="K633" s="323"/>
      <c r="L633" s="323"/>
      <c r="M633" s="323"/>
      <c r="N633" s="323"/>
    </row>
    <row r="634" spans="1:14" ht="21.75" customHeight="1">
      <c r="A634" s="315"/>
      <c r="B634" s="148" t="s">
        <v>2027</v>
      </c>
      <c r="C634" s="247">
        <f>SUM(C635:C635)</f>
        <v>216000000</v>
      </c>
      <c r="D634" s="321">
        <v>18463376075</v>
      </c>
      <c r="E634" s="126">
        <f t="shared" si="27"/>
        <v>1.1698835528377223</v>
      </c>
      <c r="F634" s="323"/>
      <c r="G634" s="323"/>
      <c r="H634" s="323"/>
      <c r="I634" s="323"/>
      <c r="J634" s="323"/>
      <c r="K634" s="323"/>
      <c r="L634" s="323"/>
      <c r="M634" s="323"/>
      <c r="N634" s="323"/>
    </row>
    <row r="635" spans="1:14" ht="21.75" customHeight="1">
      <c r="A635" s="315"/>
      <c r="B635" s="57" t="s">
        <v>2073</v>
      </c>
      <c r="C635" s="248">
        <v>216000000</v>
      </c>
      <c r="D635" s="321">
        <v>18463376075</v>
      </c>
      <c r="E635" s="126">
        <f t="shared" si="27"/>
        <v>1.1698835528377223</v>
      </c>
      <c r="F635" s="323"/>
      <c r="G635" s="323"/>
      <c r="H635" s="323"/>
      <c r="I635" s="323"/>
      <c r="J635" s="323"/>
      <c r="K635" s="323"/>
      <c r="L635" s="323"/>
      <c r="M635" s="323"/>
      <c r="N635" s="323"/>
    </row>
    <row r="636" spans="1:14" ht="21.75" customHeight="1">
      <c r="A636" s="315"/>
      <c r="B636" s="148" t="s">
        <v>2075</v>
      </c>
      <c r="C636" s="247">
        <f>C637+C638+C639</f>
        <v>14449576074.67</v>
      </c>
      <c r="D636" s="321">
        <v>18463376075</v>
      </c>
      <c r="E636" s="126">
        <f t="shared" si="27"/>
        <v>78.260747200156885</v>
      </c>
      <c r="F636" s="323"/>
      <c r="G636" s="323"/>
      <c r="H636" s="323"/>
      <c r="I636" s="323"/>
      <c r="J636" s="323"/>
      <c r="K636" s="323"/>
      <c r="L636" s="323"/>
      <c r="M636" s="323"/>
      <c r="N636" s="323"/>
    </row>
    <row r="637" spans="1:14" ht="33.75" customHeight="1">
      <c r="A637" s="315"/>
      <c r="B637" s="57" t="s">
        <v>2076</v>
      </c>
      <c r="C637" s="248">
        <v>9747535400</v>
      </c>
      <c r="D637" s="321">
        <v>18463376075</v>
      </c>
      <c r="E637" s="126">
        <f t="shared" si="27"/>
        <v>52.793895116497538</v>
      </c>
      <c r="F637" s="323"/>
      <c r="G637" s="323"/>
      <c r="H637" s="323"/>
      <c r="I637" s="323"/>
      <c r="J637" s="323"/>
      <c r="K637" s="323"/>
      <c r="L637" s="323"/>
      <c r="M637" s="323"/>
      <c r="N637" s="323"/>
    </row>
    <row r="638" spans="1:14" ht="33.75" customHeight="1">
      <c r="A638" s="315"/>
      <c r="B638" s="57" t="s">
        <v>2077</v>
      </c>
      <c r="C638" s="248">
        <v>700000000</v>
      </c>
      <c r="D638" s="321">
        <v>18463376075</v>
      </c>
      <c r="E638" s="126">
        <f t="shared" si="27"/>
        <v>3.79128929160373</v>
      </c>
      <c r="F638" s="323"/>
      <c r="G638" s="323"/>
      <c r="H638" s="323"/>
      <c r="I638" s="323"/>
      <c r="J638" s="323"/>
      <c r="K638" s="323"/>
      <c r="L638" s="323"/>
      <c r="M638" s="323"/>
      <c r="N638" s="323"/>
    </row>
    <row r="639" spans="1:14" ht="21.75" customHeight="1">
      <c r="A639" s="315"/>
      <c r="B639" s="57" t="s">
        <v>2078</v>
      </c>
      <c r="C639" s="248">
        <v>4002040674.6700001</v>
      </c>
      <c r="D639" s="321">
        <v>18463376075</v>
      </c>
      <c r="E639" s="126">
        <f t="shared" si="27"/>
        <v>21.675562792055626</v>
      </c>
      <c r="F639" s="323"/>
      <c r="G639" s="323"/>
      <c r="H639" s="323"/>
      <c r="I639" s="323"/>
      <c r="J639" s="323"/>
      <c r="K639" s="323"/>
      <c r="L639" s="323"/>
      <c r="M639" s="323"/>
      <c r="N639" s="323"/>
    </row>
    <row r="640" spans="1:14" ht="9" customHeight="1">
      <c r="A640" s="315"/>
      <c r="B640" s="331"/>
      <c r="C640" s="332"/>
      <c r="D640" s="321">
        <v>18463376075</v>
      </c>
      <c r="E640" s="333"/>
      <c r="F640" s="323"/>
      <c r="G640" s="323"/>
      <c r="H640" s="323"/>
      <c r="I640" s="323"/>
      <c r="J640" s="323"/>
      <c r="K640" s="323"/>
      <c r="L640" s="323"/>
      <c r="M640" s="323"/>
      <c r="N640" s="323"/>
    </row>
    <row r="641" spans="1:14" ht="21.75" customHeight="1">
      <c r="A641" s="315"/>
      <c r="B641" s="148" t="s">
        <v>2105</v>
      </c>
      <c r="C641" s="247">
        <f>C642</f>
        <v>1000000000</v>
      </c>
      <c r="D641" s="321">
        <v>18463376075</v>
      </c>
      <c r="E641" s="126">
        <f t="shared" ref="E641:E643" si="28">+C641/D641*100</f>
        <v>5.4161275594338996</v>
      </c>
      <c r="F641" s="323"/>
      <c r="G641" s="323"/>
      <c r="H641" s="323"/>
      <c r="I641" s="323"/>
      <c r="J641" s="323"/>
      <c r="K641" s="323"/>
      <c r="L641" s="323"/>
      <c r="M641" s="323"/>
      <c r="N641" s="323"/>
    </row>
    <row r="642" spans="1:14" ht="21.75" customHeight="1">
      <c r="A642" s="315"/>
      <c r="B642" s="148" t="s">
        <v>2106</v>
      </c>
      <c r="C642" s="247">
        <f>SUM(C643)</f>
        <v>1000000000</v>
      </c>
      <c r="D642" s="321">
        <v>18463376075</v>
      </c>
      <c r="E642" s="126">
        <f t="shared" si="28"/>
        <v>5.4161275594338996</v>
      </c>
      <c r="F642" s="323"/>
      <c r="G642" s="323"/>
      <c r="H642" s="323"/>
      <c r="I642" s="323"/>
      <c r="J642" s="323"/>
      <c r="K642" s="323"/>
      <c r="L642" s="323"/>
      <c r="M642" s="323"/>
      <c r="N642" s="323"/>
    </row>
    <row r="643" spans="1:14" ht="21.75" customHeight="1">
      <c r="A643" s="315"/>
      <c r="B643" s="57" t="s">
        <v>2107</v>
      </c>
      <c r="C643" s="248">
        <v>1000000000</v>
      </c>
      <c r="D643" s="321">
        <v>18463376075</v>
      </c>
      <c r="E643" s="126">
        <f t="shared" si="28"/>
        <v>5.4161275594338996</v>
      </c>
      <c r="F643" s="323"/>
      <c r="G643" s="323"/>
      <c r="H643" s="323"/>
      <c r="I643" s="323"/>
      <c r="J643" s="323"/>
      <c r="K643" s="323"/>
      <c r="L643" s="323"/>
      <c r="M643" s="323"/>
      <c r="N643" s="323"/>
    </row>
    <row r="644" spans="1:14" ht="6.75" customHeight="1">
      <c r="A644" s="315"/>
      <c r="B644" s="331"/>
      <c r="C644" s="332"/>
      <c r="D644" s="403"/>
      <c r="E644" s="333"/>
      <c r="F644" s="323"/>
      <c r="G644" s="323"/>
      <c r="H644" s="323"/>
      <c r="I644" s="323"/>
      <c r="J644" s="323"/>
      <c r="K644" s="323"/>
      <c r="L644" s="323"/>
      <c r="M644" s="323"/>
      <c r="N644" s="323"/>
    </row>
    <row r="645" spans="1:14" ht="21.75" customHeight="1">
      <c r="A645" s="315">
        <v>25</v>
      </c>
      <c r="B645" s="324" t="s">
        <v>2584</v>
      </c>
      <c r="C645" s="366">
        <f>+C646+C653</f>
        <v>20000000000</v>
      </c>
      <c r="D645" s="321">
        <v>64316106423.529999</v>
      </c>
      <c r="E645" s="338">
        <f>+C645/D645*100</f>
        <v>31.096409767558654</v>
      </c>
      <c r="F645" s="323"/>
      <c r="G645" s="323"/>
      <c r="H645" s="323"/>
      <c r="I645" s="323"/>
      <c r="J645" s="323"/>
      <c r="K645" s="323"/>
      <c r="L645" s="323"/>
      <c r="M645" s="323"/>
      <c r="N645" s="323"/>
    </row>
    <row r="646" spans="1:14" ht="21.75" customHeight="1">
      <c r="A646" s="315"/>
      <c r="B646" s="339" t="s">
        <v>2119</v>
      </c>
      <c r="C646" s="434">
        <f>SUM(C647)</f>
        <v>7400000000</v>
      </c>
      <c r="D646" s="437">
        <v>20000000000</v>
      </c>
      <c r="E646" s="338">
        <f>+C646/D646*100</f>
        <v>37</v>
      </c>
      <c r="F646" s="323"/>
      <c r="G646" s="323"/>
      <c r="H646" s="323"/>
      <c r="I646" s="323"/>
      <c r="J646" s="323"/>
      <c r="K646" s="323"/>
      <c r="L646" s="323"/>
      <c r="M646" s="323"/>
      <c r="N646" s="323"/>
    </row>
    <row r="647" spans="1:14" ht="21.75" customHeight="1">
      <c r="A647" s="315"/>
      <c r="B647" s="412" t="s">
        <v>394</v>
      </c>
      <c r="C647" s="434">
        <f t="shared" ref="C647" si="29">SUM(C648:C651)</f>
        <v>7400000000</v>
      </c>
      <c r="D647" s="437">
        <v>20000000000</v>
      </c>
      <c r="E647" s="338">
        <f t="shared" ref="E647:E655" si="30">+C647/D647*100</f>
        <v>37</v>
      </c>
      <c r="F647" s="323"/>
      <c r="G647" s="323"/>
      <c r="H647" s="323"/>
      <c r="I647" s="323"/>
      <c r="J647" s="323"/>
      <c r="K647" s="323"/>
      <c r="L647" s="323"/>
      <c r="M647" s="323"/>
      <c r="N647" s="323"/>
    </row>
    <row r="648" spans="1:14" ht="21.75" customHeight="1">
      <c r="A648" s="315"/>
      <c r="B648" s="412" t="s">
        <v>2120</v>
      </c>
      <c r="C648" s="435">
        <v>2746800000</v>
      </c>
      <c r="D648" s="437">
        <v>20000000000</v>
      </c>
      <c r="E648" s="338">
        <f t="shared" si="30"/>
        <v>13.733999999999998</v>
      </c>
      <c r="F648" s="323"/>
      <c r="G648" s="323"/>
      <c r="H648" s="323"/>
      <c r="I648" s="323"/>
      <c r="J648" s="323"/>
      <c r="K648" s="323"/>
      <c r="L648" s="323"/>
      <c r="M648" s="323"/>
      <c r="N648" s="323"/>
    </row>
    <row r="649" spans="1:14" ht="21.75" customHeight="1">
      <c r="A649" s="315"/>
      <c r="B649" s="412" t="s">
        <v>1996</v>
      </c>
      <c r="C649" s="435">
        <v>3240000000</v>
      </c>
      <c r="D649" s="437">
        <v>20000000000</v>
      </c>
      <c r="E649" s="338">
        <f t="shared" si="30"/>
        <v>16.2</v>
      </c>
      <c r="F649" s="323"/>
      <c r="G649" s="323"/>
      <c r="H649" s="323"/>
      <c r="I649" s="323"/>
      <c r="J649" s="323"/>
      <c r="K649" s="323"/>
      <c r="L649" s="323"/>
      <c r="M649" s="323"/>
      <c r="N649" s="323"/>
    </row>
    <row r="650" spans="1:14" ht="31.5" customHeight="1">
      <c r="A650" s="315"/>
      <c r="B650" s="412" t="s">
        <v>1874</v>
      </c>
      <c r="C650" s="435">
        <v>575000000</v>
      </c>
      <c r="D650" s="437">
        <v>20000000000</v>
      </c>
      <c r="E650" s="338">
        <f t="shared" si="30"/>
        <v>2.875</v>
      </c>
      <c r="F650" s="323"/>
      <c r="G650" s="323"/>
      <c r="H650" s="323"/>
      <c r="I650" s="323"/>
      <c r="J650" s="323"/>
      <c r="K650" s="323"/>
      <c r="L650" s="323"/>
      <c r="M650" s="323"/>
      <c r="N650" s="323"/>
    </row>
    <row r="651" spans="1:14" ht="21.75" customHeight="1">
      <c r="A651" s="315"/>
      <c r="B651" s="412" t="s">
        <v>2121</v>
      </c>
      <c r="C651" s="435">
        <v>838200000</v>
      </c>
      <c r="D651" s="437">
        <v>20000000000</v>
      </c>
      <c r="E651" s="338">
        <f t="shared" si="30"/>
        <v>4.1910000000000007</v>
      </c>
      <c r="F651" s="323"/>
      <c r="G651" s="323"/>
      <c r="H651" s="323"/>
      <c r="I651" s="323"/>
      <c r="J651" s="323"/>
      <c r="K651" s="323"/>
      <c r="L651" s="323"/>
      <c r="M651" s="323"/>
      <c r="N651" s="323"/>
    </row>
    <row r="652" spans="1:14" ht="21.75" customHeight="1">
      <c r="A652" s="315"/>
      <c r="B652" s="412"/>
      <c r="C652" s="435"/>
      <c r="D652" s="437"/>
      <c r="E652" s="338"/>
      <c r="F652" s="323"/>
      <c r="G652" s="323"/>
      <c r="H652" s="323"/>
      <c r="I652" s="323"/>
      <c r="J652" s="323"/>
      <c r="K652" s="323"/>
      <c r="L652" s="323"/>
      <c r="M652" s="323"/>
      <c r="N652" s="323"/>
    </row>
    <row r="653" spans="1:14" ht="21.75" customHeight="1">
      <c r="A653" s="315"/>
      <c r="B653" s="339" t="s">
        <v>669</v>
      </c>
      <c r="C653" s="434">
        <f t="shared" ref="C653" si="31">C654</f>
        <v>12600000000</v>
      </c>
      <c r="D653" s="437">
        <v>20000000000</v>
      </c>
      <c r="E653" s="338">
        <f t="shared" si="30"/>
        <v>63</v>
      </c>
      <c r="F653" s="323"/>
      <c r="G653" s="323"/>
      <c r="H653" s="323"/>
      <c r="I653" s="323"/>
      <c r="J653" s="323"/>
      <c r="K653" s="323"/>
      <c r="L653" s="323"/>
      <c r="M653" s="323"/>
      <c r="N653" s="323"/>
    </row>
    <row r="654" spans="1:14" ht="21.75" customHeight="1">
      <c r="A654" s="315"/>
      <c r="B654" s="412" t="s">
        <v>2122</v>
      </c>
      <c r="C654" s="434">
        <f>SUM(C655:C655)</f>
        <v>12600000000</v>
      </c>
      <c r="D654" s="437">
        <v>20000000000</v>
      </c>
      <c r="E654" s="338">
        <f t="shared" si="30"/>
        <v>63</v>
      </c>
      <c r="F654" s="323"/>
      <c r="G654" s="323"/>
      <c r="H654" s="323"/>
      <c r="I654" s="323"/>
      <c r="J654" s="323"/>
      <c r="K654" s="323"/>
      <c r="L654" s="323"/>
      <c r="M654" s="323"/>
      <c r="N654" s="323"/>
    </row>
    <row r="655" spans="1:14" ht="21.75" customHeight="1">
      <c r="A655" s="315"/>
      <c r="B655" s="412" t="s">
        <v>2123</v>
      </c>
      <c r="C655" s="435">
        <v>12600000000</v>
      </c>
      <c r="D655" s="437">
        <v>20000000000</v>
      </c>
      <c r="E655" s="338">
        <f t="shared" si="30"/>
        <v>63</v>
      </c>
      <c r="F655" s="323"/>
      <c r="G655" s="323"/>
      <c r="H655" s="323"/>
      <c r="I655" s="323"/>
      <c r="J655" s="323"/>
      <c r="K655" s="323"/>
      <c r="L655" s="323"/>
      <c r="M655" s="323"/>
      <c r="N655" s="323"/>
    </row>
    <row r="656" spans="1:14" ht="6.75" customHeight="1">
      <c r="A656" s="315"/>
      <c r="B656" s="331"/>
      <c r="C656" s="332"/>
      <c r="D656" s="403"/>
      <c r="E656" s="333"/>
      <c r="F656" s="323"/>
      <c r="G656" s="323"/>
      <c r="H656" s="323"/>
      <c r="I656" s="323"/>
      <c r="J656" s="323"/>
      <c r="K656" s="323"/>
      <c r="L656" s="323"/>
      <c r="M656" s="323"/>
      <c r="N656" s="323"/>
    </row>
    <row r="657" spans="1:14" ht="21.75" customHeight="1">
      <c r="A657" s="315">
        <v>26</v>
      </c>
      <c r="B657" s="324" t="s">
        <v>2585</v>
      </c>
      <c r="C657" s="344">
        <f>+C658</f>
        <v>26230325464.799999</v>
      </c>
      <c r="D657" s="438">
        <v>61730319464.800003</v>
      </c>
      <c r="E657" s="338">
        <f>+C657/D657*100</f>
        <v>42.491802557019184</v>
      </c>
      <c r="F657" s="323"/>
      <c r="G657" s="323"/>
      <c r="H657" s="323"/>
      <c r="I657" s="323"/>
      <c r="J657" s="323"/>
      <c r="K657" s="323"/>
      <c r="L657" s="323"/>
      <c r="M657" s="323"/>
      <c r="N657" s="323"/>
    </row>
    <row r="658" spans="1:14" ht="21.75" customHeight="1">
      <c r="A658" s="315"/>
      <c r="B658" s="111" t="s">
        <v>64</v>
      </c>
      <c r="C658" s="439">
        <f>C659+C662+C666+C670</f>
        <v>26230325464.799999</v>
      </c>
      <c r="D658" s="440">
        <v>26230325465</v>
      </c>
      <c r="E658" s="126">
        <f>+C658/D658*100</f>
        <v>99.999999999237517</v>
      </c>
      <c r="F658" s="323"/>
      <c r="G658" s="323"/>
      <c r="H658" s="323"/>
      <c r="I658" s="323"/>
      <c r="J658" s="323"/>
      <c r="K658" s="323"/>
      <c r="L658" s="323"/>
      <c r="M658" s="323"/>
      <c r="N658" s="323"/>
    </row>
    <row r="659" spans="1:14" ht="21.75" customHeight="1">
      <c r="A659" s="315"/>
      <c r="B659" s="328" t="s">
        <v>388</v>
      </c>
      <c r="C659" s="249">
        <f>SUM(C660:C661)</f>
        <v>994750000</v>
      </c>
      <c r="D659" s="440">
        <v>26230325465</v>
      </c>
      <c r="E659" s="126">
        <f t="shared" ref="E659:E672" si="32">+C659/D659*100</f>
        <v>3.7923662111144147</v>
      </c>
      <c r="F659" s="323"/>
      <c r="G659" s="323"/>
      <c r="H659" s="323"/>
      <c r="I659" s="323"/>
      <c r="J659" s="323"/>
      <c r="K659" s="323"/>
      <c r="L659" s="323"/>
      <c r="M659" s="323"/>
      <c r="N659" s="323"/>
    </row>
    <row r="660" spans="1:14" ht="21.75" customHeight="1">
      <c r="A660" s="315"/>
      <c r="B660" s="330" t="s">
        <v>2160</v>
      </c>
      <c r="C660" s="251">
        <v>450000000</v>
      </c>
      <c r="D660" s="440">
        <v>26230325465</v>
      </c>
      <c r="E660" s="126">
        <f t="shared" si="32"/>
        <v>1.7155715456159706</v>
      </c>
      <c r="F660" s="323"/>
      <c r="G660" s="323"/>
      <c r="H660" s="323"/>
      <c r="I660" s="323"/>
      <c r="J660" s="323"/>
      <c r="K660" s="323"/>
      <c r="L660" s="323"/>
      <c r="M660" s="323"/>
      <c r="N660" s="323"/>
    </row>
    <row r="661" spans="1:14" ht="21.75" customHeight="1">
      <c r="A661" s="315"/>
      <c r="B661" s="330" t="s">
        <v>2161</v>
      </c>
      <c r="C661" s="251">
        <v>544750000</v>
      </c>
      <c r="D661" s="440">
        <v>26230325465</v>
      </c>
      <c r="E661" s="126">
        <f t="shared" si="32"/>
        <v>2.0767946654984444</v>
      </c>
      <c r="F661" s="323"/>
      <c r="G661" s="323"/>
      <c r="H661" s="323"/>
      <c r="I661" s="323"/>
      <c r="J661" s="323"/>
      <c r="K661" s="323"/>
      <c r="L661" s="323"/>
      <c r="M661" s="323"/>
      <c r="N661" s="323"/>
    </row>
    <row r="662" spans="1:14" ht="21.75" customHeight="1">
      <c r="A662" s="315"/>
      <c r="B662" s="328" t="s">
        <v>1212</v>
      </c>
      <c r="C662" s="249">
        <f>SUM(C663:C665)</f>
        <v>10412000000</v>
      </c>
      <c r="D662" s="440">
        <v>26230325465</v>
      </c>
      <c r="E662" s="126">
        <f t="shared" si="32"/>
        <v>39.694513184341076</v>
      </c>
      <c r="F662" s="323"/>
      <c r="G662" s="323"/>
      <c r="H662" s="323"/>
      <c r="I662" s="323"/>
      <c r="J662" s="323"/>
      <c r="K662" s="323"/>
      <c r="L662" s="323"/>
      <c r="M662" s="323"/>
      <c r="N662" s="323"/>
    </row>
    <row r="663" spans="1:14" ht="21.75" customHeight="1">
      <c r="A663" s="315"/>
      <c r="B663" s="330" t="s">
        <v>2162</v>
      </c>
      <c r="C663" s="251">
        <v>7200000000</v>
      </c>
      <c r="D663" s="440">
        <v>26230325465</v>
      </c>
      <c r="E663" s="126">
        <f t="shared" si="32"/>
        <v>27.449144729855529</v>
      </c>
      <c r="F663" s="323"/>
      <c r="G663" s="323"/>
      <c r="H663" s="323"/>
      <c r="I663" s="323"/>
      <c r="J663" s="323"/>
      <c r="K663" s="323"/>
      <c r="L663" s="323"/>
      <c r="M663" s="323"/>
      <c r="N663" s="323"/>
    </row>
    <row r="664" spans="1:14" ht="21.75" customHeight="1">
      <c r="A664" s="315"/>
      <c r="B664" s="330" t="s">
        <v>2163</v>
      </c>
      <c r="C664" s="251">
        <v>2890000000</v>
      </c>
      <c r="D664" s="440">
        <v>26230325465</v>
      </c>
      <c r="E664" s="126">
        <f t="shared" si="32"/>
        <v>11.01778170406701</v>
      </c>
      <c r="F664" s="323"/>
      <c r="G664" s="323"/>
      <c r="H664" s="323"/>
      <c r="I664" s="323"/>
      <c r="J664" s="323"/>
      <c r="K664" s="323"/>
      <c r="L664" s="323"/>
      <c r="M664" s="323"/>
      <c r="N664" s="323"/>
    </row>
    <row r="665" spans="1:14" ht="30.75" customHeight="1">
      <c r="A665" s="315"/>
      <c r="B665" s="330" t="s">
        <v>2164</v>
      </c>
      <c r="C665" s="251">
        <v>322000000</v>
      </c>
      <c r="D665" s="440">
        <v>26230325465</v>
      </c>
      <c r="E665" s="126">
        <f t="shared" si="32"/>
        <v>1.2275867504185389</v>
      </c>
      <c r="F665" s="323"/>
      <c r="G665" s="323"/>
      <c r="H665" s="323"/>
      <c r="I665" s="323"/>
      <c r="J665" s="323"/>
      <c r="K665" s="323"/>
      <c r="L665" s="323"/>
      <c r="M665" s="323"/>
      <c r="N665" s="323"/>
    </row>
    <row r="666" spans="1:14" ht="21.75" customHeight="1">
      <c r="A666" s="315"/>
      <c r="B666" s="328" t="s">
        <v>1876</v>
      </c>
      <c r="C666" s="249">
        <f>SUM(C667:C669)</f>
        <v>6095210000</v>
      </c>
      <c r="D666" s="440">
        <v>26230325465</v>
      </c>
      <c r="E666" s="126">
        <f t="shared" si="32"/>
        <v>23.237264090119822</v>
      </c>
      <c r="F666" s="323"/>
      <c r="G666" s="323"/>
      <c r="H666" s="323"/>
      <c r="I666" s="323"/>
      <c r="J666" s="323"/>
      <c r="K666" s="323"/>
      <c r="L666" s="323"/>
      <c r="M666" s="323"/>
      <c r="N666" s="323"/>
    </row>
    <row r="667" spans="1:14" ht="21.75" customHeight="1">
      <c r="A667" s="315"/>
      <c r="B667" s="330" t="s">
        <v>667</v>
      </c>
      <c r="C667" s="251">
        <v>4800000000</v>
      </c>
      <c r="D667" s="440">
        <v>26230325465</v>
      </c>
      <c r="E667" s="126">
        <f t="shared" si="32"/>
        <v>18.299429819903683</v>
      </c>
      <c r="F667" s="323"/>
      <c r="G667" s="323"/>
      <c r="H667" s="323"/>
      <c r="I667" s="323"/>
      <c r="J667" s="323"/>
      <c r="K667" s="323"/>
      <c r="L667" s="323"/>
      <c r="M667" s="323"/>
      <c r="N667" s="323"/>
    </row>
    <row r="668" spans="1:14" ht="37.5" customHeight="1">
      <c r="A668" s="315"/>
      <c r="B668" s="330" t="s">
        <v>2165</v>
      </c>
      <c r="C668" s="251">
        <v>495210000</v>
      </c>
      <c r="D668" s="440">
        <v>26230325465</v>
      </c>
      <c r="E668" s="126">
        <f t="shared" si="32"/>
        <v>1.8879293002321884</v>
      </c>
      <c r="F668" s="323"/>
      <c r="G668" s="323"/>
      <c r="H668" s="323"/>
      <c r="I668" s="323"/>
      <c r="J668" s="323"/>
      <c r="K668" s="323"/>
      <c r="L668" s="323"/>
      <c r="M668" s="323"/>
      <c r="N668" s="323"/>
    </row>
    <row r="669" spans="1:14" ht="21.75" customHeight="1">
      <c r="A669" s="315"/>
      <c r="B669" s="330" t="s">
        <v>2166</v>
      </c>
      <c r="C669" s="251">
        <v>800000000</v>
      </c>
      <c r="D669" s="440">
        <v>26230325465</v>
      </c>
      <c r="E669" s="126">
        <f t="shared" si="32"/>
        <v>3.0499049699839476</v>
      </c>
      <c r="F669" s="323"/>
      <c r="G669" s="323"/>
      <c r="H669" s="323"/>
      <c r="I669" s="323"/>
      <c r="J669" s="323"/>
      <c r="K669" s="323"/>
      <c r="L669" s="323"/>
      <c r="M669" s="323"/>
      <c r="N669" s="323"/>
    </row>
    <row r="670" spans="1:14" ht="21.75" customHeight="1">
      <c r="A670" s="315"/>
      <c r="B670" s="328" t="s">
        <v>2075</v>
      </c>
      <c r="C670" s="249">
        <f>SUM(C671:C672)</f>
        <v>8728365464.7999992</v>
      </c>
      <c r="D670" s="440">
        <v>26230325465</v>
      </c>
      <c r="E670" s="126">
        <f t="shared" si="32"/>
        <v>33.275856513662205</v>
      </c>
      <c r="F670" s="323"/>
      <c r="G670" s="323"/>
      <c r="H670" s="323"/>
      <c r="I670" s="323"/>
      <c r="J670" s="323"/>
      <c r="K670" s="323"/>
      <c r="L670" s="323"/>
      <c r="M670" s="323"/>
      <c r="N670" s="323"/>
    </row>
    <row r="671" spans="1:14" ht="35.25" customHeight="1">
      <c r="A671" s="315"/>
      <c r="B671" s="330" t="s">
        <v>2167</v>
      </c>
      <c r="C671" s="251">
        <v>2500000000</v>
      </c>
      <c r="D671" s="440">
        <v>26230325465</v>
      </c>
      <c r="E671" s="126">
        <f t="shared" si="32"/>
        <v>9.5309530311998358</v>
      </c>
      <c r="F671" s="323"/>
      <c r="G671" s="323"/>
      <c r="H671" s="323"/>
      <c r="I671" s="323"/>
      <c r="J671" s="323"/>
      <c r="K671" s="323"/>
      <c r="L671" s="323"/>
      <c r="M671" s="323"/>
      <c r="N671" s="323"/>
    </row>
    <row r="672" spans="1:14" ht="35.25" customHeight="1">
      <c r="A672" s="315"/>
      <c r="B672" s="330" t="s">
        <v>1394</v>
      </c>
      <c r="C672" s="433">
        <v>6228365464.8000002</v>
      </c>
      <c r="D672" s="440">
        <v>26230325465</v>
      </c>
      <c r="E672" s="126">
        <f t="shared" si="32"/>
        <v>23.744903482462377</v>
      </c>
      <c r="F672" s="323"/>
      <c r="G672" s="323"/>
      <c r="H672" s="323"/>
      <c r="I672" s="323"/>
      <c r="J672" s="323"/>
      <c r="K672" s="323"/>
      <c r="L672" s="323"/>
      <c r="M672" s="323"/>
      <c r="N672" s="323"/>
    </row>
    <row r="673" spans="1:14" ht="9.75" customHeight="1">
      <c r="A673" s="315"/>
      <c r="B673" s="331"/>
      <c r="C673" s="332"/>
      <c r="D673" s="403"/>
      <c r="E673" s="333"/>
      <c r="F673" s="323"/>
      <c r="G673" s="323"/>
      <c r="H673" s="323"/>
      <c r="I673" s="323"/>
      <c r="J673" s="323"/>
      <c r="K673" s="323"/>
      <c r="L673" s="323"/>
      <c r="M673" s="323"/>
      <c r="N673" s="323"/>
    </row>
    <row r="674" spans="1:14" ht="21.75" customHeight="1">
      <c r="A674" s="315">
        <v>27</v>
      </c>
      <c r="B674" s="324" t="s">
        <v>2586</v>
      </c>
      <c r="C674" s="344">
        <f>+C675+C691</f>
        <v>18526926114.690002</v>
      </c>
      <c r="D674" s="125">
        <v>61756420382.300003</v>
      </c>
      <c r="E674" s="338">
        <f>+C674/D674*100</f>
        <v>30.000000000000004</v>
      </c>
      <c r="F674" s="323"/>
      <c r="G674" s="323"/>
      <c r="H674" s="323"/>
      <c r="I674" s="323"/>
      <c r="J674" s="323"/>
      <c r="K674" s="323"/>
      <c r="L674" s="323"/>
      <c r="M674" s="323"/>
      <c r="N674" s="323"/>
    </row>
    <row r="675" spans="1:14" ht="21.75" customHeight="1">
      <c r="A675" s="315"/>
      <c r="B675" s="253" t="s">
        <v>444</v>
      </c>
      <c r="C675" s="441">
        <f>+C676+C679+C688</f>
        <v>14386916115.110001</v>
      </c>
      <c r="D675" s="438">
        <v>18526926114.690002</v>
      </c>
      <c r="E675" s="338">
        <f>+C675/D675*100</f>
        <v>77.654091272607886</v>
      </c>
      <c r="F675" s="323"/>
      <c r="G675" s="323"/>
      <c r="H675" s="323"/>
      <c r="I675" s="323"/>
      <c r="J675" s="323"/>
      <c r="K675" s="323"/>
      <c r="L675" s="323"/>
      <c r="M675" s="323"/>
      <c r="N675" s="323"/>
    </row>
    <row r="676" spans="1:14" ht="21.75" customHeight="1">
      <c r="A676" s="315"/>
      <c r="B676" s="444" t="s">
        <v>388</v>
      </c>
      <c r="C676" s="442">
        <f>+C677+C678</f>
        <v>900000000</v>
      </c>
      <c r="D676" s="438">
        <v>18526926114.690002</v>
      </c>
      <c r="E676" s="338">
        <f t="shared" ref="E676:E699" si="33">+C676/D676*100</f>
        <v>4.8577945117748911</v>
      </c>
      <c r="F676" s="323"/>
      <c r="G676" s="323"/>
      <c r="H676" s="323"/>
      <c r="I676" s="323"/>
      <c r="J676" s="323"/>
      <c r="K676" s="323"/>
      <c r="L676" s="323"/>
      <c r="M676" s="323"/>
      <c r="N676" s="323"/>
    </row>
    <row r="677" spans="1:14" ht="21.75" customHeight="1">
      <c r="A677" s="315"/>
      <c r="B677" s="256" t="s">
        <v>2196</v>
      </c>
      <c r="C677" s="255">
        <v>500000000</v>
      </c>
      <c r="D677" s="438">
        <v>18526926114.690002</v>
      </c>
      <c r="E677" s="338">
        <f t="shared" si="33"/>
        <v>2.6987747287638286</v>
      </c>
      <c r="F677" s="323"/>
      <c r="G677" s="323"/>
      <c r="H677" s="323"/>
      <c r="I677" s="323"/>
      <c r="J677" s="323"/>
      <c r="K677" s="323"/>
      <c r="L677" s="323"/>
      <c r="M677" s="323"/>
      <c r="N677" s="323"/>
    </row>
    <row r="678" spans="1:14" ht="21.75" customHeight="1">
      <c r="A678" s="315"/>
      <c r="B678" s="256" t="s">
        <v>2197</v>
      </c>
      <c r="C678" s="255">
        <v>400000000</v>
      </c>
      <c r="D678" s="438">
        <v>18526926114.690002</v>
      </c>
      <c r="E678" s="338">
        <f t="shared" si="33"/>
        <v>2.1590197830110629</v>
      </c>
      <c r="F678" s="323"/>
      <c r="G678" s="323"/>
      <c r="H678" s="323"/>
      <c r="I678" s="323"/>
      <c r="J678" s="323"/>
      <c r="K678" s="323"/>
      <c r="L678" s="323"/>
      <c r="M678" s="323"/>
      <c r="N678" s="323"/>
    </row>
    <row r="679" spans="1:14" ht="21.75" customHeight="1">
      <c r="A679" s="315"/>
      <c r="B679" s="253" t="s">
        <v>394</v>
      </c>
      <c r="C679" s="442">
        <f>+C680+C681+C682+C683+C684+C685+C686+C687</f>
        <v>13336916115.110001</v>
      </c>
      <c r="D679" s="438">
        <v>18526926114.690002</v>
      </c>
      <c r="E679" s="338">
        <f t="shared" si="33"/>
        <v>71.986664342203838</v>
      </c>
      <c r="F679" s="323"/>
      <c r="G679" s="323"/>
      <c r="H679" s="323"/>
      <c r="I679" s="323"/>
      <c r="J679" s="323"/>
      <c r="K679" s="323"/>
      <c r="L679" s="323"/>
      <c r="M679" s="323"/>
      <c r="N679" s="323"/>
    </row>
    <row r="680" spans="1:14" ht="21.75" customHeight="1">
      <c r="A680" s="315"/>
      <c r="B680" s="443" t="s">
        <v>2198</v>
      </c>
      <c r="C680" s="255">
        <v>1243950000</v>
      </c>
      <c r="D680" s="438">
        <v>18526926114.690002</v>
      </c>
      <c r="E680" s="338">
        <f t="shared" si="33"/>
        <v>6.7142816476915295</v>
      </c>
      <c r="F680" s="323"/>
      <c r="G680" s="323"/>
      <c r="H680" s="323"/>
      <c r="I680" s="323"/>
      <c r="J680" s="323"/>
      <c r="K680" s="323"/>
      <c r="L680" s="323"/>
      <c r="M680" s="323"/>
      <c r="N680" s="323"/>
    </row>
    <row r="681" spans="1:14" ht="21.75" customHeight="1">
      <c r="A681" s="315"/>
      <c r="B681" s="256" t="s">
        <v>2199</v>
      </c>
      <c r="C681" s="255">
        <v>545140000</v>
      </c>
      <c r="D681" s="438">
        <v>18526926114.690002</v>
      </c>
      <c r="E681" s="338">
        <f t="shared" si="33"/>
        <v>2.9424201112766268</v>
      </c>
      <c r="F681" s="323"/>
      <c r="G681" s="323"/>
      <c r="H681" s="323"/>
      <c r="I681" s="323"/>
      <c r="J681" s="323"/>
      <c r="K681" s="323"/>
      <c r="L681" s="323"/>
      <c r="M681" s="323"/>
      <c r="N681" s="323"/>
    </row>
    <row r="682" spans="1:14" ht="21.75" customHeight="1">
      <c r="A682" s="315"/>
      <c r="B682" s="443" t="s">
        <v>2200</v>
      </c>
      <c r="C682" s="255">
        <v>8016350000</v>
      </c>
      <c r="D682" s="438">
        <v>18526926114.690002</v>
      </c>
      <c r="E682" s="338">
        <f t="shared" si="33"/>
        <v>43.268645593851829</v>
      </c>
      <c r="F682" s="323"/>
      <c r="G682" s="323"/>
      <c r="H682" s="323"/>
      <c r="I682" s="323"/>
      <c r="J682" s="323"/>
      <c r="K682" s="323"/>
      <c r="L682" s="323"/>
      <c r="M682" s="323"/>
      <c r="N682" s="323"/>
    </row>
    <row r="683" spans="1:14" ht="21.75" customHeight="1">
      <c r="A683" s="315"/>
      <c r="B683" s="256" t="s">
        <v>2201</v>
      </c>
      <c r="C683" s="255">
        <v>144000000</v>
      </c>
      <c r="D683" s="438">
        <v>18526926114.690002</v>
      </c>
      <c r="E683" s="338">
        <f t="shared" si="33"/>
        <v>0.77724712188398259</v>
      </c>
      <c r="F683" s="323"/>
      <c r="G683" s="323"/>
      <c r="H683" s="323"/>
      <c r="I683" s="323"/>
      <c r="J683" s="323"/>
      <c r="K683" s="323"/>
      <c r="L683" s="323"/>
      <c r="M683" s="323"/>
      <c r="N683" s="323"/>
    </row>
    <row r="684" spans="1:14" ht="21.75" customHeight="1">
      <c r="A684" s="315"/>
      <c r="B684" s="443" t="s">
        <v>2202</v>
      </c>
      <c r="C684" s="255">
        <v>1903976115.1099999</v>
      </c>
      <c r="D684" s="438">
        <v>18526926114.690002</v>
      </c>
      <c r="E684" s="338">
        <f t="shared" si="33"/>
        <v>10.276805247257595</v>
      </c>
      <c r="F684" s="323"/>
      <c r="G684" s="323"/>
      <c r="H684" s="323"/>
      <c r="I684" s="323"/>
      <c r="J684" s="323"/>
      <c r="K684" s="323"/>
      <c r="L684" s="323"/>
      <c r="M684" s="323"/>
      <c r="N684" s="323"/>
    </row>
    <row r="685" spans="1:14" ht="21.75" customHeight="1">
      <c r="A685" s="315"/>
      <c r="B685" s="443" t="s">
        <v>2203</v>
      </c>
      <c r="C685" s="255">
        <v>460000000</v>
      </c>
      <c r="D685" s="438">
        <v>18526926114.690002</v>
      </c>
      <c r="E685" s="338">
        <f t="shared" si="33"/>
        <v>2.4828727504627222</v>
      </c>
      <c r="F685" s="323"/>
      <c r="G685" s="323"/>
      <c r="H685" s="323"/>
      <c r="I685" s="323"/>
      <c r="J685" s="323"/>
      <c r="K685" s="323"/>
      <c r="L685" s="323"/>
      <c r="M685" s="323"/>
      <c r="N685" s="323"/>
    </row>
    <row r="686" spans="1:14" ht="21.75" customHeight="1">
      <c r="A686" s="315"/>
      <c r="B686" s="443" t="s">
        <v>2023</v>
      </c>
      <c r="C686" s="255">
        <v>400000000</v>
      </c>
      <c r="D686" s="438">
        <v>18526926114.690002</v>
      </c>
      <c r="E686" s="338">
        <f t="shared" si="33"/>
        <v>2.1590197830110629</v>
      </c>
      <c r="F686" s="323"/>
      <c r="G686" s="323"/>
      <c r="H686" s="323"/>
      <c r="I686" s="323"/>
      <c r="J686" s="323"/>
      <c r="K686" s="323"/>
      <c r="L686" s="323"/>
      <c r="M686" s="323"/>
      <c r="N686" s="323"/>
    </row>
    <row r="687" spans="1:14" ht="33" customHeight="1">
      <c r="A687" s="315"/>
      <c r="B687" s="443" t="s">
        <v>2204</v>
      </c>
      <c r="C687" s="255">
        <v>623500000</v>
      </c>
      <c r="D687" s="438">
        <v>18526926114.690002</v>
      </c>
      <c r="E687" s="338">
        <f t="shared" si="33"/>
        <v>3.3653720867684944</v>
      </c>
      <c r="F687" s="323"/>
      <c r="G687" s="323"/>
      <c r="H687" s="323"/>
      <c r="I687" s="323"/>
      <c r="J687" s="323"/>
      <c r="K687" s="323"/>
      <c r="L687" s="323"/>
      <c r="M687" s="323"/>
      <c r="N687" s="323"/>
    </row>
    <row r="688" spans="1:14" ht="21.75" customHeight="1">
      <c r="A688" s="315"/>
      <c r="B688" s="444" t="s">
        <v>116</v>
      </c>
      <c r="C688" s="442">
        <f>+C689</f>
        <v>150000000</v>
      </c>
      <c r="D688" s="438">
        <v>18526926114.690002</v>
      </c>
      <c r="E688" s="338">
        <f t="shared" si="33"/>
        <v>0.80963241862914859</v>
      </c>
      <c r="F688" s="323"/>
      <c r="G688" s="323"/>
      <c r="H688" s="323"/>
      <c r="I688" s="323"/>
      <c r="J688" s="323"/>
      <c r="K688" s="323"/>
      <c r="L688" s="323"/>
      <c r="M688" s="323"/>
      <c r="N688" s="323"/>
    </row>
    <row r="689" spans="1:14" ht="21.75" customHeight="1">
      <c r="A689" s="315"/>
      <c r="B689" s="443" t="s">
        <v>2205</v>
      </c>
      <c r="C689" s="255">
        <v>150000000</v>
      </c>
      <c r="D689" s="438">
        <v>18526926114.690002</v>
      </c>
      <c r="E689" s="338">
        <f t="shared" si="33"/>
        <v>0.80963241862914859</v>
      </c>
      <c r="F689" s="323"/>
      <c r="G689" s="323"/>
      <c r="H689" s="323"/>
      <c r="I689" s="323"/>
      <c r="J689" s="323"/>
      <c r="K689" s="323"/>
      <c r="L689" s="323"/>
      <c r="M689" s="323"/>
      <c r="N689" s="323"/>
    </row>
    <row r="690" spans="1:14" ht="9.75" customHeight="1">
      <c r="A690" s="315"/>
      <c r="B690" s="443"/>
      <c r="C690" s="442"/>
      <c r="D690" s="438"/>
      <c r="E690" s="338"/>
      <c r="F690" s="323"/>
      <c r="G690" s="323"/>
      <c r="H690" s="323"/>
      <c r="I690" s="323"/>
      <c r="J690" s="323"/>
      <c r="K690" s="323"/>
      <c r="L690" s="323"/>
      <c r="M690" s="323"/>
      <c r="N690" s="323"/>
    </row>
    <row r="691" spans="1:14" ht="21.75" customHeight="1">
      <c r="A691" s="315"/>
      <c r="B691" s="444" t="s">
        <v>2256</v>
      </c>
      <c r="C691" s="441">
        <f>+C692</f>
        <v>4140009999.5799999</v>
      </c>
      <c r="D691" s="438">
        <v>18526926114.690002</v>
      </c>
      <c r="E691" s="338">
        <f t="shared" si="33"/>
        <v>22.345908727392104</v>
      </c>
      <c r="F691" s="323"/>
      <c r="G691" s="323"/>
      <c r="H691" s="323"/>
      <c r="I691" s="323"/>
      <c r="J691" s="323"/>
      <c r="K691" s="323"/>
      <c r="L691" s="323"/>
      <c r="M691" s="323"/>
      <c r="N691" s="323"/>
    </row>
    <row r="692" spans="1:14" ht="21.75" customHeight="1">
      <c r="A692" s="315"/>
      <c r="B692" s="444" t="s">
        <v>2264</v>
      </c>
      <c r="C692" s="445">
        <f>+C693</f>
        <v>4140009999.5799999</v>
      </c>
      <c r="D692" s="438">
        <v>18526926114.690002</v>
      </c>
      <c r="E692" s="338">
        <f t="shared" si="33"/>
        <v>22.345908727392104</v>
      </c>
      <c r="F692" s="323"/>
      <c r="G692" s="323"/>
      <c r="H692" s="323"/>
      <c r="I692" s="323"/>
      <c r="J692" s="323"/>
      <c r="K692" s="323"/>
      <c r="L692" s="323"/>
      <c r="M692" s="323"/>
      <c r="N692" s="323"/>
    </row>
    <row r="693" spans="1:14" ht="21.75" customHeight="1">
      <c r="A693" s="315"/>
      <c r="B693" s="444" t="s">
        <v>2267</v>
      </c>
      <c r="C693" s="442">
        <f>SUM(C694:C699)</f>
        <v>4140009999.5799999</v>
      </c>
      <c r="D693" s="438">
        <v>18526926114.690002</v>
      </c>
      <c r="E693" s="338">
        <f t="shared" si="33"/>
        <v>22.345908727392104</v>
      </c>
      <c r="F693" s="323"/>
      <c r="G693" s="323"/>
      <c r="H693" s="323"/>
      <c r="I693" s="323"/>
      <c r="J693" s="323"/>
      <c r="K693" s="323"/>
      <c r="L693" s="323"/>
      <c r="M693" s="323"/>
      <c r="N693" s="323"/>
    </row>
    <row r="694" spans="1:14" ht="21.75" customHeight="1">
      <c r="A694" s="315"/>
      <c r="B694" s="443" t="s">
        <v>2268</v>
      </c>
      <c r="C694" s="255">
        <v>780000000</v>
      </c>
      <c r="D694" s="438">
        <v>18526926114.690002</v>
      </c>
      <c r="E694" s="338">
        <f t="shared" si="33"/>
        <v>4.2100885768715717</v>
      </c>
      <c r="F694" s="323"/>
      <c r="G694" s="323"/>
      <c r="H694" s="323"/>
      <c r="I694" s="323"/>
      <c r="J694" s="323"/>
      <c r="K694" s="323"/>
      <c r="L694" s="323"/>
      <c r="M694" s="323"/>
      <c r="N694" s="323"/>
    </row>
    <row r="695" spans="1:14" ht="21.75" customHeight="1">
      <c r="A695" s="315"/>
      <c r="B695" s="443" t="s">
        <v>2269</v>
      </c>
      <c r="C695" s="255">
        <v>1020000000</v>
      </c>
      <c r="D695" s="438">
        <v>18526926114.690002</v>
      </c>
      <c r="E695" s="338">
        <f t="shared" si="33"/>
        <v>5.5055004466782096</v>
      </c>
      <c r="F695" s="323"/>
      <c r="G695" s="323"/>
      <c r="H695" s="323"/>
      <c r="I695" s="323"/>
      <c r="J695" s="323"/>
      <c r="K695" s="323"/>
      <c r="L695" s="323"/>
      <c r="M695" s="323"/>
      <c r="N695" s="323"/>
    </row>
    <row r="696" spans="1:14" ht="21.75" customHeight="1">
      <c r="A696" s="315"/>
      <c r="B696" s="443" t="s">
        <v>2270</v>
      </c>
      <c r="C696" s="255">
        <v>550000000</v>
      </c>
      <c r="D696" s="438">
        <v>18526926114.690002</v>
      </c>
      <c r="E696" s="338">
        <f t="shared" si="33"/>
        <v>2.9686522016402113</v>
      </c>
      <c r="F696" s="323"/>
      <c r="G696" s="323"/>
      <c r="H696" s="323"/>
      <c r="I696" s="323"/>
      <c r="J696" s="323"/>
      <c r="K696" s="323"/>
      <c r="L696" s="323"/>
      <c r="M696" s="323"/>
      <c r="N696" s="323"/>
    </row>
    <row r="697" spans="1:14" ht="21.75" customHeight="1">
      <c r="A697" s="315"/>
      <c r="B697" s="443" t="s">
        <v>2271</v>
      </c>
      <c r="C697" s="255">
        <v>90000000</v>
      </c>
      <c r="D697" s="438">
        <v>18526926114.690002</v>
      </c>
      <c r="E697" s="338">
        <f t="shared" si="33"/>
        <v>0.48577945117748911</v>
      </c>
      <c r="F697" s="323"/>
      <c r="G697" s="323"/>
      <c r="H697" s="323"/>
      <c r="I697" s="323"/>
      <c r="J697" s="323"/>
      <c r="K697" s="323"/>
      <c r="L697" s="323"/>
      <c r="M697" s="323"/>
      <c r="N697" s="323"/>
    </row>
    <row r="698" spans="1:14" ht="21.75" customHeight="1">
      <c r="A698" s="315"/>
      <c r="B698" s="443" t="s">
        <v>2272</v>
      </c>
      <c r="C698" s="255">
        <v>900000029.27999997</v>
      </c>
      <c r="D698" s="438">
        <v>18526926114.690002</v>
      </c>
      <c r="E698" s="338">
        <f t="shared" si="33"/>
        <v>4.8577946698151386</v>
      </c>
      <c r="F698" s="323"/>
      <c r="G698" s="323"/>
      <c r="H698" s="323"/>
      <c r="I698" s="323"/>
      <c r="J698" s="323"/>
      <c r="K698" s="323"/>
      <c r="L698" s="323"/>
      <c r="M698" s="323"/>
      <c r="N698" s="323"/>
    </row>
    <row r="699" spans="1:14" ht="21.75" customHeight="1">
      <c r="A699" s="315"/>
      <c r="B699" s="443" t="s">
        <v>2273</v>
      </c>
      <c r="C699" s="255">
        <v>800009970.29999995</v>
      </c>
      <c r="D699" s="438">
        <v>18526926114.690002</v>
      </c>
      <c r="E699" s="338">
        <f t="shared" si="33"/>
        <v>4.3180933812094811</v>
      </c>
      <c r="F699" s="323"/>
      <c r="G699" s="323"/>
      <c r="H699" s="323"/>
      <c r="I699" s="323"/>
      <c r="J699" s="323"/>
      <c r="K699" s="323"/>
      <c r="L699" s="323"/>
      <c r="M699" s="323"/>
      <c r="N699" s="323"/>
    </row>
    <row r="700" spans="1:14" ht="15" customHeight="1">
      <c r="A700" s="315"/>
      <c r="B700" s="331"/>
      <c r="C700" s="332"/>
      <c r="D700" s="403"/>
      <c r="E700" s="333"/>
      <c r="F700" s="323"/>
      <c r="G700" s="323"/>
      <c r="H700" s="323"/>
      <c r="I700" s="323"/>
      <c r="J700" s="323"/>
      <c r="K700" s="323"/>
      <c r="L700" s="323"/>
      <c r="M700" s="323"/>
      <c r="N700" s="323"/>
    </row>
    <row r="701" spans="1:14" s="314" customFormat="1" ht="21.75" customHeight="1">
      <c r="A701" s="315">
        <v>28</v>
      </c>
      <c r="B701" s="446" t="s">
        <v>2587</v>
      </c>
      <c r="C701" s="344">
        <f>+C702+C747+C751</f>
        <v>17944168275</v>
      </c>
      <c r="D701" s="436">
        <v>60339107583.360001</v>
      </c>
      <c r="E701" s="338">
        <f>+C701/D701*100</f>
        <v>29.738869190615187</v>
      </c>
      <c r="F701" s="319"/>
      <c r="G701" s="319"/>
      <c r="H701" s="319"/>
      <c r="I701" s="319"/>
      <c r="J701" s="319"/>
      <c r="K701" s="319"/>
      <c r="L701" s="319"/>
      <c r="M701" s="319"/>
      <c r="N701" s="319"/>
    </row>
    <row r="702" spans="1:14" ht="21.75" customHeight="1">
      <c r="A702" s="315"/>
      <c r="B702" s="111" t="s">
        <v>444</v>
      </c>
      <c r="C702" s="257">
        <f>+C703+C712+C728+C732+C734+C739+C744</f>
        <v>17097168275</v>
      </c>
      <c r="D702" s="321">
        <v>18567668275</v>
      </c>
      <c r="E702" s="126">
        <f>+C702/D702*100</f>
        <v>92.080319519818659</v>
      </c>
      <c r="F702" s="323"/>
      <c r="G702" s="323"/>
      <c r="H702" s="323"/>
      <c r="I702" s="323"/>
      <c r="J702" s="323"/>
      <c r="K702" s="323"/>
      <c r="L702" s="323"/>
      <c r="M702" s="323"/>
      <c r="N702" s="323"/>
    </row>
    <row r="703" spans="1:14" ht="21.75" customHeight="1">
      <c r="A703" s="315"/>
      <c r="B703" s="150" t="s">
        <v>388</v>
      </c>
      <c r="C703" s="257">
        <f>SUM(C704:C711)</f>
        <v>2009140000</v>
      </c>
      <c r="D703" s="321">
        <v>18567668275</v>
      </c>
      <c r="E703" s="126">
        <f t="shared" ref="E703:E745" si="34">+C703/D703*100</f>
        <v>10.82063708939242</v>
      </c>
      <c r="F703" s="323"/>
      <c r="G703" s="323"/>
      <c r="H703" s="323"/>
      <c r="I703" s="323"/>
      <c r="J703" s="323"/>
      <c r="K703" s="323"/>
      <c r="L703" s="323"/>
      <c r="M703" s="323"/>
      <c r="N703" s="323"/>
    </row>
    <row r="704" spans="1:14" ht="21.75" customHeight="1">
      <c r="A704" s="315"/>
      <c r="B704" s="123" t="s">
        <v>2276</v>
      </c>
      <c r="C704" s="136">
        <v>250000000</v>
      </c>
      <c r="D704" s="321">
        <v>18567668275</v>
      </c>
      <c r="E704" s="126">
        <f t="shared" si="34"/>
        <v>1.3464264672188624</v>
      </c>
      <c r="F704" s="323"/>
      <c r="G704" s="323"/>
      <c r="H704" s="323"/>
      <c r="I704" s="323"/>
      <c r="J704" s="323"/>
      <c r="K704" s="323"/>
      <c r="L704" s="323"/>
      <c r="M704" s="323"/>
      <c r="N704" s="323"/>
    </row>
    <row r="705" spans="1:14" ht="21.75" customHeight="1">
      <c r="A705" s="315"/>
      <c r="B705" s="123" t="s">
        <v>2277</v>
      </c>
      <c r="C705" s="136">
        <v>455500000</v>
      </c>
      <c r="D705" s="321">
        <v>18567668275</v>
      </c>
      <c r="E705" s="126">
        <f t="shared" si="34"/>
        <v>2.4531890232727673</v>
      </c>
      <c r="F705" s="323"/>
      <c r="G705" s="323"/>
      <c r="H705" s="323"/>
      <c r="I705" s="323"/>
      <c r="J705" s="323"/>
      <c r="K705" s="323"/>
      <c r="L705" s="323"/>
      <c r="M705" s="323"/>
      <c r="N705" s="323"/>
    </row>
    <row r="706" spans="1:14" ht="21.75" customHeight="1">
      <c r="A706" s="315"/>
      <c r="B706" s="123" t="s">
        <v>2278</v>
      </c>
      <c r="C706" s="136">
        <v>150000000</v>
      </c>
      <c r="D706" s="321">
        <v>18567668275</v>
      </c>
      <c r="E706" s="126">
        <f t="shared" si="34"/>
        <v>0.80785588033131739</v>
      </c>
      <c r="F706" s="323"/>
      <c r="G706" s="323"/>
      <c r="H706" s="323"/>
      <c r="I706" s="323"/>
      <c r="J706" s="323"/>
      <c r="K706" s="323"/>
      <c r="L706" s="323"/>
      <c r="M706" s="323"/>
      <c r="N706" s="323"/>
    </row>
    <row r="707" spans="1:14" ht="33.75" customHeight="1">
      <c r="A707" s="315"/>
      <c r="B707" s="123" t="s">
        <v>2279</v>
      </c>
      <c r="C707" s="136">
        <v>218640000</v>
      </c>
      <c r="D707" s="321">
        <v>18567668275</v>
      </c>
      <c r="E707" s="126">
        <f t="shared" si="34"/>
        <v>1.1775307311709284</v>
      </c>
      <c r="F707" s="323"/>
      <c r="G707" s="323"/>
      <c r="H707" s="323"/>
      <c r="I707" s="323"/>
      <c r="J707" s="323"/>
      <c r="K707" s="323"/>
      <c r="L707" s="323"/>
      <c r="M707" s="323"/>
      <c r="N707" s="323"/>
    </row>
    <row r="708" spans="1:14" ht="21.75" customHeight="1">
      <c r="A708" s="315"/>
      <c r="B708" s="123" t="s">
        <v>2280</v>
      </c>
      <c r="C708" s="136">
        <v>125000000</v>
      </c>
      <c r="D708" s="321">
        <v>18567668275</v>
      </c>
      <c r="E708" s="126">
        <f t="shared" si="34"/>
        <v>0.67321323360943119</v>
      </c>
      <c r="F708" s="323"/>
      <c r="G708" s="323"/>
      <c r="H708" s="323"/>
      <c r="I708" s="323"/>
      <c r="J708" s="323"/>
      <c r="K708" s="323"/>
      <c r="L708" s="323"/>
      <c r="M708" s="323"/>
      <c r="N708" s="323"/>
    </row>
    <row r="709" spans="1:14" ht="21.75" customHeight="1">
      <c r="A709" s="315"/>
      <c r="B709" s="123" t="s">
        <v>2281</v>
      </c>
      <c r="C709" s="136">
        <v>150000000</v>
      </c>
      <c r="D709" s="321">
        <v>18567668275</v>
      </c>
      <c r="E709" s="126">
        <f t="shared" si="34"/>
        <v>0.80785588033131739</v>
      </c>
      <c r="F709" s="323"/>
      <c r="G709" s="323"/>
      <c r="H709" s="323"/>
      <c r="I709" s="323"/>
      <c r="J709" s="323"/>
      <c r="K709" s="323"/>
      <c r="L709" s="323"/>
      <c r="M709" s="323"/>
      <c r="N709" s="323"/>
    </row>
    <row r="710" spans="1:14" ht="21.75" customHeight="1">
      <c r="A710" s="315"/>
      <c r="B710" s="123" t="s">
        <v>2282</v>
      </c>
      <c r="C710" s="136">
        <v>60000000</v>
      </c>
      <c r="D710" s="321">
        <v>18567668275</v>
      </c>
      <c r="E710" s="126">
        <f t="shared" si="34"/>
        <v>0.32314235213252701</v>
      </c>
      <c r="F710" s="323"/>
      <c r="G710" s="323"/>
      <c r="H710" s="323"/>
      <c r="I710" s="323"/>
      <c r="J710" s="323"/>
      <c r="K710" s="323"/>
      <c r="L710" s="323"/>
      <c r="M710" s="323"/>
      <c r="N710" s="323"/>
    </row>
    <row r="711" spans="1:14" ht="21.75" customHeight="1">
      <c r="A711" s="315"/>
      <c r="B711" s="123" t="s">
        <v>2283</v>
      </c>
      <c r="C711" s="136">
        <v>600000000</v>
      </c>
      <c r="D711" s="321">
        <v>18567668275</v>
      </c>
      <c r="E711" s="126">
        <f t="shared" si="34"/>
        <v>3.2314235213252696</v>
      </c>
      <c r="F711" s="323"/>
      <c r="G711" s="323"/>
      <c r="H711" s="323"/>
      <c r="I711" s="323"/>
      <c r="J711" s="323"/>
      <c r="K711" s="323"/>
      <c r="L711" s="323"/>
      <c r="M711" s="323"/>
      <c r="N711" s="323"/>
    </row>
    <row r="712" spans="1:14" ht="21.75" customHeight="1">
      <c r="A712" s="315"/>
      <c r="B712" s="111" t="s">
        <v>394</v>
      </c>
      <c r="C712" s="135">
        <f>SUM(C713:C727)</f>
        <v>9926028275</v>
      </c>
      <c r="D712" s="321">
        <v>18567668275</v>
      </c>
      <c r="E712" s="126">
        <f t="shared" si="34"/>
        <v>53.458668735291162</v>
      </c>
      <c r="F712" s="323"/>
      <c r="G712" s="323"/>
      <c r="H712" s="323"/>
      <c r="I712" s="323"/>
      <c r="J712" s="323"/>
      <c r="K712" s="323"/>
      <c r="L712" s="323"/>
      <c r="M712" s="323"/>
      <c r="N712" s="323"/>
    </row>
    <row r="713" spans="1:14" ht="21.75" customHeight="1">
      <c r="A713" s="315"/>
      <c r="B713" s="123" t="s">
        <v>1482</v>
      </c>
      <c r="C713" s="136">
        <v>330000000</v>
      </c>
      <c r="D713" s="321">
        <v>18567668275</v>
      </c>
      <c r="E713" s="126">
        <f t="shared" si="34"/>
        <v>1.7772829367288985</v>
      </c>
      <c r="F713" s="323"/>
      <c r="G713" s="323"/>
      <c r="H713" s="323"/>
      <c r="I713" s="323"/>
      <c r="J713" s="323"/>
      <c r="K713" s="323"/>
      <c r="L713" s="323"/>
      <c r="M713" s="323"/>
      <c r="N713" s="323"/>
    </row>
    <row r="714" spans="1:14" ht="21.75" customHeight="1">
      <c r="A714" s="315"/>
      <c r="B714" s="123" t="s">
        <v>2284</v>
      </c>
      <c r="C714" s="136">
        <v>176000000</v>
      </c>
      <c r="D714" s="321">
        <v>18567668275</v>
      </c>
      <c r="E714" s="126">
        <f t="shared" si="34"/>
        <v>0.94788423292207924</v>
      </c>
      <c r="F714" s="323"/>
      <c r="G714" s="323"/>
      <c r="H714" s="323"/>
      <c r="I714" s="323"/>
      <c r="J714" s="323"/>
      <c r="K714" s="323"/>
      <c r="L714" s="323"/>
      <c r="M714" s="323"/>
      <c r="N714" s="323"/>
    </row>
    <row r="715" spans="1:14" ht="21.75" customHeight="1">
      <c r="A715" s="315"/>
      <c r="B715" s="123" t="s">
        <v>2285</v>
      </c>
      <c r="C715" s="136">
        <v>2350808275</v>
      </c>
      <c r="D715" s="321">
        <v>18567668275</v>
      </c>
      <c r="E715" s="126">
        <f t="shared" si="34"/>
        <v>12.660761923268474</v>
      </c>
      <c r="F715" s="323"/>
      <c r="G715" s="323"/>
      <c r="H715" s="323"/>
      <c r="I715" s="323"/>
      <c r="J715" s="323"/>
      <c r="K715" s="323"/>
      <c r="L715" s="323"/>
      <c r="M715" s="323"/>
      <c r="N715" s="323"/>
    </row>
    <row r="716" spans="1:14" ht="36" customHeight="1">
      <c r="A716" s="315"/>
      <c r="B716" s="123" t="s">
        <v>2286</v>
      </c>
      <c r="C716" s="136">
        <v>2021000000</v>
      </c>
      <c r="D716" s="321">
        <v>18567668275</v>
      </c>
      <c r="E716" s="126">
        <f t="shared" si="34"/>
        <v>10.884511560997284</v>
      </c>
      <c r="F716" s="323"/>
      <c r="G716" s="323"/>
      <c r="H716" s="323"/>
      <c r="I716" s="323"/>
      <c r="J716" s="323"/>
      <c r="K716" s="323"/>
      <c r="L716" s="323"/>
      <c r="M716" s="323"/>
      <c r="N716" s="323"/>
    </row>
    <row r="717" spans="1:14" ht="21.75" customHeight="1">
      <c r="A717" s="315"/>
      <c r="B717" s="123" t="s">
        <v>2287</v>
      </c>
      <c r="C717" s="136">
        <v>974282000</v>
      </c>
      <c r="D717" s="321">
        <v>18567668275</v>
      </c>
      <c r="E717" s="126">
        <f t="shared" si="34"/>
        <v>5.2471962853397107</v>
      </c>
      <c r="F717" s="323"/>
      <c r="G717" s="323"/>
      <c r="H717" s="323"/>
      <c r="I717" s="323"/>
      <c r="J717" s="323"/>
      <c r="K717" s="323"/>
      <c r="L717" s="323"/>
      <c r="M717" s="323"/>
      <c r="N717" s="323"/>
    </row>
    <row r="718" spans="1:14" ht="21.75" customHeight="1">
      <c r="A718" s="315"/>
      <c r="B718" s="123" t="s">
        <v>2288</v>
      </c>
      <c r="C718" s="136">
        <v>336000000</v>
      </c>
      <c r="D718" s="321">
        <v>18567668275</v>
      </c>
      <c r="E718" s="126">
        <f t="shared" si="34"/>
        <v>1.8095971719421511</v>
      </c>
      <c r="F718" s="323"/>
      <c r="G718" s="323"/>
      <c r="H718" s="323"/>
      <c r="I718" s="323"/>
      <c r="J718" s="323"/>
      <c r="K718" s="323"/>
      <c r="L718" s="323"/>
      <c r="M718" s="323"/>
      <c r="N718" s="323"/>
    </row>
    <row r="719" spans="1:14" ht="21.75" customHeight="1">
      <c r="A719" s="315"/>
      <c r="B719" s="123" t="s">
        <v>2289</v>
      </c>
      <c r="C719" s="136">
        <v>1386500000</v>
      </c>
      <c r="D719" s="321">
        <v>18567668275</v>
      </c>
      <c r="E719" s="126">
        <f t="shared" si="34"/>
        <v>7.4672811871958107</v>
      </c>
      <c r="F719" s="323"/>
      <c r="G719" s="323"/>
      <c r="H719" s="323"/>
      <c r="I719" s="323"/>
      <c r="J719" s="323"/>
      <c r="K719" s="323"/>
      <c r="L719" s="323"/>
      <c r="M719" s="323"/>
      <c r="N719" s="323"/>
    </row>
    <row r="720" spans="1:14" ht="21.75" customHeight="1">
      <c r="A720" s="315"/>
      <c r="B720" s="123" t="s">
        <v>2290</v>
      </c>
      <c r="C720" s="136">
        <v>280000000</v>
      </c>
      <c r="D720" s="321">
        <v>18567668275</v>
      </c>
      <c r="E720" s="126">
        <f t="shared" si="34"/>
        <v>1.5079976432851261</v>
      </c>
      <c r="F720" s="323"/>
      <c r="G720" s="323"/>
      <c r="H720" s="323"/>
      <c r="I720" s="323"/>
      <c r="J720" s="323"/>
      <c r="K720" s="323"/>
      <c r="L720" s="323"/>
      <c r="M720" s="323"/>
      <c r="N720" s="323"/>
    </row>
    <row r="721" spans="1:14" ht="21.75" customHeight="1">
      <c r="A721" s="315"/>
      <c r="B721" s="123" t="s">
        <v>2291</v>
      </c>
      <c r="C721" s="136">
        <v>330000000</v>
      </c>
      <c r="D721" s="321">
        <v>18567668275</v>
      </c>
      <c r="E721" s="126">
        <f t="shared" si="34"/>
        <v>1.7772829367288985</v>
      </c>
      <c r="F721" s="323"/>
      <c r="G721" s="323"/>
      <c r="H721" s="323"/>
      <c r="I721" s="323"/>
      <c r="J721" s="323"/>
      <c r="K721" s="323"/>
      <c r="L721" s="323"/>
      <c r="M721" s="323"/>
      <c r="N721" s="323"/>
    </row>
    <row r="722" spans="1:14" ht="21.75" customHeight="1">
      <c r="A722" s="315"/>
      <c r="B722" s="123" t="s">
        <v>2292</v>
      </c>
      <c r="C722" s="136">
        <v>112000000</v>
      </c>
      <c r="D722" s="321">
        <v>18567668275</v>
      </c>
      <c r="E722" s="126">
        <f t="shared" si="34"/>
        <v>0.60319905731405044</v>
      </c>
      <c r="F722" s="323"/>
      <c r="G722" s="323"/>
      <c r="H722" s="323"/>
      <c r="I722" s="323"/>
      <c r="J722" s="323"/>
      <c r="K722" s="323"/>
      <c r="L722" s="323"/>
      <c r="M722" s="323"/>
      <c r="N722" s="323"/>
    </row>
    <row r="723" spans="1:14" ht="21.75" customHeight="1">
      <c r="A723" s="315"/>
      <c r="B723" s="123" t="s">
        <v>2293</v>
      </c>
      <c r="C723" s="136">
        <v>300000000</v>
      </c>
      <c r="D723" s="321">
        <v>18567668275</v>
      </c>
      <c r="E723" s="126">
        <f t="shared" si="34"/>
        <v>1.6157117606626348</v>
      </c>
      <c r="F723" s="323"/>
      <c r="G723" s="323"/>
      <c r="H723" s="323"/>
      <c r="I723" s="323"/>
      <c r="J723" s="323"/>
      <c r="K723" s="323"/>
      <c r="L723" s="323"/>
      <c r="M723" s="323"/>
      <c r="N723" s="323"/>
    </row>
    <row r="724" spans="1:14" ht="21.75" customHeight="1">
      <c r="A724" s="315"/>
      <c r="B724" s="123" t="s">
        <v>2294</v>
      </c>
      <c r="C724" s="136">
        <v>466000000</v>
      </c>
      <c r="D724" s="321">
        <v>18567668275</v>
      </c>
      <c r="E724" s="126">
        <f t="shared" si="34"/>
        <v>2.5097389348959593</v>
      </c>
      <c r="F724" s="323"/>
      <c r="G724" s="323"/>
      <c r="H724" s="323"/>
      <c r="I724" s="323"/>
      <c r="J724" s="323"/>
      <c r="K724" s="323"/>
      <c r="L724" s="323"/>
      <c r="M724" s="323"/>
      <c r="N724" s="323"/>
    </row>
    <row r="725" spans="1:14" ht="21.75" customHeight="1">
      <c r="A725" s="315"/>
      <c r="B725" s="123" t="s">
        <v>2295</v>
      </c>
      <c r="C725" s="136">
        <v>450000000</v>
      </c>
      <c r="D725" s="321">
        <v>18567668275</v>
      </c>
      <c r="E725" s="126">
        <f t="shared" si="34"/>
        <v>2.4235676409939524</v>
      </c>
      <c r="F725" s="323"/>
      <c r="G725" s="323"/>
      <c r="H725" s="323"/>
      <c r="I725" s="323"/>
      <c r="J725" s="323"/>
      <c r="K725" s="323"/>
      <c r="L725" s="323"/>
      <c r="M725" s="323"/>
      <c r="N725" s="323"/>
    </row>
    <row r="726" spans="1:14" ht="21.75" customHeight="1">
      <c r="A726" s="315"/>
      <c r="B726" s="123" t="s">
        <v>2296</v>
      </c>
      <c r="C726" s="136">
        <v>88000000</v>
      </c>
      <c r="D726" s="321">
        <v>18567668275</v>
      </c>
      <c r="E726" s="126">
        <f t="shared" si="34"/>
        <v>0.47394211646103962</v>
      </c>
      <c r="F726" s="323"/>
      <c r="G726" s="323"/>
      <c r="H726" s="323"/>
      <c r="I726" s="323"/>
      <c r="J726" s="323"/>
      <c r="K726" s="323"/>
      <c r="L726" s="323"/>
      <c r="M726" s="323"/>
      <c r="N726" s="323"/>
    </row>
    <row r="727" spans="1:14" ht="21.75" customHeight="1">
      <c r="A727" s="315"/>
      <c r="B727" s="123" t="s">
        <v>2297</v>
      </c>
      <c r="C727" s="136">
        <v>325438000</v>
      </c>
      <c r="D727" s="321">
        <v>18567668275</v>
      </c>
      <c r="E727" s="126">
        <f t="shared" si="34"/>
        <v>1.7527133465550886</v>
      </c>
      <c r="F727" s="323"/>
      <c r="G727" s="323"/>
      <c r="H727" s="323"/>
      <c r="I727" s="323"/>
      <c r="J727" s="323"/>
      <c r="K727" s="323"/>
      <c r="L727" s="323"/>
      <c r="M727" s="323"/>
      <c r="N727" s="323"/>
    </row>
    <row r="728" spans="1:14" ht="21.75" customHeight="1">
      <c r="A728" s="315"/>
      <c r="B728" s="111" t="s">
        <v>106</v>
      </c>
      <c r="C728" s="135">
        <f>SUM(C729:C731)</f>
        <v>605000000</v>
      </c>
      <c r="D728" s="321">
        <v>18567668275</v>
      </c>
      <c r="E728" s="126">
        <f t="shared" si="34"/>
        <v>3.2583520506696475</v>
      </c>
      <c r="F728" s="323"/>
      <c r="G728" s="323"/>
      <c r="H728" s="323"/>
      <c r="I728" s="323"/>
      <c r="J728" s="323"/>
      <c r="K728" s="323"/>
      <c r="L728" s="323"/>
      <c r="M728" s="323"/>
      <c r="N728" s="323"/>
    </row>
    <row r="729" spans="1:14" ht="37.5" customHeight="1">
      <c r="A729" s="315"/>
      <c r="B729" s="57" t="s">
        <v>2298</v>
      </c>
      <c r="C729" s="136">
        <v>125000000</v>
      </c>
      <c r="D729" s="321">
        <v>18567668275</v>
      </c>
      <c r="E729" s="126">
        <f t="shared" si="34"/>
        <v>0.67321323360943119</v>
      </c>
      <c r="F729" s="323"/>
      <c r="G729" s="323"/>
      <c r="H729" s="323"/>
      <c r="I729" s="323"/>
      <c r="J729" s="323"/>
      <c r="K729" s="323"/>
      <c r="L729" s="323"/>
      <c r="M729" s="323"/>
      <c r="N729" s="323"/>
    </row>
    <row r="730" spans="1:14" ht="35.25" customHeight="1">
      <c r="A730" s="315"/>
      <c r="B730" s="57" t="s">
        <v>2299</v>
      </c>
      <c r="C730" s="136">
        <v>240000000</v>
      </c>
      <c r="D730" s="321">
        <v>18567668275</v>
      </c>
      <c r="E730" s="126">
        <f t="shared" si="34"/>
        <v>1.292569408530108</v>
      </c>
      <c r="F730" s="323"/>
      <c r="G730" s="323"/>
      <c r="H730" s="323"/>
      <c r="I730" s="323"/>
      <c r="J730" s="323"/>
      <c r="K730" s="323"/>
      <c r="L730" s="323"/>
      <c r="M730" s="323"/>
      <c r="N730" s="323"/>
    </row>
    <row r="731" spans="1:14" ht="21.75" customHeight="1">
      <c r="A731" s="315"/>
      <c r="B731" s="57" t="s">
        <v>2300</v>
      </c>
      <c r="C731" s="136">
        <v>240000000</v>
      </c>
      <c r="D731" s="321">
        <v>18567668275</v>
      </c>
      <c r="E731" s="126">
        <f t="shared" si="34"/>
        <v>1.292569408530108</v>
      </c>
      <c r="F731" s="323"/>
      <c r="G731" s="323"/>
      <c r="H731" s="323"/>
      <c r="I731" s="323"/>
      <c r="J731" s="323"/>
      <c r="K731" s="323"/>
      <c r="L731" s="323"/>
      <c r="M731" s="323"/>
      <c r="N731" s="323"/>
    </row>
    <row r="732" spans="1:14" ht="21.75" customHeight="1">
      <c r="A732" s="315"/>
      <c r="B732" s="111" t="s">
        <v>116</v>
      </c>
      <c r="C732" s="135">
        <f>SUM(C733:C733)</f>
        <v>180000000</v>
      </c>
      <c r="D732" s="321">
        <v>18567668275</v>
      </c>
      <c r="E732" s="126">
        <f t="shared" si="34"/>
        <v>0.96942705639758098</v>
      </c>
      <c r="F732" s="323"/>
      <c r="G732" s="323"/>
      <c r="H732" s="323"/>
      <c r="I732" s="323"/>
      <c r="J732" s="323"/>
      <c r="K732" s="323"/>
      <c r="L732" s="323"/>
      <c r="M732" s="323"/>
      <c r="N732" s="323"/>
    </row>
    <row r="733" spans="1:14" ht="21.75" customHeight="1">
      <c r="A733" s="315"/>
      <c r="B733" s="123" t="s">
        <v>2301</v>
      </c>
      <c r="C733" s="136">
        <v>180000000</v>
      </c>
      <c r="D733" s="321">
        <v>18567668275</v>
      </c>
      <c r="E733" s="126">
        <f t="shared" si="34"/>
        <v>0.96942705639758098</v>
      </c>
      <c r="F733" s="323"/>
      <c r="G733" s="323"/>
      <c r="H733" s="323"/>
      <c r="I733" s="323"/>
      <c r="J733" s="323"/>
      <c r="K733" s="323"/>
      <c r="L733" s="323"/>
      <c r="M733" s="323"/>
      <c r="N733" s="323"/>
    </row>
    <row r="734" spans="1:14" ht="21.75" customHeight="1">
      <c r="A734" s="315"/>
      <c r="B734" s="111" t="s">
        <v>95</v>
      </c>
      <c r="C734" s="135">
        <f>SUM(C735:C738)</f>
        <v>443000000</v>
      </c>
      <c r="D734" s="321">
        <v>18567668275</v>
      </c>
      <c r="E734" s="126">
        <f t="shared" si="34"/>
        <v>2.3858676999118242</v>
      </c>
      <c r="F734" s="323"/>
      <c r="G734" s="323"/>
      <c r="H734" s="323"/>
      <c r="I734" s="323"/>
      <c r="J734" s="323"/>
      <c r="K734" s="323"/>
      <c r="L734" s="323"/>
      <c r="M734" s="323"/>
      <c r="N734" s="323"/>
    </row>
    <row r="735" spans="1:14" ht="21.75" customHeight="1">
      <c r="A735" s="315"/>
      <c r="B735" s="123" t="s">
        <v>2302</v>
      </c>
      <c r="C735" s="136">
        <v>88000000</v>
      </c>
      <c r="D735" s="321">
        <v>18567668275</v>
      </c>
      <c r="E735" s="126">
        <f t="shared" si="34"/>
        <v>0.47394211646103962</v>
      </c>
      <c r="F735" s="323"/>
      <c r="G735" s="323"/>
      <c r="H735" s="323"/>
      <c r="I735" s="323"/>
      <c r="J735" s="323"/>
      <c r="K735" s="323"/>
      <c r="L735" s="323"/>
      <c r="M735" s="323"/>
      <c r="N735" s="323"/>
    </row>
    <row r="736" spans="1:14" ht="21.75" customHeight="1">
      <c r="A736" s="315"/>
      <c r="B736" s="123" t="s">
        <v>2303</v>
      </c>
      <c r="C736" s="136">
        <v>100000000</v>
      </c>
      <c r="D736" s="321">
        <v>18567668275</v>
      </c>
      <c r="E736" s="126">
        <f t="shared" si="34"/>
        <v>0.538570586887545</v>
      </c>
      <c r="F736" s="323"/>
      <c r="G736" s="323"/>
      <c r="H736" s="323"/>
      <c r="I736" s="323"/>
      <c r="J736" s="323"/>
      <c r="K736" s="323"/>
      <c r="L736" s="323"/>
      <c r="M736" s="323"/>
      <c r="N736" s="323"/>
    </row>
    <row r="737" spans="1:14" ht="39" customHeight="1">
      <c r="A737" s="315"/>
      <c r="B737" s="123" t="s">
        <v>2304</v>
      </c>
      <c r="C737" s="136">
        <v>135000000</v>
      </c>
      <c r="D737" s="321">
        <v>18567668275</v>
      </c>
      <c r="E737" s="126">
        <f t="shared" si="34"/>
        <v>0.72707029229818576</v>
      </c>
      <c r="F737" s="323"/>
      <c r="G737" s="323"/>
      <c r="H737" s="323"/>
      <c r="I737" s="323"/>
      <c r="J737" s="323"/>
      <c r="K737" s="323"/>
      <c r="L737" s="323"/>
      <c r="M737" s="323"/>
      <c r="N737" s="323"/>
    </row>
    <row r="738" spans="1:14" ht="21.75" customHeight="1">
      <c r="A738" s="315"/>
      <c r="B738" s="123" t="s">
        <v>2305</v>
      </c>
      <c r="C738" s="136">
        <v>120000000</v>
      </c>
      <c r="D738" s="321">
        <v>18567668275</v>
      </c>
      <c r="E738" s="126">
        <f t="shared" si="34"/>
        <v>0.64628470426505402</v>
      </c>
      <c r="F738" s="323"/>
      <c r="G738" s="323"/>
      <c r="H738" s="323"/>
      <c r="I738" s="323"/>
      <c r="J738" s="323"/>
      <c r="K738" s="323"/>
      <c r="L738" s="323"/>
      <c r="M738" s="323"/>
      <c r="N738" s="323"/>
    </row>
    <row r="739" spans="1:14" ht="21.75" customHeight="1">
      <c r="A739" s="315"/>
      <c r="B739" s="111" t="s">
        <v>131</v>
      </c>
      <c r="C739" s="135">
        <f>SUM(C740:C743)</f>
        <v>334000000</v>
      </c>
      <c r="D739" s="321">
        <v>18567668275</v>
      </c>
      <c r="E739" s="126">
        <f t="shared" si="34"/>
        <v>1.7988257602044002</v>
      </c>
      <c r="F739" s="323"/>
      <c r="G739" s="323"/>
      <c r="H739" s="323"/>
      <c r="I739" s="323"/>
      <c r="J739" s="323"/>
      <c r="K739" s="323"/>
      <c r="L739" s="323"/>
      <c r="M739" s="323"/>
      <c r="N739" s="323"/>
    </row>
    <row r="740" spans="1:14" ht="21.75" customHeight="1">
      <c r="A740" s="315"/>
      <c r="B740" s="123" t="s">
        <v>2306</v>
      </c>
      <c r="C740" s="136">
        <v>120000000</v>
      </c>
      <c r="D740" s="321">
        <v>18567668275</v>
      </c>
      <c r="E740" s="126">
        <f t="shared" si="34"/>
        <v>0.64628470426505402</v>
      </c>
      <c r="F740" s="323"/>
      <c r="G740" s="323"/>
      <c r="H740" s="323"/>
      <c r="I740" s="323"/>
      <c r="J740" s="323"/>
      <c r="K740" s="323"/>
      <c r="L740" s="323"/>
      <c r="M740" s="323"/>
      <c r="N740" s="323"/>
    </row>
    <row r="741" spans="1:14" ht="34.5" customHeight="1">
      <c r="A741" s="315"/>
      <c r="B741" s="123" t="s">
        <v>2307</v>
      </c>
      <c r="C741" s="136">
        <v>54000000</v>
      </c>
      <c r="D741" s="321">
        <v>18567668275</v>
      </c>
      <c r="E741" s="126">
        <f t="shared" si="34"/>
        <v>0.29082811691927429</v>
      </c>
      <c r="F741" s="323"/>
      <c r="G741" s="323"/>
      <c r="H741" s="323"/>
      <c r="I741" s="323"/>
      <c r="J741" s="323"/>
      <c r="K741" s="323"/>
      <c r="L741" s="323"/>
      <c r="M741" s="323"/>
      <c r="N741" s="323"/>
    </row>
    <row r="742" spans="1:14" ht="24.4" customHeight="1">
      <c r="A742" s="315"/>
      <c r="B742" s="123" t="s">
        <v>2303</v>
      </c>
      <c r="C742" s="136">
        <v>40000000</v>
      </c>
      <c r="D742" s="321">
        <v>18567668275</v>
      </c>
      <c r="E742" s="126">
        <f t="shared" si="34"/>
        <v>0.21542823475501799</v>
      </c>
      <c r="F742" s="323"/>
      <c r="G742" s="323"/>
      <c r="H742" s="323"/>
      <c r="I742" s="323"/>
      <c r="J742" s="323"/>
      <c r="K742" s="323"/>
      <c r="L742" s="323"/>
      <c r="M742" s="323"/>
      <c r="N742" s="323"/>
    </row>
    <row r="743" spans="1:14" ht="21.75" customHeight="1">
      <c r="A743" s="315"/>
      <c r="B743" s="123" t="s">
        <v>2305</v>
      </c>
      <c r="C743" s="136">
        <v>120000000</v>
      </c>
      <c r="D743" s="321">
        <v>18567668275</v>
      </c>
      <c r="E743" s="126">
        <f t="shared" si="34"/>
        <v>0.64628470426505402</v>
      </c>
      <c r="F743" s="323"/>
      <c r="G743" s="323"/>
      <c r="H743" s="323"/>
      <c r="I743" s="323"/>
      <c r="J743" s="323"/>
      <c r="K743" s="323"/>
      <c r="L743" s="323"/>
      <c r="M743" s="323"/>
      <c r="N743" s="323"/>
    </row>
    <row r="744" spans="1:14" ht="21.75" customHeight="1">
      <c r="A744" s="315"/>
      <c r="B744" s="111" t="s">
        <v>2308</v>
      </c>
      <c r="C744" s="135">
        <f>SUM(C745)</f>
        <v>3600000000</v>
      </c>
      <c r="D744" s="321">
        <v>18567668275</v>
      </c>
      <c r="E744" s="126">
        <f t="shared" si="34"/>
        <v>19.388541127951619</v>
      </c>
      <c r="F744" s="323"/>
      <c r="G744" s="323"/>
      <c r="H744" s="323"/>
      <c r="I744" s="323"/>
      <c r="J744" s="323"/>
      <c r="K744" s="323"/>
      <c r="L744" s="323"/>
      <c r="M744" s="323"/>
      <c r="N744" s="323"/>
    </row>
    <row r="745" spans="1:14" ht="21.75" customHeight="1">
      <c r="A745" s="315"/>
      <c r="B745" s="123" t="s">
        <v>2309</v>
      </c>
      <c r="C745" s="136">
        <v>3600000000</v>
      </c>
      <c r="D745" s="321">
        <v>18567668275</v>
      </c>
      <c r="E745" s="126">
        <f t="shared" si="34"/>
        <v>19.388541127951619</v>
      </c>
      <c r="F745" s="323"/>
      <c r="G745" s="323"/>
      <c r="H745" s="323"/>
      <c r="I745" s="323"/>
      <c r="J745" s="323"/>
      <c r="K745" s="323"/>
      <c r="L745" s="323"/>
      <c r="M745" s="323"/>
      <c r="N745" s="323"/>
    </row>
    <row r="746" spans="1:14" ht="15" customHeight="1">
      <c r="A746" s="315"/>
      <c r="B746" s="331"/>
      <c r="C746" s="332"/>
      <c r="D746" s="403"/>
      <c r="E746" s="333"/>
      <c r="F746" s="323"/>
      <c r="G746" s="323"/>
      <c r="H746" s="323"/>
      <c r="I746" s="323"/>
      <c r="J746" s="323"/>
      <c r="K746" s="323"/>
      <c r="L746" s="323"/>
      <c r="M746" s="323"/>
      <c r="N746" s="323"/>
    </row>
    <row r="747" spans="1:14" ht="21.75" customHeight="1">
      <c r="A747" s="315"/>
      <c r="B747" s="111" t="s">
        <v>2043</v>
      </c>
      <c r="C747" s="135">
        <f>C748</f>
        <v>222000000</v>
      </c>
      <c r="D747" s="321">
        <v>18567668275</v>
      </c>
      <c r="E747" s="126">
        <f t="shared" ref="E747:E749" si="35">+C747/D747*100</f>
        <v>1.19562670289035</v>
      </c>
      <c r="F747" s="323"/>
      <c r="G747" s="323"/>
      <c r="H747" s="323"/>
      <c r="I747" s="323"/>
      <c r="J747" s="323"/>
      <c r="K747" s="323"/>
      <c r="L747" s="323"/>
      <c r="M747" s="323"/>
      <c r="N747" s="323"/>
    </row>
    <row r="748" spans="1:14" ht="21.75" customHeight="1">
      <c r="A748" s="315"/>
      <c r="B748" s="111" t="s">
        <v>536</v>
      </c>
      <c r="C748" s="135">
        <f>SUM(C749)</f>
        <v>222000000</v>
      </c>
      <c r="D748" s="321">
        <v>18567668275</v>
      </c>
      <c r="E748" s="126">
        <f t="shared" si="35"/>
        <v>1.19562670289035</v>
      </c>
      <c r="F748" s="323"/>
      <c r="G748" s="323"/>
      <c r="H748" s="323"/>
      <c r="I748" s="323"/>
      <c r="J748" s="323"/>
      <c r="K748" s="323"/>
      <c r="L748" s="323"/>
      <c r="M748" s="323"/>
      <c r="N748" s="323"/>
    </row>
    <row r="749" spans="1:14" ht="21.75" customHeight="1">
      <c r="A749" s="315"/>
      <c r="B749" s="123" t="s">
        <v>2096</v>
      </c>
      <c r="C749" s="136">
        <v>222000000</v>
      </c>
      <c r="D749" s="321">
        <v>18567668275</v>
      </c>
      <c r="E749" s="126">
        <f t="shared" si="35"/>
        <v>1.19562670289035</v>
      </c>
      <c r="F749" s="323"/>
      <c r="G749" s="323"/>
      <c r="H749" s="323"/>
      <c r="I749" s="323"/>
      <c r="J749" s="323"/>
      <c r="K749" s="323"/>
      <c r="L749" s="323"/>
      <c r="M749" s="323"/>
      <c r="N749" s="323"/>
    </row>
    <row r="750" spans="1:14" ht="15" customHeight="1">
      <c r="A750" s="315"/>
      <c r="B750" s="331"/>
      <c r="C750" s="332"/>
      <c r="D750" s="403"/>
      <c r="E750" s="333"/>
      <c r="F750" s="323"/>
      <c r="G750" s="323"/>
      <c r="H750" s="323"/>
      <c r="I750" s="323"/>
      <c r="J750" s="323"/>
      <c r="K750" s="323"/>
      <c r="L750" s="323"/>
      <c r="M750" s="323"/>
      <c r="N750" s="323"/>
    </row>
    <row r="751" spans="1:14" ht="21.75" customHeight="1">
      <c r="A751" s="315"/>
      <c r="B751" s="111" t="s">
        <v>503</v>
      </c>
      <c r="C751" s="135">
        <f>+C752</f>
        <v>625000000</v>
      </c>
      <c r="D751" s="321">
        <v>18567668275</v>
      </c>
      <c r="E751" s="126">
        <f t="shared" ref="E751:E753" si="36">+C751/D751*100</f>
        <v>3.3660661680471562</v>
      </c>
      <c r="F751" s="323"/>
      <c r="G751" s="323"/>
      <c r="H751" s="323"/>
      <c r="I751" s="323"/>
      <c r="J751" s="323"/>
      <c r="K751" s="323"/>
      <c r="L751" s="323"/>
      <c r="M751" s="323"/>
      <c r="N751" s="323"/>
    </row>
    <row r="752" spans="1:14" ht="21.75" customHeight="1">
      <c r="A752" s="315"/>
      <c r="B752" s="111" t="s">
        <v>286</v>
      </c>
      <c r="C752" s="135">
        <f>C753</f>
        <v>625000000</v>
      </c>
      <c r="D752" s="321">
        <v>18567668275</v>
      </c>
      <c r="E752" s="126">
        <f t="shared" si="36"/>
        <v>3.3660661680471562</v>
      </c>
      <c r="F752" s="323"/>
      <c r="G752" s="323"/>
      <c r="H752" s="323"/>
      <c r="I752" s="323"/>
      <c r="J752" s="323"/>
      <c r="K752" s="323"/>
      <c r="L752" s="323"/>
      <c r="M752" s="323"/>
      <c r="N752" s="323"/>
    </row>
    <row r="753" spans="1:14" ht="21.75" customHeight="1">
      <c r="A753" s="315"/>
      <c r="B753" s="123" t="s">
        <v>2333</v>
      </c>
      <c r="C753" s="136">
        <v>625000000</v>
      </c>
      <c r="D753" s="321">
        <v>18567668275</v>
      </c>
      <c r="E753" s="126">
        <f t="shared" si="36"/>
        <v>3.3660661680471562</v>
      </c>
      <c r="F753" s="323"/>
      <c r="G753" s="323"/>
      <c r="H753" s="323"/>
      <c r="I753" s="323"/>
      <c r="J753" s="323"/>
      <c r="K753" s="323"/>
      <c r="L753" s="323"/>
      <c r="M753" s="323"/>
      <c r="N753" s="323"/>
    </row>
    <row r="754" spans="1:14" ht="15" customHeight="1">
      <c r="A754" s="315"/>
      <c r="B754" s="331"/>
      <c r="C754" s="332"/>
      <c r="D754" s="403"/>
      <c r="E754" s="333"/>
      <c r="F754" s="323"/>
      <c r="G754" s="323"/>
      <c r="H754" s="323"/>
      <c r="I754" s="323"/>
      <c r="J754" s="323"/>
      <c r="K754" s="323"/>
      <c r="L754" s="323"/>
      <c r="M754" s="323"/>
      <c r="N754" s="323"/>
    </row>
    <row r="755" spans="1:14" ht="24.4" customHeight="1">
      <c r="A755" s="315">
        <v>29</v>
      </c>
      <c r="B755" s="324" t="s">
        <v>2345</v>
      </c>
      <c r="C755" s="344">
        <f>+C756</f>
        <v>10160106330</v>
      </c>
      <c r="D755" s="436">
        <v>31867021099</v>
      </c>
      <c r="E755" s="338">
        <f>+C755/D755*100</f>
        <v>31.882824247788971</v>
      </c>
      <c r="F755" s="323"/>
      <c r="G755" s="323"/>
      <c r="H755" s="323"/>
      <c r="I755" s="323"/>
      <c r="J755" s="323"/>
      <c r="K755" s="323"/>
      <c r="L755" s="323"/>
      <c r="M755" s="323"/>
      <c r="N755" s="323"/>
    </row>
    <row r="756" spans="1:14" ht="21.75" customHeight="1">
      <c r="A756" s="320"/>
      <c r="B756" s="347" t="s">
        <v>2374</v>
      </c>
      <c r="C756" s="447">
        <f>+C757</f>
        <v>10160106330</v>
      </c>
      <c r="D756" s="436">
        <v>10160106330</v>
      </c>
      <c r="E756" s="338">
        <f>+C756/D756*100</f>
        <v>100</v>
      </c>
      <c r="F756" s="323"/>
      <c r="G756" s="323"/>
      <c r="H756" s="323"/>
      <c r="I756" s="323"/>
      <c r="J756" s="323"/>
      <c r="K756" s="323"/>
      <c r="L756" s="323"/>
      <c r="M756" s="323"/>
      <c r="N756" s="323"/>
    </row>
    <row r="757" spans="1:14" ht="21.75" customHeight="1">
      <c r="A757" s="320"/>
      <c r="B757" s="316" t="s">
        <v>2375</v>
      </c>
      <c r="C757" s="448">
        <v>10160106330</v>
      </c>
      <c r="D757" s="436">
        <v>10160106330</v>
      </c>
      <c r="E757" s="338">
        <f>+C757/D757*100</f>
        <v>100</v>
      </c>
      <c r="F757" s="323"/>
      <c r="G757" s="323"/>
      <c r="H757" s="323"/>
      <c r="I757" s="323"/>
      <c r="J757" s="323"/>
      <c r="K757" s="323"/>
      <c r="L757" s="323"/>
      <c r="M757" s="323"/>
      <c r="N757" s="323"/>
    </row>
    <row r="758" spans="1:14" ht="15" customHeight="1">
      <c r="A758" s="320"/>
      <c r="B758" s="324"/>
      <c r="C758" s="366"/>
      <c r="D758" s="436"/>
      <c r="E758" s="338"/>
      <c r="F758" s="323"/>
      <c r="G758" s="323"/>
      <c r="H758" s="323"/>
      <c r="I758" s="323"/>
      <c r="J758" s="323"/>
      <c r="K758" s="323"/>
      <c r="L758" s="323"/>
      <c r="M758" s="323"/>
      <c r="N758" s="323"/>
    </row>
    <row r="759" spans="1:14" s="314" customFormat="1" ht="21.75" customHeight="1">
      <c r="A759" s="315" t="s">
        <v>2377</v>
      </c>
      <c r="B759" s="150" t="s">
        <v>2588</v>
      </c>
      <c r="C759" s="398">
        <f>+C760</f>
        <v>976929140000</v>
      </c>
      <c r="D759" s="112">
        <v>3341938271000</v>
      </c>
      <c r="E759" s="162">
        <f>+C759/D759*100</f>
        <v>29.232411276934684</v>
      </c>
      <c r="F759" s="319"/>
      <c r="G759" s="319"/>
      <c r="H759" s="319"/>
      <c r="I759" s="319"/>
      <c r="J759" s="319"/>
      <c r="K759" s="319"/>
      <c r="L759" s="319"/>
      <c r="M759" s="319"/>
      <c r="N759" s="319"/>
    </row>
    <row r="760" spans="1:14" s="314" customFormat="1" ht="21.75" customHeight="1">
      <c r="A760" s="315"/>
      <c r="B760" s="449" t="s">
        <v>94</v>
      </c>
      <c r="C760" s="450">
        <f>+C761+C762</f>
        <v>976929140000</v>
      </c>
      <c r="D760" s="450">
        <v>976929140000</v>
      </c>
      <c r="E760" s="162">
        <f t="shared" ref="E760:E766" si="37">+C760/D760*100</f>
        <v>100</v>
      </c>
      <c r="F760" s="319"/>
      <c r="G760" s="319"/>
      <c r="H760" s="319"/>
      <c r="I760" s="319"/>
      <c r="J760" s="319"/>
      <c r="K760" s="319"/>
      <c r="L760" s="319"/>
      <c r="M760" s="319"/>
      <c r="N760" s="319"/>
    </row>
    <row r="761" spans="1:14" s="314" customFormat="1" ht="21.75" customHeight="1">
      <c r="A761" s="315"/>
      <c r="B761" s="449" t="s">
        <v>374</v>
      </c>
      <c r="C761" s="450">
        <v>947929140000</v>
      </c>
      <c r="D761" s="450">
        <v>976929140000</v>
      </c>
      <c r="E761" s="162">
        <f t="shared" si="37"/>
        <v>97.031514486301432</v>
      </c>
      <c r="F761" s="319"/>
      <c r="G761" s="319"/>
      <c r="H761" s="319"/>
      <c r="I761" s="319"/>
      <c r="J761" s="319"/>
      <c r="K761" s="319"/>
      <c r="L761" s="319"/>
      <c r="M761" s="319"/>
      <c r="N761" s="319"/>
    </row>
    <row r="762" spans="1:14" s="314" customFormat="1" ht="21.75" customHeight="1">
      <c r="A762" s="315"/>
      <c r="B762" s="449" t="s">
        <v>94</v>
      </c>
      <c r="C762" s="450">
        <f>+C763+C765</f>
        <v>29000000000</v>
      </c>
      <c r="D762" s="450">
        <v>976929140000</v>
      </c>
      <c r="E762" s="162">
        <f t="shared" si="37"/>
        <v>2.9684855136985675</v>
      </c>
      <c r="F762" s="319"/>
      <c r="G762" s="319"/>
      <c r="H762" s="319"/>
      <c r="I762" s="319"/>
      <c r="J762" s="319"/>
      <c r="K762" s="319"/>
      <c r="L762" s="319"/>
      <c r="M762" s="319"/>
      <c r="N762" s="319"/>
    </row>
    <row r="763" spans="1:14" s="314" customFormat="1" ht="21.75" customHeight="1">
      <c r="A763" s="315"/>
      <c r="B763" s="449" t="s">
        <v>95</v>
      </c>
      <c r="C763" s="450">
        <v>28668940000</v>
      </c>
      <c r="D763" s="450">
        <v>976929140000</v>
      </c>
      <c r="E763" s="162">
        <f t="shared" si="37"/>
        <v>2.9345976925204629</v>
      </c>
      <c r="F763" s="319"/>
      <c r="G763" s="319"/>
      <c r="H763" s="319"/>
      <c r="I763" s="319"/>
      <c r="J763" s="319"/>
      <c r="K763" s="319"/>
      <c r="L763" s="319"/>
      <c r="M763" s="319"/>
      <c r="N763" s="319"/>
    </row>
    <row r="764" spans="1:14" ht="21.75" customHeight="1">
      <c r="A764" s="320"/>
      <c r="B764" s="801" t="s">
        <v>2379</v>
      </c>
      <c r="C764" s="451">
        <v>28668940000</v>
      </c>
      <c r="D764" s="451">
        <v>976929140000</v>
      </c>
      <c r="E764" s="333">
        <f t="shared" si="37"/>
        <v>2.9345976925204629</v>
      </c>
      <c r="F764" s="323"/>
      <c r="G764" s="323"/>
      <c r="H764" s="323"/>
      <c r="I764" s="323"/>
      <c r="J764" s="323"/>
      <c r="K764" s="323"/>
      <c r="L764" s="323"/>
      <c r="M764" s="323"/>
      <c r="N764" s="323"/>
    </row>
    <row r="765" spans="1:14" ht="21.75" customHeight="1">
      <c r="A765" s="320"/>
      <c r="B765" s="449" t="s">
        <v>124</v>
      </c>
      <c r="C765" s="450">
        <v>331060000</v>
      </c>
      <c r="D765" s="450">
        <v>976929140000</v>
      </c>
      <c r="E765" s="162">
        <f t="shared" si="37"/>
        <v>3.3887821178105099E-2</v>
      </c>
      <c r="F765" s="323"/>
      <c r="G765" s="323"/>
      <c r="H765" s="323"/>
      <c r="I765" s="323"/>
      <c r="J765" s="323"/>
      <c r="K765" s="323"/>
      <c r="L765" s="323"/>
      <c r="M765" s="323"/>
      <c r="N765" s="323"/>
    </row>
    <row r="766" spans="1:14" ht="21.75" customHeight="1">
      <c r="A766" s="320"/>
      <c r="B766" s="801" t="s">
        <v>2380</v>
      </c>
      <c r="C766" s="451">
        <v>331060000</v>
      </c>
      <c r="D766" s="451">
        <v>976929140000</v>
      </c>
      <c r="E766" s="333">
        <f t="shared" si="37"/>
        <v>3.3887821178105099E-2</v>
      </c>
      <c r="F766" s="323"/>
      <c r="G766" s="323"/>
      <c r="H766" s="323"/>
      <c r="I766" s="323"/>
      <c r="J766" s="323"/>
      <c r="K766" s="323"/>
      <c r="L766" s="323"/>
      <c r="M766" s="323"/>
      <c r="N766" s="323"/>
    </row>
    <row r="767" spans="1:14">
      <c r="A767" s="452"/>
      <c r="B767" s="453"/>
      <c r="C767" s="454"/>
      <c r="D767" s="455"/>
      <c r="E767" s="456"/>
      <c r="F767" s="457"/>
      <c r="G767" s="457"/>
      <c r="H767" s="457"/>
      <c r="I767" s="457"/>
      <c r="J767" s="457"/>
      <c r="K767" s="457"/>
      <c r="L767" s="457"/>
      <c r="M767" s="457"/>
      <c r="N767" s="457"/>
    </row>
    <row r="768" spans="1:14" s="314" customFormat="1" ht="21.75" customHeight="1">
      <c r="A768" s="458"/>
      <c r="B768" s="459" t="s">
        <v>76</v>
      </c>
      <c r="C768" s="460">
        <f>+C759+C82+C13</f>
        <v>1664692447140.9299</v>
      </c>
      <c r="D768" s="461">
        <v>5288694844000</v>
      </c>
      <c r="E768" s="462">
        <f>+C768/D768*100</f>
        <v>31.476432205755184</v>
      </c>
      <c r="F768" s="461"/>
      <c r="G768" s="461"/>
      <c r="H768" s="461"/>
      <c r="I768" s="461"/>
      <c r="J768" s="461"/>
      <c r="K768" s="461"/>
      <c r="L768" s="461"/>
      <c r="M768" s="463"/>
      <c r="N768" s="463"/>
    </row>
  </sheetData>
  <mergeCells count="12">
    <mergeCell ref="N10:N11"/>
    <mergeCell ref="A3:N3"/>
    <mergeCell ref="A4:N4"/>
    <mergeCell ref="A5:N5"/>
    <mergeCell ref="A8:B8"/>
    <mergeCell ref="F8:J8"/>
    <mergeCell ref="M8:N8"/>
    <mergeCell ref="A10:A11"/>
    <mergeCell ref="B10:B11"/>
    <mergeCell ref="C10:E10"/>
    <mergeCell ref="F10:I10"/>
    <mergeCell ref="J10:M10"/>
  </mergeCells>
  <printOptions horizontalCentered="1"/>
  <pageMargins left="0.78740157480314965" right="0" top="0" bottom="0" header="0.31496062992125984" footer="0.31496062992125984"/>
  <pageSetup paperSize="258" scale="75" fitToHeight="2" orientation="landscape" r:id="rId1"/>
  <rowBreaks count="2" manualBreakCount="2">
    <brk id="112" max="16383" man="1"/>
    <brk id="75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VR841"/>
  <sheetViews>
    <sheetView view="pageBreakPreview" topLeftCell="A803" zoomScale="85" zoomScaleNormal="90" zoomScaleSheetLayoutView="85" workbookViewId="0">
      <selection activeCell="D836" sqref="D836"/>
    </sheetView>
  </sheetViews>
  <sheetFormatPr defaultColWidth="8.85546875" defaultRowHeight="15"/>
  <cols>
    <col min="1" max="1" width="3.28515625" style="802" customWidth="1"/>
    <col min="2" max="2" width="2.85546875" style="802" customWidth="1"/>
    <col min="3" max="3" width="6.5703125" style="803" customWidth="1"/>
    <col min="4" max="4" width="71.5703125" style="1335" customWidth="1"/>
    <col min="5" max="5" width="22.28515625" style="1334" customWidth="1"/>
    <col min="6" max="6" width="18.85546875" style="1334" customWidth="1"/>
    <col min="7" max="7" width="9.85546875" style="1333" customWidth="1"/>
    <col min="8" max="8" width="10.42578125" style="1333" customWidth="1"/>
    <col min="9" max="9" width="12.28515625" style="802" customWidth="1"/>
    <col min="10" max="10" width="2.140625" style="802" customWidth="1"/>
    <col min="11" max="11" width="17.28515625" style="802" bestFit="1" customWidth="1"/>
    <col min="12" max="249" width="8.85546875" style="802"/>
    <col min="250" max="250" width="3.28515625" style="802" customWidth="1"/>
    <col min="251" max="251" width="2.85546875" style="802" customWidth="1"/>
    <col min="252" max="252" width="6.5703125" style="802" customWidth="1"/>
    <col min="253" max="253" width="137.28515625" style="802" customWidth="1"/>
    <col min="254" max="254" width="21.28515625" style="802" customWidth="1"/>
    <col min="255" max="255" width="25.28515625" style="802" customWidth="1"/>
    <col min="256" max="256" width="11.7109375" style="802" customWidth="1"/>
    <col min="257" max="260" width="11" style="802" customWidth="1"/>
    <col min="261" max="264" width="12.85546875" style="802" customWidth="1"/>
    <col min="265" max="265" width="17.85546875" style="802" customWidth="1"/>
    <col min="266" max="266" width="2.140625" style="802" customWidth="1"/>
    <col min="267" max="505" width="8.85546875" style="802"/>
    <col min="506" max="506" width="3.28515625" style="802" customWidth="1"/>
    <col min="507" max="507" width="2.85546875" style="802" customWidth="1"/>
    <col min="508" max="508" width="6.5703125" style="802" customWidth="1"/>
    <col min="509" max="509" width="137.28515625" style="802" customWidth="1"/>
    <col min="510" max="510" width="21.28515625" style="802" customWidth="1"/>
    <col min="511" max="511" width="25.28515625" style="802" customWidth="1"/>
    <col min="512" max="512" width="11.7109375" style="802" customWidth="1"/>
    <col min="513" max="516" width="11" style="802" customWidth="1"/>
    <col min="517" max="520" width="12.85546875" style="802" customWidth="1"/>
    <col min="521" max="521" width="17.85546875" style="802" customWidth="1"/>
    <col min="522" max="522" width="2.140625" style="802" customWidth="1"/>
    <col min="523" max="761" width="8.85546875" style="802"/>
    <col min="762" max="762" width="3.28515625" style="802" customWidth="1"/>
    <col min="763" max="763" width="2.85546875" style="802" customWidth="1"/>
    <col min="764" max="764" width="6.5703125" style="802" customWidth="1"/>
    <col min="765" max="765" width="137.28515625" style="802" customWidth="1"/>
    <col min="766" max="766" width="21.28515625" style="802" customWidth="1"/>
    <col min="767" max="767" width="25.28515625" style="802" customWidth="1"/>
    <col min="768" max="768" width="11.7109375" style="802" customWidth="1"/>
    <col min="769" max="772" width="11" style="802" customWidth="1"/>
    <col min="773" max="776" width="12.85546875" style="802" customWidth="1"/>
    <col min="777" max="777" width="17.85546875" style="802" customWidth="1"/>
    <col min="778" max="778" width="2.140625" style="802" customWidth="1"/>
    <col min="779" max="1017" width="8.85546875" style="802"/>
    <col min="1018" max="1018" width="3.28515625" style="802" customWidth="1"/>
    <col min="1019" max="1019" width="2.85546875" style="802" customWidth="1"/>
    <col min="1020" max="1020" width="6.5703125" style="802" customWidth="1"/>
    <col min="1021" max="1021" width="137.28515625" style="802" customWidth="1"/>
    <col min="1022" max="1022" width="21.28515625" style="802" customWidth="1"/>
    <col min="1023" max="1023" width="25.28515625" style="802" customWidth="1"/>
    <col min="1024" max="1024" width="11.7109375" style="802" customWidth="1"/>
    <col min="1025" max="1028" width="11" style="802" customWidth="1"/>
    <col min="1029" max="1032" width="12.85546875" style="802" customWidth="1"/>
    <col min="1033" max="1033" width="17.85546875" style="802" customWidth="1"/>
    <col min="1034" max="1034" width="2.140625" style="802" customWidth="1"/>
    <col min="1035" max="1273" width="8.85546875" style="802"/>
    <col min="1274" max="1274" width="3.28515625" style="802" customWidth="1"/>
    <col min="1275" max="1275" width="2.85546875" style="802" customWidth="1"/>
    <col min="1276" max="1276" width="6.5703125" style="802" customWidth="1"/>
    <col min="1277" max="1277" width="137.28515625" style="802" customWidth="1"/>
    <col min="1278" max="1278" width="21.28515625" style="802" customWidth="1"/>
    <col min="1279" max="1279" width="25.28515625" style="802" customWidth="1"/>
    <col min="1280" max="1280" width="11.7109375" style="802" customWidth="1"/>
    <col min="1281" max="1284" width="11" style="802" customWidth="1"/>
    <col min="1285" max="1288" width="12.85546875" style="802" customWidth="1"/>
    <col min="1289" max="1289" width="17.85546875" style="802" customWidth="1"/>
    <col min="1290" max="1290" width="2.140625" style="802" customWidth="1"/>
    <col min="1291" max="1529" width="8.85546875" style="802"/>
    <col min="1530" max="1530" width="3.28515625" style="802" customWidth="1"/>
    <col min="1531" max="1531" width="2.85546875" style="802" customWidth="1"/>
    <col min="1532" max="1532" width="6.5703125" style="802" customWidth="1"/>
    <col min="1533" max="1533" width="137.28515625" style="802" customWidth="1"/>
    <col min="1534" max="1534" width="21.28515625" style="802" customWidth="1"/>
    <col min="1535" max="1535" width="25.28515625" style="802" customWidth="1"/>
    <col min="1536" max="1536" width="11.7109375" style="802" customWidth="1"/>
    <col min="1537" max="1540" width="11" style="802" customWidth="1"/>
    <col min="1541" max="1544" width="12.85546875" style="802" customWidth="1"/>
    <col min="1545" max="1545" width="17.85546875" style="802" customWidth="1"/>
    <col min="1546" max="1546" width="2.140625" style="802" customWidth="1"/>
    <col min="1547" max="1785" width="8.85546875" style="802"/>
    <col min="1786" max="1786" width="3.28515625" style="802" customWidth="1"/>
    <col min="1787" max="1787" width="2.85546875" style="802" customWidth="1"/>
    <col min="1788" max="1788" width="6.5703125" style="802" customWidth="1"/>
    <col min="1789" max="1789" width="137.28515625" style="802" customWidth="1"/>
    <col min="1790" max="1790" width="21.28515625" style="802" customWidth="1"/>
    <col min="1791" max="1791" width="25.28515625" style="802" customWidth="1"/>
    <col min="1792" max="1792" width="11.7109375" style="802" customWidth="1"/>
    <col min="1793" max="1796" width="11" style="802" customWidth="1"/>
    <col min="1797" max="1800" width="12.85546875" style="802" customWidth="1"/>
    <col min="1801" max="1801" width="17.85546875" style="802" customWidth="1"/>
    <col min="1802" max="1802" width="2.140625" style="802" customWidth="1"/>
    <col min="1803" max="2041" width="8.85546875" style="802"/>
    <col min="2042" max="2042" width="3.28515625" style="802" customWidth="1"/>
    <col min="2043" max="2043" width="2.85546875" style="802" customWidth="1"/>
    <col min="2044" max="2044" width="6.5703125" style="802" customWidth="1"/>
    <col min="2045" max="2045" width="137.28515625" style="802" customWidth="1"/>
    <col min="2046" max="2046" width="21.28515625" style="802" customWidth="1"/>
    <col min="2047" max="2047" width="25.28515625" style="802" customWidth="1"/>
    <col min="2048" max="2048" width="11.7109375" style="802" customWidth="1"/>
    <col min="2049" max="2052" width="11" style="802" customWidth="1"/>
    <col min="2053" max="2056" width="12.85546875" style="802" customWidth="1"/>
    <col min="2057" max="2057" width="17.85546875" style="802" customWidth="1"/>
    <col min="2058" max="2058" width="2.140625" style="802" customWidth="1"/>
    <col min="2059" max="2297" width="8.85546875" style="802"/>
    <col min="2298" max="2298" width="3.28515625" style="802" customWidth="1"/>
    <col min="2299" max="2299" width="2.85546875" style="802" customWidth="1"/>
    <col min="2300" max="2300" width="6.5703125" style="802" customWidth="1"/>
    <col min="2301" max="2301" width="137.28515625" style="802" customWidth="1"/>
    <col min="2302" max="2302" width="21.28515625" style="802" customWidth="1"/>
    <col min="2303" max="2303" width="25.28515625" style="802" customWidth="1"/>
    <col min="2304" max="2304" width="11.7109375" style="802" customWidth="1"/>
    <col min="2305" max="2308" width="11" style="802" customWidth="1"/>
    <col min="2309" max="2312" width="12.85546875" style="802" customWidth="1"/>
    <col min="2313" max="2313" width="17.85546875" style="802" customWidth="1"/>
    <col min="2314" max="2314" width="2.140625" style="802" customWidth="1"/>
    <col min="2315" max="2553" width="8.85546875" style="802"/>
    <col min="2554" max="2554" width="3.28515625" style="802" customWidth="1"/>
    <col min="2555" max="2555" width="2.85546875" style="802" customWidth="1"/>
    <col min="2556" max="2556" width="6.5703125" style="802" customWidth="1"/>
    <col min="2557" max="2557" width="137.28515625" style="802" customWidth="1"/>
    <col min="2558" max="2558" width="21.28515625" style="802" customWidth="1"/>
    <col min="2559" max="2559" width="25.28515625" style="802" customWidth="1"/>
    <col min="2560" max="2560" width="11.7109375" style="802" customWidth="1"/>
    <col min="2561" max="2564" width="11" style="802" customWidth="1"/>
    <col min="2565" max="2568" width="12.85546875" style="802" customWidth="1"/>
    <col min="2569" max="2569" width="17.85546875" style="802" customWidth="1"/>
    <col min="2570" max="2570" width="2.140625" style="802" customWidth="1"/>
    <col min="2571" max="2809" width="8.85546875" style="802"/>
    <col min="2810" max="2810" width="3.28515625" style="802" customWidth="1"/>
    <col min="2811" max="2811" width="2.85546875" style="802" customWidth="1"/>
    <col min="2812" max="2812" width="6.5703125" style="802" customWidth="1"/>
    <col min="2813" max="2813" width="137.28515625" style="802" customWidth="1"/>
    <col min="2814" max="2814" width="21.28515625" style="802" customWidth="1"/>
    <col min="2815" max="2815" width="25.28515625" style="802" customWidth="1"/>
    <col min="2816" max="2816" width="11.7109375" style="802" customWidth="1"/>
    <col min="2817" max="2820" width="11" style="802" customWidth="1"/>
    <col min="2821" max="2824" width="12.85546875" style="802" customWidth="1"/>
    <col min="2825" max="2825" width="17.85546875" style="802" customWidth="1"/>
    <col min="2826" max="2826" width="2.140625" style="802" customWidth="1"/>
    <col min="2827" max="3065" width="8.85546875" style="802"/>
    <col min="3066" max="3066" width="3.28515625" style="802" customWidth="1"/>
    <col min="3067" max="3067" width="2.85546875" style="802" customWidth="1"/>
    <col min="3068" max="3068" width="6.5703125" style="802" customWidth="1"/>
    <col min="3069" max="3069" width="137.28515625" style="802" customWidth="1"/>
    <col min="3070" max="3070" width="21.28515625" style="802" customWidth="1"/>
    <col min="3071" max="3071" width="25.28515625" style="802" customWidth="1"/>
    <col min="3072" max="3072" width="11.7109375" style="802" customWidth="1"/>
    <col min="3073" max="3076" width="11" style="802" customWidth="1"/>
    <col min="3077" max="3080" width="12.85546875" style="802" customWidth="1"/>
    <col min="3081" max="3081" width="17.85546875" style="802" customWidth="1"/>
    <col min="3082" max="3082" width="2.140625" style="802" customWidth="1"/>
    <col min="3083" max="3321" width="8.85546875" style="802"/>
    <col min="3322" max="3322" width="3.28515625" style="802" customWidth="1"/>
    <col min="3323" max="3323" width="2.85546875" style="802" customWidth="1"/>
    <col min="3324" max="3324" width="6.5703125" style="802" customWidth="1"/>
    <col min="3325" max="3325" width="137.28515625" style="802" customWidth="1"/>
    <col min="3326" max="3326" width="21.28515625" style="802" customWidth="1"/>
    <col min="3327" max="3327" width="25.28515625" style="802" customWidth="1"/>
    <col min="3328" max="3328" width="11.7109375" style="802" customWidth="1"/>
    <col min="3329" max="3332" width="11" style="802" customWidth="1"/>
    <col min="3333" max="3336" width="12.85546875" style="802" customWidth="1"/>
    <col min="3337" max="3337" width="17.85546875" style="802" customWidth="1"/>
    <col min="3338" max="3338" width="2.140625" style="802" customWidth="1"/>
    <col min="3339" max="3577" width="8.85546875" style="802"/>
    <col min="3578" max="3578" width="3.28515625" style="802" customWidth="1"/>
    <col min="3579" max="3579" width="2.85546875" style="802" customWidth="1"/>
    <col min="3580" max="3580" width="6.5703125" style="802" customWidth="1"/>
    <col min="3581" max="3581" width="137.28515625" style="802" customWidth="1"/>
    <col min="3582" max="3582" width="21.28515625" style="802" customWidth="1"/>
    <col min="3583" max="3583" width="25.28515625" style="802" customWidth="1"/>
    <col min="3584" max="3584" width="11.7109375" style="802" customWidth="1"/>
    <col min="3585" max="3588" width="11" style="802" customWidth="1"/>
    <col min="3589" max="3592" width="12.85546875" style="802" customWidth="1"/>
    <col min="3593" max="3593" width="17.85546875" style="802" customWidth="1"/>
    <col min="3594" max="3594" width="2.140625" style="802" customWidth="1"/>
    <col min="3595" max="3833" width="8.85546875" style="802"/>
    <col min="3834" max="3834" width="3.28515625" style="802" customWidth="1"/>
    <col min="3835" max="3835" width="2.85546875" style="802" customWidth="1"/>
    <col min="3836" max="3836" width="6.5703125" style="802" customWidth="1"/>
    <col min="3837" max="3837" width="137.28515625" style="802" customWidth="1"/>
    <col min="3838" max="3838" width="21.28515625" style="802" customWidth="1"/>
    <col min="3839" max="3839" width="25.28515625" style="802" customWidth="1"/>
    <col min="3840" max="3840" width="11.7109375" style="802" customWidth="1"/>
    <col min="3841" max="3844" width="11" style="802" customWidth="1"/>
    <col min="3845" max="3848" width="12.85546875" style="802" customWidth="1"/>
    <col min="3849" max="3849" width="17.85546875" style="802" customWidth="1"/>
    <col min="3850" max="3850" width="2.140625" style="802" customWidth="1"/>
    <col min="3851" max="4089" width="8.85546875" style="802"/>
    <col min="4090" max="4090" width="3.28515625" style="802" customWidth="1"/>
    <col min="4091" max="4091" width="2.85546875" style="802" customWidth="1"/>
    <col min="4092" max="4092" width="6.5703125" style="802" customWidth="1"/>
    <col min="4093" max="4093" width="137.28515625" style="802" customWidth="1"/>
    <col min="4094" max="4094" width="21.28515625" style="802" customWidth="1"/>
    <col min="4095" max="4095" width="25.28515625" style="802" customWidth="1"/>
    <col min="4096" max="4096" width="11.7109375" style="802" customWidth="1"/>
    <col min="4097" max="4100" width="11" style="802" customWidth="1"/>
    <col min="4101" max="4104" width="12.85546875" style="802" customWidth="1"/>
    <col min="4105" max="4105" width="17.85546875" style="802" customWidth="1"/>
    <col min="4106" max="4106" width="2.140625" style="802" customWidth="1"/>
    <col min="4107" max="4345" width="8.85546875" style="802"/>
    <col min="4346" max="4346" width="3.28515625" style="802" customWidth="1"/>
    <col min="4347" max="4347" width="2.85546875" style="802" customWidth="1"/>
    <col min="4348" max="4348" width="6.5703125" style="802" customWidth="1"/>
    <col min="4349" max="4349" width="137.28515625" style="802" customWidth="1"/>
    <col min="4350" max="4350" width="21.28515625" style="802" customWidth="1"/>
    <col min="4351" max="4351" width="25.28515625" style="802" customWidth="1"/>
    <col min="4352" max="4352" width="11.7109375" style="802" customWidth="1"/>
    <col min="4353" max="4356" width="11" style="802" customWidth="1"/>
    <col min="4357" max="4360" width="12.85546875" style="802" customWidth="1"/>
    <col min="4361" max="4361" width="17.85546875" style="802" customWidth="1"/>
    <col min="4362" max="4362" width="2.140625" style="802" customWidth="1"/>
    <col min="4363" max="4601" width="8.85546875" style="802"/>
    <col min="4602" max="4602" width="3.28515625" style="802" customWidth="1"/>
    <col min="4603" max="4603" width="2.85546875" style="802" customWidth="1"/>
    <col min="4604" max="4604" width="6.5703125" style="802" customWidth="1"/>
    <col min="4605" max="4605" width="137.28515625" style="802" customWidth="1"/>
    <col min="4606" max="4606" width="21.28515625" style="802" customWidth="1"/>
    <col min="4607" max="4607" width="25.28515625" style="802" customWidth="1"/>
    <col min="4608" max="4608" width="11.7109375" style="802" customWidth="1"/>
    <col min="4609" max="4612" width="11" style="802" customWidth="1"/>
    <col min="4613" max="4616" width="12.85546875" style="802" customWidth="1"/>
    <col min="4617" max="4617" width="17.85546875" style="802" customWidth="1"/>
    <col min="4618" max="4618" width="2.140625" style="802" customWidth="1"/>
    <col min="4619" max="4857" width="8.85546875" style="802"/>
    <col min="4858" max="4858" width="3.28515625" style="802" customWidth="1"/>
    <col min="4859" max="4859" width="2.85546875" style="802" customWidth="1"/>
    <col min="4860" max="4860" width="6.5703125" style="802" customWidth="1"/>
    <col min="4861" max="4861" width="137.28515625" style="802" customWidth="1"/>
    <col min="4862" max="4862" width="21.28515625" style="802" customWidth="1"/>
    <col min="4863" max="4863" width="25.28515625" style="802" customWidth="1"/>
    <col min="4864" max="4864" width="11.7109375" style="802" customWidth="1"/>
    <col min="4865" max="4868" width="11" style="802" customWidth="1"/>
    <col min="4869" max="4872" width="12.85546875" style="802" customWidth="1"/>
    <col min="4873" max="4873" width="17.85546875" style="802" customWidth="1"/>
    <col min="4874" max="4874" width="2.140625" style="802" customWidth="1"/>
    <col min="4875" max="5113" width="8.85546875" style="802"/>
    <col min="5114" max="5114" width="3.28515625" style="802" customWidth="1"/>
    <col min="5115" max="5115" width="2.85546875" style="802" customWidth="1"/>
    <col min="5116" max="5116" width="6.5703125" style="802" customWidth="1"/>
    <col min="5117" max="5117" width="137.28515625" style="802" customWidth="1"/>
    <col min="5118" max="5118" width="21.28515625" style="802" customWidth="1"/>
    <col min="5119" max="5119" width="25.28515625" style="802" customWidth="1"/>
    <col min="5120" max="5120" width="11.7109375" style="802" customWidth="1"/>
    <col min="5121" max="5124" width="11" style="802" customWidth="1"/>
    <col min="5125" max="5128" width="12.85546875" style="802" customWidth="1"/>
    <col min="5129" max="5129" width="17.85546875" style="802" customWidth="1"/>
    <col min="5130" max="5130" width="2.140625" style="802" customWidth="1"/>
    <col min="5131" max="5369" width="8.85546875" style="802"/>
    <col min="5370" max="5370" width="3.28515625" style="802" customWidth="1"/>
    <col min="5371" max="5371" width="2.85546875" style="802" customWidth="1"/>
    <col min="5372" max="5372" width="6.5703125" style="802" customWidth="1"/>
    <col min="5373" max="5373" width="137.28515625" style="802" customWidth="1"/>
    <col min="5374" max="5374" width="21.28515625" style="802" customWidth="1"/>
    <col min="5375" max="5375" width="25.28515625" style="802" customWidth="1"/>
    <col min="5376" max="5376" width="11.7109375" style="802" customWidth="1"/>
    <col min="5377" max="5380" width="11" style="802" customWidth="1"/>
    <col min="5381" max="5384" width="12.85546875" style="802" customWidth="1"/>
    <col min="5385" max="5385" width="17.85546875" style="802" customWidth="1"/>
    <col min="5386" max="5386" width="2.140625" style="802" customWidth="1"/>
    <col min="5387" max="5625" width="8.85546875" style="802"/>
    <col min="5626" max="5626" width="3.28515625" style="802" customWidth="1"/>
    <col min="5627" max="5627" width="2.85546875" style="802" customWidth="1"/>
    <col min="5628" max="5628" width="6.5703125" style="802" customWidth="1"/>
    <col min="5629" max="5629" width="137.28515625" style="802" customWidth="1"/>
    <col min="5630" max="5630" width="21.28515625" style="802" customWidth="1"/>
    <col min="5631" max="5631" width="25.28515625" style="802" customWidth="1"/>
    <col min="5632" max="5632" width="11.7109375" style="802" customWidth="1"/>
    <col min="5633" max="5636" width="11" style="802" customWidth="1"/>
    <col min="5637" max="5640" width="12.85546875" style="802" customWidth="1"/>
    <col min="5641" max="5641" width="17.85546875" style="802" customWidth="1"/>
    <col min="5642" max="5642" width="2.140625" style="802" customWidth="1"/>
    <col min="5643" max="5881" width="8.85546875" style="802"/>
    <col min="5882" max="5882" width="3.28515625" style="802" customWidth="1"/>
    <col min="5883" max="5883" width="2.85546875" style="802" customWidth="1"/>
    <col min="5884" max="5884" width="6.5703125" style="802" customWidth="1"/>
    <col min="5885" max="5885" width="137.28515625" style="802" customWidth="1"/>
    <col min="5886" max="5886" width="21.28515625" style="802" customWidth="1"/>
    <col min="5887" max="5887" width="25.28515625" style="802" customWidth="1"/>
    <col min="5888" max="5888" width="11.7109375" style="802" customWidth="1"/>
    <col min="5889" max="5892" width="11" style="802" customWidth="1"/>
    <col min="5893" max="5896" width="12.85546875" style="802" customWidth="1"/>
    <col min="5897" max="5897" width="17.85546875" style="802" customWidth="1"/>
    <col min="5898" max="5898" width="2.140625" style="802" customWidth="1"/>
    <col min="5899" max="6137" width="8.85546875" style="802"/>
    <col min="6138" max="6138" width="3.28515625" style="802" customWidth="1"/>
    <col min="6139" max="6139" width="2.85546875" style="802" customWidth="1"/>
    <col min="6140" max="6140" width="6.5703125" style="802" customWidth="1"/>
    <col min="6141" max="6141" width="137.28515625" style="802" customWidth="1"/>
    <col min="6142" max="6142" width="21.28515625" style="802" customWidth="1"/>
    <col min="6143" max="6143" width="25.28515625" style="802" customWidth="1"/>
    <col min="6144" max="6144" width="11.7109375" style="802" customWidth="1"/>
    <col min="6145" max="6148" width="11" style="802" customWidth="1"/>
    <col min="6149" max="6152" width="12.85546875" style="802" customWidth="1"/>
    <col min="6153" max="6153" width="17.85546875" style="802" customWidth="1"/>
    <col min="6154" max="6154" width="2.140625" style="802" customWidth="1"/>
    <col min="6155" max="6393" width="8.85546875" style="802"/>
    <col min="6394" max="6394" width="3.28515625" style="802" customWidth="1"/>
    <col min="6395" max="6395" width="2.85546875" style="802" customWidth="1"/>
    <col min="6396" max="6396" width="6.5703125" style="802" customWidth="1"/>
    <col min="6397" max="6397" width="137.28515625" style="802" customWidth="1"/>
    <col min="6398" max="6398" width="21.28515625" style="802" customWidth="1"/>
    <col min="6399" max="6399" width="25.28515625" style="802" customWidth="1"/>
    <col min="6400" max="6400" width="11.7109375" style="802" customWidth="1"/>
    <col min="6401" max="6404" width="11" style="802" customWidth="1"/>
    <col min="6405" max="6408" width="12.85546875" style="802" customWidth="1"/>
    <col min="6409" max="6409" width="17.85546875" style="802" customWidth="1"/>
    <col min="6410" max="6410" width="2.140625" style="802" customWidth="1"/>
    <col min="6411" max="6649" width="8.85546875" style="802"/>
    <col min="6650" max="6650" width="3.28515625" style="802" customWidth="1"/>
    <col min="6651" max="6651" width="2.85546875" style="802" customWidth="1"/>
    <col min="6652" max="6652" width="6.5703125" style="802" customWidth="1"/>
    <col min="6653" max="6653" width="137.28515625" style="802" customWidth="1"/>
    <col min="6654" max="6654" width="21.28515625" style="802" customWidth="1"/>
    <col min="6655" max="6655" width="25.28515625" style="802" customWidth="1"/>
    <col min="6656" max="6656" width="11.7109375" style="802" customWidth="1"/>
    <col min="6657" max="6660" width="11" style="802" customWidth="1"/>
    <col min="6661" max="6664" width="12.85546875" style="802" customWidth="1"/>
    <col min="6665" max="6665" width="17.85546875" style="802" customWidth="1"/>
    <col min="6666" max="6666" width="2.140625" style="802" customWidth="1"/>
    <col min="6667" max="6905" width="8.85546875" style="802"/>
    <col min="6906" max="6906" width="3.28515625" style="802" customWidth="1"/>
    <col min="6907" max="6907" width="2.85546875" style="802" customWidth="1"/>
    <col min="6908" max="6908" width="6.5703125" style="802" customWidth="1"/>
    <col min="6909" max="6909" width="137.28515625" style="802" customWidth="1"/>
    <col min="6910" max="6910" width="21.28515625" style="802" customWidth="1"/>
    <col min="6911" max="6911" width="25.28515625" style="802" customWidth="1"/>
    <col min="6912" max="6912" width="11.7109375" style="802" customWidth="1"/>
    <col min="6913" max="6916" width="11" style="802" customWidth="1"/>
    <col min="6917" max="6920" width="12.85546875" style="802" customWidth="1"/>
    <col min="6921" max="6921" width="17.85546875" style="802" customWidth="1"/>
    <col min="6922" max="6922" width="2.140625" style="802" customWidth="1"/>
    <col min="6923" max="7161" width="8.85546875" style="802"/>
    <col min="7162" max="7162" width="3.28515625" style="802" customWidth="1"/>
    <col min="7163" max="7163" width="2.85546875" style="802" customWidth="1"/>
    <col min="7164" max="7164" width="6.5703125" style="802" customWidth="1"/>
    <col min="7165" max="7165" width="137.28515625" style="802" customWidth="1"/>
    <col min="7166" max="7166" width="21.28515625" style="802" customWidth="1"/>
    <col min="7167" max="7167" width="25.28515625" style="802" customWidth="1"/>
    <col min="7168" max="7168" width="11.7109375" style="802" customWidth="1"/>
    <col min="7169" max="7172" width="11" style="802" customWidth="1"/>
    <col min="7173" max="7176" width="12.85546875" style="802" customWidth="1"/>
    <col min="7177" max="7177" width="17.85546875" style="802" customWidth="1"/>
    <col min="7178" max="7178" width="2.140625" style="802" customWidth="1"/>
    <col min="7179" max="7417" width="8.85546875" style="802"/>
    <col min="7418" max="7418" width="3.28515625" style="802" customWidth="1"/>
    <col min="7419" max="7419" width="2.85546875" style="802" customWidth="1"/>
    <col min="7420" max="7420" width="6.5703125" style="802" customWidth="1"/>
    <col min="7421" max="7421" width="137.28515625" style="802" customWidth="1"/>
    <col min="7422" max="7422" width="21.28515625" style="802" customWidth="1"/>
    <col min="7423" max="7423" width="25.28515625" style="802" customWidth="1"/>
    <col min="7424" max="7424" width="11.7109375" style="802" customWidth="1"/>
    <col min="7425" max="7428" width="11" style="802" customWidth="1"/>
    <col min="7429" max="7432" width="12.85546875" style="802" customWidth="1"/>
    <col min="7433" max="7433" width="17.85546875" style="802" customWidth="1"/>
    <col min="7434" max="7434" width="2.140625" style="802" customWidth="1"/>
    <col min="7435" max="7673" width="8.85546875" style="802"/>
    <col min="7674" max="7674" width="3.28515625" style="802" customWidth="1"/>
    <col min="7675" max="7675" width="2.85546875" style="802" customWidth="1"/>
    <col min="7676" max="7676" width="6.5703125" style="802" customWidth="1"/>
    <col min="7677" max="7677" width="137.28515625" style="802" customWidth="1"/>
    <col min="7678" max="7678" width="21.28515625" style="802" customWidth="1"/>
    <col min="7679" max="7679" width="25.28515625" style="802" customWidth="1"/>
    <col min="7680" max="7680" width="11.7109375" style="802" customWidth="1"/>
    <col min="7681" max="7684" width="11" style="802" customWidth="1"/>
    <col min="7685" max="7688" width="12.85546875" style="802" customWidth="1"/>
    <col min="7689" max="7689" width="17.85546875" style="802" customWidth="1"/>
    <col min="7690" max="7690" width="2.140625" style="802" customWidth="1"/>
    <col min="7691" max="7929" width="8.85546875" style="802"/>
    <col min="7930" max="7930" width="3.28515625" style="802" customWidth="1"/>
    <col min="7931" max="7931" width="2.85546875" style="802" customWidth="1"/>
    <col min="7932" max="7932" width="6.5703125" style="802" customWidth="1"/>
    <col min="7933" max="7933" width="137.28515625" style="802" customWidth="1"/>
    <col min="7934" max="7934" width="21.28515625" style="802" customWidth="1"/>
    <col min="7935" max="7935" width="25.28515625" style="802" customWidth="1"/>
    <col min="7936" max="7936" width="11.7109375" style="802" customWidth="1"/>
    <col min="7937" max="7940" width="11" style="802" customWidth="1"/>
    <col min="7941" max="7944" width="12.85546875" style="802" customWidth="1"/>
    <col min="7945" max="7945" width="17.85546875" style="802" customWidth="1"/>
    <col min="7946" max="7946" width="2.140625" style="802" customWidth="1"/>
    <col min="7947" max="8185" width="8.85546875" style="802"/>
    <col min="8186" max="8186" width="3.28515625" style="802" customWidth="1"/>
    <col min="8187" max="8187" width="2.85546875" style="802" customWidth="1"/>
    <col min="8188" max="8188" width="6.5703125" style="802" customWidth="1"/>
    <col min="8189" max="8189" width="137.28515625" style="802" customWidth="1"/>
    <col min="8190" max="8190" width="21.28515625" style="802" customWidth="1"/>
    <col min="8191" max="8191" width="25.28515625" style="802" customWidth="1"/>
    <col min="8192" max="8192" width="11.7109375" style="802" customWidth="1"/>
    <col min="8193" max="8196" width="11" style="802" customWidth="1"/>
    <col min="8197" max="8200" width="12.85546875" style="802" customWidth="1"/>
    <col min="8201" max="8201" width="17.85546875" style="802" customWidth="1"/>
    <col min="8202" max="8202" width="2.140625" style="802" customWidth="1"/>
    <col min="8203" max="8441" width="8.85546875" style="802"/>
    <col min="8442" max="8442" width="3.28515625" style="802" customWidth="1"/>
    <col min="8443" max="8443" width="2.85546875" style="802" customWidth="1"/>
    <col min="8444" max="8444" width="6.5703125" style="802" customWidth="1"/>
    <col min="8445" max="8445" width="137.28515625" style="802" customWidth="1"/>
    <col min="8446" max="8446" width="21.28515625" style="802" customWidth="1"/>
    <col min="8447" max="8447" width="25.28515625" style="802" customWidth="1"/>
    <col min="8448" max="8448" width="11.7109375" style="802" customWidth="1"/>
    <col min="8449" max="8452" width="11" style="802" customWidth="1"/>
    <col min="8453" max="8456" width="12.85546875" style="802" customWidth="1"/>
    <col min="8457" max="8457" width="17.85546875" style="802" customWidth="1"/>
    <col min="8458" max="8458" width="2.140625" style="802" customWidth="1"/>
    <col min="8459" max="8697" width="8.85546875" style="802"/>
    <col min="8698" max="8698" width="3.28515625" style="802" customWidth="1"/>
    <col min="8699" max="8699" width="2.85546875" style="802" customWidth="1"/>
    <col min="8700" max="8700" width="6.5703125" style="802" customWidth="1"/>
    <col min="8701" max="8701" width="137.28515625" style="802" customWidth="1"/>
    <col min="8702" max="8702" width="21.28515625" style="802" customWidth="1"/>
    <col min="8703" max="8703" width="25.28515625" style="802" customWidth="1"/>
    <col min="8704" max="8704" width="11.7109375" style="802" customWidth="1"/>
    <col min="8705" max="8708" width="11" style="802" customWidth="1"/>
    <col min="8709" max="8712" width="12.85546875" style="802" customWidth="1"/>
    <col min="8713" max="8713" width="17.85546875" style="802" customWidth="1"/>
    <col min="8714" max="8714" width="2.140625" style="802" customWidth="1"/>
    <col min="8715" max="8953" width="8.85546875" style="802"/>
    <col min="8954" max="8954" width="3.28515625" style="802" customWidth="1"/>
    <col min="8955" max="8955" width="2.85546875" style="802" customWidth="1"/>
    <col min="8956" max="8956" width="6.5703125" style="802" customWidth="1"/>
    <col min="8957" max="8957" width="137.28515625" style="802" customWidth="1"/>
    <col min="8958" max="8958" width="21.28515625" style="802" customWidth="1"/>
    <col min="8959" max="8959" width="25.28515625" style="802" customWidth="1"/>
    <col min="8960" max="8960" width="11.7109375" style="802" customWidth="1"/>
    <col min="8961" max="8964" width="11" style="802" customWidth="1"/>
    <col min="8965" max="8968" width="12.85546875" style="802" customWidth="1"/>
    <col min="8969" max="8969" width="17.85546875" style="802" customWidth="1"/>
    <col min="8970" max="8970" width="2.140625" style="802" customWidth="1"/>
    <col min="8971" max="9209" width="8.85546875" style="802"/>
    <col min="9210" max="9210" width="3.28515625" style="802" customWidth="1"/>
    <col min="9211" max="9211" width="2.85546875" style="802" customWidth="1"/>
    <col min="9212" max="9212" width="6.5703125" style="802" customWidth="1"/>
    <col min="9213" max="9213" width="137.28515625" style="802" customWidth="1"/>
    <col min="9214" max="9214" width="21.28515625" style="802" customWidth="1"/>
    <col min="9215" max="9215" width="25.28515625" style="802" customWidth="1"/>
    <col min="9216" max="9216" width="11.7109375" style="802" customWidth="1"/>
    <col min="9217" max="9220" width="11" style="802" customWidth="1"/>
    <col min="9221" max="9224" width="12.85546875" style="802" customWidth="1"/>
    <col min="9225" max="9225" width="17.85546875" style="802" customWidth="1"/>
    <col min="9226" max="9226" width="2.140625" style="802" customWidth="1"/>
    <col min="9227" max="9465" width="8.85546875" style="802"/>
    <col min="9466" max="9466" width="3.28515625" style="802" customWidth="1"/>
    <col min="9467" max="9467" width="2.85546875" style="802" customWidth="1"/>
    <col min="9468" max="9468" width="6.5703125" style="802" customWidth="1"/>
    <col min="9469" max="9469" width="137.28515625" style="802" customWidth="1"/>
    <col min="9470" max="9470" width="21.28515625" style="802" customWidth="1"/>
    <col min="9471" max="9471" width="25.28515625" style="802" customWidth="1"/>
    <col min="9472" max="9472" width="11.7109375" style="802" customWidth="1"/>
    <col min="9473" max="9476" width="11" style="802" customWidth="1"/>
    <col min="9477" max="9480" width="12.85546875" style="802" customWidth="1"/>
    <col min="9481" max="9481" width="17.85546875" style="802" customWidth="1"/>
    <col min="9482" max="9482" width="2.140625" style="802" customWidth="1"/>
    <col min="9483" max="9721" width="8.85546875" style="802"/>
    <col min="9722" max="9722" width="3.28515625" style="802" customWidth="1"/>
    <col min="9723" max="9723" width="2.85546875" style="802" customWidth="1"/>
    <col min="9724" max="9724" width="6.5703125" style="802" customWidth="1"/>
    <col min="9725" max="9725" width="137.28515625" style="802" customWidth="1"/>
    <col min="9726" max="9726" width="21.28515625" style="802" customWidth="1"/>
    <col min="9727" max="9727" width="25.28515625" style="802" customWidth="1"/>
    <col min="9728" max="9728" width="11.7109375" style="802" customWidth="1"/>
    <col min="9729" max="9732" width="11" style="802" customWidth="1"/>
    <col min="9733" max="9736" width="12.85546875" style="802" customWidth="1"/>
    <col min="9737" max="9737" width="17.85546875" style="802" customWidth="1"/>
    <col min="9738" max="9738" width="2.140625" style="802" customWidth="1"/>
    <col min="9739" max="9977" width="8.85546875" style="802"/>
    <col min="9978" max="9978" width="3.28515625" style="802" customWidth="1"/>
    <col min="9979" max="9979" width="2.85546875" style="802" customWidth="1"/>
    <col min="9980" max="9980" width="6.5703125" style="802" customWidth="1"/>
    <col min="9981" max="9981" width="137.28515625" style="802" customWidth="1"/>
    <col min="9982" max="9982" width="21.28515625" style="802" customWidth="1"/>
    <col min="9983" max="9983" width="25.28515625" style="802" customWidth="1"/>
    <col min="9984" max="9984" width="11.7109375" style="802" customWidth="1"/>
    <col min="9985" max="9988" width="11" style="802" customWidth="1"/>
    <col min="9989" max="9992" width="12.85546875" style="802" customWidth="1"/>
    <col min="9993" max="9993" width="17.85546875" style="802" customWidth="1"/>
    <col min="9994" max="9994" width="2.140625" style="802" customWidth="1"/>
    <col min="9995" max="10233" width="8.85546875" style="802"/>
    <col min="10234" max="10234" width="3.28515625" style="802" customWidth="1"/>
    <col min="10235" max="10235" width="2.85546875" style="802" customWidth="1"/>
    <col min="10236" max="10236" width="6.5703125" style="802" customWidth="1"/>
    <col min="10237" max="10237" width="137.28515625" style="802" customWidth="1"/>
    <col min="10238" max="10238" width="21.28515625" style="802" customWidth="1"/>
    <col min="10239" max="10239" width="25.28515625" style="802" customWidth="1"/>
    <col min="10240" max="10240" width="11.7109375" style="802" customWidth="1"/>
    <col min="10241" max="10244" width="11" style="802" customWidth="1"/>
    <col min="10245" max="10248" width="12.85546875" style="802" customWidth="1"/>
    <col min="10249" max="10249" width="17.85546875" style="802" customWidth="1"/>
    <col min="10250" max="10250" width="2.140625" style="802" customWidth="1"/>
    <col min="10251" max="10489" width="8.85546875" style="802"/>
    <col min="10490" max="10490" width="3.28515625" style="802" customWidth="1"/>
    <col min="10491" max="10491" width="2.85546875" style="802" customWidth="1"/>
    <col min="10492" max="10492" width="6.5703125" style="802" customWidth="1"/>
    <col min="10493" max="10493" width="137.28515625" style="802" customWidth="1"/>
    <col min="10494" max="10494" width="21.28515625" style="802" customWidth="1"/>
    <col min="10495" max="10495" width="25.28515625" style="802" customWidth="1"/>
    <col min="10496" max="10496" width="11.7109375" style="802" customWidth="1"/>
    <col min="10497" max="10500" width="11" style="802" customWidth="1"/>
    <col min="10501" max="10504" width="12.85546875" style="802" customWidth="1"/>
    <col min="10505" max="10505" width="17.85546875" style="802" customWidth="1"/>
    <col min="10506" max="10506" width="2.140625" style="802" customWidth="1"/>
    <col min="10507" max="10745" width="8.85546875" style="802"/>
    <col min="10746" max="10746" width="3.28515625" style="802" customWidth="1"/>
    <col min="10747" max="10747" width="2.85546875" style="802" customWidth="1"/>
    <col min="10748" max="10748" width="6.5703125" style="802" customWidth="1"/>
    <col min="10749" max="10749" width="137.28515625" style="802" customWidth="1"/>
    <col min="10750" max="10750" width="21.28515625" style="802" customWidth="1"/>
    <col min="10751" max="10751" width="25.28515625" style="802" customWidth="1"/>
    <col min="10752" max="10752" width="11.7109375" style="802" customWidth="1"/>
    <col min="10753" max="10756" width="11" style="802" customWidth="1"/>
    <col min="10757" max="10760" width="12.85546875" style="802" customWidth="1"/>
    <col min="10761" max="10761" width="17.85546875" style="802" customWidth="1"/>
    <col min="10762" max="10762" width="2.140625" style="802" customWidth="1"/>
    <col min="10763" max="11001" width="8.85546875" style="802"/>
    <col min="11002" max="11002" width="3.28515625" style="802" customWidth="1"/>
    <col min="11003" max="11003" width="2.85546875" style="802" customWidth="1"/>
    <col min="11004" max="11004" width="6.5703125" style="802" customWidth="1"/>
    <col min="11005" max="11005" width="137.28515625" style="802" customWidth="1"/>
    <col min="11006" max="11006" width="21.28515625" style="802" customWidth="1"/>
    <col min="11007" max="11007" width="25.28515625" style="802" customWidth="1"/>
    <col min="11008" max="11008" width="11.7109375" style="802" customWidth="1"/>
    <col min="11009" max="11012" width="11" style="802" customWidth="1"/>
    <col min="11013" max="11016" width="12.85546875" style="802" customWidth="1"/>
    <col min="11017" max="11017" width="17.85546875" style="802" customWidth="1"/>
    <col min="11018" max="11018" width="2.140625" style="802" customWidth="1"/>
    <col min="11019" max="11257" width="8.85546875" style="802"/>
    <col min="11258" max="11258" width="3.28515625" style="802" customWidth="1"/>
    <col min="11259" max="11259" width="2.85546875" style="802" customWidth="1"/>
    <col min="11260" max="11260" width="6.5703125" style="802" customWidth="1"/>
    <col min="11261" max="11261" width="137.28515625" style="802" customWidth="1"/>
    <col min="11262" max="11262" width="21.28515625" style="802" customWidth="1"/>
    <col min="11263" max="11263" width="25.28515625" style="802" customWidth="1"/>
    <col min="11264" max="11264" width="11.7109375" style="802" customWidth="1"/>
    <col min="11265" max="11268" width="11" style="802" customWidth="1"/>
    <col min="11269" max="11272" width="12.85546875" style="802" customWidth="1"/>
    <col min="11273" max="11273" width="17.85546875" style="802" customWidth="1"/>
    <col min="11274" max="11274" width="2.140625" style="802" customWidth="1"/>
    <col min="11275" max="11513" width="8.85546875" style="802"/>
    <col min="11514" max="11514" width="3.28515625" style="802" customWidth="1"/>
    <col min="11515" max="11515" width="2.85546875" style="802" customWidth="1"/>
    <col min="11516" max="11516" width="6.5703125" style="802" customWidth="1"/>
    <col min="11517" max="11517" width="137.28515625" style="802" customWidth="1"/>
    <col min="11518" max="11518" width="21.28515625" style="802" customWidth="1"/>
    <col min="11519" max="11519" width="25.28515625" style="802" customWidth="1"/>
    <col min="11520" max="11520" width="11.7109375" style="802" customWidth="1"/>
    <col min="11521" max="11524" width="11" style="802" customWidth="1"/>
    <col min="11525" max="11528" width="12.85546875" style="802" customWidth="1"/>
    <col min="11529" max="11529" width="17.85546875" style="802" customWidth="1"/>
    <col min="11530" max="11530" width="2.140625" style="802" customWidth="1"/>
    <col min="11531" max="11769" width="8.85546875" style="802"/>
    <col min="11770" max="11770" width="3.28515625" style="802" customWidth="1"/>
    <col min="11771" max="11771" width="2.85546875" style="802" customWidth="1"/>
    <col min="11772" max="11772" width="6.5703125" style="802" customWidth="1"/>
    <col min="11773" max="11773" width="137.28515625" style="802" customWidth="1"/>
    <col min="11774" max="11774" width="21.28515625" style="802" customWidth="1"/>
    <col min="11775" max="11775" width="25.28515625" style="802" customWidth="1"/>
    <col min="11776" max="11776" width="11.7109375" style="802" customWidth="1"/>
    <col min="11777" max="11780" width="11" style="802" customWidth="1"/>
    <col min="11781" max="11784" width="12.85546875" style="802" customWidth="1"/>
    <col min="11785" max="11785" width="17.85546875" style="802" customWidth="1"/>
    <col min="11786" max="11786" width="2.140625" style="802" customWidth="1"/>
    <col min="11787" max="12025" width="8.85546875" style="802"/>
    <col min="12026" max="12026" width="3.28515625" style="802" customWidth="1"/>
    <col min="12027" max="12027" width="2.85546875" style="802" customWidth="1"/>
    <col min="12028" max="12028" width="6.5703125" style="802" customWidth="1"/>
    <col min="12029" max="12029" width="137.28515625" style="802" customWidth="1"/>
    <col min="12030" max="12030" width="21.28515625" style="802" customWidth="1"/>
    <col min="12031" max="12031" width="25.28515625" style="802" customWidth="1"/>
    <col min="12032" max="12032" width="11.7109375" style="802" customWidth="1"/>
    <col min="12033" max="12036" width="11" style="802" customWidth="1"/>
    <col min="12037" max="12040" width="12.85546875" style="802" customWidth="1"/>
    <col min="12041" max="12041" width="17.85546875" style="802" customWidth="1"/>
    <col min="12042" max="12042" width="2.140625" style="802" customWidth="1"/>
    <col min="12043" max="12281" width="8.85546875" style="802"/>
    <col min="12282" max="12282" width="3.28515625" style="802" customWidth="1"/>
    <col min="12283" max="12283" width="2.85546875" style="802" customWidth="1"/>
    <col min="12284" max="12284" width="6.5703125" style="802" customWidth="1"/>
    <col min="12285" max="12285" width="137.28515625" style="802" customWidth="1"/>
    <col min="12286" max="12286" width="21.28515625" style="802" customWidth="1"/>
    <col min="12287" max="12287" width="25.28515625" style="802" customWidth="1"/>
    <col min="12288" max="12288" width="11.7109375" style="802" customWidth="1"/>
    <col min="12289" max="12292" width="11" style="802" customWidth="1"/>
    <col min="12293" max="12296" width="12.85546875" style="802" customWidth="1"/>
    <col min="12297" max="12297" width="17.85546875" style="802" customWidth="1"/>
    <col min="12298" max="12298" width="2.140625" style="802" customWidth="1"/>
    <col min="12299" max="12537" width="8.85546875" style="802"/>
    <col min="12538" max="12538" width="3.28515625" style="802" customWidth="1"/>
    <col min="12539" max="12539" width="2.85546875" style="802" customWidth="1"/>
    <col min="12540" max="12540" width="6.5703125" style="802" customWidth="1"/>
    <col min="12541" max="12541" width="137.28515625" style="802" customWidth="1"/>
    <col min="12542" max="12542" width="21.28515625" style="802" customWidth="1"/>
    <col min="12543" max="12543" width="25.28515625" style="802" customWidth="1"/>
    <col min="12544" max="12544" width="11.7109375" style="802" customWidth="1"/>
    <col min="12545" max="12548" width="11" style="802" customWidth="1"/>
    <col min="12549" max="12552" width="12.85546875" style="802" customWidth="1"/>
    <col min="12553" max="12553" width="17.85546875" style="802" customWidth="1"/>
    <col min="12554" max="12554" width="2.140625" style="802" customWidth="1"/>
    <col min="12555" max="12793" width="8.85546875" style="802"/>
    <col min="12794" max="12794" width="3.28515625" style="802" customWidth="1"/>
    <col min="12795" max="12795" width="2.85546875" style="802" customWidth="1"/>
    <col min="12796" max="12796" width="6.5703125" style="802" customWidth="1"/>
    <col min="12797" max="12797" width="137.28515625" style="802" customWidth="1"/>
    <col min="12798" max="12798" width="21.28515625" style="802" customWidth="1"/>
    <col min="12799" max="12799" width="25.28515625" style="802" customWidth="1"/>
    <col min="12800" max="12800" width="11.7109375" style="802" customWidth="1"/>
    <col min="12801" max="12804" width="11" style="802" customWidth="1"/>
    <col min="12805" max="12808" width="12.85546875" style="802" customWidth="1"/>
    <col min="12809" max="12809" width="17.85546875" style="802" customWidth="1"/>
    <col min="12810" max="12810" width="2.140625" style="802" customWidth="1"/>
    <col min="12811" max="13049" width="8.85546875" style="802"/>
    <col min="13050" max="13050" width="3.28515625" style="802" customWidth="1"/>
    <col min="13051" max="13051" width="2.85546875" style="802" customWidth="1"/>
    <col min="13052" max="13052" width="6.5703125" style="802" customWidth="1"/>
    <col min="13053" max="13053" width="137.28515625" style="802" customWidth="1"/>
    <col min="13054" max="13054" width="21.28515625" style="802" customWidth="1"/>
    <col min="13055" max="13055" width="25.28515625" style="802" customWidth="1"/>
    <col min="13056" max="13056" width="11.7109375" style="802" customWidth="1"/>
    <col min="13057" max="13060" width="11" style="802" customWidth="1"/>
    <col min="13061" max="13064" width="12.85546875" style="802" customWidth="1"/>
    <col min="13065" max="13065" width="17.85546875" style="802" customWidth="1"/>
    <col min="13066" max="13066" width="2.140625" style="802" customWidth="1"/>
    <col min="13067" max="13305" width="8.85546875" style="802"/>
    <col min="13306" max="13306" width="3.28515625" style="802" customWidth="1"/>
    <col min="13307" max="13307" width="2.85546875" style="802" customWidth="1"/>
    <col min="13308" max="13308" width="6.5703125" style="802" customWidth="1"/>
    <col min="13309" max="13309" width="137.28515625" style="802" customWidth="1"/>
    <col min="13310" max="13310" width="21.28515625" style="802" customWidth="1"/>
    <col min="13311" max="13311" width="25.28515625" style="802" customWidth="1"/>
    <col min="13312" max="13312" width="11.7109375" style="802" customWidth="1"/>
    <col min="13313" max="13316" width="11" style="802" customWidth="1"/>
    <col min="13317" max="13320" width="12.85546875" style="802" customWidth="1"/>
    <col min="13321" max="13321" width="17.85546875" style="802" customWidth="1"/>
    <col min="13322" max="13322" width="2.140625" style="802" customWidth="1"/>
    <col min="13323" max="13561" width="8.85546875" style="802"/>
    <col min="13562" max="13562" width="3.28515625" style="802" customWidth="1"/>
    <col min="13563" max="13563" width="2.85546875" style="802" customWidth="1"/>
    <col min="13564" max="13564" width="6.5703125" style="802" customWidth="1"/>
    <col min="13565" max="13565" width="137.28515625" style="802" customWidth="1"/>
    <col min="13566" max="13566" width="21.28515625" style="802" customWidth="1"/>
    <col min="13567" max="13567" width="25.28515625" style="802" customWidth="1"/>
    <col min="13568" max="13568" width="11.7109375" style="802" customWidth="1"/>
    <col min="13569" max="13572" width="11" style="802" customWidth="1"/>
    <col min="13573" max="13576" width="12.85546875" style="802" customWidth="1"/>
    <col min="13577" max="13577" width="17.85546875" style="802" customWidth="1"/>
    <col min="13578" max="13578" width="2.140625" style="802" customWidth="1"/>
    <col min="13579" max="13817" width="8.85546875" style="802"/>
    <col min="13818" max="13818" width="3.28515625" style="802" customWidth="1"/>
    <col min="13819" max="13819" width="2.85546875" style="802" customWidth="1"/>
    <col min="13820" max="13820" width="6.5703125" style="802" customWidth="1"/>
    <col min="13821" max="13821" width="137.28515625" style="802" customWidth="1"/>
    <col min="13822" max="13822" width="21.28515625" style="802" customWidth="1"/>
    <col min="13823" max="13823" width="25.28515625" style="802" customWidth="1"/>
    <col min="13824" max="13824" width="11.7109375" style="802" customWidth="1"/>
    <col min="13825" max="13828" width="11" style="802" customWidth="1"/>
    <col min="13829" max="13832" width="12.85546875" style="802" customWidth="1"/>
    <col min="13833" max="13833" width="17.85546875" style="802" customWidth="1"/>
    <col min="13834" max="13834" width="2.140625" style="802" customWidth="1"/>
    <col min="13835" max="14073" width="8.85546875" style="802"/>
    <col min="14074" max="14074" width="3.28515625" style="802" customWidth="1"/>
    <col min="14075" max="14075" width="2.85546875" style="802" customWidth="1"/>
    <col min="14076" max="14076" width="6.5703125" style="802" customWidth="1"/>
    <col min="14077" max="14077" width="137.28515625" style="802" customWidth="1"/>
    <col min="14078" max="14078" width="21.28515625" style="802" customWidth="1"/>
    <col min="14079" max="14079" width="25.28515625" style="802" customWidth="1"/>
    <col min="14080" max="14080" width="11.7109375" style="802" customWidth="1"/>
    <col min="14081" max="14084" width="11" style="802" customWidth="1"/>
    <col min="14085" max="14088" width="12.85546875" style="802" customWidth="1"/>
    <col min="14089" max="14089" width="17.85546875" style="802" customWidth="1"/>
    <col min="14090" max="14090" width="2.140625" style="802" customWidth="1"/>
    <col min="14091" max="14329" width="8.85546875" style="802"/>
    <col min="14330" max="14330" width="3.28515625" style="802" customWidth="1"/>
    <col min="14331" max="14331" width="2.85546875" style="802" customWidth="1"/>
    <col min="14332" max="14332" width="6.5703125" style="802" customWidth="1"/>
    <col min="14333" max="14333" width="137.28515625" style="802" customWidth="1"/>
    <col min="14334" max="14334" width="21.28515625" style="802" customWidth="1"/>
    <col min="14335" max="14335" width="25.28515625" style="802" customWidth="1"/>
    <col min="14336" max="14336" width="11.7109375" style="802" customWidth="1"/>
    <col min="14337" max="14340" width="11" style="802" customWidth="1"/>
    <col min="14341" max="14344" width="12.85546875" style="802" customWidth="1"/>
    <col min="14345" max="14345" width="17.85546875" style="802" customWidth="1"/>
    <col min="14346" max="14346" width="2.140625" style="802" customWidth="1"/>
    <col min="14347" max="14585" width="8.85546875" style="802"/>
    <col min="14586" max="14586" width="3.28515625" style="802" customWidth="1"/>
    <col min="14587" max="14587" width="2.85546875" style="802" customWidth="1"/>
    <col min="14588" max="14588" width="6.5703125" style="802" customWidth="1"/>
    <col min="14589" max="14589" width="137.28515625" style="802" customWidth="1"/>
    <col min="14590" max="14590" width="21.28515625" style="802" customWidth="1"/>
    <col min="14591" max="14591" width="25.28515625" style="802" customWidth="1"/>
    <col min="14592" max="14592" width="11.7109375" style="802" customWidth="1"/>
    <col min="14593" max="14596" width="11" style="802" customWidth="1"/>
    <col min="14597" max="14600" width="12.85546875" style="802" customWidth="1"/>
    <col min="14601" max="14601" width="17.85546875" style="802" customWidth="1"/>
    <col min="14602" max="14602" width="2.140625" style="802" customWidth="1"/>
    <col min="14603" max="14841" width="8.85546875" style="802"/>
    <col min="14842" max="14842" width="3.28515625" style="802" customWidth="1"/>
    <col min="14843" max="14843" width="2.85546875" style="802" customWidth="1"/>
    <col min="14844" max="14844" width="6.5703125" style="802" customWidth="1"/>
    <col min="14845" max="14845" width="137.28515625" style="802" customWidth="1"/>
    <col min="14846" max="14846" width="21.28515625" style="802" customWidth="1"/>
    <col min="14847" max="14847" width="25.28515625" style="802" customWidth="1"/>
    <col min="14848" max="14848" width="11.7109375" style="802" customWidth="1"/>
    <col min="14849" max="14852" width="11" style="802" customWidth="1"/>
    <col min="14853" max="14856" width="12.85546875" style="802" customWidth="1"/>
    <col min="14857" max="14857" width="17.85546875" style="802" customWidth="1"/>
    <col min="14858" max="14858" width="2.140625" style="802" customWidth="1"/>
    <col min="14859" max="15097" width="8.85546875" style="802"/>
    <col min="15098" max="15098" width="3.28515625" style="802" customWidth="1"/>
    <col min="15099" max="15099" width="2.85546875" style="802" customWidth="1"/>
    <col min="15100" max="15100" width="6.5703125" style="802" customWidth="1"/>
    <col min="15101" max="15101" width="137.28515625" style="802" customWidth="1"/>
    <col min="15102" max="15102" width="21.28515625" style="802" customWidth="1"/>
    <col min="15103" max="15103" width="25.28515625" style="802" customWidth="1"/>
    <col min="15104" max="15104" width="11.7109375" style="802" customWidth="1"/>
    <col min="15105" max="15108" width="11" style="802" customWidth="1"/>
    <col min="15109" max="15112" width="12.85546875" style="802" customWidth="1"/>
    <col min="15113" max="15113" width="17.85546875" style="802" customWidth="1"/>
    <col min="15114" max="15114" width="2.140625" style="802" customWidth="1"/>
    <col min="15115" max="15353" width="8.85546875" style="802"/>
    <col min="15354" max="15354" width="3.28515625" style="802" customWidth="1"/>
    <col min="15355" max="15355" width="2.85546875" style="802" customWidth="1"/>
    <col min="15356" max="15356" width="6.5703125" style="802" customWidth="1"/>
    <col min="15357" max="15357" width="137.28515625" style="802" customWidth="1"/>
    <col min="15358" max="15358" width="21.28515625" style="802" customWidth="1"/>
    <col min="15359" max="15359" width="25.28515625" style="802" customWidth="1"/>
    <col min="15360" max="15360" width="11.7109375" style="802" customWidth="1"/>
    <col min="15361" max="15364" width="11" style="802" customWidth="1"/>
    <col min="15365" max="15368" width="12.85546875" style="802" customWidth="1"/>
    <col min="15369" max="15369" width="17.85546875" style="802" customWidth="1"/>
    <col min="15370" max="15370" width="2.140625" style="802" customWidth="1"/>
    <col min="15371" max="15609" width="8.85546875" style="802"/>
    <col min="15610" max="15610" width="3.28515625" style="802" customWidth="1"/>
    <col min="15611" max="15611" width="2.85546875" style="802" customWidth="1"/>
    <col min="15612" max="15612" width="6.5703125" style="802" customWidth="1"/>
    <col min="15613" max="15613" width="137.28515625" style="802" customWidth="1"/>
    <col min="15614" max="15614" width="21.28515625" style="802" customWidth="1"/>
    <col min="15615" max="15615" width="25.28515625" style="802" customWidth="1"/>
    <col min="15616" max="15616" width="11.7109375" style="802" customWidth="1"/>
    <col min="15617" max="15620" width="11" style="802" customWidth="1"/>
    <col min="15621" max="15624" width="12.85546875" style="802" customWidth="1"/>
    <col min="15625" max="15625" width="17.85546875" style="802" customWidth="1"/>
    <col min="15626" max="15626" width="2.140625" style="802" customWidth="1"/>
    <col min="15627" max="15865" width="8.85546875" style="802"/>
    <col min="15866" max="15866" width="3.28515625" style="802" customWidth="1"/>
    <col min="15867" max="15867" width="2.85546875" style="802" customWidth="1"/>
    <col min="15868" max="15868" width="6.5703125" style="802" customWidth="1"/>
    <col min="15869" max="15869" width="137.28515625" style="802" customWidth="1"/>
    <col min="15870" max="15870" width="21.28515625" style="802" customWidth="1"/>
    <col min="15871" max="15871" width="25.28515625" style="802" customWidth="1"/>
    <col min="15872" max="15872" width="11.7109375" style="802" customWidth="1"/>
    <col min="15873" max="15876" width="11" style="802" customWidth="1"/>
    <col min="15877" max="15880" width="12.85546875" style="802" customWidth="1"/>
    <col min="15881" max="15881" width="17.85546875" style="802" customWidth="1"/>
    <col min="15882" max="15882" width="2.140625" style="802" customWidth="1"/>
    <col min="15883" max="16121" width="8.85546875" style="802"/>
    <col min="16122" max="16122" width="3.28515625" style="802" customWidth="1"/>
    <col min="16123" max="16123" width="2.85546875" style="802" customWidth="1"/>
    <col min="16124" max="16124" width="6.5703125" style="802" customWidth="1"/>
    <col min="16125" max="16125" width="137.28515625" style="802" customWidth="1"/>
    <col min="16126" max="16126" width="21.28515625" style="802" customWidth="1"/>
    <col min="16127" max="16127" width="25.28515625" style="802" customWidth="1"/>
    <col min="16128" max="16128" width="11.7109375" style="802" customWidth="1"/>
    <col min="16129" max="16132" width="11" style="802" customWidth="1"/>
    <col min="16133" max="16136" width="12.85546875" style="802" customWidth="1"/>
    <col min="16137" max="16137" width="17.85546875" style="802" customWidth="1"/>
    <col min="16138" max="16138" width="2.140625" style="802" customWidth="1"/>
    <col min="16139" max="16384" width="8.85546875" style="802"/>
  </cols>
  <sheetData>
    <row r="1" spans="3:12">
      <c r="C1" s="802"/>
      <c r="E1" s="1577"/>
      <c r="F1" s="1577"/>
      <c r="G1" s="1572"/>
      <c r="H1" s="1572"/>
      <c r="I1" s="1576"/>
    </row>
    <row r="2" spans="3:12" ht="14.1" customHeight="1">
      <c r="C2" s="1756"/>
      <c r="D2" s="1756"/>
      <c r="E2" s="1756"/>
      <c r="F2" s="1756"/>
      <c r="G2" s="1756"/>
      <c r="H2" s="1756"/>
      <c r="I2" s="1756"/>
    </row>
    <row r="3" spans="3:12" ht="20.100000000000001" customHeight="1">
      <c r="C3" s="1757" t="s">
        <v>2589</v>
      </c>
      <c r="D3" s="1757"/>
      <c r="E3" s="1757"/>
      <c r="F3" s="1757"/>
      <c r="G3" s="1757"/>
      <c r="H3" s="1757"/>
      <c r="I3" s="1757"/>
    </row>
    <row r="4" spans="3:12" ht="20.100000000000001" customHeight="1">
      <c r="C4" s="1757" t="s">
        <v>78</v>
      </c>
      <c r="D4" s="1757"/>
      <c r="E4" s="1757"/>
      <c r="F4" s="1757"/>
      <c r="G4" s="1757"/>
      <c r="H4" s="1757"/>
      <c r="I4" s="1757"/>
    </row>
    <row r="5" spans="3:12" ht="20.100000000000001" customHeight="1">
      <c r="C5" s="1757" t="s">
        <v>4091</v>
      </c>
      <c r="D5" s="1757"/>
      <c r="E5" s="1757"/>
      <c r="F5" s="1757"/>
      <c r="G5" s="1757"/>
      <c r="H5" s="1757"/>
      <c r="I5" s="1757"/>
    </row>
    <row r="6" spans="3:12" ht="14.1" customHeight="1">
      <c r="E6" s="1575"/>
      <c r="F6" s="1575"/>
      <c r="G6" s="1572"/>
      <c r="H6" s="1572"/>
      <c r="I6" s="803"/>
    </row>
    <row r="7" spans="3:12" ht="20.100000000000001" customHeight="1">
      <c r="C7" s="1574" t="s">
        <v>80</v>
      </c>
      <c r="E7" s="1564"/>
      <c r="F7" s="1564"/>
      <c r="G7" s="1572"/>
      <c r="H7" s="1757" t="s">
        <v>4133</v>
      </c>
      <c r="I7" s="1757"/>
    </row>
    <row r="8" spans="3:12" ht="20.100000000000001" customHeight="1">
      <c r="C8" s="1574" t="s">
        <v>2781</v>
      </c>
      <c r="E8" s="1564"/>
      <c r="F8" s="1573"/>
      <c r="G8" s="1572"/>
      <c r="H8" s="1757"/>
      <c r="I8" s="1757"/>
    </row>
    <row r="9" spans="3:12" ht="14.1" customHeight="1">
      <c r="C9" s="1086"/>
      <c r="E9" s="1573"/>
      <c r="F9" s="1573"/>
      <c r="G9" s="1572"/>
      <c r="H9" s="1572"/>
      <c r="I9" s="1086"/>
    </row>
    <row r="10" spans="3:12" ht="21" customHeight="1">
      <c r="C10" s="1755" t="s">
        <v>6</v>
      </c>
      <c r="D10" s="1758" t="s">
        <v>7</v>
      </c>
      <c r="E10" s="1760" t="s">
        <v>8</v>
      </c>
      <c r="F10" s="1760"/>
      <c r="G10" s="1760"/>
      <c r="H10" s="1760"/>
      <c r="I10" s="1755" t="s">
        <v>11</v>
      </c>
    </row>
    <row r="11" spans="3:12" ht="93" customHeight="1">
      <c r="C11" s="1755"/>
      <c r="D11" s="1759"/>
      <c r="E11" s="1571" t="s">
        <v>14</v>
      </c>
      <c r="F11" s="1571" t="s">
        <v>87</v>
      </c>
      <c r="G11" s="1570" t="s">
        <v>88</v>
      </c>
      <c r="H11" s="1570" t="s">
        <v>89</v>
      </c>
      <c r="I11" s="1755"/>
    </row>
    <row r="12" spans="3:12" s="803" customFormat="1" ht="20.100000000000001" customHeight="1">
      <c r="C12" s="1321" t="s">
        <v>18</v>
      </c>
      <c r="D12" s="1326" t="s">
        <v>19</v>
      </c>
      <c r="E12" s="1325" t="s">
        <v>20</v>
      </c>
      <c r="F12" s="1324" t="s">
        <v>21</v>
      </c>
      <c r="G12" s="1323" t="s">
        <v>22</v>
      </c>
      <c r="H12" s="1569" t="s">
        <v>23</v>
      </c>
      <c r="I12" s="1321" t="s">
        <v>24</v>
      </c>
    </row>
    <row r="13" spans="3:12" ht="20.100000000000001" customHeight="1">
      <c r="C13" s="1161" t="s">
        <v>92</v>
      </c>
      <c r="D13" s="1160" t="s">
        <v>93</v>
      </c>
      <c r="E13" s="1568">
        <v>69470000000</v>
      </c>
      <c r="F13" s="1567">
        <f>F14</f>
        <v>58370999696.5</v>
      </c>
      <c r="G13" s="1566">
        <f>G14</f>
        <v>84.023318981574775</v>
      </c>
      <c r="H13" s="1566">
        <f>H14</f>
        <v>83.297811447811455</v>
      </c>
      <c r="I13" s="1565"/>
      <c r="K13" s="1564"/>
    </row>
    <row r="14" spans="3:12" ht="20.100000000000001" customHeight="1">
      <c r="C14" s="878"/>
      <c r="D14" s="1505" t="s">
        <v>161</v>
      </c>
      <c r="E14" s="1362">
        <v>69470000000</v>
      </c>
      <c r="F14" s="1362">
        <v>58370999696.5</v>
      </c>
      <c r="G14" s="1382">
        <f t="shared" ref="G14:G45" si="0">+F14/E14*100</f>
        <v>84.023318981574775</v>
      </c>
      <c r="H14" s="1382">
        <f>(H15+H18+H29+H35+H37+H43+H45+H47+H50+H62+H64+H66+H68+H72+H74+H86+H92+H95)/18</f>
        <v>83.297811447811455</v>
      </c>
      <c r="I14" s="1353"/>
      <c r="J14" s="1341"/>
      <c r="K14" s="1341"/>
      <c r="L14" s="1341"/>
    </row>
    <row r="15" spans="3:12" ht="20.100000000000001" customHeight="1">
      <c r="C15" s="878"/>
      <c r="D15" s="1367" t="s">
        <v>887</v>
      </c>
      <c r="E15" s="1362">
        <v>4169210000</v>
      </c>
      <c r="F15" s="1362">
        <v>3768102542</v>
      </c>
      <c r="G15" s="1382">
        <f t="shared" si="0"/>
        <v>90.379293487255381</v>
      </c>
      <c r="H15" s="1382">
        <f>185/2</f>
        <v>92.5</v>
      </c>
      <c r="I15" s="1353"/>
      <c r="J15" s="1341"/>
      <c r="K15" s="1341"/>
      <c r="L15" s="1341"/>
    </row>
    <row r="16" spans="3:12" ht="20.100000000000001" customHeight="1">
      <c r="C16" s="878"/>
      <c r="D16" s="1357" t="s">
        <v>2385</v>
      </c>
      <c r="E16" s="1356">
        <v>1624450000</v>
      </c>
      <c r="F16" s="1356">
        <v>1320322822</v>
      </c>
      <c r="G16" s="1382">
        <f t="shared" si="0"/>
        <v>81.278144725907225</v>
      </c>
      <c r="H16" s="1382">
        <v>85</v>
      </c>
      <c r="I16" s="1353"/>
      <c r="J16" s="1341"/>
      <c r="K16" s="1341"/>
      <c r="L16" s="1341"/>
    </row>
    <row r="17" spans="3:12" ht="20.100000000000001" customHeight="1">
      <c r="C17" s="878"/>
      <c r="D17" s="1357" t="s">
        <v>2409</v>
      </c>
      <c r="E17" s="1356">
        <v>2544760000</v>
      </c>
      <c r="F17" s="1356">
        <v>2447779720</v>
      </c>
      <c r="G17" s="1382">
        <f t="shared" si="0"/>
        <v>96.189020575614208</v>
      </c>
      <c r="H17" s="1382">
        <v>100</v>
      </c>
      <c r="I17" s="1353"/>
      <c r="J17" s="1341"/>
      <c r="K17" s="1341"/>
      <c r="L17" s="1341"/>
    </row>
    <row r="18" spans="3:12" ht="20.100000000000001" customHeight="1">
      <c r="C18" s="878"/>
      <c r="D18" s="1367" t="s">
        <v>162</v>
      </c>
      <c r="E18" s="1362">
        <v>6745531225</v>
      </c>
      <c r="F18" s="1362">
        <v>4342866305</v>
      </c>
      <c r="G18" s="1382">
        <f t="shared" si="0"/>
        <v>64.381383172679634</v>
      </c>
      <c r="H18" s="1382">
        <f>SUM((H19:H28))/10</f>
        <v>62.3</v>
      </c>
      <c r="I18" s="1353"/>
      <c r="J18" s="1341"/>
      <c r="K18" s="1341"/>
      <c r="L18" s="1341"/>
    </row>
    <row r="19" spans="3:12" ht="20.100000000000001" customHeight="1">
      <c r="C19" s="878"/>
      <c r="D19" s="1357" t="s">
        <v>163</v>
      </c>
      <c r="E19" s="1356">
        <v>403375800</v>
      </c>
      <c r="F19" s="1356">
        <v>222265700</v>
      </c>
      <c r="G19" s="1382">
        <f t="shared" si="0"/>
        <v>55.10139676202688</v>
      </c>
      <c r="H19" s="1382">
        <v>60</v>
      </c>
      <c r="I19" s="1353"/>
      <c r="J19" s="1341"/>
      <c r="K19" s="1341"/>
      <c r="L19" s="1341"/>
    </row>
    <row r="20" spans="3:12" ht="36" customHeight="1">
      <c r="C20" s="878"/>
      <c r="D20" s="1357" t="s">
        <v>164</v>
      </c>
      <c r="E20" s="1356">
        <v>2300000000</v>
      </c>
      <c r="F20" s="1356">
        <v>2161165875</v>
      </c>
      <c r="G20" s="1382">
        <f t="shared" si="0"/>
        <v>93.963733695652181</v>
      </c>
      <c r="H20" s="1382">
        <v>95</v>
      </c>
      <c r="I20" s="1353"/>
      <c r="J20" s="1341"/>
      <c r="K20" s="1341"/>
      <c r="L20" s="1341"/>
    </row>
    <row r="21" spans="3:12" ht="33" customHeight="1">
      <c r="C21" s="878"/>
      <c r="D21" s="1357" t="s">
        <v>165</v>
      </c>
      <c r="E21" s="1356">
        <v>338814000</v>
      </c>
      <c r="F21" s="1356">
        <v>288474072</v>
      </c>
      <c r="G21" s="1382">
        <f t="shared" si="0"/>
        <v>85.142311710850208</v>
      </c>
      <c r="H21" s="1382">
        <v>90</v>
      </c>
      <c r="I21" s="1353"/>
      <c r="J21" s="1341"/>
      <c r="K21" s="1341"/>
      <c r="L21" s="1341"/>
    </row>
    <row r="22" spans="3:12" ht="20.100000000000001" customHeight="1">
      <c r="C22" s="878"/>
      <c r="D22" s="1357" t="s">
        <v>166</v>
      </c>
      <c r="E22" s="1356">
        <v>1681552000</v>
      </c>
      <c r="F22" s="1356">
        <v>888973010</v>
      </c>
      <c r="G22" s="1382">
        <f t="shared" si="0"/>
        <v>52.86622179986108</v>
      </c>
      <c r="H22" s="1382">
        <v>55</v>
      </c>
      <c r="I22" s="1353"/>
      <c r="J22" s="1341"/>
      <c r="K22" s="1341"/>
      <c r="L22" s="1341"/>
    </row>
    <row r="23" spans="3:12" ht="20.100000000000001" customHeight="1">
      <c r="C23" s="878"/>
      <c r="D23" s="1357" t="s">
        <v>167</v>
      </c>
      <c r="E23" s="1356">
        <v>471779000</v>
      </c>
      <c r="F23" s="1356">
        <v>12950000</v>
      </c>
      <c r="G23" s="1382">
        <f t="shared" si="0"/>
        <v>2.7449292995237178</v>
      </c>
      <c r="H23" s="1382">
        <v>5</v>
      </c>
      <c r="I23" s="1353"/>
      <c r="J23" s="1341"/>
      <c r="K23" s="1341"/>
      <c r="L23" s="1341"/>
    </row>
    <row r="24" spans="3:12" ht="20.100000000000001" customHeight="1">
      <c r="C24" s="878"/>
      <c r="D24" s="1357" t="s">
        <v>168</v>
      </c>
      <c r="E24" s="1356">
        <v>488144000</v>
      </c>
      <c r="F24" s="1356">
        <v>293116000</v>
      </c>
      <c r="G24" s="1382">
        <f t="shared" si="0"/>
        <v>60.047035301058706</v>
      </c>
      <c r="H24" s="1382">
        <v>60</v>
      </c>
      <c r="I24" s="1353"/>
      <c r="J24" s="1341"/>
      <c r="K24" s="1341"/>
      <c r="L24" s="1341"/>
    </row>
    <row r="25" spans="3:12" ht="20.100000000000001" customHeight="1">
      <c r="C25" s="878"/>
      <c r="D25" s="1357" t="s">
        <v>169</v>
      </c>
      <c r="E25" s="1356">
        <v>480602000</v>
      </c>
      <c r="F25" s="1356">
        <v>6000000</v>
      </c>
      <c r="G25" s="1382">
        <f t="shared" si="0"/>
        <v>1.2484342553713885</v>
      </c>
      <c r="H25" s="1382">
        <v>3</v>
      </c>
      <c r="I25" s="1353"/>
      <c r="J25" s="1341"/>
      <c r="K25" s="1341"/>
      <c r="L25" s="1341"/>
    </row>
    <row r="26" spans="3:12" ht="20.100000000000001" customHeight="1">
      <c r="C26" s="878"/>
      <c r="D26" s="1357" t="s">
        <v>170</v>
      </c>
      <c r="E26" s="1356">
        <v>123178800</v>
      </c>
      <c r="F26" s="1356">
        <v>113200000</v>
      </c>
      <c r="G26" s="1382">
        <f t="shared" si="0"/>
        <v>91.898930660146064</v>
      </c>
      <c r="H26" s="1382">
        <v>95</v>
      </c>
      <c r="I26" s="1353"/>
      <c r="J26" s="1341"/>
      <c r="K26" s="1341"/>
      <c r="L26" s="1341"/>
    </row>
    <row r="27" spans="3:12" ht="20.100000000000001" customHeight="1">
      <c r="C27" s="878"/>
      <c r="D27" s="1357" t="s">
        <v>4070</v>
      </c>
      <c r="E27" s="1356">
        <v>165100000</v>
      </c>
      <c r="F27" s="1356">
        <v>117099875</v>
      </c>
      <c r="G27" s="1382">
        <f t="shared" si="0"/>
        <v>70.926635372501508</v>
      </c>
      <c r="H27" s="1382">
        <v>75</v>
      </c>
      <c r="I27" s="1353"/>
      <c r="J27" s="1341"/>
      <c r="K27" s="1341"/>
      <c r="L27" s="1341"/>
    </row>
    <row r="28" spans="3:12" ht="20.100000000000001" customHeight="1">
      <c r="C28" s="878"/>
      <c r="D28" s="1357" t="s">
        <v>171</v>
      </c>
      <c r="E28" s="1356">
        <v>292985625</v>
      </c>
      <c r="F28" s="1356">
        <v>239621773</v>
      </c>
      <c r="G28" s="1382">
        <f t="shared" si="0"/>
        <v>81.786187632925675</v>
      </c>
      <c r="H28" s="1382">
        <v>85</v>
      </c>
      <c r="I28" s="1353"/>
      <c r="J28" s="1341"/>
      <c r="K28" s="1341"/>
      <c r="L28" s="1341"/>
    </row>
    <row r="29" spans="3:12" ht="20.100000000000001" customHeight="1">
      <c r="C29" s="878"/>
      <c r="D29" s="1367" t="s">
        <v>173</v>
      </c>
      <c r="E29" s="1362">
        <v>6535791200</v>
      </c>
      <c r="F29" s="1362">
        <v>3911679708</v>
      </c>
      <c r="G29" s="1382">
        <f t="shared" si="0"/>
        <v>59.850132727618345</v>
      </c>
      <c r="H29" s="1382">
        <f>SUM((H30:H34))/5</f>
        <v>71</v>
      </c>
      <c r="I29" s="1353"/>
      <c r="J29" s="1341"/>
      <c r="K29" s="1341"/>
      <c r="L29" s="1341"/>
    </row>
    <row r="30" spans="3:12" ht="20.100000000000001" customHeight="1">
      <c r="C30" s="878"/>
      <c r="D30" s="1357" t="s">
        <v>414</v>
      </c>
      <c r="E30" s="1356">
        <v>3670000000</v>
      </c>
      <c r="F30" s="1356">
        <v>1862236126</v>
      </c>
      <c r="G30" s="1382">
        <f t="shared" si="0"/>
        <v>50.742128773841969</v>
      </c>
      <c r="H30" s="1382">
        <v>55</v>
      </c>
      <c r="I30" s="1353"/>
      <c r="J30" s="1341"/>
      <c r="K30" s="1341"/>
      <c r="L30" s="1341"/>
    </row>
    <row r="31" spans="3:12" ht="20.100000000000001" customHeight="1">
      <c r="C31" s="878"/>
      <c r="D31" s="1357" t="s">
        <v>4069</v>
      </c>
      <c r="E31" s="1356">
        <v>1764461200</v>
      </c>
      <c r="F31" s="1356">
        <v>1216460350</v>
      </c>
      <c r="G31" s="1382">
        <f t="shared" si="0"/>
        <v>68.942312248067566</v>
      </c>
      <c r="H31" s="1382">
        <v>70</v>
      </c>
      <c r="I31" s="1353"/>
      <c r="J31" s="1341"/>
      <c r="K31" s="1341"/>
      <c r="L31" s="1341"/>
    </row>
    <row r="32" spans="3:12" ht="20.100000000000001" customHeight="1">
      <c r="C32" s="878"/>
      <c r="D32" s="1357" t="s">
        <v>174</v>
      </c>
      <c r="E32" s="1356">
        <v>641930000</v>
      </c>
      <c r="F32" s="1356">
        <v>482207750</v>
      </c>
      <c r="G32" s="1382">
        <f t="shared" si="0"/>
        <v>75.118431916252547</v>
      </c>
      <c r="H32" s="1382">
        <v>80</v>
      </c>
      <c r="I32" s="1353"/>
      <c r="J32" s="1341"/>
      <c r="K32" s="1341"/>
      <c r="L32" s="1341"/>
    </row>
    <row r="33" spans="3:12" ht="20.100000000000001" customHeight="1">
      <c r="C33" s="878"/>
      <c r="D33" s="1357" t="s">
        <v>175</v>
      </c>
      <c r="E33" s="1356">
        <v>284150000</v>
      </c>
      <c r="F33" s="1356">
        <v>238809148</v>
      </c>
      <c r="G33" s="1382">
        <f t="shared" si="0"/>
        <v>84.043339081471061</v>
      </c>
      <c r="H33" s="1382">
        <v>85</v>
      </c>
      <c r="I33" s="1353"/>
      <c r="J33" s="1341"/>
      <c r="K33" s="1341"/>
      <c r="L33" s="1341"/>
    </row>
    <row r="34" spans="3:12" ht="20.100000000000001" customHeight="1">
      <c r="C34" s="878"/>
      <c r="D34" s="1357" t="s">
        <v>4068</v>
      </c>
      <c r="E34" s="1356">
        <v>175250000</v>
      </c>
      <c r="F34" s="1356">
        <v>111966334</v>
      </c>
      <c r="G34" s="1382">
        <f t="shared" si="0"/>
        <v>63.889491583452205</v>
      </c>
      <c r="H34" s="1382">
        <v>65</v>
      </c>
      <c r="I34" s="1353"/>
      <c r="J34" s="1341"/>
      <c r="K34" s="1341"/>
      <c r="L34" s="1341"/>
    </row>
    <row r="35" spans="3:12" ht="20.100000000000001" customHeight="1">
      <c r="C35" s="878"/>
      <c r="D35" s="1367" t="s">
        <v>177</v>
      </c>
      <c r="E35" s="1362">
        <v>103800000</v>
      </c>
      <c r="F35" s="1362">
        <v>44000000</v>
      </c>
      <c r="G35" s="1382">
        <f t="shared" si="0"/>
        <v>42.389210019267821</v>
      </c>
      <c r="H35" s="1382">
        <v>45</v>
      </c>
      <c r="I35" s="1353"/>
      <c r="J35" s="1341"/>
      <c r="K35" s="1341"/>
      <c r="L35" s="1341"/>
    </row>
    <row r="36" spans="3:12" ht="20.100000000000001" customHeight="1">
      <c r="C36" s="878"/>
      <c r="D36" s="1357" t="s">
        <v>178</v>
      </c>
      <c r="E36" s="1356">
        <v>103800000</v>
      </c>
      <c r="F36" s="1356">
        <v>44000000</v>
      </c>
      <c r="G36" s="1382">
        <f t="shared" si="0"/>
        <v>42.389210019267821</v>
      </c>
      <c r="H36" s="1382">
        <v>45</v>
      </c>
      <c r="I36" s="1353"/>
      <c r="J36" s="1341"/>
      <c r="K36" s="1341"/>
      <c r="L36" s="1341"/>
    </row>
    <row r="37" spans="3:12" ht="20.100000000000001" customHeight="1">
      <c r="C37" s="878"/>
      <c r="D37" s="1367" t="s">
        <v>179</v>
      </c>
      <c r="E37" s="1362">
        <v>917473800</v>
      </c>
      <c r="F37" s="1362">
        <v>698263900</v>
      </c>
      <c r="G37" s="1382">
        <f t="shared" si="0"/>
        <v>76.107230527999818</v>
      </c>
      <c r="H37" s="1382">
        <f>SUM((H38:H42))/5</f>
        <v>83</v>
      </c>
      <c r="I37" s="1353"/>
      <c r="J37" s="1341"/>
      <c r="K37" s="1341"/>
      <c r="L37" s="1341"/>
    </row>
    <row r="38" spans="3:12" ht="20.100000000000001" customHeight="1">
      <c r="C38" s="878"/>
      <c r="D38" s="1357" t="s">
        <v>181</v>
      </c>
      <c r="E38" s="1356">
        <v>168818000</v>
      </c>
      <c r="F38" s="1356">
        <v>113253000</v>
      </c>
      <c r="G38" s="1382">
        <f t="shared" si="0"/>
        <v>67.085855773673416</v>
      </c>
      <c r="H38" s="1382">
        <v>70</v>
      </c>
      <c r="I38" s="1353"/>
      <c r="J38" s="1341"/>
      <c r="K38" s="1341"/>
      <c r="L38" s="1341"/>
    </row>
    <row r="39" spans="3:12" ht="20.100000000000001" customHeight="1">
      <c r="C39" s="878"/>
      <c r="D39" s="1357" t="s">
        <v>182</v>
      </c>
      <c r="E39" s="1356">
        <v>114900000</v>
      </c>
      <c r="F39" s="1356">
        <v>99077400</v>
      </c>
      <c r="G39" s="1382">
        <f t="shared" si="0"/>
        <v>86.22924281984335</v>
      </c>
      <c r="H39" s="1382">
        <v>90</v>
      </c>
      <c r="I39" s="1353"/>
      <c r="J39" s="1341"/>
      <c r="K39" s="1341"/>
      <c r="L39" s="1341"/>
    </row>
    <row r="40" spans="3:12" ht="20.100000000000001" customHeight="1">
      <c r="C40" s="878"/>
      <c r="D40" s="1357" t="s">
        <v>183</v>
      </c>
      <c r="E40" s="1356">
        <v>319176000</v>
      </c>
      <c r="F40" s="1356">
        <v>212663700</v>
      </c>
      <c r="G40" s="1382">
        <f t="shared" si="0"/>
        <v>66.628975862846829</v>
      </c>
      <c r="H40" s="1382">
        <v>70</v>
      </c>
      <c r="I40" s="1353"/>
      <c r="J40" s="1341"/>
      <c r="K40" s="1341"/>
      <c r="L40" s="1341"/>
    </row>
    <row r="41" spans="3:12" ht="20.100000000000001" customHeight="1">
      <c r="C41" s="878"/>
      <c r="D41" s="1357" t="s">
        <v>184</v>
      </c>
      <c r="E41" s="1356">
        <v>255179800</v>
      </c>
      <c r="F41" s="1356">
        <v>213889800</v>
      </c>
      <c r="G41" s="1382">
        <f t="shared" si="0"/>
        <v>83.819252150836391</v>
      </c>
      <c r="H41" s="1382">
        <v>85</v>
      </c>
      <c r="I41" s="1353"/>
      <c r="J41" s="1341"/>
      <c r="K41" s="1341"/>
      <c r="L41" s="1341"/>
    </row>
    <row r="42" spans="3:12" ht="20.100000000000001" customHeight="1">
      <c r="C42" s="878"/>
      <c r="D42" s="1357" t="s">
        <v>4067</v>
      </c>
      <c r="E42" s="1356">
        <v>59400000</v>
      </c>
      <c r="F42" s="1356">
        <v>59380000</v>
      </c>
      <c r="G42" s="1382">
        <f t="shared" si="0"/>
        <v>99.966329966329965</v>
      </c>
      <c r="H42" s="1382">
        <v>100</v>
      </c>
      <c r="I42" s="1353"/>
      <c r="J42" s="1341"/>
      <c r="K42" s="1341"/>
      <c r="L42" s="1341"/>
    </row>
    <row r="43" spans="3:12" ht="20.100000000000001" customHeight="1">
      <c r="C43" s="878"/>
      <c r="D43" s="1367" t="s">
        <v>186</v>
      </c>
      <c r="E43" s="1362">
        <v>307897000</v>
      </c>
      <c r="F43" s="1362">
        <v>160578400</v>
      </c>
      <c r="G43" s="1382">
        <f t="shared" si="0"/>
        <v>52.153285027135695</v>
      </c>
      <c r="H43" s="1382">
        <v>55</v>
      </c>
      <c r="I43" s="1353"/>
      <c r="J43" s="1341"/>
      <c r="K43" s="1341"/>
      <c r="L43" s="1341"/>
    </row>
    <row r="44" spans="3:12" ht="20.100000000000001" customHeight="1">
      <c r="C44" s="878"/>
      <c r="D44" s="1357" t="s">
        <v>187</v>
      </c>
      <c r="E44" s="1356">
        <v>307897000</v>
      </c>
      <c r="F44" s="1356">
        <v>160578400</v>
      </c>
      <c r="G44" s="1382">
        <f t="shared" si="0"/>
        <v>52.153285027135695</v>
      </c>
      <c r="H44" s="1382">
        <v>55</v>
      </c>
      <c r="I44" s="1353"/>
      <c r="J44" s="1341"/>
      <c r="K44" s="1341"/>
      <c r="L44" s="1341"/>
    </row>
    <row r="45" spans="3:12" ht="20.100000000000001" customHeight="1">
      <c r="C45" s="878"/>
      <c r="D45" s="1367" t="s">
        <v>190</v>
      </c>
      <c r="E45" s="1362">
        <v>177600000</v>
      </c>
      <c r="F45" s="1362">
        <v>155389651</v>
      </c>
      <c r="G45" s="1382">
        <f t="shared" si="0"/>
        <v>87.494172860360365</v>
      </c>
      <c r="H45" s="1382">
        <v>90</v>
      </c>
      <c r="I45" s="1353"/>
      <c r="J45" s="1341"/>
      <c r="K45" s="1341"/>
      <c r="L45" s="1341"/>
    </row>
    <row r="46" spans="3:12" ht="20.100000000000001" customHeight="1">
      <c r="C46" s="878"/>
      <c r="D46" s="1357" t="s">
        <v>191</v>
      </c>
      <c r="E46" s="1356">
        <v>177600000</v>
      </c>
      <c r="F46" s="1356">
        <v>155389651</v>
      </c>
      <c r="G46" s="1382">
        <f t="shared" ref="G46:G77" si="1">+F46/E46*100</f>
        <v>87.494172860360365</v>
      </c>
      <c r="H46" s="1382">
        <v>90</v>
      </c>
      <c r="I46" s="1353"/>
      <c r="J46" s="1341"/>
      <c r="K46" s="1341"/>
      <c r="L46" s="1341"/>
    </row>
    <row r="47" spans="3:12" ht="20.100000000000001" customHeight="1">
      <c r="C47" s="878"/>
      <c r="D47" s="1367" t="s">
        <v>192</v>
      </c>
      <c r="E47" s="1362">
        <v>296775000</v>
      </c>
      <c r="F47" s="1362">
        <v>295834800</v>
      </c>
      <c r="G47" s="1382">
        <f t="shared" si="1"/>
        <v>99.683194339145814</v>
      </c>
      <c r="H47" s="1382">
        <v>100</v>
      </c>
      <c r="I47" s="1353"/>
      <c r="J47" s="1341"/>
      <c r="K47" s="1341"/>
      <c r="L47" s="1341"/>
    </row>
    <row r="48" spans="3:12" ht="20.100000000000001" customHeight="1">
      <c r="C48" s="878"/>
      <c r="D48" s="1357" t="s">
        <v>194</v>
      </c>
      <c r="E48" s="1356">
        <v>139525000</v>
      </c>
      <c r="F48" s="1356">
        <v>138637600</v>
      </c>
      <c r="G48" s="1382">
        <f t="shared" si="1"/>
        <v>99.363984948933876</v>
      </c>
      <c r="H48" s="1382">
        <v>100</v>
      </c>
      <c r="I48" s="1353"/>
      <c r="J48" s="1341"/>
      <c r="K48" s="1341"/>
      <c r="L48" s="1341"/>
    </row>
    <row r="49" spans="3:12" ht="20.100000000000001" customHeight="1">
      <c r="C49" s="878"/>
      <c r="D49" s="1357" t="s">
        <v>195</v>
      </c>
      <c r="E49" s="1356">
        <v>157250000</v>
      </c>
      <c r="F49" s="1356">
        <v>157197200</v>
      </c>
      <c r="G49" s="1382">
        <f t="shared" si="1"/>
        <v>99.96642289348172</v>
      </c>
      <c r="H49" s="1382">
        <v>100</v>
      </c>
      <c r="I49" s="1353"/>
      <c r="J49" s="1341"/>
      <c r="K49" s="1341"/>
      <c r="L49" s="1341"/>
    </row>
    <row r="50" spans="3:12" ht="20.100000000000001" customHeight="1">
      <c r="C50" s="878"/>
      <c r="D50" s="1367" t="s">
        <v>196</v>
      </c>
      <c r="E50" s="1362">
        <v>3796690000</v>
      </c>
      <c r="F50" s="1362">
        <v>3069380054</v>
      </c>
      <c r="G50" s="1382">
        <f t="shared" si="1"/>
        <v>80.843578327437854</v>
      </c>
      <c r="H50" s="1382">
        <f>SUM((H51:H61))/11</f>
        <v>96.818181818181813</v>
      </c>
      <c r="I50" s="1353"/>
      <c r="J50" s="1341"/>
      <c r="K50" s="1341"/>
      <c r="L50" s="1341"/>
    </row>
    <row r="51" spans="3:12" ht="20.100000000000001" customHeight="1">
      <c r="C51" s="878"/>
      <c r="D51" s="1357" t="s">
        <v>197</v>
      </c>
      <c r="E51" s="1356">
        <v>171100000</v>
      </c>
      <c r="F51" s="1356">
        <v>171013880</v>
      </c>
      <c r="G51" s="1382">
        <f t="shared" si="1"/>
        <v>99.949666861484516</v>
      </c>
      <c r="H51" s="1382">
        <v>100</v>
      </c>
      <c r="I51" s="1353"/>
      <c r="J51" s="1341"/>
      <c r="K51" s="1341"/>
      <c r="L51" s="1341"/>
    </row>
    <row r="52" spans="3:12" ht="20.100000000000001" customHeight="1">
      <c r="C52" s="878"/>
      <c r="D52" s="1357" t="s">
        <v>198</v>
      </c>
      <c r="E52" s="1356">
        <v>80000000</v>
      </c>
      <c r="F52" s="1356">
        <v>79296400</v>
      </c>
      <c r="G52" s="1382">
        <f t="shared" si="1"/>
        <v>99.120500000000007</v>
      </c>
      <c r="H52" s="1382">
        <v>100</v>
      </c>
      <c r="I52" s="1353"/>
      <c r="J52" s="1341"/>
      <c r="K52" s="1341"/>
      <c r="L52" s="1341"/>
    </row>
    <row r="53" spans="3:12" ht="20.100000000000001" customHeight="1">
      <c r="C53" s="878"/>
      <c r="D53" s="1357" t="s">
        <v>199</v>
      </c>
      <c r="E53" s="1356">
        <v>1860000000</v>
      </c>
      <c r="F53" s="1356">
        <v>1166649400</v>
      </c>
      <c r="G53" s="1382">
        <f t="shared" si="1"/>
        <v>62.723086021505381</v>
      </c>
      <c r="H53" s="1382">
        <v>65</v>
      </c>
      <c r="I53" s="1353"/>
      <c r="J53" s="1341"/>
      <c r="K53" s="1341"/>
      <c r="L53" s="1341"/>
    </row>
    <row r="54" spans="3:12" ht="20.100000000000001" customHeight="1">
      <c r="C54" s="878"/>
      <c r="D54" s="1357" t="s">
        <v>201</v>
      </c>
      <c r="E54" s="1356">
        <v>68400000</v>
      </c>
      <c r="F54" s="1356">
        <v>67346000</v>
      </c>
      <c r="G54" s="1382">
        <f t="shared" si="1"/>
        <v>98.459064327485379</v>
      </c>
      <c r="H54" s="1382">
        <v>100</v>
      </c>
      <c r="I54" s="1353"/>
      <c r="J54" s="1341"/>
      <c r="K54" s="1341"/>
      <c r="L54" s="1341"/>
    </row>
    <row r="55" spans="3:12" ht="20.100000000000001" customHeight="1">
      <c r="C55" s="878"/>
      <c r="D55" s="1357" t="s">
        <v>202</v>
      </c>
      <c r="E55" s="1356">
        <v>153427000</v>
      </c>
      <c r="F55" s="1356">
        <v>151290116</v>
      </c>
      <c r="G55" s="1382">
        <f t="shared" si="1"/>
        <v>98.607230800315463</v>
      </c>
      <c r="H55" s="1382">
        <v>100</v>
      </c>
      <c r="I55" s="1353"/>
      <c r="J55" s="1341"/>
      <c r="K55" s="1341"/>
      <c r="L55" s="1341"/>
    </row>
    <row r="56" spans="3:12" ht="20.100000000000001" customHeight="1">
      <c r="C56" s="878"/>
      <c r="D56" s="1357" t="s">
        <v>203</v>
      </c>
      <c r="E56" s="1356">
        <v>50000000</v>
      </c>
      <c r="F56" s="1356">
        <v>49888200</v>
      </c>
      <c r="G56" s="1382">
        <f t="shared" si="1"/>
        <v>99.776399999999995</v>
      </c>
      <c r="H56" s="1382">
        <v>100</v>
      </c>
      <c r="I56" s="1353"/>
      <c r="J56" s="1341"/>
      <c r="K56" s="1341"/>
      <c r="L56" s="1341"/>
    </row>
    <row r="57" spans="3:12" ht="20.100000000000001" customHeight="1">
      <c r="C57" s="878"/>
      <c r="D57" s="1357" t="s">
        <v>204</v>
      </c>
      <c r="E57" s="1356">
        <v>880653000</v>
      </c>
      <c r="F57" s="1356">
        <v>860108050</v>
      </c>
      <c r="G57" s="1382">
        <f t="shared" si="1"/>
        <v>97.667077725278844</v>
      </c>
      <c r="H57" s="1382">
        <v>100</v>
      </c>
      <c r="I57" s="1353"/>
      <c r="J57" s="1341"/>
      <c r="K57" s="1341"/>
      <c r="L57" s="1341"/>
    </row>
    <row r="58" spans="3:12" ht="20.100000000000001" customHeight="1">
      <c r="C58" s="878"/>
      <c r="D58" s="1357" t="s">
        <v>205</v>
      </c>
      <c r="E58" s="1356">
        <v>211590000</v>
      </c>
      <c r="F58" s="1356">
        <v>211028200</v>
      </c>
      <c r="G58" s="1382">
        <f t="shared" si="1"/>
        <v>99.734486506923773</v>
      </c>
      <c r="H58" s="1382">
        <v>100</v>
      </c>
      <c r="I58" s="1353"/>
      <c r="J58" s="1341"/>
      <c r="K58" s="1341"/>
      <c r="L58" s="1341"/>
    </row>
    <row r="59" spans="3:12" ht="20.100000000000001" customHeight="1">
      <c r="C59" s="878"/>
      <c r="D59" s="1357" t="s">
        <v>4066</v>
      </c>
      <c r="E59" s="1356">
        <v>186520000</v>
      </c>
      <c r="F59" s="1356">
        <v>180020008</v>
      </c>
      <c r="G59" s="1382">
        <f t="shared" si="1"/>
        <v>96.51512331117307</v>
      </c>
      <c r="H59" s="1382">
        <v>100</v>
      </c>
      <c r="I59" s="1353"/>
      <c r="J59" s="1341"/>
      <c r="K59" s="1341"/>
      <c r="L59" s="1341"/>
    </row>
    <row r="60" spans="3:12" ht="20.100000000000001" customHeight="1">
      <c r="C60" s="878"/>
      <c r="D60" s="1357" t="s">
        <v>207</v>
      </c>
      <c r="E60" s="1356">
        <v>85000000</v>
      </c>
      <c r="F60" s="1356">
        <v>82809200</v>
      </c>
      <c r="G60" s="1382">
        <f t="shared" si="1"/>
        <v>97.422588235294114</v>
      </c>
      <c r="H60" s="1382">
        <v>100</v>
      </c>
      <c r="I60" s="1353"/>
      <c r="J60" s="1341"/>
      <c r="K60" s="1341"/>
      <c r="L60" s="1341"/>
    </row>
    <row r="61" spans="3:12" ht="20.100000000000001" customHeight="1">
      <c r="C61" s="878"/>
      <c r="D61" s="1357" t="s">
        <v>4065</v>
      </c>
      <c r="E61" s="1356">
        <v>50000000</v>
      </c>
      <c r="F61" s="1356">
        <v>49930600</v>
      </c>
      <c r="G61" s="1382">
        <f t="shared" si="1"/>
        <v>99.861200000000011</v>
      </c>
      <c r="H61" s="1382">
        <v>100</v>
      </c>
      <c r="I61" s="1353"/>
      <c r="J61" s="1341"/>
      <c r="K61" s="1341"/>
      <c r="L61" s="1341"/>
    </row>
    <row r="62" spans="3:12" ht="20.100000000000001" customHeight="1">
      <c r="C62" s="878"/>
      <c r="D62" s="1367" t="s">
        <v>210</v>
      </c>
      <c r="E62" s="1362">
        <v>305600000</v>
      </c>
      <c r="F62" s="1362">
        <v>293423819</v>
      </c>
      <c r="G62" s="1382">
        <f t="shared" si="1"/>
        <v>96.015647578534029</v>
      </c>
      <c r="H62" s="1382">
        <v>100</v>
      </c>
      <c r="I62" s="1353"/>
      <c r="J62" s="1341"/>
      <c r="K62" s="1341"/>
      <c r="L62" s="1341"/>
    </row>
    <row r="63" spans="3:12" ht="20.100000000000001" customHeight="1">
      <c r="C63" s="878"/>
      <c r="D63" s="1357" t="s">
        <v>211</v>
      </c>
      <c r="E63" s="1356">
        <v>305600000</v>
      </c>
      <c r="F63" s="1356">
        <v>293423819</v>
      </c>
      <c r="G63" s="1382">
        <f t="shared" si="1"/>
        <v>96.015647578534029</v>
      </c>
      <c r="H63" s="1382">
        <v>100</v>
      </c>
      <c r="I63" s="1353"/>
      <c r="J63" s="1341"/>
      <c r="K63" s="1341"/>
      <c r="L63" s="1341"/>
    </row>
    <row r="64" spans="3:12" ht="20.100000000000001" customHeight="1">
      <c r="C64" s="878"/>
      <c r="D64" s="1367" t="s">
        <v>953</v>
      </c>
      <c r="E64" s="1362">
        <v>472900000</v>
      </c>
      <c r="F64" s="1362">
        <v>290400000</v>
      </c>
      <c r="G64" s="1382">
        <f t="shared" si="1"/>
        <v>61.408331571156694</v>
      </c>
      <c r="H64" s="1382">
        <v>65</v>
      </c>
      <c r="I64" s="1353"/>
      <c r="J64" s="1341"/>
      <c r="K64" s="1341"/>
      <c r="L64" s="1341"/>
    </row>
    <row r="65" spans="3:12" ht="20.100000000000001" customHeight="1">
      <c r="C65" s="878"/>
      <c r="D65" s="1357" t="s">
        <v>4064</v>
      </c>
      <c r="E65" s="1356">
        <v>472900000</v>
      </c>
      <c r="F65" s="1356">
        <v>290400000</v>
      </c>
      <c r="G65" s="1382">
        <f t="shared" si="1"/>
        <v>61.408331571156694</v>
      </c>
      <c r="H65" s="1382">
        <v>65</v>
      </c>
      <c r="I65" s="1353"/>
      <c r="J65" s="1341"/>
      <c r="K65" s="1341"/>
      <c r="L65" s="1341"/>
    </row>
    <row r="66" spans="3:12" ht="20.100000000000001" customHeight="1">
      <c r="C66" s="878"/>
      <c r="D66" s="1367" t="s">
        <v>212</v>
      </c>
      <c r="E66" s="1362">
        <v>142675000</v>
      </c>
      <c r="F66" s="1362">
        <v>137225200</v>
      </c>
      <c r="G66" s="1382">
        <f t="shared" si="1"/>
        <v>96.180269844051168</v>
      </c>
      <c r="H66" s="1382">
        <v>100</v>
      </c>
      <c r="I66" s="1353"/>
      <c r="J66" s="1341"/>
      <c r="K66" s="1341"/>
      <c r="L66" s="1341"/>
    </row>
    <row r="67" spans="3:12" ht="41.25" customHeight="1">
      <c r="C67" s="878"/>
      <c r="D67" s="1357" t="s">
        <v>213</v>
      </c>
      <c r="E67" s="1356">
        <v>142675000</v>
      </c>
      <c r="F67" s="1356">
        <v>137225200</v>
      </c>
      <c r="G67" s="1382">
        <f t="shared" si="1"/>
        <v>96.180269844051168</v>
      </c>
      <c r="H67" s="1382">
        <v>100</v>
      </c>
      <c r="I67" s="1353"/>
      <c r="J67" s="1341"/>
      <c r="K67" s="1341"/>
      <c r="L67" s="1341"/>
    </row>
    <row r="68" spans="3:12" ht="20.100000000000001" customHeight="1">
      <c r="C68" s="878"/>
      <c r="D68" s="1367" t="s">
        <v>215</v>
      </c>
      <c r="E68" s="1362">
        <v>1382709960</v>
      </c>
      <c r="F68" s="1362">
        <v>1281618300</v>
      </c>
      <c r="G68" s="1382">
        <f t="shared" si="1"/>
        <v>92.688874534468539</v>
      </c>
      <c r="H68" s="1382">
        <f>SUM((H69:H71))/3</f>
        <v>96.666666666666671</v>
      </c>
      <c r="I68" s="1353"/>
      <c r="J68" s="1341"/>
      <c r="K68" s="1341"/>
      <c r="L68" s="1341"/>
    </row>
    <row r="69" spans="3:12" ht="20.100000000000001" customHeight="1">
      <c r="C69" s="878"/>
      <c r="D69" s="1357" t="s">
        <v>216</v>
      </c>
      <c r="E69" s="1356">
        <v>292881865</v>
      </c>
      <c r="F69" s="1356">
        <v>289278400</v>
      </c>
      <c r="G69" s="1382">
        <f t="shared" si="1"/>
        <v>98.769652398928827</v>
      </c>
      <c r="H69" s="1382">
        <v>100</v>
      </c>
      <c r="I69" s="1353"/>
      <c r="J69" s="1341"/>
      <c r="K69" s="1341"/>
      <c r="L69" s="1341"/>
    </row>
    <row r="70" spans="3:12" ht="20.100000000000001" customHeight="1">
      <c r="C70" s="878"/>
      <c r="D70" s="1357" t="s">
        <v>217</v>
      </c>
      <c r="E70" s="1356">
        <v>220771000</v>
      </c>
      <c r="F70" s="1356">
        <v>219731400</v>
      </c>
      <c r="G70" s="1382">
        <f t="shared" si="1"/>
        <v>99.529104819020617</v>
      </c>
      <c r="H70" s="1382">
        <v>100</v>
      </c>
      <c r="I70" s="1353"/>
      <c r="J70" s="1341"/>
      <c r="K70" s="1341"/>
      <c r="L70" s="1341"/>
    </row>
    <row r="71" spans="3:12" ht="20.100000000000001" customHeight="1">
      <c r="C71" s="878"/>
      <c r="D71" s="1357" t="s">
        <v>218</v>
      </c>
      <c r="E71" s="1356">
        <v>869057095</v>
      </c>
      <c r="F71" s="1356">
        <v>772608500</v>
      </c>
      <c r="G71" s="1382">
        <f t="shared" si="1"/>
        <v>88.901926518418222</v>
      </c>
      <c r="H71" s="1382">
        <v>90</v>
      </c>
      <c r="I71" s="1353"/>
      <c r="J71" s="1341"/>
      <c r="K71" s="1341"/>
      <c r="L71" s="1341"/>
    </row>
    <row r="72" spans="3:12" ht="20.100000000000001" customHeight="1">
      <c r="C72" s="878"/>
      <c r="D72" s="1367" t="s">
        <v>219</v>
      </c>
      <c r="E72" s="1362">
        <v>155100000</v>
      </c>
      <c r="F72" s="1362">
        <v>136650000</v>
      </c>
      <c r="G72" s="1382">
        <f t="shared" si="1"/>
        <v>88.104448742746612</v>
      </c>
      <c r="H72" s="1382">
        <v>90</v>
      </c>
      <c r="I72" s="1353"/>
      <c r="J72" s="1341"/>
      <c r="K72" s="1341"/>
      <c r="L72" s="1341"/>
    </row>
    <row r="73" spans="3:12" ht="20.100000000000001" customHeight="1">
      <c r="C73" s="878"/>
      <c r="D73" s="1357" t="s">
        <v>2381</v>
      </c>
      <c r="E73" s="1356">
        <v>155100000</v>
      </c>
      <c r="F73" s="1356">
        <v>136650000</v>
      </c>
      <c r="G73" s="1382">
        <f t="shared" si="1"/>
        <v>88.104448742746612</v>
      </c>
      <c r="H73" s="1382">
        <v>90</v>
      </c>
      <c r="I73" s="1353"/>
      <c r="J73" s="1341"/>
      <c r="K73" s="1341"/>
      <c r="L73" s="1341"/>
    </row>
    <row r="74" spans="3:12" ht="20.100000000000001" customHeight="1">
      <c r="C74" s="878"/>
      <c r="D74" s="1367" t="s">
        <v>221</v>
      </c>
      <c r="E74" s="1362">
        <v>31087451815</v>
      </c>
      <c r="F74" s="1362">
        <v>27466243673.5</v>
      </c>
      <c r="G74" s="1382">
        <f t="shared" si="1"/>
        <v>88.351544015091221</v>
      </c>
      <c r="H74" s="1382">
        <f>SUM((H75:H85))/11</f>
        <v>65.909090909090907</v>
      </c>
      <c r="I74" s="1353"/>
      <c r="J74" s="1341"/>
      <c r="K74" s="1341"/>
      <c r="L74" s="1341"/>
    </row>
    <row r="75" spans="3:12" ht="20.100000000000001" customHeight="1">
      <c r="C75" s="878"/>
      <c r="D75" s="1357" t="s">
        <v>222</v>
      </c>
      <c r="E75" s="1356">
        <v>3299936000</v>
      </c>
      <c r="F75" s="1356">
        <v>2687040363</v>
      </c>
      <c r="G75" s="1382">
        <f t="shared" si="1"/>
        <v>81.427044736625191</v>
      </c>
      <c r="H75" s="1382">
        <v>85</v>
      </c>
      <c r="I75" s="1353"/>
      <c r="J75" s="1341"/>
      <c r="K75" s="1341"/>
      <c r="L75" s="1341"/>
    </row>
    <row r="76" spans="3:12" ht="20.100000000000001" customHeight="1">
      <c r="C76" s="878"/>
      <c r="D76" s="1357" t="s">
        <v>225</v>
      </c>
      <c r="E76" s="1356">
        <v>1203546815</v>
      </c>
      <c r="F76" s="1356">
        <v>1036788896</v>
      </c>
      <c r="G76" s="1382">
        <f t="shared" si="1"/>
        <v>86.144459283040021</v>
      </c>
      <c r="H76" s="1382">
        <v>90</v>
      </c>
      <c r="I76" s="1353"/>
      <c r="J76" s="1341"/>
      <c r="K76" s="1341"/>
      <c r="L76" s="1341"/>
    </row>
    <row r="77" spans="3:12" ht="20.100000000000001" customHeight="1">
      <c r="C77" s="878"/>
      <c r="D77" s="1357" t="s">
        <v>4063</v>
      </c>
      <c r="E77" s="1356">
        <v>300000000</v>
      </c>
      <c r="F77" s="1356">
        <v>299796069</v>
      </c>
      <c r="G77" s="1382">
        <f t="shared" si="1"/>
        <v>99.932023000000001</v>
      </c>
      <c r="H77" s="1382">
        <v>100</v>
      </c>
      <c r="I77" s="1353"/>
      <c r="J77" s="1341"/>
      <c r="K77" s="1341"/>
      <c r="L77" s="1341"/>
    </row>
    <row r="78" spans="3:12" ht="20.100000000000001" customHeight="1">
      <c r="C78" s="878"/>
      <c r="D78" s="1357" t="s">
        <v>226</v>
      </c>
      <c r="E78" s="1356">
        <v>120000000</v>
      </c>
      <c r="F78" s="1356">
        <v>0</v>
      </c>
      <c r="G78" s="1382">
        <f t="shared" ref="G78:G101" si="2">+F78/E78*100</f>
        <v>0</v>
      </c>
      <c r="H78" s="1382">
        <f>+G78</f>
        <v>0</v>
      </c>
      <c r="I78" s="1353"/>
      <c r="J78" s="1341"/>
      <c r="K78" s="1341"/>
      <c r="L78" s="1341"/>
    </row>
    <row r="79" spans="3:12" ht="39" customHeight="1">
      <c r="C79" s="878"/>
      <c r="D79" s="1357" t="s">
        <v>227</v>
      </c>
      <c r="E79" s="1356">
        <v>200000000</v>
      </c>
      <c r="F79" s="1356">
        <v>192095000</v>
      </c>
      <c r="G79" s="1382">
        <f t="shared" si="2"/>
        <v>96.047499999999999</v>
      </c>
      <c r="H79" s="1382">
        <v>100</v>
      </c>
      <c r="I79" s="1353"/>
      <c r="J79" s="1341"/>
      <c r="K79" s="1341"/>
      <c r="L79" s="1341"/>
    </row>
    <row r="80" spans="3:12" ht="42.75" customHeight="1">
      <c r="C80" s="878"/>
      <c r="D80" s="1357" t="s">
        <v>229</v>
      </c>
      <c r="E80" s="1356">
        <v>8000000000</v>
      </c>
      <c r="F80" s="1356">
        <v>7116776529</v>
      </c>
      <c r="G80" s="1382">
        <f t="shared" si="2"/>
        <v>88.9597066125</v>
      </c>
      <c r="H80" s="1382">
        <v>90</v>
      </c>
      <c r="I80" s="1353"/>
      <c r="J80" s="1341"/>
      <c r="K80" s="1341"/>
      <c r="L80" s="1341"/>
    </row>
    <row r="81" spans="3:12" ht="20.100000000000001" customHeight="1">
      <c r="C81" s="878"/>
      <c r="D81" s="1357" t="s">
        <v>230</v>
      </c>
      <c r="E81" s="1356">
        <v>13674869000</v>
      </c>
      <c r="F81" s="1356">
        <v>13110420218.5</v>
      </c>
      <c r="G81" s="1382">
        <f t="shared" si="2"/>
        <v>95.872364250801965</v>
      </c>
      <c r="H81" s="1382">
        <v>100</v>
      </c>
      <c r="I81" s="1353"/>
      <c r="J81" s="1341"/>
      <c r="K81" s="1341"/>
      <c r="L81" s="1341"/>
    </row>
    <row r="82" spans="3:12" ht="20.100000000000001" customHeight="1">
      <c r="C82" s="878"/>
      <c r="D82" s="1357" t="s">
        <v>4062</v>
      </c>
      <c r="E82" s="1356">
        <v>325000000</v>
      </c>
      <c r="F82" s="1356">
        <v>0</v>
      </c>
      <c r="G82" s="1382">
        <f t="shared" si="2"/>
        <v>0</v>
      </c>
      <c r="H82" s="1382">
        <f>+G82</f>
        <v>0</v>
      </c>
      <c r="I82" s="1353"/>
      <c r="J82" s="1341"/>
      <c r="K82" s="1341"/>
      <c r="L82" s="1341"/>
    </row>
    <row r="83" spans="3:12" ht="20.100000000000001" customHeight="1">
      <c r="C83" s="878"/>
      <c r="D83" s="1357" t="s">
        <v>4061</v>
      </c>
      <c r="E83" s="1356">
        <v>2860000000</v>
      </c>
      <c r="F83" s="1356">
        <v>2521654202</v>
      </c>
      <c r="G83" s="1382">
        <f t="shared" si="2"/>
        <v>88.169727342657339</v>
      </c>
      <c r="H83" s="1382">
        <v>90</v>
      </c>
      <c r="I83" s="1353"/>
      <c r="J83" s="1341"/>
      <c r="K83" s="1341"/>
      <c r="L83" s="1341"/>
    </row>
    <row r="84" spans="3:12" ht="20.100000000000001" customHeight="1">
      <c r="C84" s="878"/>
      <c r="D84" s="1357" t="s">
        <v>232</v>
      </c>
      <c r="E84" s="1356">
        <v>754100000</v>
      </c>
      <c r="F84" s="1356">
        <v>501672396</v>
      </c>
      <c r="G84" s="1382">
        <f t="shared" si="2"/>
        <v>66.525977456570757</v>
      </c>
      <c r="H84" s="1382">
        <v>70</v>
      </c>
      <c r="I84" s="1353"/>
      <c r="J84" s="1341"/>
      <c r="K84" s="1341"/>
      <c r="L84" s="1341"/>
    </row>
    <row r="85" spans="3:12" ht="20.100000000000001" customHeight="1">
      <c r="C85" s="878"/>
      <c r="D85" s="1357" t="s">
        <v>4060</v>
      </c>
      <c r="E85" s="1356">
        <v>350000000</v>
      </c>
      <c r="F85" s="1356">
        <v>0</v>
      </c>
      <c r="G85" s="1382">
        <f t="shared" si="2"/>
        <v>0</v>
      </c>
      <c r="H85" s="1382">
        <f>+G85</f>
        <v>0</v>
      </c>
      <c r="I85" s="1353"/>
      <c r="J85" s="1341"/>
      <c r="K85" s="1341"/>
      <c r="L85" s="1341"/>
    </row>
    <row r="86" spans="3:12" ht="20.100000000000001" customHeight="1">
      <c r="C86" s="878"/>
      <c r="D86" s="1367" t="s">
        <v>235</v>
      </c>
      <c r="E86" s="1362">
        <v>10402675000</v>
      </c>
      <c r="F86" s="1362">
        <v>10096492499</v>
      </c>
      <c r="G86" s="1382">
        <f t="shared" si="2"/>
        <v>97.056694542509504</v>
      </c>
      <c r="H86" s="1382">
        <f>SUM((H87:H91))/5</f>
        <v>97</v>
      </c>
      <c r="I86" s="1353"/>
      <c r="J86" s="1341"/>
      <c r="K86" s="1341"/>
      <c r="L86" s="1341"/>
    </row>
    <row r="87" spans="3:12" ht="20.100000000000001" customHeight="1">
      <c r="C87" s="878"/>
      <c r="D87" s="1357" t="s">
        <v>236</v>
      </c>
      <c r="E87" s="1356">
        <v>2170500000</v>
      </c>
      <c r="F87" s="1356">
        <v>2152291878</v>
      </c>
      <c r="G87" s="1382">
        <f t="shared" si="2"/>
        <v>99.161109329647545</v>
      </c>
      <c r="H87" s="1382">
        <v>100</v>
      </c>
      <c r="I87" s="1353"/>
      <c r="J87" s="1341"/>
      <c r="K87" s="1341"/>
      <c r="L87" s="1341"/>
    </row>
    <row r="88" spans="3:12" ht="20.100000000000001" customHeight="1">
      <c r="C88" s="878"/>
      <c r="D88" s="1357" t="s">
        <v>237</v>
      </c>
      <c r="E88" s="1356">
        <v>5842230000</v>
      </c>
      <c r="F88" s="1356">
        <v>5789620000</v>
      </c>
      <c r="G88" s="1382">
        <f t="shared" si="2"/>
        <v>99.099487695623083</v>
      </c>
      <c r="H88" s="1382">
        <v>100</v>
      </c>
      <c r="I88" s="1353"/>
      <c r="J88" s="1341"/>
      <c r="K88" s="1341"/>
      <c r="L88" s="1341"/>
    </row>
    <row r="89" spans="3:12" ht="20.100000000000001" customHeight="1">
      <c r="C89" s="878"/>
      <c r="D89" s="1357" t="s">
        <v>238</v>
      </c>
      <c r="E89" s="1356">
        <v>593500000</v>
      </c>
      <c r="F89" s="1356">
        <v>544227467</v>
      </c>
      <c r="G89" s="1382">
        <f t="shared" si="2"/>
        <v>91.697972535804553</v>
      </c>
      <c r="H89" s="1382">
        <v>95</v>
      </c>
      <c r="I89" s="1353"/>
      <c r="J89" s="1341"/>
      <c r="K89" s="1341"/>
      <c r="L89" s="1341"/>
    </row>
    <row r="90" spans="3:12" ht="20.100000000000001" customHeight="1">
      <c r="C90" s="878"/>
      <c r="D90" s="1357" t="s">
        <v>4059</v>
      </c>
      <c r="E90" s="1356">
        <v>1400320000</v>
      </c>
      <c r="F90" s="1356">
        <v>1228501829</v>
      </c>
      <c r="G90" s="1382">
        <f t="shared" si="2"/>
        <v>87.730078053587761</v>
      </c>
      <c r="H90" s="1382">
        <v>90</v>
      </c>
      <c r="I90" s="1353"/>
      <c r="J90" s="1341"/>
      <c r="K90" s="1341"/>
      <c r="L90" s="1341"/>
    </row>
    <row r="91" spans="3:12" ht="20.100000000000001" customHeight="1">
      <c r="C91" s="878"/>
      <c r="D91" s="1357" t="s">
        <v>4058</v>
      </c>
      <c r="E91" s="1356">
        <v>396125000</v>
      </c>
      <c r="F91" s="1356">
        <v>381851325</v>
      </c>
      <c r="G91" s="1382">
        <f t="shared" si="2"/>
        <v>96.39667402966235</v>
      </c>
      <c r="H91" s="1382">
        <v>100</v>
      </c>
      <c r="I91" s="1353"/>
      <c r="J91" s="1341"/>
      <c r="K91" s="1341"/>
      <c r="L91" s="1341"/>
    </row>
    <row r="92" spans="3:12" ht="20.100000000000001" customHeight="1">
      <c r="C92" s="878"/>
      <c r="D92" s="1367" t="s">
        <v>240</v>
      </c>
      <c r="E92" s="1362">
        <v>790500000</v>
      </c>
      <c r="F92" s="1362">
        <v>750714947</v>
      </c>
      <c r="G92" s="1382">
        <f t="shared" si="2"/>
        <v>94.967102719797595</v>
      </c>
      <c r="H92" s="1382">
        <f>195/2</f>
        <v>97.5</v>
      </c>
      <c r="I92" s="1353"/>
      <c r="J92" s="1341"/>
      <c r="K92" s="1341"/>
      <c r="L92" s="1341"/>
    </row>
    <row r="93" spans="3:12" ht="20.100000000000001" customHeight="1">
      <c r="C93" s="878"/>
      <c r="D93" s="1357" t="s">
        <v>241</v>
      </c>
      <c r="E93" s="1356">
        <v>331468001</v>
      </c>
      <c r="F93" s="1356">
        <v>330059938</v>
      </c>
      <c r="G93" s="1382">
        <f t="shared" si="2"/>
        <v>99.575203942536831</v>
      </c>
      <c r="H93" s="1382">
        <v>100</v>
      </c>
      <c r="I93" s="1353"/>
      <c r="J93" s="1341"/>
      <c r="K93" s="1341"/>
      <c r="L93" s="1341"/>
    </row>
    <row r="94" spans="3:12" ht="20.100000000000001" customHeight="1">
      <c r="C94" s="878"/>
      <c r="D94" s="1357" t="s">
        <v>242</v>
      </c>
      <c r="E94" s="1356">
        <v>459031999</v>
      </c>
      <c r="F94" s="1356">
        <v>420655009</v>
      </c>
      <c r="G94" s="1382">
        <f t="shared" si="2"/>
        <v>91.639582843112422</v>
      </c>
      <c r="H94" s="1382">
        <v>95</v>
      </c>
      <c r="I94" s="1353"/>
      <c r="J94" s="1341"/>
      <c r="K94" s="1341"/>
      <c r="L94" s="1341"/>
    </row>
    <row r="95" spans="3:12" ht="20.100000000000001" customHeight="1">
      <c r="C95" s="878"/>
      <c r="D95" s="1367" t="s">
        <v>243</v>
      </c>
      <c r="E95" s="1362">
        <v>100000000</v>
      </c>
      <c r="F95" s="1362">
        <v>99459600</v>
      </c>
      <c r="G95" s="1382">
        <f t="shared" si="2"/>
        <v>99.459600000000009</v>
      </c>
      <c r="H95" s="1382">
        <f>SUM((H96:H101))/6</f>
        <v>91.666666666666671</v>
      </c>
      <c r="I95" s="1353"/>
      <c r="J95" s="1341"/>
      <c r="K95" s="1341"/>
      <c r="L95" s="1341"/>
    </row>
    <row r="96" spans="3:12" ht="20.100000000000001" customHeight="1">
      <c r="C96" s="878"/>
      <c r="D96" s="1357" t="s">
        <v>244</v>
      </c>
      <c r="E96" s="1356">
        <v>100000000</v>
      </c>
      <c r="F96" s="1356">
        <v>99459600</v>
      </c>
      <c r="G96" s="1382">
        <f t="shared" si="2"/>
        <v>99.459600000000009</v>
      </c>
      <c r="H96" s="1382">
        <v>100</v>
      </c>
      <c r="I96" s="1353"/>
      <c r="J96" s="1341"/>
      <c r="K96" s="1341"/>
      <c r="L96" s="1341"/>
    </row>
    <row r="97" spans="1:12" ht="20.100000000000001" customHeight="1">
      <c r="C97" s="878"/>
      <c r="D97" s="1357" t="s">
        <v>245</v>
      </c>
      <c r="E97" s="1356">
        <v>1579620000</v>
      </c>
      <c r="F97" s="1356">
        <v>1372676298</v>
      </c>
      <c r="G97" s="1382">
        <f t="shared" si="2"/>
        <v>86.899146503589478</v>
      </c>
      <c r="H97" s="1382">
        <v>90</v>
      </c>
      <c r="I97" s="1353"/>
      <c r="J97" s="1341"/>
      <c r="K97" s="1341"/>
      <c r="L97" s="1341"/>
    </row>
    <row r="98" spans="1:12" ht="20.100000000000001" customHeight="1">
      <c r="C98" s="878"/>
      <c r="D98" s="1357" t="s">
        <v>246</v>
      </c>
      <c r="E98" s="1356">
        <v>301330000</v>
      </c>
      <c r="F98" s="1356">
        <v>292241604</v>
      </c>
      <c r="G98" s="1382">
        <f t="shared" si="2"/>
        <v>96.983906016659475</v>
      </c>
      <c r="H98" s="1382">
        <v>100</v>
      </c>
      <c r="I98" s="1353"/>
      <c r="J98" s="1341"/>
      <c r="K98" s="1341"/>
      <c r="L98" s="1341"/>
    </row>
    <row r="99" spans="1:12" ht="20.100000000000001" customHeight="1">
      <c r="C99" s="878"/>
      <c r="D99" s="1357" t="s">
        <v>247</v>
      </c>
      <c r="E99" s="1356">
        <v>249750000</v>
      </c>
      <c r="F99" s="1356">
        <v>204039700</v>
      </c>
      <c r="G99" s="1382">
        <f t="shared" si="2"/>
        <v>81.697577577577576</v>
      </c>
      <c r="H99" s="1382">
        <v>85</v>
      </c>
      <c r="I99" s="1353"/>
      <c r="J99" s="1341"/>
      <c r="K99" s="1341"/>
      <c r="L99" s="1341"/>
    </row>
    <row r="100" spans="1:12" ht="20.100000000000001" customHeight="1">
      <c r="C100" s="878"/>
      <c r="D100" s="1357" t="s">
        <v>4057</v>
      </c>
      <c r="E100" s="1356">
        <v>782190000</v>
      </c>
      <c r="F100" s="1356">
        <v>659353183</v>
      </c>
      <c r="G100" s="1382">
        <f t="shared" si="2"/>
        <v>84.295782738209397</v>
      </c>
      <c r="H100" s="1382">
        <v>85</v>
      </c>
      <c r="I100" s="1353"/>
      <c r="J100" s="1341"/>
      <c r="K100" s="1341"/>
      <c r="L100" s="1341"/>
    </row>
    <row r="101" spans="1:12" ht="20.100000000000001" customHeight="1">
      <c r="C101" s="878"/>
      <c r="D101" s="1357" t="s">
        <v>248</v>
      </c>
      <c r="E101" s="1356">
        <v>246350000</v>
      </c>
      <c r="F101" s="1356">
        <v>217041811</v>
      </c>
      <c r="G101" s="1382">
        <f t="shared" si="2"/>
        <v>88.103028617820172</v>
      </c>
      <c r="H101" s="1382">
        <v>90</v>
      </c>
      <c r="I101" s="1353"/>
      <c r="J101" s="1341"/>
      <c r="K101" s="1341"/>
      <c r="L101" s="1341"/>
    </row>
    <row r="102" spans="1:12" ht="15" customHeight="1">
      <c r="C102" s="878"/>
      <c r="D102" s="1370"/>
      <c r="E102" s="1369">
        <v>0</v>
      </c>
      <c r="F102" s="1563"/>
      <c r="G102" s="1562"/>
      <c r="H102" s="1562"/>
      <c r="I102" s="1353"/>
      <c r="J102" s="1341"/>
      <c r="K102" s="1341"/>
      <c r="L102" s="1341"/>
    </row>
    <row r="103" spans="1:12" s="44" customFormat="1" ht="20.100000000000001" customHeight="1">
      <c r="C103" s="881" t="s">
        <v>383</v>
      </c>
      <c r="D103" s="1370" t="s">
        <v>32</v>
      </c>
      <c r="E103" s="1404">
        <f>E104+E126+E160+E180+E193+E233+E267+E301+E319+E332+E357+E377+E391+E419+E445+E454+E494+E505+E512+E546+E556+E581+E600+E614+E631+E642+E666+E704+E723</f>
        <v>310519543160.35999</v>
      </c>
      <c r="F103" s="1404">
        <f>F104+F126+F160+F180+F193+F233+F267+F301+F319+F332+F357+F377+F391+F419+F445+F454+F494+F505+F512+F546+F556+F581+F600+F614+F631+F642+F666+F704+F723</f>
        <v>261733667118.54999</v>
      </c>
      <c r="G103" s="1382">
        <f>F103/E103*100</f>
        <v>84.288951495521246</v>
      </c>
      <c r="H103" s="1382">
        <f>(H104+H126+H160+H180+H193+H233+H267+H301+H319+H332+H357+H377+H391+H419+H445+H454+H494+H505+H512+H546+H556+H581+H600+H614+H631+H642+H666+H704+H723)/29</f>
        <v>80.812157339582456</v>
      </c>
      <c r="I103" s="1360"/>
      <c r="J103" s="1346"/>
      <c r="K103" s="1346"/>
      <c r="L103" s="1346"/>
    </row>
    <row r="104" spans="1:12" s="1359" customFormat="1" ht="20.100000000000001" customHeight="1">
      <c r="A104" s="1346"/>
      <c r="B104" s="1346"/>
      <c r="C104" s="1381" t="s">
        <v>385</v>
      </c>
      <c r="D104" s="1370" t="s">
        <v>3988</v>
      </c>
      <c r="E104" s="1369">
        <f>+E105+E122</f>
        <v>15377020800</v>
      </c>
      <c r="F104" s="1369">
        <f>+F105+F122</f>
        <v>13352416300</v>
      </c>
      <c r="G104" s="1368">
        <f>+F104/E104*100</f>
        <v>86.833571168740306</v>
      </c>
      <c r="H104" s="1368">
        <f>(H105+H122)/2</f>
        <v>92.833333333333329</v>
      </c>
      <c r="I104" s="1360"/>
      <c r="J104" s="1346"/>
      <c r="K104" s="1561"/>
      <c r="L104" s="1346"/>
    </row>
    <row r="105" spans="1:12" s="1352" customFormat="1" ht="20.100000000000001" customHeight="1">
      <c r="A105" s="1341"/>
      <c r="B105" s="1341"/>
      <c r="C105" s="1381"/>
      <c r="D105" s="1454" t="s">
        <v>161</v>
      </c>
      <c r="E105" s="1549">
        <f>SUM(E106+E110+E112+E116+E119)</f>
        <v>10377020800</v>
      </c>
      <c r="F105" s="1549">
        <f>SUM(F106+F110+F112+F116+F119)</f>
        <v>8419343000</v>
      </c>
      <c r="G105" s="1558">
        <f t="shared" ref="G105:G120" si="3">SUM(F105/E105*100)</f>
        <v>81.134490932118013</v>
      </c>
      <c r="H105" s="1557">
        <f>(H106+H110+H112+H116+H119)/5</f>
        <v>85.666666666666657</v>
      </c>
      <c r="I105" s="1353"/>
      <c r="J105" s="1341"/>
      <c r="K105" s="1341"/>
      <c r="L105" s="1341"/>
    </row>
    <row r="106" spans="1:12" s="1352" customFormat="1" ht="20.100000000000001" customHeight="1">
      <c r="A106" s="1341"/>
      <c r="B106" s="1341"/>
      <c r="C106" s="1381"/>
      <c r="D106" s="1454" t="s">
        <v>173</v>
      </c>
      <c r="E106" s="1549">
        <f>SUM(E107:E109)</f>
        <v>4630355000</v>
      </c>
      <c r="F106" s="1549">
        <f>SUM(F107:F109)</f>
        <v>3142665500</v>
      </c>
      <c r="G106" s="1558">
        <f t="shared" si="3"/>
        <v>67.870940780998438</v>
      </c>
      <c r="H106" s="1557">
        <f>SUM((H107:H109))/3</f>
        <v>78.333333333333329</v>
      </c>
      <c r="I106" s="1353"/>
      <c r="J106" s="1341"/>
      <c r="K106" s="1341"/>
      <c r="L106" s="1341"/>
    </row>
    <row r="107" spans="1:12" s="1352" customFormat="1" ht="20.100000000000001" customHeight="1">
      <c r="A107" s="1341"/>
      <c r="B107" s="1341"/>
      <c r="C107" s="1381"/>
      <c r="D107" s="1455" t="s">
        <v>414</v>
      </c>
      <c r="E107" s="1547">
        <v>233200000</v>
      </c>
      <c r="F107" s="1560">
        <v>213905200</v>
      </c>
      <c r="G107" s="1556">
        <f t="shared" si="3"/>
        <v>91.72607204116639</v>
      </c>
      <c r="H107" s="1555">
        <v>95</v>
      </c>
      <c r="I107" s="1353"/>
      <c r="J107" s="1341"/>
      <c r="K107" s="1341"/>
      <c r="L107" s="1341"/>
    </row>
    <row r="108" spans="1:12" s="1352" customFormat="1" ht="20.100000000000001" customHeight="1">
      <c r="A108" s="1341"/>
      <c r="B108" s="1341"/>
      <c r="C108" s="1381"/>
      <c r="D108" s="1455" t="s">
        <v>415</v>
      </c>
      <c r="E108" s="1547">
        <v>2107455000</v>
      </c>
      <c r="F108" s="1556">
        <v>2060921000</v>
      </c>
      <c r="G108" s="1556">
        <f t="shared" si="3"/>
        <v>97.791933872846641</v>
      </c>
      <c r="H108" s="1555">
        <v>100</v>
      </c>
      <c r="I108" s="1353"/>
      <c r="J108" s="1341"/>
      <c r="K108" s="1341"/>
      <c r="L108" s="1341"/>
    </row>
    <row r="109" spans="1:12" s="1352" customFormat="1" ht="20.100000000000001" customHeight="1">
      <c r="A109" s="1341"/>
      <c r="B109" s="1341"/>
      <c r="C109" s="1381"/>
      <c r="D109" s="1455" t="s">
        <v>416</v>
      </c>
      <c r="E109" s="1547">
        <v>2289700000</v>
      </c>
      <c r="F109" s="1556">
        <v>867839300</v>
      </c>
      <c r="G109" s="1556">
        <f t="shared" si="3"/>
        <v>37.901877975280605</v>
      </c>
      <c r="H109" s="1555">
        <v>40</v>
      </c>
      <c r="I109" s="1353"/>
      <c r="J109" s="1341"/>
      <c r="K109" s="1341"/>
      <c r="L109" s="1341"/>
    </row>
    <row r="110" spans="1:12" s="1352" customFormat="1" ht="20.100000000000001" customHeight="1">
      <c r="A110" s="1341"/>
      <c r="B110" s="1341"/>
      <c r="C110" s="1381"/>
      <c r="D110" s="1454" t="s">
        <v>190</v>
      </c>
      <c r="E110" s="1549">
        <f>SUM(E111)</f>
        <v>1856250000</v>
      </c>
      <c r="F110" s="1549">
        <f>SUM(F111)</f>
        <v>1856250000</v>
      </c>
      <c r="G110" s="1558">
        <f t="shared" si="3"/>
        <v>100</v>
      </c>
      <c r="H110" s="1557">
        <f>SUM(F110/E110)*100</f>
        <v>100</v>
      </c>
      <c r="I110" s="1353"/>
      <c r="J110" s="1341"/>
      <c r="K110" s="1341"/>
      <c r="L110" s="1341"/>
    </row>
    <row r="111" spans="1:12" s="1352" customFormat="1" ht="20.100000000000001" customHeight="1">
      <c r="A111" s="1341"/>
      <c r="B111" s="1341"/>
      <c r="C111" s="1381"/>
      <c r="D111" s="1455" t="s">
        <v>417</v>
      </c>
      <c r="E111" s="1547">
        <v>1856250000</v>
      </c>
      <c r="F111" s="1556">
        <v>1856250000</v>
      </c>
      <c r="G111" s="1556">
        <f t="shared" si="3"/>
        <v>100</v>
      </c>
      <c r="H111" s="1555">
        <f>SUM(F111/E111)*100</f>
        <v>100</v>
      </c>
      <c r="I111" s="1353"/>
      <c r="J111" s="1341"/>
      <c r="K111" s="1341"/>
      <c r="L111" s="1341"/>
    </row>
    <row r="112" spans="1:12" s="1352" customFormat="1" ht="20.100000000000001" customHeight="1">
      <c r="A112" s="1341"/>
      <c r="B112" s="1341"/>
      <c r="C112" s="1381"/>
      <c r="D112" s="1454" t="s">
        <v>196</v>
      </c>
      <c r="E112" s="1549">
        <f>SUM(E113:E115)</f>
        <v>940760400</v>
      </c>
      <c r="F112" s="1549">
        <f>SUM(F113:F115)</f>
        <v>513750000</v>
      </c>
      <c r="G112" s="1558">
        <f t="shared" si="3"/>
        <v>54.610079250784793</v>
      </c>
      <c r="H112" s="1557">
        <f>SUM((H113:H115))/3</f>
        <v>50</v>
      </c>
      <c r="I112" s="1353"/>
      <c r="J112" s="1341"/>
      <c r="K112" s="1341"/>
      <c r="L112" s="1341"/>
    </row>
    <row r="113" spans="1:12" s="1352" customFormat="1" ht="20.100000000000001" customHeight="1">
      <c r="A113" s="1341"/>
      <c r="B113" s="1341"/>
      <c r="C113" s="1381"/>
      <c r="D113" s="1455" t="s">
        <v>418</v>
      </c>
      <c r="E113" s="1547">
        <v>482000000</v>
      </c>
      <c r="F113" s="1556">
        <v>282000000</v>
      </c>
      <c r="G113" s="1556">
        <f t="shared" si="3"/>
        <v>58.506224066390047</v>
      </c>
      <c r="H113" s="1555">
        <v>60</v>
      </c>
      <c r="I113" s="1353"/>
      <c r="J113" s="1341"/>
      <c r="K113" s="1341"/>
      <c r="L113" s="1341"/>
    </row>
    <row r="114" spans="1:12" s="1352" customFormat="1" ht="20.100000000000001" customHeight="1">
      <c r="A114" s="1341"/>
      <c r="B114" s="1341"/>
      <c r="C114" s="1381"/>
      <c r="D114" s="1455" t="s">
        <v>419</v>
      </c>
      <c r="E114" s="1547">
        <v>201260400</v>
      </c>
      <c r="F114" s="1556">
        <v>0</v>
      </c>
      <c r="G114" s="1556">
        <f t="shared" si="3"/>
        <v>0</v>
      </c>
      <c r="H114" s="1555">
        <f>SUM(F114/E114)*100</f>
        <v>0</v>
      </c>
      <c r="I114" s="1353"/>
      <c r="J114" s="1341"/>
      <c r="K114" s="1341"/>
      <c r="L114" s="1341"/>
    </row>
    <row r="115" spans="1:12" s="1352" customFormat="1" ht="20.100000000000001" customHeight="1">
      <c r="A115" s="1341"/>
      <c r="B115" s="1341"/>
      <c r="C115" s="1381"/>
      <c r="D115" s="1455" t="s">
        <v>420</v>
      </c>
      <c r="E115" s="1547">
        <v>257500000</v>
      </c>
      <c r="F115" s="1556">
        <v>231750000</v>
      </c>
      <c r="G115" s="1556">
        <f t="shared" si="3"/>
        <v>90</v>
      </c>
      <c r="H115" s="1555">
        <f>SUM(F115/E115)*100</f>
        <v>90</v>
      </c>
      <c r="I115" s="1353"/>
      <c r="J115" s="1341"/>
      <c r="K115" s="1341"/>
      <c r="L115" s="1341"/>
    </row>
    <row r="116" spans="1:12" s="1352" customFormat="1" ht="31.5" customHeight="1">
      <c r="A116" s="1341"/>
      <c r="B116" s="1341"/>
      <c r="C116" s="1381"/>
      <c r="D116" s="1454" t="s">
        <v>421</v>
      </c>
      <c r="E116" s="1549">
        <f>SUM(E117:E118)</f>
        <v>1249655400</v>
      </c>
      <c r="F116" s="1549">
        <f>SUM(F117:F118)</f>
        <v>1240450000</v>
      </c>
      <c r="G116" s="1558">
        <f t="shared" si="3"/>
        <v>99.263364924442371</v>
      </c>
      <c r="H116" s="1557">
        <f>SUM((H117:H118))/2</f>
        <v>100</v>
      </c>
      <c r="I116" s="1353"/>
      <c r="J116" s="1341"/>
      <c r="K116" s="1341"/>
      <c r="L116" s="1341"/>
    </row>
    <row r="117" spans="1:12" s="1352" customFormat="1" ht="20.100000000000001" customHeight="1">
      <c r="A117" s="1341"/>
      <c r="B117" s="1341"/>
      <c r="C117" s="1381"/>
      <c r="D117" s="1455" t="s">
        <v>422</v>
      </c>
      <c r="E117" s="1547">
        <v>295205400</v>
      </c>
      <c r="F117" s="1556">
        <v>290000000</v>
      </c>
      <c r="G117" s="1556">
        <f t="shared" si="3"/>
        <v>98.236685372286544</v>
      </c>
      <c r="H117" s="1555">
        <v>100</v>
      </c>
      <c r="I117" s="1353"/>
      <c r="J117" s="1341"/>
      <c r="K117" s="1341"/>
      <c r="L117" s="1341"/>
    </row>
    <row r="118" spans="1:12" s="1352" customFormat="1" ht="20.100000000000001" customHeight="1">
      <c r="A118" s="1341"/>
      <c r="B118" s="1341"/>
      <c r="C118" s="1381"/>
      <c r="D118" s="1455" t="s">
        <v>423</v>
      </c>
      <c r="E118" s="1547">
        <v>954450000</v>
      </c>
      <c r="F118" s="1556">
        <v>950450000</v>
      </c>
      <c r="G118" s="1556">
        <f t="shared" si="3"/>
        <v>99.580910471999587</v>
      </c>
      <c r="H118" s="1555">
        <v>100</v>
      </c>
      <c r="I118" s="1353"/>
      <c r="J118" s="1341"/>
      <c r="K118" s="1341"/>
      <c r="L118" s="1341"/>
    </row>
    <row r="119" spans="1:12" s="1352" customFormat="1" ht="20.100000000000001" customHeight="1">
      <c r="A119" s="1341"/>
      <c r="B119" s="1341"/>
      <c r="C119" s="1381"/>
      <c r="D119" s="1454" t="s">
        <v>212</v>
      </c>
      <c r="E119" s="1549">
        <f>SUM(E120)</f>
        <v>1700000000</v>
      </c>
      <c r="F119" s="1549">
        <f>SUM(F120)</f>
        <v>1666227500</v>
      </c>
      <c r="G119" s="1558">
        <f t="shared" si="3"/>
        <v>98.013382352941179</v>
      </c>
      <c r="H119" s="1557">
        <v>100</v>
      </c>
      <c r="I119" s="1353"/>
      <c r="J119" s="1341"/>
      <c r="K119" s="1341"/>
      <c r="L119" s="1341"/>
    </row>
    <row r="120" spans="1:12" s="1352" customFormat="1" ht="20.100000000000001" customHeight="1">
      <c r="A120" s="1341"/>
      <c r="B120" s="1341"/>
      <c r="C120" s="1381"/>
      <c r="D120" s="1455" t="s">
        <v>424</v>
      </c>
      <c r="E120" s="1547">
        <v>1700000000</v>
      </c>
      <c r="F120" s="1556">
        <v>1666227500</v>
      </c>
      <c r="G120" s="1556">
        <f t="shared" si="3"/>
        <v>98.013382352941179</v>
      </c>
      <c r="H120" s="1555">
        <v>100</v>
      </c>
      <c r="I120" s="1353"/>
      <c r="J120" s="1341"/>
      <c r="K120" s="1341"/>
      <c r="L120" s="1341"/>
    </row>
    <row r="121" spans="1:12" s="1352" customFormat="1" ht="15" customHeight="1">
      <c r="A121" s="1341"/>
      <c r="B121" s="1341"/>
      <c r="C121" s="1381"/>
      <c r="D121" s="1455"/>
      <c r="E121" s="1547"/>
      <c r="F121" s="1556"/>
      <c r="G121" s="1556"/>
      <c r="H121" s="1555"/>
      <c r="I121" s="1353"/>
      <c r="J121" s="1341"/>
      <c r="K121" s="1341"/>
      <c r="L121" s="1341"/>
    </row>
    <row r="122" spans="1:12" s="1352" customFormat="1" ht="33" customHeight="1">
      <c r="A122" s="1341"/>
      <c r="B122" s="1341"/>
      <c r="C122" s="1381"/>
      <c r="D122" s="1559" t="s">
        <v>425</v>
      </c>
      <c r="E122" s="1558">
        <f>SUM(E123)</f>
        <v>5000000000</v>
      </c>
      <c r="F122" s="1558">
        <f>SUM(F123)</f>
        <v>4933073300</v>
      </c>
      <c r="G122" s="1558">
        <f>SUM(F122/E122*100)</f>
        <v>98.661466000000004</v>
      </c>
      <c r="H122" s="1557">
        <v>100</v>
      </c>
      <c r="I122" s="1353"/>
      <c r="J122" s="1341"/>
      <c r="K122" s="1341"/>
      <c r="L122" s="1341"/>
    </row>
    <row r="123" spans="1:12" s="1352" customFormat="1" ht="20.100000000000001" customHeight="1">
      <c r="A123" s="1341"/>
      <c r="B123" s="1341"/>
      <c r="C123" s="1381"/>
      <c r="D123" s="1454" t="s">
        <v>426</v>
      </c>
      <c r="E123" s="1549">
        <f>SUM(E124)</f>
        <v>5000000000</v>
      </c>
      <c r="F123" s="1549">
        <f>SUM(F124)</f>
        <v>4933073300</v>
      </c>
      <c r="G123" s="1558">
        <f>SUM(F123/E123*100)</f>
        <v>98.661466000000004</v>
      </c>
      <c r="H123" s="1557">
        <v>100</v>
      </c>
      <c r="I123" s="1353"/>
      <c r="J123" s="1341"/>
      <c r="K123" s="1341"/>
      <c r="L123" s="1341"/>
    </row>
    <row r="124" spans="1:12" s="1352" customFormat="1" ht="20.100000000000001" customHeight="1">
      <c r="A124" s="1341"/>
      <c r="B124" s="1341"/>
      <c r="C124" s="1381"/>
      <c r="D124" s="1455" t="s">
        <v>427</v>
      </c>
      <c r="E124" s="1547">
        <v>5000000000</v>
      </c>
      <c r="F124" s="1556">
        <v>4933073300</v>
      </c>
      <c r="G124" s="1556">
        <f>SUM(F124/E124*100)</f>
        <v>98.661466000000004</v>
      </c>
      <c r="H124" s="1555">
        <v>100</v>
      </c>
      <c r="I124" s="1353"/>
      <c r="J124" s="1341"/>
      <c r="K124" s="1341"/>
      <c r="L124" s="1341"/>
    </row>
    <row r="125" spans="1:12" ht="15" customHeight="1">
      <c r="A125" s="1341"/>
      <c r="B125" s="1341"/>
      <c r="C125" s="1381"/>
      <c r="D125" s="1373"/>
      <c r="E125" s="1369">
        <v>0</v>
      </c>
      <c r="F125" s="1372"/>
      <c r="G125" s="1371"/>
      <c r="H125" s="1371"/>
      <c r="I125" s="1353"/>
      <c r="J125" s="1341"/>
      <c r="K125" s="1341"/>
      <c r="L125" s="1341"/>
    </row>
    <row r="126" spans="1:12" s="1352" customFormat="1" ht="20.100000000000001" customHeight="1">
      <c r="A126" s="1341"/>
      <c r="B126" s="1341"/>
      <c r="C126" s="1381" t="s">
        <v>441</v>
      </c>
      <c r="D126" s="1414" t="s">
        <v>442</v>
      </c>
      <c r="E126" s="1554">
        <f>E127+E139+E145+E155</f>
        <v>16429106511.630001</v>
      </c>
      <c r="F126" s="1554">
        <f>F127+F139+F145+F155</f>
        <v>15967526383</v>
      </c>
      <c r="G126" s="1368">
        <f>+F126/E126*100</f>
        <v>97.190473332781352</v>
      </c>
      <c r="H126" s="1368">
        <f>(H127+H139+H145+H155)/4</f>
        <v>96.392705344283399</v>
      </c>
      <c r="I126" s="1353"/>
      <c r="J126" s="1341"/>
      <c r="K126" s="1341"/>
      <c r="L126" s="1341"/>
    </row>
    <row r="127" spans="1:12" s="1352" customFormat="1" ht="20.100000000000001" customHeight="1">
      <c r="A127" s="1341"/>
      <c r="B127" s="1341"/>
      <c r="C127" s="1381"/>
      <c r="D127" s="1414" t="s">
        <v>161</v>
      </c>
      <c r="E127" s="1412">
        <v>2198310000</v>
      </c>
      <c r="F127" s="1412">
        <v>2154476137</v>
      </c>
      <c r="G127" s="1383">
        <f>(H128+H130+H132+H134+H136)/5</f>
        <v>91.999551461338385</v>
      </c>
      <c r="H127" s="1383">
        <v>96.051799449877919</v>
      </c>
      <c r="I127" s="1353"/>
      <c r="J127" s="1341"/>
      <c r="K127" s="1341"/>
      <c r="L127" s="1341"/>
    </row>
    <row r="128" spans="1:12" s="1352" customFormat="1" ht="20.100000000000001" customHeight="1">
      <c r="A128" s="1341"/>
      <c r="B128" s="1341"/>
      <c r="C128" s="1381"/>
      <c r="D128" s="1553" t="s">
        <v>475</v>
      </c>
      <c r="E128" s="1412">
        <v>76300000</v>
      </c>
      <c r="F128" s="1412">
        <v>43300000</v>
      </c>
      <c r="G128" s="1383">
        <v>56.749672346002619</v>
      </c>
      <c r="H128" s="1383">
        <v>60</v>
      </c>
      <c r="I128" s="1353"/>
      <c r="J128" s="1341"/>
      <c r="K128" s="1341"/>
      <c r="L128" s="1341"/>
    </row>
    <row r="129" spans="1:12" s="1352" customFormat="1" ht="20.100000000000001" customHeight="1">
      <c r="A129" s="1341"/>
      <c r="B129" s="1341"/>
      <c r="C129" s="1381"/>
      <c r="D129" s="1552" t="s">
        <v>3982</v>
      </c>
      <c r="E129" s="1413">
        <v>76300000</v>
      </c>
      <c r="F129" s="1413">
        <v>43300000</v>
      </c>
      <c r="G129" s="1376">
        <v>56.749672346002619</v>
      </c>
      <c r="H129" s="1376">
        <v>60</v>
      </c>
      <c r="I129" s="1353"/>
      <c r="J129" s="1341"/>
      <c r="K129" s="1341"/>
      <c r="L129" s="1341"/>
    </row>
    <row r="130" spans="1:12" s="1352" customFormat="1" ht="20.100000000000001" customHeight="1">
      <c r="A130" s="1341"/>
      <c r="B130" s="1341"/>
      <c r="C130" s="1381"/>
      <c r="D130" s="1553" t="s">
        <v>162</v>
      </c>
      <c r="E130" s="1412">
        <v>357200000</v>
      </c>
      <c r="F130" s="1412">
        <v>346645200</v>
      </c>
      <c r="G130" s="1383">
        <v>97.045128779395299</v>
      </c>
      <c r="H130" s="1383">
        <v>100</v>
      </c>
      <c r="I130" s="1353"/>
      <c r="J130" s="1341"/>
      <c r="K130" s="1341"/>
      <c r="L130" s="1341"/>
    </row>
    <row r="131" spans="1:12" s="1352" customFormat="1" ht="20.100000000000001" customHeight="1">
      <c r="A131" s="1341"/>
      <c r="B131" s="1341"/>
      <c r="C131" s="1381"/>
      <c r="D131" s="1552" t="s">
        <v>477</v>
      </c>
      <c r="E131" s="1413">
        <v>357200000</v>
      </c>
      <c r="F131" s="1413">
        <v>346645200</v>
      </c>
      <c r="G131" s="1376">
        <v>97.045128779395299</v>
      </c>
      <c r="H131" s="1376">
        <v>100</v>
      </c>
      <c r="I131" s="1353"/>
      <c r="J131" s="1341"/>
      <c r="K131" s="1341"/>
      <c r="L131" s="1341"/>
    </row>
    <row r="132" spans="1:12" s="1352" customFormat="1" ht="20.100000000000001" customHeight="1">
      <c r="A132" s="1341"/>
      <c r="B132" s="1341"/>
      <c r="C132" s="1381"/>
      <c r="D132" s="1553" t="s">
        <v>173</v>
      </c>
      <c r="E132" s="1412">
        <v>1700000000</v>
      </c>
      <c r="F132" s="1412">
        <v>1699980937</v>
      </c>
      <c r="G132" s="1383">
        <v>99.998878647058817</v>
      </c>
      <c r="H132" s="1383">
        <v>99.997757306691966</v>
      </c>
      <c r="I132" s="1353"/>
      <c r="J132" s="1341"/>
      <c r="K132" s="1341"/>
      <c r="L132" s="1341"/>
    </row>
    <row r="133" spans="1:12" s="1352" customFormat="1" ht="20.100000000000001" customHeight="1">
      <c r="A133" s="1341"/>
      <c r="B133" s="1341"/>
      <c r="C133" s="1381"/>
      <c r="D133" s="1552" t="s">
        <v>479</v>
      </c>
      <c r="E133" s="1413">
        <v>1700000000</v>
      </c>
      <c r="F133" s="1413">
        <v>1699980937</v>
      </c>
      <c r="G133" s="1376">
        <v>99.998878647058817</v>
      </c>
      <c r="H133" s="1376">
        <v>99.997757306691966</v>
      </c>
      <c r="I133" s="1353"/>
      <c r="J133" s="1341"/>
      <c r="K133" s="1341"/>
      <c r="L133" s="1341"/>
    </row>
    <row r="134" spans="1:12" s="1352" customFormat="1" ht="20.100000000000001" customHeight="1">
      <c r="A134" s="1341"/>
      <c r="B134" s="1341"/>
      <c r="C134" s="1381"/>
      <c r="D134" s="1553" t="s">
        <v>177</v>
      </c>
      <c r="E134" s="1412">
        <v>20075000</v>
      </c>
      <c r="F134" s="1412">
        <v>20075000</v>
      </c>
      <c r="G134" s="1383">
        <v>100</v>
      </c>
      <c r="H134" s="1383">
        <v>100</v>
      </c>
      <c r="I134" s="1353"/>
      <c r="J134" s="1341"/>
      <c r="K134" s="1341"/>
      <c r="L134" s="1341"/>
    </row>
    <row r="135" spans="1:12" s="1352" customFormat="1" ht="20.100000000000001" customHeight="1">
      <c r="A135" s="1341"/>
      <c r="B135" s="1341"/>
      <c r="C135" s="1381"/>
      <c r="D135" s="1552" t="s">
        <v>178</v>
      </c>
      <c r="E135" s="1413">
        <v>20075000</v>
      </c>
      <c r="F135" s="1413">
        <v>20075000</v>
      </c>
      <c r="G135" s="1376">
        <v>100</v>
      </c>
      <c r="H135" s="1376">
        <v>100</v>
      </c>
      <c r="I135" s="1353"/>
      <c r="J135" s="1341"/>
      <c r="K135" s="1341"/>
      <c r="L135" s="1341"/>
    </row>
    <row r="136" spans="1:12" s="1352" customFormat="1" ht="20.100000000000001" customHeight="1">
      <c r="A136" s="1341"/>
      <c r="B136" s="1341"/>
      <c r="C136" s="1381"/>
      <c r="D136" s="1553" t="s">
        <v>186</v>
      </c>
      <c r="E136" s="1412">
        <v>44735000</v>
      </c>
      <c r="F136" s="1412">
        <v>44475000</v>
      </c>
      <c r="G136" s="1383">
        <v>99.418799597630496</v>
      </c>
      <c r="H136" s="1383">
        <v>100</v>
      </c>
      <c r="I136" s="1353"/>
      <c r="J136" s="1341"/>
      <c r="K136" s="1341"/>
      <c r="L136" s="1341"/>
    </row>
    <row r="137" spans="1:12" s="1352" customFormat="1" ht="20.100000000000001" customHeight="1">
      <c r="A137" s="1341"/>
      <c r="B137" s="1341"/>
      <c r="C137" s="1381"/>
      <c r="D137" s="1552" t="s">
        <v>2389</v>
      </c>
      <c r="E137" s="1413">
        <v>44735000</v>
      </c>
      <c r="F137" s="1413">
        <v>44475000</v>
      </c>
      <c r="G137" s="1376">
        <v>99.418799597630496</v>
      </c>
      <c r="H137" s="1376">
        <v>100</v>
      </c>
      <c r="I137" s="1353"/>
      <c r="J137" s="1341"/>
      <c r="K137" s="1341"/>
      <c r="L137" s="1341"/>
    </row>
    <row r="138" spans="1:12" s="1352" customFormat="1" ht="15" customHeight="1">
      <c r="A138" s="1341"/>
      <c r="B138" s="1341"/>
      <c r="C138" s="1381"/>
      <c r="D138" s="1552"/>
      <c r="E138" s="1413"/>
      <c r="F138" s="1413"/>
      <c r="G138" s="1376"/>
      <c r="H138" s="1376"/>
      <c r="I138" s="1353"/>
      <c r="J138" s="1341"/>
      <c r="K138" s="1341"/>
      <c r="L138" s="1341"/>
    </row>
    <row r="139" spans="1:12" s="1352" customFormat="1" ht="20.100000000000001" customHeight="1">
      <c r="A139" s="1341"/>
      <c r="B139" s="1341"/>
      <c r="C139" s="1381"/>
      <c r="D139" s="1414" t="s">
        <v>425</v>
      </c>
      <c r="E139" s="1412">
        <v>7696088511.6300001</v>
      </c>
      <c r="F139" s="1412">
        <v>7620306246</v>
      </c>
      <c r="G139" s="1383">
        <v>99.015314526132585</v>
      </c>
      <c r="H139" s="1383">
        <v>100</v>
      </c>
      <c r="I139" s="1353"/>
      <c r="J139" s="1341"/>
      <c r="K139" s="1341"/>
      <c r="L139" s="1341"/>
    </row>
    <row r="140" spans="1:12" s="1352" customFormat="1" ht="30" customHeight="1">
      <c r="A140" s="1341"/>
      <c r="B140" s="1341"/>
      <c r="C140" s="1381"/>
      <c r="D140" s="1553" t="s">
        <v>485</v>
      </c>
      <c r="E140" s="1412">
        <v>7696088511.6300001</v>
      </c>
      <c r="F140" s="1412">
        <v>7620306246</v>
      </c>
      <c r="G140" s="1383">
        <v>99.015314526132585</v>
      </c>
      <c r="H140" s="1383">
        <v>100</v>
      </c>
      <c r="I140" s="1353"/>
      <c r="J140" s="1341"/>
      <c r="K140" s="1341"/>
      <c r="L140" s="1341"/>
    </row>
    <row r="141" spans="1:12" s="1352" customFormat="1" ht="20.100000000000001" customHeight="1">
      <c r="A141" s="1341"/>
      <c r="B141" s="1341"/>
      <c r="C141" s="1381"/>
      <c r="D141" s="1552" t="s">
        <v>478</v>
      </c>
      <c r="E141" s="1413">
        <v>2986865455</v>
      </c>
      <c r="F141" s="1413">
        <v>2956158694</v>
      </c>
      <c r="G141" s="1376">
        <v>98.971940267727931</v>
      </c>
      <c r="H141" s="1376">
        <v>100</v>
      </c>
      <c r="I141" s="1353"/>
      <c r="J141" s="1341"/>
      <c r="K141" s="1341"/>
      <c r="L141" s="1341"/>
    </row>
    <row r="142" spans="1:12" s="1352" customFormat="1" ht="20.100000000000001" customHeight="1">
      <c r="A142" s="1341"/>
      <c r="B142" s="1341"/>
      <c r="C142" s="1381"/>
      <c r="D142" s="1552" t="s">
        <v>486</v>
      </c>
      <c r="E142" s="1413">
        <v>4203589528.6300001</v>
      </c>
      <c r="F142" s="1413">
        <v>4159205552</v>
      </c>
      <c r="G142" s="1376">
        <v>98.94414104118141</v>
      </c>
      <c r="H142" s="1376">
        <v>100</v>
      </c>
      <c r="I142" s="1353"/>
      <c r="J142" s="1341"/>
      <c r="K142" s="1341"/>
      <c r="L142" s="1341"/>
    </row>
    <row r="143" spans="1:12" s="1352" customFormat="1" ht="20.100000000000001" customHeight="1">
      <c r="A143" s="1341"/>
      <c r="B143" s="1341"/>
      <c r="C143" s="1381"/>
      <c r="D143" s="1552" t="s">
        <v>3981</v>
      </c>
      <c r="E143" s="1413">
        <v>505633528</v>
      </c>
      <c r="F143" s="1413">
        <v>504942000</v>
      </c>
      <c r="G143" s="1376">
        <v>99.86323533513783</v>
      </c>
      <c r="H143" s="1376">
        <v>100</v>
      </c>
      <c r="I143" s="1353"/>
      <c r="J143" s="1341"/>
      <c r="K143" s="1341"/>
      <c r="L143" s="1341"/>
    </row>
    <row r="144" spans="1:12" s="1352" customFormat="1" ht="15" customHeight="1">
      <c r="A144" s="1341"/>
      <c r="B144" s="1341"/>
      <c r="C144" s="1381"/>
      <c r="D144" s="1552"/>
      <c r="E144" s="1413"/>
      <c r="F144" s="1413"/>
      <c r="G144" s="1376"/>
      <c r="H144" s="1376"/>
      <c r="I144" s="1353"/>
      <c r="J144" s="1341"/>
      <c r="K144" s="1341"/>
      <c r="L144" s="1341"/>
    </row>
    <row r="145" spans="1:12" s="1352" customFormat="1" ht="33" customHeight="1">
      <c r="A145" s="1341"/>
      <c r="B145" s="1341"/>
      <c r="C145" s="1381"/>
      <c r="D145" s="1414" t="s">
        <v>522</v>
      </c>
      <c r="E145" s="1412">
        <v>185000000</v>
      </c>
      <c r="F145" s="1412">
        <v>185000000</v>
      </c>
      <c r="G145" s="1383">
        <v>100</v>
      </c>
      <c r="H145" s="1383">
        <v>100</v>
      </c>
      <c r="I145" s="1353"/>
      <c r="J145" s="1341"/>
      <c r="K145" s="1341"/>
      <c r="L145" s="1341"/>
    </row>
    <row r="146" spans="1:12" s="1352" customFormat="1" ht="20.100000000000001" customHeight="1">
      <c r="A146" s="1341"/>
      <c r="B146" s="1341"/>
      <c r="C146" s="1381"/>
      <c r="D146" s="1553" t="s">
        <v>429</v>
      </c>
      <c r="E146" s="1412">
        <v>50000000</v>
      </c>
      <c r="F146" s="1412">
        <v>50000000</v>
      </c>
      <c r="G146" s="1383">
        <v>100</v>
      </c>
      <c r="H146" s="1383">
        <v>100</v>
      </c>
      <c r="I146" s="1353"/>
      <c r="J146" s="1341"/>
      <c r="K146" s="1341"/>
      <c r="L146" s="1341"/>
    </row>
    <row r="147" spans="1:12" s="1352" customFormat="1" ht="20.100000000000001" customHeight="1">
      <c r="A147" s="1341"/>
      <c r="B147" s="1341"/>
      <c r="C147" s="1381"/>
      <c r="D147" s="1552" t="s">
        <v>3977</v>
      </c>
      <c r="E147" s="1413">
        <v>50000000</v>
      </c>
      <c r="F147" s="1413">
        <v>50000000</v>
      </c>
      <c r="G147" s="1376">
        <v>100</v>
      </c>
      <c r="H147" s="1376">
        <v>100</v>
      </c>
      <c r="I147" s="1353"/>
      <c r="J147" s="1341"/>
      <c r="K147" s="1341"/>
      <c r="L147" s="1341"/>
    </row>
    <row r="148" spans="1:12" s="1352" customFormat="1" ht="20.100000000000001" customHeight="1">
      <c r="A148" s="1341"/>
      <c r="B148" s="1341"/>
      <c r="C148" s="1381"/>
      <c r="D148" s="1553" t="s">
        <v>3976</v>
      </c>
      <c r="E148" s="1412">
        <v>35000000</v>
      </c>
      <c r="F148" s="1412">
        <v>35000000</v>
      </c>
      <c r="G148" s="1376">
        <v>100</v>
      </c>
      <c r="H148" s="1376">
        <v>100</v>
      </c>
      <c r="I148" s="1353"/>
      <c r="J148" s="1341"/>
      <c r="K148" s="1341"/>
      <c r="L148" s="1341"/>
    </row>
    <row r="149" spans="1:12" s="1352" customFormat="1" ht="20.100000000000001" customHeight="1">
      <c r="A149" s="1341"/>
      <c r="B149" s="1341"/>
      <c r="C149" s="1381"/>
      <c r="D149" s="1552" t="s">
        <v>3975</v>
      </c>
      <c r="E149" s="1413">
        <v>35000000</v>
      </c>
      <c r="F149" s="1413">
        <v>35000000</v>
      </c>
      <c r="G149" s="1376">
        <v>100</v>
      </c>
      <c r="H149" s="1376">
        <v>100</v>
      </c>
      <c r="I149" s="1353"/>
      <c r="J149" s="1341"/>
      <c r="K149" s="1341"/>
      <c r="L149" s="1341"/>
    </row>
    <row r="150" spans="1:12" s="1352" customFormat="1" ht="20.100000000000001" customHeight="1">
      <c r="A150" s="1341"/>
      <c r="B150" s="1341"/>
      <c r="C150" s="1381"/>
      <c r="D150" s="1553" t="s">
        <v>3974</v>
      </c>
      <c r="E150" s="1412">
        <v>50000000</v>
      </c>
      <c r="F150" s="1412">
        <v>50000000</v>
      </c>
      <c r="G150" s="1376">
        <v>100</v>
      </c>
      <c r="H150" s="1376">
        <v>100</v>
      </c>
      <c r="I150" s="1353"/>
      <c r="J150" s="1341"/>
      <c r="K150" s="1341"/>
      <c r="L150" s="1341"/>
    </row>
    <row r="151" spans="1:12" s="1352" customFormat="1" ht="20.100000000000001" customHeight="1">
      <c r="A151" s="1341"/>
      <c r="B151" s="1341"/>
      <c r="C151" s="1381"/>
      <c r="D151" s="1552" t="s">
        <v>3973</v>
      </c>
      <c r="E151" s="1413">
        <v>50000000</v>
      </c>
      <c r="F151" s="1413">
        <v>50000000</v>
      </c>
      <c r="G151" s="1376">
        <v>100</v>
      </c>
      <c r="H151" s="1376">
        <v>100</v>
      </c>
      <c r="I151" s="1353"/>
      <c r="J151" s="1341"/>
      <c r="K151" s="1341"/>
      <c r="L151" s="1341"/>
    </row>
    <row r="152" spans="1:12" s="1352" customFormat="1" ht="20.100000000000001" customHeight="1">
      <c r="A152" s="1341"/>
      <c r="B152" s="1341"/>
      <c r="C152" s="1381"/>
      <c r="D152" s="1553" t="s">
        <v>3972</v>
      </c>
      <c r="E152" s="1412">
        <v>50000000</v>
      </c>
      <c r="F152" s="1412">
        <v>50000000</v>
      </c>
      <c r="G152" s="1376">
        <v>100</v>
      </c>
      <c r="H152" s="1376">
        <v>100</v>
      </c>
      <c r="I152" s="1353"/>
      <c r="J152" s="1341"/>
      <c r="K152" s="1341"/>
      <c r="L152" s="1341"/>
    </row>
    <row r="153" spans="1:12" s="1352" customFormat="1" ht="20.100000000000001" customHeight="1">
      <c r="A153" s="1341"/>
      <c r="B153" s="1341"/>
      <c r="C153" s="1381"/>
      <c r="D153" s="1552" t="s">
        <v>3971</v>
      </c>
      <c r="E153" s="1413">
        <v>50000000</v>
      </c>
      <c r="F153" s="1413">
        <v>50000000</v>
      </c>
      <c r="G153" s="1376">
        <v>100</v>
      </c>
      <c r="H153" s="1376">
        <v>100</v>
      </c>
      <c r="I153" s="1353"/>
      <c r="J153" s="1341"/>
      <c r="K153" s="1341"/>
      <c r="L153" s="1341"/>
    </row>
    <row r="154" spans="1:12" s="1352" customFormat="1" ht="15" customHeight="1">
      <c r="A154" s="1341"/>
      <c r="B154" s="1341"/>
      <c r="C154" s="1381"/>
      <c r="D154" s="1552"/>
      <c r="E154" s="1413"/>
      <c r="F154" s="1413"/>
      <c r="G154" s="1376"/>
      <c r="H154" s="1376"/>
      <c r="I154" s="1353"/>
      <c r="J154" s="1341"/>
      <c r="K154" s="1341"/>
      <c r="L154" s="1341"/>
    </row>
    <row r="155" spans="1:12" s="1352" customFormat="1" ht="20.100000000000001" customHeight="1">
      <c r="A155" s="1341"/>
      <c r="B155" s="1341"/>
      <c r="C155" s="1381"/>
      <c r="D155" s="1414" t="s">
        <v>563</v>
      </c>
      <c r="E155" s="1412">
        <f>E156</f>
        <v>6349708000</v>
      </c>
      <c r="F155" s="1412">
        <f>F156</f>
        <v>6007744000</v>
      </c>
      <c r="G155" s="1383">
        <f>F155/E155*100</f>
        <v>94.614492508946867</v>
      </c>
      <c r="H155" s="1383">
        <f>F155/E155*G155</f>
        <v>89.519021927255636</v>
      </c>
      <c r="I155" s="1353"/>
      <c r="J155" s="1341"/>
      <c r="K155" s="1341"/>
      <c r="L155" s="1341"/>
    </row>
    <row r="156" spans="1:12" s="1352" customFormat="1" ht="20.100000000000001" customHeight="1">
      <c r="A156" s="1341"/>
      <c r="B156" s="1341"/>
      <c r="C156" s="1381"/>
      <c r="D156" s="1553" t="s">
        <v>3968</v>
      </c>
      <c r="E156" s="1412">
        <f>SUM(E157:E158)</f>
        <v>6349708000</v>
      </c>
      <c r="F156" s="1412">
        <f>SUM(F157:F158)</f>
        <v>6007744000</v>
      </c>
      <c r="G156" s="1376">
        <f>F156/E156*100</f>
        <v>94.614492508946867</v>
      </c>
      <c r="H156" s="1376">
        <f>F156/E156*G156</f>
        <v>89.519021927255636</v>
      </c>
      <c r="I156" s="1353"/>
      <c r="J156" s="1341"/>
      <c r="K156" s="1341"/>
      <c r="L156" s="1341"/>
    </row>
    <row r="157" spans="1:12" s="1352" customFormat="1" ht="20.100000000000001" customHeight="1">
      <c r="A157" s="1341"/>
      <c r="B157" s="1341"/>
      <c r="C157" s="1381"/>
      <c r="D157" s="1552" t="s">
        <v>3967</v>
      </c>
      <c r="E157" s="1413">
        <v>5349708000</v>
      </c>
      <c r="F157" s="1413">
        <v>5007744000</v>
      </c>
      <c r="G157" s="1376">
        <v>93.607800650054173</v>
      </c>
      <c r="H157" s="1376">
        <v>95</v>
      </c>
      <c r="I157" s="1353"/>
      <c r="J157" s="1341"/>
      <c r="K157" s="1341"/>
      <c r="L157" s="1341"/>
    </row>
    <row r="158" spans="1:12" s="1352" customFormat="1" ht="20.100000000000001" customHeight="1">
      <c r="A158" s="1341"/>
      <c r="B158" s="1341"/>
      <c r="C158" s="1381"/>
      <c r="D158" s="1552" t="s">
        <v>567</v>
      </c>
      <c r="E158" s="1413">
        <v>1000000000</v>
      </c>
      <c r="F158" s="1413">
        <v>1000000000</v>
      </c>
      <c r="G158" s="1376">
        <f>F158/E158*100</f>
        <v>100</v>
      </c>
      <c r="H158" s="1376">
        <f>F158/E158*G158</f>
        <v>100</v>
      </c>
      <c r="I158" s="1353"/>
      <c r="J158" s="1341"/>
      <c r="K158" s="1341"/>
      <c r="L158" s="1341"/>
    </row>
    <row r="159" spans="1:12" ht="15" customHeight="1">
      <c r="A159" s="1341"/>
      <c r="B159" s="1341"/>
      <c r="C159" s="1381"/>
      <c r="D159" s="1373"/>
      <c r="E159" s="1369"/>
      <c r="F159" s="1372"/>
      <c r="G159" s="1371"/>
      <c r="H159" s="1371"/>
      <c r="I159" s="1353"/>
      <c r="J159" s="1341"/>
      <c r="K159" s="1341"/>
      <c r="L159" s="1341"/>
    </row>
    <row r="160" spans="1:12" s="1359" customFormat="1" ht="20.100000000000001" customHeight="1">
      <c r="A160" s="1346"/>
      <c r="B160" s="1346"/>
      <c r="C160" s="1381" t="s">
        <v>586</v>
      </c>
      <c r="D160" s="1370" t="s">
        <v>587</v>
      </c>
      <c r="E160" s="1404">
        <f>+E161+E175</f>
        <v>7710245800</v>
      </c>
      <c r="F160" s="1404">
        <f>+F161+F175</f>
        <v>5813943208</v>
      </c>
      <c r="G160" s="1368">
        <f t="shared" ref="G160:G173" si="4">+F160/E160*100</f>
        <v>75.405419733830016</v>
      </c>
      <c r="H160" s="1368">
        <f>(H161+H175)/2</f>
        <v>72.5</v>
      </c>
      <c r="I160" s="1360"/>
      <c r="J160" s="1346"/>
      <c r="K160" s="1346"/>
      <c r="L160" s="1346"/>
    </row>
    <row r="161" spans="1:12" s="1352" customFormat="1" ht="20.100000000000001" customHeight="1">
      <c r="A161" s="1341"/>
      <c r="B161" s="1341"/>
      <c r="C161" s="1381"/>
      <c r="D161" s="1370" t="s">
        <v>65</v>
      </c>
      <c r="E161" s="1420">
        <f>E162+E167+E169+E172+E174</f>
        <v>6210245800</v>
      </c>
      <c r="F161" s="1550">
        <v>4408613900</v>
      </c>
      <c r="G161" s="1368">
        <f t="shared" si="4"/>
        <v>70.989362450033781</v>
      </c>
      <c r="H161" s="1368">
        <f>(H162+H167+H169+H172)/4</f>
        <v>50</v>
      </c>
      <c r="I161" s="1353"/>
      <c r="J161" s="1341"/>
      <c r="K161" s="1341"/>
      <c r="L161" s="1341"/>
    </row>
    <row r="162" spans="1:12" s="1352" customFormat="1" ht="20.100000000000001" customHeight="1">
      <c r="A162" s="1341"/>
      <c r="B162" s="1341"/>
      <c r="C162" s="1381"/>
      <c r="D162" s="1370" t="s">
        <v>597</v>
      </c>
      <c r="E162" s="1420">
        <f>SUM(E163:E166)</f>
        <v>5744125650</v>
      </c>
      <c r="F162" s="1550">
        <v>4190909250</v>
      </c>
      <c r="G162" s="1371">
        <f t="shared" si="4"/>
        <v>72.959916014372013</v>
      </c>
      <c r="H162" s="1371">
        <f>SUM((H163:H166))/4</f>
        <v>42.5</v>
      </c>
      <c r="I162" s="1353"/>
      <c r="J162" s="1341"/>
      <c r="K162" s="1341"/>
      <c r="L162" s="1341"/>
    </row>
    <row r="163" spans="1:12" s="1352" customFormat="1" ht="20.100000000000001" customHeight="1">
      <c r="A163" s="1341"/>
      <c r="B163" s="1341"/>
      <c r="C163" s="1381"/>
      <c r="D163" s="1373" t="s">
        <v>599</v>
      </c>
      <c r="E163" s="1419">
        <v>470815650</v>
      </c>
      <c r="F163" s="1550">
        <v>25909250</v>
      </c>
      <c r="G163" s="1371">
        <f t="shared" si="4"/>
        <v>5.5030562386785578</v>
      </c>
      <c r="H163" s="1371">
        <v>10</v>
      </c>
      <c r="I163" s="1353"/>
      <c r="J163" s="1341"/>
      <c r="K163" s="1341"/>
      <c r="L163" s="1341"/>
    </row>
    <row r="164" spans="1:12" s="1352" customFormat="1" ht="30.75" customHeight="1">
      <c r="A164" s="1341"/>
      <c r="B164" s="1341"/>
      <c r="C164" s="1381"/>
      <c r="D164" s="1373" t="s">
        <v>3948</v>
      </c>
      <c r="E164" s="1419">
        <v>1255000000</v>
      </c>
      <c r="F164" s="1550">
        <v>865000000</v>
      </c>
      <c r="G164" s="1371">
        <f t="shared" si="4"/>
        <v>68.924302788844628</v>
      </c>
      <c r="H164" s="1371">
        <v>70</v>
      </c>
      <c r="I164" s="1353"/>
      <c r="J164" s="1341"/>
      <c r="K164" s="1341"/>
      <c r="L164" s="1341"/>
    </row>
    <row r="165" spans="1:12" s="1352" customFormat="1" ht="20.100000000000001" customHeight="1">
      <c r="A165" s="1341"/>
      <c r="B165" s="1341"/>
      <c r="C165" s="1381"/>
      <c r="D165" s="1373" t="s">
        <v>3051</v>
      </c>
      <c r="E165" s="1419">
        <v>58310000</v>
      </c>
      <c r="F165" s="1550">
        <v>0</v>
      </c>
      <c r="G165" s="1371">
        <f t="shared" si="4"/>
        <v>0</v>
      </c>
      <c r="H165" s="1371">
        <f>+G165</f>
        <v>0</v>
      </c>
      <c r="I165" s="1353"/>
      <c r="J165" s="1341"/>
      <c r="K165" s="1341"/>
      <c r="L165" s="1341"/>
    </row>
    <row r="166" spans="1:12" s="1352" customFormat="1" ht="20.100000000000001" customHeight="1">
      <c r="A166" s="1341"/>
      <c r="B166" s="1341"/>
      <c r="C166" s="1381"/>
      <c r="D166" s="1373" t="s">
        <v>3947</v>
      </c>
      <c r="E166" s="1419">
        <v>3960000000</v>
      </c>
      <c r="F166" s="1550">
        <v>3300000000</v>
      </c>
      <c r="G166" s="1371">
        <f t="shared" si="4"/>
        <v>83.333333333333343</v>
      </c>
      <c r="H166" s="1371">
        <v>90</v>
      </c>
      <c r="I166" s="1353"/>
      <c r="J166" s="1341"/>
      <c r="K166" s="1341"/>
      <c r="L166" s="1341"/>
    </row>
    <row r="167" spans="1:12" s="1352" customFormat="1" ht="20.100000000000001" customHeight="1">
      <c r="A167" s="1341"/>
      <c r="B167" s="1341"/>
      <c r="C167" s="1381"/>
      <c r="D167" s="1370" t="s">
        <v>3946</v>
      </c>
      <c r="E167" s="1420">
        <f>SUM(E168:E168)</f>
        <v>62880000</v>
      </c>
      <c r="F167" s="1550">
        <v>62880000</v>
      </c>
      <c r="G167" s="1371">
        <f t="shared" si="4"/>
        <v>100</v>
      </c>
      <c r="H167" s="1371">
        <f>+G167</f>
        <v>100</v>
      </c>
      <c r="I167" s="1353"/>
      <c r="J167" s="1341"/>
      <c r="K167" s="1341"/>
      <c r="L167" s="1341"/>
    </row>
    <row r="168" spans="1:12" s="1352" customFormat="1" ht="56.25" customHeight="1">
      <c r="A168" s="1341"/>
      <c r="B168" s="1341"/>
      <c r="C168" s="1381"/>
      <c r="D168" s="1373" t="s">
        <v>3945</v>
      </c>
      <c r="E168" s="1551">
        <v>62880000</v>
      </c>
      <c r="F168" s="1550">
        <v>62880000</v>
      </c>
      <c r="G168" s="1371">
        <f t="shared" si="4"/>
        <v>100</v>
      </c>
      <c r="H168" s="1371">
        <f>+G168</f>
        <v>100</v>
      </c>
      <c r="I168" s="1353"/>
      <c r="J168" s="1341"/>
      <c r="K168" s="1341"/>
      <c r="L168" s="1341"/>
    </row>
    <row r="169" spans="1:12" s="1352" customFormat="1" ht="20.100000000000001" customHeight="1">
      <c r="A169" s="1341"/>
      <c r="B169" s="1341"/>
      <c r="C169" s="1381"/>
      <c r="D169" s="1370" t="s">
        <v>602</v>
      </c>
      <c r="E169" s="1420">
        <f>SUM(E170:E171)</f>
        <v>268240150</v>
      </c>
      <c r="F169" s="1550">
        <v>154824650</v>
      </c>
      <c r="G169" s="1371">
        <f t="shared" si="4"/>
        <v>57.718671123618151</v>
      </c>
      <c r="H169" s="1371">
        <f>SUM((H170:H171))/2</f>
        <v>57.5</v>
      </c>
      <c r="I169" s="1353"/>
      <c r="J169" s="1341"/>
      <c r="K169" s="1341"/>
      <c r="L169" s="1341"/>
    </row>
    <row r="170" spans="1:12" s="1352" customFormat="1" ht="20.100000000000001" customHeight="1">
      <c r="A170" s="1341"/>
      <c r="B170" s="1341"/>
      <c r="C170" s="1381"/>
      <c r="D170" s="1373" t="s">
        <v>3944</v>
      </c>
      <c r="E170" s="1419">
        <v>143985150</v>
      </c>
      <c r="F170" s="1550">
        <v>124374650</v>
      </c>
      <c r="G170" s="1371">
        <f t="shared" si="4"/>
        <v>86.380192679592298</v>
      </c>
      <c r="H170" s="1371">
        <v>90</v>
      </c>
      <c r="I170" s="1353"/>
      <c r="J170" s="1341"/>
      <c r="K170" s="1341"/>
      <c r="L170" s="1341"/>
    </row>
    <row r="171" spans="1:12" s="1352" customFormat="1" ht="20.100000000000001" customHeight="1">
      <c r="A171" s="1341"/>
      <c r="B171" s="1341"/>
      <c r="C171" s="1381"/>
      <c r="D171" s="1373" t="s">
        <v>1408</v>
      </c>
      <c r="E171" s="1419">
        <v>124255000</v>
      </c>
      <c r="F171" s="1550">
        <v>30450000</v>
      </c>
      <c r="G171" s="1371">
        <f t="shared" si="4"/>
        <v>24.506056094322158</v>
      </c>
      <c r="H171" s="1371">
        <v>25</v>
      </c>
      <c r="I171" s="1353"/>
      <c r="J171" s="1341"/>
      <c r="K171" s="1341"/>
      <c r="L171" s="1341"/>
    </row>
    <row r="172" spans="1:12" s="1352" customFormat="1" ht="31.5" customHeight="1">
      <c r="A172" s="1341"/>
      <c r="B172" s="1341"/>
      <c r="C172" s="1381"/>
      <c r="D172" s="1370" t="s">
        <v>3943</v>
      </c>
      <c r="E172" s="1412">
        <f>SUM(E173:E173)</f>
        <v>135000000</v>
      </c>
      <c r="F172" s="1550">
        <v>0</v>
      </c>
      <c r="G172" s="1371">
        <f t="shared" si="4"/>
        <v>0</v>
      </c>
      <c r="H172" s="1371">
        <f>+G172</f>
        <v>0</v>
      </c>
      <c r="I172" s="1353"/>
      <c r="J172" s="1341"/>
      <c r="K172" s="1341"/>
      <c r="L172" s="1341"/>
    </row>
    <row r="173" spans="1:12" s="1352" customFormat="1" ht="20.100000000000001" customHeight="1">
      <c r="A173" s="1341"/>
      <c r="B173" s="1341"/>
      <c r="C173" s="1381"/>
      <c r="D173" s="1373" t="s">
        <v>3041</v>
      </c>
      <c r="E173" s="1419">
        <v>135000000</v>
      </c>
      <c r="F173" s="1550">
        <v>0</v>
      </c>
      <c r="G173" s="1371">
        <f t="shared" si="4"/>
        <v>0</v>
      </c>
      <c r="H173" s="1371">
        <f>+G173</f>
        <v>0</v>
      </c>
      <c r="I173" s="1353"/>
      <c r="J173" s="1341"/>
      <c r="K173" s="1341"/>
      <c r="L173" s="1341"/>
    </row>
    <row r="174" spans="1:12" s="1352" customFormat="1" ht="15" customHeight="1">
      <c r="A174" s="1341"/>
      <c r="B174" s="1341"/>
      <c r="C174" s="1381"/>
      <c r="D174" s="1370"/>
      <c r="E174" s="1420"/>
      <c r="F174" s="1550"/>
      <c r="G174" s="1371"/>
      <c r="H174" s="1371"/>
      <c r="I174" s="1353"/>
      <c r="J174" s="1341"/>
      <c r="K174" s="1341"/>
      <c r="L174" s="1341"/>
    </row>
    <row r="175" spans="1:12" s="1352" customFormat="1" ht="33" customHeight="1">
      <c r="A175" s="1341"/>
      <c r="B175" s="1341"/>
      <c r="C175" s="1381"/>
      <c r="D175" s="1370" t="s">
        <v>3942</v>
      </c>
      <c r="E175" s="1420">
        <f>E176</f>
        <v>1500000000</v>
      </c>
      <c r="F175" s="1550">
        <v>1405329308</v>
      </c>
      <c r="G175" s="1368">
        <f>+F175/E175*100</f>
        <v>93.688620533333335</v>
      </c>
      <c r="H175" s="1368">
        <f>285/3</f>
        <v>95</v>
      </c>
      <c r="I175" s="1353"/>
      <c r="J175" s="1341"/>
      <c r="K175" s="1341"/>
      <c r="L175" s="1341"/>
    </row>
    <row r="176" spans="1:12" s="1352" customFormat="1" ht="20.100000000000001" customHeight="1">
      <c r="A176" s="1341"/>
      <c r="B176" s="1341"/>
      <c r="C176" s="1381"/>
      <c r="D176" s="1370" t="s">
        <v>597</v>
      </c>
      <c r="E176" s="1420">
        <f>SUM(E177:E178)</f>
        <v>1500000000</v>
      </c>
      <c r="F176" s="1550">
        <v>1405329308</v>
      </c>
      <c r="G176" s="1371">
        <f>+F176/E176*100</f>
        <v>93.688620533333335</v>
      </c>
      <c r="H176" s="1371">
        <f>190/2</f>
        <v>95</v>
      </c>
      <c r="I176" s="1353"/>
      <c r="J176" s="1341"/>
      <c r="K176" s="1341"/>
      <c r="L176" s="1341"/>
    </row>
    <row r="177" spans="1:12" s="1352" customFormat="1" ht="20.100000000000001" customHeight="1">
      <c r="A177" s="1341"/>
      <c r="B177" s="1341"/>
      <c r="C177" s="1381"/>
      <c r="D177" s="1373" t="s">
        <v>3941</v>
      </c>
      <c r="E177" s="1419">
        <v>594000000</v>
      </c>
      <c r="F177" s="1550">
        <v>499564410</v>
      </c>
      <c r="G177" s="1371">
        <f>+F177/E177*100</f>
        <v>84.101752525252522</v>
      </c>
      <c r="H177" s="1371">
        <v>90</v>
      </c>
      <c r="I177" s="1353"/>
      <c r="J177" s="1341"/>
      <c r="K177" s="1341"/>
      <c r="L177" s="1341"/>
    </row>
    <row r="178" spans="1:12" s="1352" customFormat="1" ht="20.100000000000001" customHeight="1">
      <c r="A178" s="1341"/>
      <c r="B178" s="1341"/>
      <c r="C178" s="1381"/>
      <c r="D178" s="1373" t="s">
        <v>3940</v>
      </c>
      <c r="E178" s="1419">
        <v>906000000</v>
      </c>
      <c r="F178" s="1550">
        <v>905764898</v>
      </c>
      <c r="G178" s="1371">
        <f>+F178/E178*100</f>
        <v>99.974050551876388</v>
      </c>
      <c r="H178" s="1371">
        <v>100</v>
      </c>
      <c r="I178" s="1353"/>
      <c r="J178" s="1341"/>
      <c r="K178" s="1341"/>
      <c r="L178" s="1341"/>
    </row>
    <row r="179" spans="1:12" ht="15" customHeight="1">
      <c r="A179" s="1341"/>
      <c r="B179" s="1341"/>
      <c r="C179" s="1381"/>
      <c r="D179" s="1373"/>
      <c r="E179" s="1369">
        <v>0</v>
      </c>
      <c r="F179" s="1372"/>
      <c r="G179" s="1371"/>
      <c r="H179" s="1371"/>
      <c r="I179" s="1353"/>
      <c r="J179" s="1341"/>
      <c r="K179" s="1341"/>
      <c r="L179" s="1341"/>
    </row>
    <row r="180" spans="1:12" s="605" customFormat="1" ht="20.100000000000001" customHeight="1">
      <c r="A180" s="1447"/>
      <c r="B180" s="1447"/>
      <c r="C180" s="1450" t="s">
        <v>659</v>
      </c>
      <c r="D180" s="1398" t="s">
        <v>660</v>
      </c>
      <c r="E180" s="1449">
        <f>+E181+E185+E189</f>
        <v>4500000000</v>
      </c>
      <c r="F180" s="1449">
        <f>+F181+F185+F189</f>
        <v>3924239400</v>
      </c>
      <c r="G180" s="1355">
        <f>+F180/E180*100</f>
        <v>87.20532</v>
      </c>
      <c r="H180" s="1355">
        <f>(H181+H185+H189)/3</f>
        <v>66.666666666666671</v>
      </c>
      <c r="I180" s="1448"/>
      <c r="J180" s="1447"/>
      <c r="K180" s="1447"/>
      <c r="L180" s="1447"/>
    </row>
    <row r="181" spans="1:12" s="1352" customFormat="1" ht="20.100000000000001" customHeight="1">
      <c r="A181" s="1341"/>
      <c r="B181" s="1341"/>
      <c r="C181" s="1381"/>
      <c r="D181" s="1411" t="s">
        <v>161</v>
      </c>
      <c r="E181" s="1549">
        <f>E182</f>
        <v>1000000000</v>
      </c>
      <c r="F181" s="1548">
        <f>F182</f>
        <v>979686400</v>
      </c>
      <c r="G181" s="1545">
        <f>F181/E181*100</f>
        <v>97.968639999999994</v>
      </c>
      <c r="H181" s="1544">
        <v>100</v>
      </c>
      <c r="I181" s="1353"/>
      <c r="J181" s="1341"/>
      <c r="K181" s="1341"/>
      <c r="L181" s="1341"/>
    </row>
    <row r="182" spans="1:12" s="1352" customFormat="1" ht="20.100000000000001" customHeight="1">
      <c r="A182" s="1341"/>
      <c r="B182" s="1341"/>
      <c r="C182" s="1381"/>
      <c r="D182" s="1411" t="s">
        <v>606</v>
      </c>
      <c r="E182" s="1549">
        <v>1000000000</v>
      </c>
      <c r="F182" s="1548">
        <f>F183</f>
        <v>979686400</v>
      </c>
      <c r="G182" s="1545">
        <f>F182/E182*100</f>
        <v>97.968639999999994</v>
      </c>
      <c r="H182" s="1544">
        <v>100</v>
      </c>
      <c r="I182" s="1353"/>
      <c r="J182" s="1341"/>
      <c r="K182" s="1341"/>
      <c r="L182" s="1341"/>
    </row>
    <row r="183" spans="1:12" s="1352" customFormat="1" ht="20.100000000000001" customHeight="1">
      <c r="A183" s="1341"/>
      <c r="B183" s="1341"/>
      <c r="C183" s="1381"/>
      <c r="D183" s="1416" t="s">
        <v>607</v>
      </c>
      <c r="E183" s="1547">
        <v>1000000000</v>
      </c>
      <c r="F183" s="1546">
        <v>979686400</v>
      </c>
      <c r="G183" s="1545">
        <f>F183/E183*100</f>
        <v>97.968639999999994</v>
      </c>
      <c r="H183" s="1544">
        <v>100</v>
      </c>
      <c r="I183" s="1353"/>
      <c r="J183" s="1341"/>
      <c r="K183" s="1341"/>
      <c r="L183" s="1341"/>
    </row>
    <row r="184" spans="1:12" s="1352" customFormat="1" ht="15" customHeight="1">
      <c r="A184" s="1341"/>
      <c r="B184" s="1341"/>
      <c r="C184" s="1381"/>
      <c r="D184" s="1416"/>
      <c r="E184" s="1547"/>
      <c r="F184" s="1546"/>
      <c r="G184" s="1545"/>
      <c r="H184" s="1544"/>
      <c r="I184" s="1353"/>
      <c r="J184" s="1341"/>
      <c r="K184" s="1341"/>
      <c r="L184" s="1341"/>
    </row>
    <row r="185" spans="1:12" s="1352" customFormat="1" ht="20.100000000000001" customHeight="1">
      <c r="A185" s="1341"/>
      <c r="B185" s="1341"/>
      <c r="C185" s="1381"/>
      <c r="D185" s="1411" t="s">
        <v>425</v>
      </c>
      <c r="E185" s="1549">
        <v>3000000000</v>
      </c>
      <c r="F185" s="1548">
        <f>F186</f>
        <v>2944553000</v>
      </c>
      <c r="G185" s="1545">
        <f>F185/E185*100</f>
        <v>98.15176666666666</v>
      </c>
      <c r="H185" s="1544">
        <v>100</v>
      </c>
      <c r="I185" s="1353"/>
      <c r="J185" s="1341"/>
      <c r="K185" s="1341"/>
      <c r="L185" s="1341"/>
    </row>
    <row r="186" spans="1:12" s="1352" customFormat="1" ht="20.100000000000001" customHeight="1">
      <c r="A186" s="1341"/>
      <c r="B186" s="1341"/>
      <c r="C186" s="1381"/>
      <c r="D186" s="1411" t="s">
        <v>3912</v>
      </c>
      <c r="E186" s="1549">
        <v>3000000000</v>
      </c>
      <c r="F186" s="1548">
        <f>F187</f>
        <v>2944553000</v>
      </c>
      <c r="G186" s="1545">
        <f>F186/E186*100</f>
        <v>98.15176666666666</v>
      </c>
      <c r="H186" s="1544">
        <v>100</v>
      </c>
      <c r="I186" s="1353"/>
      <c r="J186" s="1341"/>
      <c r="K186" s="1341"/>
      <c r="L186" s="1341"/>
    </row>
    <row r="187" spans="1:12" s="1352" customFormat="1" ht="20.100000000000001" customHeight="1">
      <c r="A187" s="1341"/>
      <c r="B187" s="1341"/>
      <c r="C187" s="1381"/>
      <c r="D187" s="1416" t="s">
        <v>1415</v>
      </c>
      <c r="E187" s="1547">
        <v>3000000000</v>
      </c>
      <c r="F187" s="1546">
        <v>2944553000</v>
      </c>
      <c r="G187" s="1545">
        <f>F187/E187*100</f>
        <v>98.15176666666666</v>
      </c>
      <c r="H187" s="1544">
        <v>100</v>
      </c>
      <c r="I187" s="1353"/>
      <c r="J187" s="1341"/>
      <c r="K187" s="1341"/>
      <c r="L187" s="1341"/>
    </row>
    <row r="188" spans="1:12" s="1352" customFormat="1" ht="15" customHeight="1">
      <c r="A188" s="1341"/>
      <c r="B188" s="1341"/>
      <c r="C188" s="1381"/>
      <c r="D188" s="1373"/>
      <c r="E188" s="1369">
        <v>0</v>
      </c>
      <c r="F188" s="1372"/>
      <c r="G188" s="1371"/>
      <c r="H188" s="1371"/>
      <c r="I188" s="1353"/>
      <c r="J188" s="1341"/>
      <c r="K188" s="1341"/>
      <c r="L188" s="1341"/>
    </row>
    <row r="189" spans="1:12" s="1352" customFormat="1" ht="20.100000000000001" customHeight="1">
      <c r="A189" s="1341"/>
      <c r="B189" s="1341"/>
      <c r="C189" s="1381"/>
      <c r="D189" s="1414" t="s">
        <v>4132</v>
      </c>
      <c r="E189" s="1369">
        <v>500000000</v>
      </c>
      <c r="F189" s="1369"/>
      <c r="G189" s="1543"/>
      <c r="H189" s="1543"/>
      <c r="I189" s="1353"/>
      <c r="J189" s="1341"/>
      <c r="K189" s="1341"/>
      <c r="L189" s="1341"/>
    </row>
    <row r="190" spans="1:12" s="1352" customFormat="1" ht="20.100000000000001" customHeight="1">
      <c r="A190" s="1341"/>
      <c r="B190" s="1341"/>
      <c r="C190" s="1381"/>
      <c r="D190" s="1414" t="s">
        <v>1275</v>
      </c>
      <c r="E190" s="1369">
        <v>500000000</v>
      </c>
      <c r="F190" s="1542"/>
      <c r="G190" s="1368"/>
      <c r="H190" s="1368"/>
      <c r="I190" s="1353"/>
      <c r="J190" s="1341"/>
      <c r="K190" s="1341"/>
      <c r="L190" s="1341"/>
    </row>
    <row r="191" spans="1:12" s="1352" customFormat="1" ht="20.100000000000001" customHeight="1">
      <c r="A191" s="1341"/>
      <c r="B191" s="1341"/>
      <c r="C191" s="1381"/>
      <c r="D191" s="1438" t="s">
        <v>3043</v>
      </c>
      <c r="E191" s="1369">
        <v>500000000</v>
      </c>
      <c r="F191" s="1372"/>
      <c r="G191" s="1371"/>
      <c r="H191" s="1371"/>
      <c r="I191" s="1353"/>
      <c r="J191" s="1341"/>
      <c r="K191" s="1341"/>
      <c r="L191" s="1341"/>
    </row>
    <row r="192" spans="1:12" ht="15" customHeight="1">
      <c r="A192" s="1341"/>
      <c r="B192" s="1341"/>
      <c r="C192" s="1381"/>
      <c r="D192" s="1373"/>
      <c r="E192" s="1369">
        <v>0</v>
      </c>
      <c r="F192" s="1372"/>
      <c r="G192" s="1371"/>
      <c r="H192" s="1371"/>
      <c r="I192" s="1353"/>
      <c r="J192" s="1341"/>
      <c r="K192" s="1341"/>
      <c r="L192" s="1341"/>
    </row>
    <row r="193" spans="1:12" s="1359" customFormat="1" ht="20.100000000000001" customHeight="1">
      <c r="A193" s="1346"/>
      <c r="B193" s="1346"/>
      <c r="C193" s="1381" t="s">
        <v>765</v>
      </c>
      <c r="D193" s="1370" t="s">
        <v>766</v>
      </c>
      <c r="E193" s="1404">
        <f>+E194+E223</f>
        <v>12655491406</v>
      </c>
      <c r="F193" s="1403">
        <f>+F194+F223</f>
        <v>11948147795</v>
      </c>
      <c r="G193" s="1368">
        <f>+F193/E193*100</f>
        <v>94.410777200918119</v>
      </c>
      <c r="H193" s="1368">
        <f>(H194+H223)/2</f>
        <v>96.5</v>
      </c>
      <c r="I193" s="1360"/>
      <c r="J193" s="1346"/>
      <c r="K193" s="1346"/>
      <c r="L193" s="1346"/>
    </row>
    <row r="194" spans="1:12" s="1352" customFormat="1" ht="20.100000000000001" customHeight="1">
      <c r="A194" s="1341"/>
      <c r="B194" s="1341"/>
      <c r="C194" s="1374"/>
      <c r="D194" s="1535" t="s">
        <v>65</v>
      </c>
      <c r="E194" s="1534">
        <v>7722015656</v>
      </c>
      <c r="F194" s="1533">
        <f>F195+F198+F202+F204+F206+F209+F215+F217+F219</f>
        <v>7640105465</v>
      </c>
      <c r="G194" s="1532">
        <f t="shared" ref="G194:G221" si="5">F194/E194*100</f>
        <v>98.939264116405198</v>
      </c>
      <c r="H194" s="1531">
        <v>100</v>
      </c>
      <c r="I194" s="1353"/>
      <c r="J194" s="1341"/>
      <c r="K194" s="1341"/>
      <c r="L194" s="1341"/>
    </row>
    <row r="195" spans="1:12" s="1352" customFormat="1" ht="20.100000000000001" customHeight="1">
      <c r="A195" s="1341"/>
      <c r="B195" s="1341"/>
      <c r="C195" s="1374"/>
      <c r="D195" s="1535" t="s">
        <v>162</v>
      </c>
      <c r="E195" s="1534">
        <v>1450000000</v>
      </c>
      <c r="F195" s="1533">
        <f>SUM(F196:F197)</f>
        <v>1449991465</v>
      </c>
      <c r="G195" s="1532">
        <f t="shared" si="5"/>
        <v>99.999411379310345</v>
      </c>
      <c r="H195" s="1531">
        <v>100</v>
      </c>
      <c r="I195" s="1353"/>
      <c r="J195" s="1341"/>
      <c r="K195" s="1341"/>
      <c r="L195" s="1341"/>
    </row>
    <row r="196" spans="1:12" s="1352" customFormat="1" ht="20.100000000000001" customHeight="1">
      <c r="A196" s="1341"/>
      <c r="B196" s="1341"/>
      <c r="C196" s="1374"/>
      <c r="D196" s="1530" t="s">
        <v>2593</v>
      </c>
      <c r="E196" s="1529">
        <v>450000000</v>
      </c>
      <c r="F196" s="1528">
        <v>450000000</v>
      </c>
      <c r="G196" s="1527">
        <f t="shared" si="5"/>
        <v>100</v>
      </c>
      <c r="H196" s="1526">
        <v>100</v>
      </c>
      <c r="I196" s="1353"/>
      <c r="J196" s="1341"/>
      <c r="K196" s="1341"/>
      <c r="L196" s="1341"/>
    </row>
    <row r="197" spans="1:12" s="1352" customFormat="1" ht="20.100000000000001" customHeight="1">
      <c r="A197" s="1341"/>
      <c r="B197" s="1341"/>
      <c r="C197" s="1374"/>
      <c r="D197" s="1530" t="s">
        <v>1222</v>
      </c>
      <c r="E197" s="1529">
        <v>1000000000</v>
      </c>
      <c r="F197" s="1537">
        <v>999991465</v>
      </c>
      <c r="G197" s="1527">
        <f t="shared" si="5"/>
        <v>99.999146500000009</v>
      </c>
      <c r="H197" s="1536">
        <v>100</v>
      </c>
      <c r="I197" s="1353"/>
      <c r="J197" s="1341"/>
      <c r="K197" s="1341"/>
      <c r="L197" s="1341"/>
    </row>
    <row r="198" spans="1:12" s="1352" customFormat="1" ht="20.100000000000001" customHeight="1">
      <c r="A198" s="1341"/>
      <c r="B198" s="1341"/>
      <c r="C198" s="1374"/>
      <c r="D198" s="1535" t="s">
        <v>173</v>
      </c>
      <c r="E198" s="1534">
        <v>4579150000</v>
      </c>
      <c r="F198" s="1533">
        <f>SUM(F199:F201)</f>
        <v>4554150000</v>
      </c>
      <c r="G198" s="1532">
        <f t="shared" si="5"/>
        <v>99.454047148488257</v>
      </c>
      <c r="H198" s="1531">
        <v>100</v>
      </c>
      <c r="I198" s="1360"/>
      <c r="J198" s="1341"/>
      <c r="K198" s="1341"/>
      <c r="L198" s="1341"/>
    </row>
    <row r="199" spans="1:12" s="1352" customFormat="1" ht="20.100000000000001" customHeight="1">
      <c r="A199" s="1341"/>
      <c r="B199" s="1341"/>
      <c r="C199" s="1374"/>
      <c r="D199" s="1530" t="s">
        <v>2594</v>
      </c>
      <c r="E199" s="1529">
        <v>240000000</v>
      </c>
      <c r="F199" s="1528">
        <v>240000000</v>
      </c>
      <c r="G199" s="1527">
        <f t="shared" si="5"/>
        <v>100</v>
      </c>
      <c r="H199" s="1526">
        <v>100</v>
      </c>
      <c r="I199" s="1353"/>
      <c r="J199" s="1341"/>
      <c r="K199" s="1341"/>
      <c r="L199" s="1341"/>
    </row>
    <row r="200" spans="1:12" s="1352" customFormat="1" ht="20.100000000000001" customHeight="1">
      <c r="A200" s="1341"/>
      <c r="B200" s="1341"/>
      <c r="C200" s="1374"/>
      <c r="D200" s="1530" t="s">
        <v>2595</v>
      </c>
      <c r="E200" s="1529">
        <v>150000000</v>
      </c>
      <c r="F200" s="1528">
        <v>150000000</v>
      </c>
      <c r="G200" s="1527">
        <f t="shared" si="5"/>
        <v>100</v>
      </c>
      <c r="H200" s="1526">
        <v>100</v>
      </c>
      <c r="I200" s="1353"/>
      <c r="J200" s="1341"/>
      <c r="K200" s="1341"/>
      <c r="L200" s="1341"/>
    </row>
    <row r="201" spans="1:12" s="1352" customFormat="1" ht="20.100000000000001" customHeight="1">
      <c r="A201" s="1341"/>
      <c r="B201" s="1341"/>
      <c r="C201" s="1374"/>
      <c r="D201" s="1530" t="s">
        <v>2596</v>
      </c>
      <c r="E201" s="1529">
        <v>4189150000</v>
      </c>
      <c r="F201" s="1528">
        <v>4164150000</v>
      </c>
      <c r="G201" s="1527">
        <f t="shared" si="5"/>
        <v>99.40322022367306</v>
      </c>
      <c r="H201" s="1526">
        <v>100</v>
      </c>
      <c r="I201" s="1353"/>
      <c r="J201" s="1341"/>
      <c r="K201" s="1341"/>
      <c r="L201" s="1341"/>
    </row>
    <row r="202" spans="1:12" s="1352" customFormat="1" ht="20.100000000000001" customHeight="1">
      <c r="A202" s="1341"/>
      <c r="B202" s="1341"/>
      <c r="C202" s="1374"/>
      <c r="D202" s="1535" t="s">
        <v>177</v>
      </c>
      <c r="E202" s="1541">
        <v>150000000</v>
      </c>
      <c r="F202" s="1540">
        <f>SUM(F203)</f>
        <v>150000000</v>
      </c>
      <c r="G202" s="1532">
        <f t="shared" si="5"/>
        <v>100</v>
      </c>
      <c r="H202" s="1531">
        <v>100</v>
      </c>
      <c r="I202" s="1353"/>
      <c r="J202" s="1341"/>
      <c r="K202" s="1341"/>
      <c r="L202" s="1341"/>
    </row>
    <row r="203" spans="1:12" s="1352" customFormat="1" ht="42.75" customHeight="1">
      <c r="A203" s="1341"/>
      <c r="B203" s="1341"/>
      <c r="C203" s="1374"/>
      <c r="D203" s="1530" t="s">
        <v>2597</v>
      </c>
      <c r="E203" s="1538">
        <v>150000000</v>
      </c>
      <c r="F203" s="1537">
        <v>150000000</v>
      </c>
      <c r="G203" s="1527">
        <f t="shared" si="5"/>
        <v>100</v>
      </c>
      <c r="H203" s="1526">
        <v>100</v>
      </c>
      <c r="I203" s="1353"/>
      <c r="J203" s="1341"/>
      <c r="K203" s="1341"/>
      <c r="L203" s="1341"/>
    </row>
    <row r="204" spans="1:12" s="1352" customFormat="1" ht="20.100000000000001" customHeight="1">
      <c r="A204" s="1341"/>
      <c r="B204" s="1341"/>
      <c r="C204" s="1374"/>
      <c r="D204" s="1535" t="s">
        <v>179</v>
      </c>
      <c r="E204" s="1541">
        <v>60000000</v>
      </c>
      <c r="F204" s="1540">
        <f>SUM(F205)</f>
        <v>60000000</v>
      </c>
      <c r="G204" s="1532">
        <f t="shared" si="5"/>
        <v>100</v>
      </c>
      <c r="H204" s="1531">
        <v>100</v>
      </c>
      <c r="I204" s="1353"/>
      <c r="J204" s="1341"/>
      <c r="K204" s="1341"/>
      <c r="L204" s="1341"/>
    </row>
    <row r="205" spans="1:12" s="1352" customFormat="1" ht="42.75" customHeight="1">
      <c r="A205" s="1341"/>
      <c r="B205" s="1341"/>
      <c r="C205" s="1374"/>
      <c r="D205" s="1530" t="s">
        <v>3856</v>
      </c>
      <c r="E205" s="1538">
        <v>60000000</v>
      </c>
      <c r="F205" s="1537">
        <v>60000000</v>
      </c>
      <c r="G205" s="1527">
        <f t="shared" si="5"/>
        <v>100</v>
      </c>
      <c r="H205" s="1526">
        <v>100</v>
      </c>
      <c r="I205" s="1353"/>
      <c r="J205" s="1341"/>
      <c r="K205" s="1341"/>
      <c r="L205" s="1341"/>
    </row>
    <row r="206" spans="1:12" s="1352" customFormat="1" ht="20.100000000000001" customHeight="1">
      <c r="A206" s="1341"/>
      <c r="B206" s="1341"/>
      <c r="C206" s="1374"/>
      <c r="D206" s="1535" t="s">
        <v>190</v>
      </c>
      <c r="E206" s="1541">
        <v>200000000</v>
      </c>
      <c r="F206" s="1540">
        <f>SUM(F207:F208)</f>
        <v>200000000</v>
      </c>
      <c r="G206" s="1532">
        <f t="shared" si="5"/>
        <v>100</v>
      </c>
      <c r="H206" s="1539">
        <v>100</v>
      </c>
      <c r="I206" s="1353"/>
      <c r="J206" s="1341"/>
      <c r="K206" s="1341"/>
      <c r="L206" s="1341"/>
    </row>
    <row r="207" spans="1:12" s="1352" customFormat="1" ht="20.100000000000001" customHeight="1">
      <c r="A207" s="1341"/>
      <c r="B207" s="1341"/>
      <c r="C207" s="1374"/>
      <c r="D207" s="1530" t="s">
        <v>417</v>
      </c>
      <c r="E207" s="1538">
        <v>100000000</v>
      </c>
      <c r="F207" s="1537">
        <v>100000000</v>
      </c>
      <c r="G207" s="1527">
        <f t="shared" si="5"/>
        <v>100</v>
      </c>
      <c r="H207" s="1536">
        <v>100</v>
      </c>
      <c r="I207" s="1353"/>
      <c r="J207" s="1341"/>
      <c r="K207" s="1341"/>
      <c r="L207" s="1341"/>
    </row>
    <row r="208" spans="1:12" s="1352" customFormat="1" ht="20.100000000000001" customHeight="1">
      <c r="A208" s="1341"/>
      <c r="B208" s="1341"/>
      <c r="C208" s="1374"/>
      <c r="D208" s="1530" t="s">
        <v>3855</v>
      </c>
      <c r="E208" s="1538">
        <v>100000000</v>
      </c>
      <c r="F208" s="1537">
        <v>100000000</v>
      </c>
      <c r="G208" s="1527">
        <f t="shared" si="5"/>
        <v>100</v>
      </c>
      <c r="H208" s="1536">
        <v>100</v>
      </c>
      <c r="I208" s="1353"/>
      <c r="J208" s="1341"/>
      <c r="K208" s="1341"/>
      <c r="L208" s="1341"/>
    </row>
    <row r="209" spans="1:12" s="1352" customFormat="1" ht="20.100000000000001" customHeight="1">
      <c r="A209" s="1341"/>
      <c r="B209" s="1341"/>
      <c r="C209" s="1374"/>
      <c r="D209" s="1535" t="s">
        <v>196</v>
      </c>
      <c r="E209" s="1541">
        <v>707015656</v>
      </c>
      <c r="F209" s="1540">
        <f>SUM(F210:F214)</f>
        <v>656714000</v>
      </c>
      <c r="G209" s="1532">
        <f t="shared" si="5"/>
        <v>92.885354719782896</v>
      </c>
      <c r="H209" s="1531">
        <v>100</v>
      </c>
      <c r="I209" s="1353"/>
      <c r="J209" s="1341"/>
      <c r="K209" s="1341"/>
      <c r="L209" s="1341"/>
    </row>
    <row r="210" spans="1:12" s="1352" customFormat="1" ht="20.100000000000001" customHeight="1">
      <c r="A210" s="1341"/>
      <c r="B210" s="1341"/>
      <c r="C210" s="1374"/>
      <c r="D210" s="1530" t="s">
        <v>2601</v>
      </c>
      <c r="E210" s="1538">
        <v>100000000</v>
      </c>
      <c r="F210" s="1537">
        <v>100000000</v>
      </c>
      <c r="G210" s="1527">
        <f t="shared" si="5"/>
        <v>100</v>
      </c>
      <c r="H210" s="1526">
        <v>100</v>
      </c>
      <c r="I210" s="1353"/>
      <c r="J210" s="1341"/>
      <c r="K210" s="1341"/>
      <c r="L210" s="1341"/>
    </row>
    <row r="211" spans="1:12" s="1352" customFormat="1" ht="20.100000000000001" customHeight="1">
      <c r="A211" s="1341"/>
      <c r="B211" s="1341"/>
      <c r="C211" s="1374"/>
      <c r="D211" s="1530" t="s">
        <v>3850</v>
      </c>
      <c r="E211" s="1538">
        <v>178515656</v>
      </c>
      <c r="F211" s="1537">
        <v>178214000</v>
      </c>
      <c r="G211" s="1527">
        <f t="shared" si="5"/>
        <v>99.831019863042144</v>
      </c>
      <c r="H211" s="1526">
        <v>100</v>
      </c>
      <c r="I211" s="1353"/>
      <c r="J211" s="1341"/>
      <c r="K211" s="1341"/>
      <c r="L211" s="1341"/>
    </row>
    <row r="212" spans="1:12" s="1352" customFormat="1" ht="20.100000000000001" customHeight="1">
      <c r="A212" s="1341"/>
      <c r="B212" s="1341"/>
      <c r="C212" s="1374"/>
      <c r="D212" s="1530" t="s">
        <v>2602</v>
      </c>
      <c r="E212" s="1538">
        <v>100000000</v>
      </c>
      <c r="F212" s="1537">
        <v>50000000</v>
      </c>
      <c r="G212" s="1527">
        <f t="shared" si="5"/>
        <v>50</v>
      </c>
      <c r="H212" s="1536">
        <v>100</v>
      </c>
      <c r="I212" s="1353"/>
      <c r="J212" s="1341"/>
      <c r="K212" s="1341"/>
      <c r="L212" s="1341"/>
    </row>
    <row r="213" spans="1:12" s="1352" customFormat="1" ht="20.100000000000001" customHeight="1">
      <c r="A213" s="1341"/>
      <c r="B213" s="1341"/>
      <c r="C213" s="1374"/>
      <c r="D213" s="1530" t="s">
        <v>2603</v>
      </c>
      <c r="E213" s="1538">
        <v>128500000</v>
      </c>
      <c r="F213" s="1537">
        <v>128500000</v>
      </c>
      <c r="G213" s="1527">
        <f t="shared" si="5"/>
        <v>100</v>
      </c>
      <c r="H213" s="1526">
        <v>100</v>
      </c>
      <c r="I213" s="1353"/>
      <c r="J213" s="1341"/>
      <c r="K213" s="1341"/>
      <c r="L213" s="1341"/>
    </row>
    <row r="214" spans="1:12" s="1352" customFormat="1" ht="20.100000000000001" customHeight="1">
      <c r="A214" s="1341"/>
      <c r="B214" s="1341"/>
      <c r="C214" s="1374"/>
      <c r="D214" s="1530" t="s">
        <v>3854</v>
      </c>
      <c r="E214" s="1538">
        <v>200000000</v>
      </c>
      <c r="F214" s="1537">
        <v>200000000</v>
      </c>
      <c r="G214" s="1527">
        <f t="shared" si="5"/>
        <v>100</v>
      </c>
      <c r="H214" s="1526">
        <v>100</v>
      </c>
      <c r="I214" s="1353"/>
      <c r="J214" s="1341"/>
      <c r="K214" s="1341"/>
      <c r="L214" s="1341"/>
    </row>
    <row r="215" spans="1:12" s="1352" customFormat="1" ht="20.100000000000001" customHeight="1">
      <c r="A215" s="1341"/>
      <c r="B215" s="1341"/>
      <c r="C215" s="1374"/>
      <c r="D215" s="1535" t="s">
        <v>2390</v>
      </c>
      <c r="E215" s="1532">
        <v>110850000</v>
      </c>
      <c r="F215" s="1540">
        <f>SUM(F216)</f>
        <v>104250000</v>
      </c>
      <c r="G215" s="1532">
        <f t="shared" si="5"/>
        <v>94.046008119079843</v>
      </c>
      <c r="H215" s="1531">
        <v>100</v>
      </c>
      <c r="I215" s="1353"/>
      <c r="J215" s="1341"/>
      <c r="K215" s="1341"/>
      <c r="L215" s="1341"/>
    </row>
    <row r="216" spans="1:12" s="1352" customFormat="1" ht="20.100000000000001" customHeight="1">
      <c r="A216" s="1341"/>
      <c r="B216" s="1341"/>
      <c r="C216" s="1374"/>
      <c r="D216" s="1530" t="s">
        <v>3853</v>
      </c>
      <c r="E216" s="1538">
        <v>110850000</v>
      </c>
      <c r="F216" s="1537">
        <v>104250000</v>
      </c>
      <c r="G216" s="1527">
        <f t="shared" si="5"/>
        <v>94.046008119079843</v>
      </c>
      <c r="H216" s="1526">
        <v>100</v>
      </c>
      <c r="I216" s="1353"/>
      <c r="J216" s="1341"/>
      <c r="K216" s="1341"/>
      <c r="L216" s="1341"/>
    </row>
    <row r="217" spans="1:12" s="1352" customFormat="1" ht="20.100000000000001" customHeight="1">
      <c r="A217" s="1341"/>
      <c r="B217" s="1341"/>
      <c r="C217" s="1374"/>
      <c r="D217" s="1535" t="s">
        <v>426</v>
      </c>
      <c r="E217" s="1541">
        <v>175000000</v>
      </c>
      <c r="F217" s="1540">
        <f>SUM(F218)</f>
        <v>175000000</v>
      </c>
      <c r="G217" s="1532">
        <f t="shared" si="5"/>
        <v>100</v>
      </c>
      <c r="H217" s="1539">
        <v>100</v>
      </c>
      <c r="I217" s="1353"/>
      <c r="J217" s="1341"/>
      <c r="K217" s="1341"/>
      <c r="L217" s="1341"/>
    </row>
    <row r="218" spans="1:12" s="1352" customFormat="1" ht="20.100000000000001" customHeight="1">
      <c r="A218" s="1341"/>
      <c r="B218" s="1341"/>
      <c r="C218" s="1374"/>
      <c r="D218" s="1530" t="s">
        <v>3852</v>
      </c>
      <c r="E218" s="1538">
        <v>175000000</v>
      </c>
      <c r="F218" s="1537">
        <v>175000000</v>
      </c>
      <c r="G218" s="1527">
        <f t="shared" si="5"/>
        <v>100</v>
      </c>
      <c r="H218" s="1536">
        <v>100</v>
      </c>
      <c r="I218" s="1353"/>
      <c r="J218" s="1341"/>
      <c r="K218" s="1341"/>
      <c r="L218" s="1341"/>
    </row>
    <row r="219" spans="1:12" s="1352" customFormat="1" ht="20.100000000000001" customHeight="1">
      <c r="A219" s="1341"/>
      <c r="B219" s="1341"/>
      <c r="C219" s="1374"/>
      <c r="D219" s="1535" t="s">
        <v>212</v>
      </c>
      <c r="E219" s="1541">
        <v>290000000</v>
      </c>
      <c r="F219" s="1540">
        <f>SUM(F220:F221)</f>
        <v>290000000</v>
      </c>
      <c r="G219" s="1532">
        <f t="shared" si="5"/>
        <v>100</v>
      </c>
      <c r="H219" s="1539">
        <v>100</v>
      </c>
      <c r="I219" s="1353"/>
      <c r="J219" s="1341"/>
      <c r="K219" s="1341"/>
      <c r="L219" s="1341"/>
    </row>
    <row r="220" spans="1:12" s="1352" customFormat="1" ht="20.100000000000001" customHeight="1">
      <c r="A220" s="1341"/>
      <c r="B220" s="1341"/>
      <c r="C220" s="1374"/>
      <c r="D220" s="1530" t="s">
        <v>3851</v>
      </c>
      <c r="E220" s="1538">
        <v>90000000</v>
      </c>
      <c r="F220" s="1537">
        <v>90000000</v>
      </c>
      <c r="G220" s="1527">
        <f t="shared" si="5"/>
        <v>100</v>
      </c>
      <c r="H220" s="1536">
        <v>100</v>
      </c>
      <c r="I220" s="1353"/>
      <c r="J220" s="1341"/>
      <c r="K220" s="1341"/>
      <c r="L220" s="1341"/>
    </row>
    <row r="221" spans="1:12" s="1352" customFormat="1" ht="20.100000000000001" customHeight="1">
      <c r="A221" s="1341"/>
      <c r="B221" s="1341"/>
      <c r="C221" s="1374"/>
      <c r="D221" s="1530" t="s">
        <v>2606</v>
      </c>
      <c r="E221" s="1538">
        <v>200000000</v>
      </c>
      <c r="F221" s="1537">
        <v>200000000</v>
      </c>
      <c r="G221" s="1527">
        <f t="shared" si="5"/>
        <v>100</v>
      </c>
      <c r="H221" s="1536">
        <v>100</v>
      </c>
      <c r="I221" s="1353"/>
      <c r="J221" s="1341"/>
      <c r="K221" s="1341"/>
      <c r="L221" s="1341"/>
    </row>
    <row r="222" spans="1:12" s="1352" customFormat="1" ht="15" customHeight="1">
      <c r="A222" s="1341"/>
      <c r="B222" s="1341"/>
      <c r="C222" s="1374"/>
      <c r="D222" s="1530"/>
      <c r="E222" s="1538"/>
      <c r="F222" s="1537"/>
      <c r="G222" s="1527"/>
      <c r="H222" s="1536"/>
      <c r="I222" s="1353"/>
      <c r="J222" s="1341"/>
      <c r="K222" s="1341"/>
      <c r="L222" s="1341"/>
    </row>
    <row r="223" spans="1:12" s="1352" customFormat="1" ht="20.100000000000001" customHeight="1">
      <c r="A223" s="1341"/>
      <c r="B223" s="1341"/>
      <c r="C223" s="1374"/>
      <c r="D223" s="1535" t="s">
        <v>1231</v>
      </c>
      <c r="E223" s="1534">
        <v>4933475750</v>
      </c>
      <c r="F223" s="1533">
        <f>F224+F227+F230</f>
        <v>4308042330</v>
      </c>
      <c r="G223" s="1532">
        <f t="shared" ref="G223:G231" si="6">F223/E223*100</f>
        <v>87.322661513031662</v>
      </c>
      <c r="H223" s="1531">
        <v>93</v>
      </c>
      <c r="I223" s="1353"/>
      <c r="J223" s="1341"/>
      <c r="K223" s="1341"/>
      <c r="L223" s="1341"/>
    </row>
    <row r="224" spans="1:12" s="1352" customFormat="1" ht="20.100000000000001" customHeight="1">
      <c r="A224" s="1341"/>
      <c r="B224" s="1341"/>
      <c r="C224" s="1374"/>
      <c r="D224" s="1535" t="s">
        <v>162</v>
      </c>
      <c r="E224" s="1534">
        <v>2983475750</v>
      </c>
      <c r="F224" s="1533">
        <f>SUM(F225:F226)</f>
        <v>2567321230</v>
      </c>
      <c r="G224" s="1532">
        <f t="shared" si="6"/>
        <v>86.051352353039917</v>
      </c>
      <c r="H224" s="1531">
        <v>91</v>
      </c>
      <c r="I224" s="1353"/>
      <c r="J224" s="1341"/>
      <c r="K224" s="1341"/>
      <c r="L224" s="1341"/>
    </row>
    <row r="225" spans="1:12" s="1352" customFormat="1" ht="20.100000000000001" customHeight="1">
      <c r="A225" s="1341"/>
      <c r="B225" s="1341"/>
      <c r="C225" s="1374"/>
      <c r="D225" s="1530" t="s">
        <v>2593</v>
      </c>
      <c r="E225" s="1529">
        <v>1000000000</v>
      </c>
      <c r="F225" s="1528">
        <v>685096549</v>
      </c>
      <c r="G225" s="1527">
        <f t="shared" si="6"/>
        <v>68.509654900000001</v>
      </c>
      <c r="H225" s="1526">
        <v>74</v>
      </c>
      <c r="I225" s="1353"/>
      <c r="J225" s="1341"/>
      <c r="K225" s="1341"/>
      <c r="L225" s="1341"/>
    </row>
    <row r="226" spans="1:12" s="1352" customFormat="1" ht="20.100000000000001" customHeight="1">
      <c r="A226" s="1341"/>
      <c r="B226" s="1341"/>
      <c r="C226" s="1374"/>
      <c r="D226" s="1530" t="s">
        <v>1222</v>
      </c>
      <c r="E226" s="1529">
        <v>1983475750</v>
      </c>
      <c r="F226" s="1528">
        <v>1882224681</v>
      </c>
      <c r="G226" s="1527">
        <f t="shared" si="6"/>
        <v>94.89527063791931</v>
      </c>
      <c r="H226" s="1526">
        <v>100</v>
      </c>
      <c r="I226" s="1353"/>
      <c r="J226" s="1341"/>
      <c r="K226" s="1341"/>
      <c r="L226" s="1341"/>
    </row>
    <row r="227" spans="1:12" s="1352" customFormat="1" ht="20.100000000000001" customHeight="1">
      <c r="A227" s="1341"/>
      <c r="B227" s="1341"/>
      <c r="C227" s="1374"/>
      <c r="D227" s="1535" t="s">
        <v>173</v>
      </c>
      <c r="E227" s="1534">
        <v>1700000000</v>
      </c>
      <c r="F227" s="1533">
        <f>SUM(F228:F229)</f>
        <v>1603631100</v>
      </c>
      <c r="G227" s="1532">
        <f t="shared" si="6"/>
        <v>94.331241176470598</v>
      </c>
      <c r="H227" s="1531">
        <v>98</v>
      </c>
      <c r="I227" s="1353"/>
      <c r="J227" s="1341"/>
      <c r="K227" s="1341"/>
      <c r="L227" s="1341"/>
    </row>
    <row r="228" spans="1:12" s="1352" customFormat="1" ht="20.100000000000001" customHeight="1">
      <c r="A228" s="1341"/>
      <c r="B228" s="1341"/>
      <c r="C228" s="1374"/>
      <c r="D228" s="1530" t="s">
        <v>2594</v>
      </c>
      <c r="E228" s="1529">
        <v>1500000000</v>
      </c>
      <c r="F228" s="1528">
        <v>1496631100</v>
      </c>
      <c r="G228" s="1527">
        <f t="shared" si="6"/>
        <v>99.775406666666669</v>
      </c>
      <c r="H228" s="1526">
        <v>100</v>
      </c>
      <c r="I228" s="1353"/>
      <c r="J228" s="1341"/>
      <c r="K228" s="1341"/>
      <c r="L228" s="1341"/>
    </row>
    <row r="229" spans="1:12" s="1352" customFormat="1" ht="20.100000000000001" customHeight="1">
      <c r="A229" s="1341"/>
      <c r="B229" s="1341"/>
      <c r="C229" s="1374"/>
      <c r="D229" s="1530" t="s">
        <v>1223</v>
      </c>
      <c r="E229" s="1529">
        <v>200000000</v>
      </c>
      <c r="F229" s="1528">
        <v>107000000</v>
      </c>
      <c r="G229" s="1527">
        <f t="shared" si="6"/>
        <v>53.5</v>
      </c>
      <c r="H229" s="1526">
        <v>59</v>
      </c>
      <c r="I229" s="1353"/>
      <c r="J229" s="1341"/>
      <c r="K229" s="1341"/>
      <c r="L229" s="1341"/>
    </row>
    <row r="230" spans="1:12" s="1352" customFormat="1" ht="20.100000000000001" customHeight="1">
      <c r="A230" s="1341"/>
      <c r="B230" s="1341"/>
      <c r="C230" s="1374"/>
      <c r="D230" s="1535" t="s">
        <v>196</v>
      </c>
      <c r="E230" s="1534">
        <v>250000000</v>
      </c>
      <c r="F230" s="1533">
        <f>SUM(F231)</f>
        <v>137090000</v>
      </c>
      <c r="G230" s="1532">
        <f t="shared" si="6"/>
        <v>54.835999999999999</v>
      </c>
      <c r="H230" s="1531">
        <v>70</v>
      </c>
      <c r="I230" s="1353"/>
      <c r="J230" s="1341"/>
      <c r="K230" s="1341"/>
      <c r="L230" s="1341"/>
    </row>
    <row r="231" spans="1:12" s="1352" customFormat="1" ht="20.100000000000001" customHeight="1">
      <c r="A231" s="1341"/>
      <c r="B231" s="1341"/>
      <c r="C231" s="1374"/>
      <c r="D231" s="1530" t="s">
        <v>3850</v>
      </c>
      <c r="E231" s="1529">
        <v>250000000</v>
      </c>
      <c r="F231" s="1528">
        <v>137090000</v>
      </c>
      <c r="G231" s="1527">
        <f t="shared" si="6"/>
        <v>54.835999999999999</v>
      </c>
      <c r="H231" s="1526">
        <v>70</v>
      </c>
      <c r="I231" s="1353"/>
      <c r="J231" s="1341"/>
      <c r="K231" s="1341"/>
      <c r="L231" s="1341"/>
    </row>
    <row r="232" spans="1:12" ht="15" customHeight="1">
      <c r="A232" s="1341"/>
      <c r="B232" s="1341"/>
      <c r="C232" s="1374"/>
      <c r="D232" s="1373"/>
      <c r="E232" s="1369">
        <v>0</v>
      </c>
      <c r="F232" s="1372"/>
      <c r="G232" s="1371"/>
      <c r="H232" s="1371"/>
      <c r="I232" s="1353"/>
      <c r="J232" s="1341"/>
      <c r="K232" s="1341"/>
      <c r="L232" s="1341"/>
    </row>
    <row r="233" spans="1:12" s="1359" customFormat="1" ht="20.100000000000001" customHeight="1">
      <c r="A233" s="1346"/>
      <c r="B233" s="1346"/>
      <c r="C233" s="1381" t="s">
        <v>844</v>
      </c>
      <c r="D233" s="1370" t="s">
        <v>845</v>
      </c>
      <c r="E233" s="1404">
        <v>11486767510</v>
      </c>
      <c r="F233" s="1404">
        <f>+F234+F260</f>
        <v>10940756300</v>
      </c>
      <c r="G233" s="1368">
        <f t="shared" ref="G233:G258" si="7">+F233/E233*100</f>
        <v>95.246606936854434</v>
      </c>
      <c r="H233" s="1368">
        <f>(H234+H260)/2</f>
        <v>98.427083333333329</v>
      </c>
      <c r="I233" s="1360"/>
      <c r="J233" s="1346"/>
      <c r="K233" s="1346"/>
      <c r="L233" s="1346"/>
    </row>
    <row r="234" spans="1:12" s="1352" customFormat="1" ht="20.100000000000001" customHeight="1">
      <c r="A234" s="1341"/>
      <c r="B234" s="1341"/>
      <c r="C234" s="1374"/>
      <c r="D234" s="1370" t="s">
        <v>161</v>
      </c>
      <c r="E234" s="1524">
        <f>+E235+E237+E240+E243+E249+E253+E255+E257</f>
        <v>6986767510</v>
      </c>
      <c r="F234" s="1524">
        <f>+F235+F237+F240+F243+F249+F253+F255+F257</f>
        <v>6468456300</v>
      </c>
      <c r="G234" s="1523">
        <f t="shared" si="7"/>
        <v>92.581530596829609</v>
      </c>
      <c r="H234" s="1523">
        <f>(H235+H237+H240+H243+H249+H253+H255+H257)/8</f>
        <v>96.854166666666657</v>
      </c>
      <c r="I234" s="1353"/>
      <c r="J234" s="1341"/>
      <c r="K234" s="1341"/>
      <c r="L234" s="1341"/>
    </row>
    <row r="235" spans="1:12" s="1352" customFormat="1" ht="20.100000000000001" customHeight="1">
      <c r="A235" s="1341"/>
      <c r="B235" s="1341"/>
      <c r="C235" s="1374"/>
      <c r="D235" s="1525" t="s">
        <v>162</v>
      </c>
      <c r="E235" s="1524">
        <f>+E236</f>
        <v>1671151510</v>
      </c>
      <c r="F235" s="1524">
        <f>+F236</f>
        <v>1667767700</v>
      </c>
      <c r="G235" s="1523">
        <f t="shared" si="7"/>
        <v>99.797516264698231</v>
      </c>
      <c r="H235" s="1523">
        <f>+H236</f>
        <v>100</v>
      </c>
      <c r="I235" s="1353"/>
      <c r="J235" s="1341"/>
      <c r="K235" s="1341"/>
      <c r="L235" s="1341"/>
    </row>
    <row r="236" spans="1:12" s="1352" customFormat="1" ht="20.100000000000001" customHeight="1">
      <c r="A236" s="1341"/>
      <c r="B236" s="1341"/>
      <c r="C236" s="1374"/>
      <c r="D236" s="1438" t="s">
        <v>1623</v>
      </c>
      <c r="E236" s="1522">
        <v>1671151510</v>
      </c>
      <c r="F236" s="1522">
        <v>1667767700</v>
      </c>
      <c r="G236" s="1521">
        <f t="shared" si="7"/>
        <v>99.797516264698231</v>
      </c>
      <c r="H236" s="1521">
        <v>100</v>
      </c>
      <c r="I236" s="1353"/>
      <c r="J236" s="1341"/>
      <c r="K236" s="1341"/>
      <c r="L236" s="1341"/>
    </row>
    <row r="237" spans="1:12" s="1352" customFormat="1" ht="20.100000000000001" customHeight="1">
      <c r="A237" s="1341"/>
      <c r="B237" s="1341"/>
      <c r="C237" s="1374"/>
      <c r="D237" s="1525" t="s">
        <v>173</v>
      </c>
      <c r="E237" s="1524">
        <f>SUM(E238:E239)</f>
        <v>2554200000</v>
      </c>
      <c r="F237" s="1524">
        <f>SUM(F238:F239)</f>
        <v>2128670000</v>
      </c>
      <c r="G237" s="1523">
        <f t="shared" si="7"/>
        <v>83.339989037663457</v>
      </c>
      <c r="H237" s="1523">
        <f>(H238+H239)/2</f>
        <v>92.5</v>
      </c>
      <c r="I237" s="1353"/>
      <c r="J237" s="1341"/>
      <c r="K237" s="1341"/>
      <c r="L237" s="1341"/>
    </row>
    <row r="238" spans="1:12" s="1352" customFormat="1" ht="42.75" customHeight="1">
      <c r="A238" s="1341"/>
      <c r="B238" s="1341"/>
      <c r="C238" s="1374"/>
      <c r="D238" s="1438" t="s">
        <v>3824</v>
      </c>
      <c r="E238" s="1522">
        <v>380200000</v>
      </c>
      <c r="F238" s="1522">
        <v>380200000</v>
      </c>
      <c r="G238" s="1521">
        <f t="shared" si="7"/>
        <v>100</v>
      </c>
      <c r="H238" s="1521">
        <f>+G238</f>
        <v>100</v>
      </c>
      <c r="I238" s="1353"/>
      <c r="J238" s="1341"/>
      <c r="K238" s="1341"/>
      <c r="L238" s="1341"/>
    </row>
    <row r="239" spans="1:12" s="1352" customFormat="1" ht="20.100000000000001" customHeight="1">
      <c r="A239" s="1341"/>
      <c r="B239" s="1341"/>
      <c r="C239" s="1374"/>
      <c r="D239" s="1438" t="s">
        <v>3823</v>
      </c>
      <c r="E239" s="1522">
        <v>2174000000</v>
      </c>
      <c r="F239" s="1522">
        <f>1834600000-86130000</f>
        <v>1748470000</v>
      </c>
      <c r="G239" s="1521">
        <f t="shared" si="7"/>
        <v>80.426402943882252</v>
      </c>
      <c r="H239" s="1521">
        <v>85</v>
      </c>
      <c r="I239" s="1353"/>
      <c r="J239" s="1341"/>
      <c r="K239" s="1341"/>
      <c r="L239" s="1341"/>
    </row>
    <row r="240" spans="1:12" s="1352" customFormat="1" ht="20.100000000000001" customHeight="1">
      <c r="A240" s="1341"/>
      <c r="B240" s="1341"/>
      <c r="C240" s="1374"/>
      <c r="D240" s="1525" t="s">
        <v>190</v>
      </c>
      <c r="E240" s="1524">
        <f>SUM(E241:E242)</f>
        <v>446300000</v>
      </c>
      <c r="F240" s="1524">
        <f>SUM(F241:F242)</f>
        <v>445483000</v>
      </c>
      <c r="G240" s="1523">
        <f t="shared" si="7"/>
        <v>99.816939278512208</v>
      </c>
      <c r="H240" s="1523">
        <f>(H241+H242)/2</f>
        <v>100</v>
      </c>
      <c r="I240" s="1353"/>
      <c r="J240" s="1341"/>
      <c r="K240" s="1341"/>
      <c r="L240" s="1341"/>
    </row>
    <row r="241" spans="1:12" s="1352" customFormat="1" ht="42.75" customHeight="1">
      <c r="A241" s="1341"/>
      <c r="B241" s="1341"/>
      <c r="C241" s="1374"/>
      <c r="D241" s="1438" t="s">
        <v>3822</v>
      </c>
      <c r="E241" s="1522">
        <v>200000000</v>
      </c>
      <c r="F241" s="1522">
        <v>199500000</v>
      </c>
      <c r="G241" s="1521">
        <f t="shared" si="7"/>
        <v>99.75</v>
      </c>
      <c r="H241" s="1521">
        <v>100</v>
      </c>
      <c r="I241" s="1353"/>
      <c r="J241" s="1341"/>
      <c r="K241" s="1341"/>
      <c r="L241" s="1341"/>
    </row>
    <row r="242" spans="1:12" s="1352" customFormat="1" ht="20.100000000000001" customHeight="1">
      <c r="A242" s="1341"/>
      <c r="B242" s="1341"/>
      <c r="C242" s="1374"/>
      <c r="D242" s="1438" t="s">
        <v>3821</v>
      </c>
      <c r="E242" s="1522">
        <v>246300000</v>
      </c>
      <c r="F242" s="1522">
        <v>245983000</v>
      </c>
      <c r="G242" s="1521">
        <f t="shared" si="7"/>
        <v>99.871295168493717</v>
      </c>
      <c r="H242" s="1521">
        <v>100</v>
      </c>
      <c r="I242" s="1353"/>
      <c r="J242" s="1341"/>
      <c r="K242" s="1341"/>
      <c r="L242" s="1341"/>
    </row>
    <row r="243" spans="1:12" s="1352" customFormat="1" ht="20.100000000000001" customHeight="1">
      <c r="A243" s="1341"/>
      <c r="B243" s="1341"/>
      <c r="C243" s="1374"/>
      <c r="D243" s="1525" t="s">
        <v>196</v>
      </c>
      <c r="E243" s="1524">
        <f>SUM(E244:E248)</f>
        <v>1139604000</v>
      </c>
      <c r="F243" s="1524">
        <f>SUM(F244:F248)</f>
        <v>1123954000</v>
      </c>
      <c r="G243" s="1523">
        <f t="shared" si="7"/>
        <v>98.62671594694298</v>
      </c>
      <c r="H243" s="1523">
        <f>(H244+H245+H246+H247+H248)/5</f>
        <v>99</v>
      </c>
      <c r="I243" s="1353"/>
      <c r="J243" s="1341"/>
      <c r="K243" s="1341"/>
      <c r="L243" s="1341"/>
    </row>
    <row r="244" spans="1:12" s="1352" customFormat="1" ht="20.100000000000001" customHeight="1">
      <c r="A244" s="1341"/>
      <c r="B244" s="1341"/>
      <c r="C244" s="1374"/>
      <c r="D244" s="1438" t="s">
        <v>3820</v>
      </c>
      <c r="E244" s="1522">
        <v>234754000</v>
      </c>
      <c r="F244" s="1522">
        <v>221004000</v>
      </c>
      <c r="G244" s="1521">
        <f t="shared" si="7"/>
        <v>94.142804808437774</v>
      </c>
      <c r="H244" s="1521">
        <v>95</v>
      </c>
      <c r="I244" s="1353"/>
      <c r="J244" s="1341"/>
      <c r="K244" s="1341"/>
      <c r="L244" s="1341"/>
    </row>
    <row r="245" spans="1:12" s="1352" customFormat="1" ht="20.100000000000001" customHeight="1">
      <c r="A245" s="1341"/>
      <c r="B245" s="1341"/>
      <c r="C245" s="1374"/>
      <c r="D245" s="1438" t="s">
        <v>3819</v>
      </c>
      <c r="E245" s="1522">
        <v>164385000</v>
      </c>
      <c r="F245" s="1522">
        <v>164085000</v>
      </c>
      <c r="G245" s="1521">
        <f t="shared" si="7"/>
        <v>99.817501596861021</v>
      </c>
      <c r="H245" s="1521">
        <v>100</v>
      </c>
      <c r="I245" s="1353"/>
      <c r="J245" s="1341"/>
      <c r="K245" s="1341"/>
      <c r="L245" s="1341"/>
    </row>
    <row r="246" spans="1:12" s="1352" customFormat="1" ht="20.100000000000001" customHeight="1">
      <c r="A246" s="1341"/>
      <c r="B246" s="1341"/>
      <c r="C246" s="1374"/>
      <c r="D246" s="1438" t="s">
        <v>3818</v>
      </c>
      <c r="E246" s="1522">
        <v>116315000</v>
      </c>
      <c r="F246" s="1522">
        <v>116315000</v>
      </c>
      <c r="G246" s="1521">
        <f t="shared" si="7"/>
        <v>100</v>
      </c>
      <c r="H246" s="1521">
        <f>+G246</f>
        <v>100</v>
      </c>
      <c r="I246" s="1353"/>
      <c r="J246" s="1341"/>
      <c r="K246" s="1341"/>
      <c r="L246" s="1341"/>
    </row>
    <row r="247" spans="1:12" s="1352" customFormat="1" ht="20.100000000000001" customHeight="1">
      <c r="A247" s="1341"/>
      <c r="B247" s="1341"/>
      <c r="C247" s="1374"/>
      <c r="D247" s="1438" t="s">
        <v>3817</v>
      </c>
      <c r="E247" s="1522">
        <v>170650000</v>
      </c>
      <c r="F247" s="1522">
        <v>170650000</v>
      </c>
      <c r="G247" s="1521">
        <f t="shared" si="7"/>
        <v>100</v>
      </c>
      <c r="H247" s="1521">
        <f>+G247</f>
        <v>100</v>
      </c>
      <c r="I247" s="1353"/>
      <c r="J247" s="1341"/>
      <c r="K247" s="1341"/>
      <c r="L247" s="1341"/>
    </row>
    <row r="248" spans="1:12" s="1352" customFormat="1" ht="20.100000000000001" customHeight="1">
      <c r="A248" s="1341"/>
      <c r="B248" s="1341"/>
      <c r="C248" s="1374"/>
      <c r="D248" s="1438" t="s">
        <v>3816</v>
      </c>
      <c r="E248" s="1522">
        <v>453500000</v>
      </c>
      <c r="F248" s="1522">
        <v>451900000</v>
      </c>
      <c r="G248" s="1521">
        <f t="shared" si="7"/>
        <v>99.647188533627343</v>
      </c>
      <c r="H248" s="1521">
        <v>100</v>
      </c>
      <c r="I248" s="1353"/>
      <c r="J248" s="1341"/>
      <c r="K248" s="1341"/>
      <c r="L248" s="1341"/>
    </row>
    <row r="249" spans="1:12" s="1352" customFormat="1" ht="20.100000000000001" customHeight="1">
      <c r="A249" s="1341"/>
      <c r="B249" s="1341"/>
      <c r="C249" s="1374"/>
      <c r="D249" s="1525" t="s">
        <v>1878</v>
      </c>
      <c r="E249" s="1524">
        <f>SUM(E250:E252)</f>
        <v>296812000</v>
      </c>
      <c r="F249" s="1524">
        <f>SUM(F250:F252)</f>
        <v>228302000</v>
      </c>
      <c r="G249" s="1523">
        <f t="shared" si="7"/>
        <v>76.918049135479691</v>
      </c>
      <c r="H249" s="1523">
        <f>(H250+H251+H252)/3</f>
        <v>83.333333333333329</v>
      </c>
      <c r="I249" s="1353"/>
      <c r="J249" s="1341"/>
      <c r="K249" s="1341"/>
      <c r="L249" s="1341"/>
    </row>
    <row r="250" spans="1:12" s="1352" customFormat="1" ht="20.100000000000001" customHeight="1">
      <c r="A250" s="1341"/>
      <c r="B250" s="1341"/>
      <c r="C250" s="1374"/>
      <c r="D250" s="1438" t="s">
        <v>3815</v>
      </c>
      <c r="E250" s="1522">
        <v>121318000</v>
      </c>
      <c r="F250" s="1522">
        <f>121318000-(65210000+3300000)</f>
        <v>52808000</v>
      </c>
      <c r="G250" s="1521">
        <f t="shared" si="7"/>
        <v>43.528577787302794</v>
      </c>
      <c r="H250" s="1521">
        <v>50</v>
      </c>
      <c r="I250" s="1353"/>
      <c r="J250" s="1341"/>
      <c r="K250" s="1341"/>
      <c r="L250" s="1341"/>
    </row>
    <row r="251" spans="1:12" s="1352" customFormat="1" ht="20.100000000000001" customHeight="1">
      <c r="A251" s="1341"/>
      <c r="B251" s="1341"/>
      <c r="C251" s="1374"/>
      <c r="D251" s="1438" t="s">
        <v>3814</v>
      </c>
      <c r="E251" s="1522">
        <v>118096000</v>
      </c>
      <c r="F251" s="1522">
        <v>118096000</v>
      </c>
      <c r="G251" s="1521">
        <f t="shared" si="7"/>
        <v>100</v>
      </c>
      <c r="H251" s="1521">
        <f>+G251</f>
        <v>100</v>
      </c>
      <c r="I251" s="1353"/>
      <c r="J251" s="1341"/>
      <c r="K251" s="1341"/>
      <c r="L251" s="1341"/>
    </row>
    <row r="252" spans="1:12" s="1352" customFormat="1" ht="39.75" customHeight="1">
      <c r="A252" s="1341"/>
      <c r="B252" s="1341"/>
      <c r="C252" s="1374"/>
      <c r="D252" s="1438" t="s">
        <v>3813</v>
      </c>
      <c r="E252" s="1522">
        <v>57398000</v>
      </c>
      <c r="F252" s="1522">
        <v>57398000</v>
      </c>
      <c r="G252" s="1521">
        <f t="shared" si="7"/>
        <v>100</v>
      </c>
      <c r="H252" s="1521">
        <f>+G252</f>
        <v>100</v>
      </c>
      <c r="I252" s="1353"/>
      <c r="J252" s="1341"/>
      <c r="K252" s="1341"/>
      <c r="L252" s="1341"/>
    </row>
    <row r="253" spans="1:12" s="1352" customFormat="1" ht="20.100000000000001" customHeight="1">
      <c r="A253" s="1341"/>
      <c r="B253" s="1341"/>
      <c r="C253" s="1374"/>
      <c r="D253" s="1414" t="s">
        <v>877</v>
      </c>
      <c r="E253" s="1524">
        <f>+E254</f>
        <v>391100000</v>
      </c>
      <c r="F253" s="1524">
        <f>+F254</f>
        <v>387300000</v>
      </c>
      <c r="G253" s="1523">
        <f t="shared" si="7"/>
        <v>99.028381488110455</v>
      </c>
      <c r="H253" s="1523">
        <f>+H254</f>
        <v>100</v>
      </c>
      <c r="I253" s="1353"/>
      <c r="J253" s="1341"/>
      <c r="K253" s="1341"/>
      <c r="L253" s="1341"/>
    </row>
    <row r="254" spans="1:12" s="1352" customFormat="1" ht="20.100000000000001" customHeight="1">
      <c r="A254" s="1341"/>
      <c r="B254" s="1341"/>
      <c r="C254" s="1374"/>
      <c r="D254" s="1438" t="s">
        <v>3812</v>
      </c>
      <c r="E254" s="1522">
        <v>391100000</v>
      </c>
      <c r="F254" s="1522">
        <f>391100000-3800000</f>
        <v>387300000</v>
      </c>
      <c r="G254" s="1521">
        <f t="shared" si="7"/>
        <v>99.028381488110455</v>
      </c>
      <c r="H254" s="1521">
        <v>100</v>
      </c>
      <c r="I254" s="1353"/>
      <c r="J254" s="1341"/>
      <c r="K254" s="1341"/>
      <c r="L254" s="1341"/>
    </row>
    <row r="255" spans="1:12" s="1352" customFormat="1" ht="20.100000000000001" customHeight="1">
      <c r="A255" s="1341"/>
      <c r="B255" s="1341"/>
      <c r="C255" s="1374"/>
      <c r="D255" s="1525" t="s">
        <v>221</v>
      </c>
      <c r="E255" s="1524">
        <f>SUM(E256:E256)</f>
        <v>95900000</v>
      </c>
      <c r="F255" s="1524">
        <f>SUM(F256:F256)</f>
        <v>95279600</v>
      </c>
      <c r="G255" s="1523">
        <f t="shared" si="7"/>
        <v>99.353076120959329</v>
      </c>
      <c r="H255" s="1523">
        <f>+H256</f>
        <v>100</v>
      </c>
      <c r="I255" s="1353"/>
      <c r="J255" s="1341"/>
      <c r="K255" s="1341"/>
      <c r="L255" s="1341"/>
    </row>
    <row r="256" spans="1:12" s="1352" customFormat="1" ht="20.100000000000001" customHeight="1">
      <c r="A256" s="1341"/>
      <c r="B256" s="1341"/>
      <c r="C256" s="1374"/>
      <c r="D256" s="1438" t="s">
        <v>2208</v>
      </c>
      <c r="E256" s="1522">
        <v>95900000</v>
      </c>
      <c r="F256" s="1522">
        <f>95900000-620400</f>
        <v>95279600</v>
      </c>
      <c r="G256" s="1521">
        <f t="shared" si="7"/>
        <v>99.353076120959329</v>
      </c>
      <c r="H256" s="1521">
        <v>100</v>
      </c>
      <c r="I256" s="1353"/>
      <c r="J256" s="1341"/>
      <c r="K256" s="1341"/>
      <c r="L256" s="1341"/>
    </row>
    <row r="257" spans="1:12" s="1352" customFormat="1" ht="20.100000000000001" customHeight="1">
      <c r="A257" s="1341"/>
      <c r="B257" s="1341"/>
      <c r="C257" s="1374"/>
      <c r="D257" s="1414" t="s">
        <v>1501</v>
      </c>
      <c r="E257" s="1524">
        <f>SUM(E258:E258)</f>
        <v>391700000</v>
      </c>
      <c r="F257" s="1524">
        <f>SUM(F258:F258)</f>
        <v>391700000</v>
      </c>
      <c r="G257" s="1523">
        <f t="shared" si="7"/>
        <v>100</v>
      </c>
      <c r="H257" s="1523">
        <f>+H258</f>
        <v>100</v>
      </c>
      <c r="I257" s="1353"/>
      <c r="J257" s="1341"/>
      <c r="K257" s="1341"/>
      <c r="L257" s="1341"/>
    </row>
    <row r="258" spans="1:12" s="1352" customFormat="1" ht="20.100000000000001" customHeight="1">
      <c r="A258" s="1341"/>
      <c r="B258" s="1341"/>
      <c r="C258" s="1374"/>
      <c r="D258" s="1438" t="s">
        <v>3811</v>
      </c>
      <c r="E258" s="1522">
        <v>391700000</v>
      </c>
      <c r="F258" s="1522">
        <v>391700000</v>
      </c>
      <c r="G258" s="1521">
        <f t="shared" si="7"/>
        <v>100</v>
      </c>
      <c r="H258" s="1521">
        <f>+G258</f>
        <v>100</v>
      </c>
      <c r="I258" s="1353"/>
      <c r="J258" s="1341"/>
      <c r="K258" s="1341"/>
      <c r="L258" s="1341"/>
    </row>
    <row r="259" spans="1:12" s="1352" customFormat="1" ht="15" customHeight="1">
      <c r="A259" s="1341"/>
      <c r="B259" s="1341"/>
      <c r="C259" s="1374"/>
      <c r="D259" s="1525"/>
      <c r="E259" s="1404"/>
      <c r="F259" s="1405"/>
      <c r="G259" s="1371"/>
      <c r="H259" s="1371"/>
      <c r="I259" s="1353"/>
      <c r="J259" s="1341"/>
      <c r="K259" s="1341"/>
      <c r="L259" s="1341"/>
    </row>
    <row r="260" spans="1:12" s="1352" customFormat="1" ht="20.100000000000001" customHeight="1">
      <c r="A260" s="1341"/>
      <c r="B260" s="1341"/>
      <c r="C260" s="1374"/>
      <c r="D260" s="1370" t="s">
        <v>425</v>
      </c>
      <c r="E260" s="1524">
        <f>+E261</f>
        <v>4500000000</v>
      </c>
      <c r="F260" s="1524">
        <f>+F261</f>
        <v>4472300000</v>
      </c>
      <c r="G260" s="1523">
        <f t="shared" ref="G260:G265" si="8">+F260/E260*100</f>
        <v>99.384444444444441</v>
      </c>
      <c r="H260" s="1523">
        <f>+H261</f>
        <v>100</v>
      </c>
      <c r="I260" s="1353"/>
      <c r="J260" s="1341"/>
      <c r="K260" s="1341"/>
      <c r="L260" s="1341"/>
    </row>
    <row r="261" spans="1:12" s="1352" customFormat="1" ht="38.25" customHeight="1">
      <c r="A261" s="1341"/>
      <c r="B261" s="1341"/>
      <c r="C261" s="1374"/>
      <c r="D261" s="1414" t="s">
        <v>3810</v>
      </c>
      <c r="E261" s="1524">
        <f>+E262</f>
        <v>4500000000</v>
      </c>
      <c r="F261" s="1524">
        <f>+F262</f>
        <v>4472300000</v>
      </c>
      <c r="G261" s="1523">
        <f t="shared" si="8"/>
        <v>99.384444444444441</v>
      </c>
      <c r="H261" s="1523">
        <f>+H262</f>
        <v>100</v>
      </c>
      <c r="I261" s="1353"/>
      <c r="J261" s="1341"/>
      <c r="K261" s="1341"/>
      <c r="L261" s="1341"/>
    </row>
    <row r="262" spans="1:12" s="1352" customFormat="1" ht="20.100000000000001" customHeight="1">
      <c r="A262" s="1341"/>
      <c r="B262" s="1341"/>
      <c r="C262" s="1374"/>
      <c r="D262" s="1438" t="s">
        <v>3809</v>
      </c>
      <c r="E262" s="1522">
        <v>4500000000</v>
      </c>
      <c r="F262" s="1522">
        <v>4472300000</v>
      </c>
      <c r="G262" s="1521">
        <f t="shared" si="8"/>
        <v>99.384444444444441</v>
      </c>
      <c r="H262" s="1521">
        <v>100</v>
      </c>
      <c r="I262" s="1353"/>
      <c r="J262" s="1341"/>
      <c r="K262" s="1341"/>
      <c r="L262" s="1341"/>
    </row>
    <row r="263" spans="1:12" s="1352" customFormat="1" ht="20.100000000000001" customHeight="1">
      <c r="A263" s="1341"/>
      <c r="B263" s="1341"/>
      <c r="C263" s="1374"/>
      <c r="D263" s="1370" t="s">
        <v>489</v>
      </c>
      <c r="E263" s="1524">
        <f>+E264</f>
        <v>900000000</v>
      </c>
      <c r="F263" s="1524">
        <f>+F264</f>
        <v>900000000</v>
      </c>
      <c r="G263" s="1523">
        <f t="shared" si="8"/>
        <v>100</v>
      </c>
      <c r="H263" s="1523">
        <f>+H264</f>
        <v>100</v>
      </c>
      <c r="I263" s="1353"/>
      <c r="J263" s="1341"/>
      <c r="K263" s="1341"/>
      <c r="L263" s="1341"/>
    </row>
    <row r="264" spans="1:12" s="1352" customFormat="1" ht="20.100000000000001" customHeight="1">
      <c r="A264" s="1341"/>
      <c r="B264" s="1341"/>
      <c r="C264" s="1374"/>
      <c r="D264" s="1414" t="s">
        <v>1525</v>
      </c>
      <c r="E264" s="1524">
        <f>+E265</f>
        <v>900000000</v>
      </c>
      <c r="F264" s="1524">
        <f>+F265</f>
        <v>900000000</v>
      </c>
      <c r="G264" s="1523">
        <f t="shared" si="8"/>
        <v>100</v>
      </c>
      <c r="H264" s="1523">
        <f>+H265</f>
        <v>100</v>
      </c>
      <c r="I264" s="1353"/>
      <c r="J264" s="1341"/>
      <c r="K264" s="1341"/>
      <c r="L264" s="1341"/>
    </row>
    <row r="265" spans="1:12" s="1352" customFormat="1" ht="20.100000000000001" customHeight="1">
      <c r="A265" s="1341"/>
      <c r="B265" s="1341"/>
      <c r="C265" s="1374"/>
      <c r="D265" s="1438" t="s">
        <v>3452</v>
      </c>
      <c r="E265" s="1522">
        <v>900000000</v>
      </c>
      <c r="F265" s="1522">
        <v>900000000</v>
      </c>
      <c r="G265" s="1521">
        <f t="shared" si="8"/>
        <v>100</v>
      </c>
      <c r="H265" s="1521">
        <f>+G265</f>
        <v>100</v>
      </c>
      <c r="I265" s="1353"/>
      <c r="J265" s="1341"/>
      <c r="K265" s="1341"/>
      <c r="L265" s="1341"/>
    </row>
    <row r="266" spans="1:12" ht="15" customHeight="1">
      <c r="A266" s="1341"/>
      <c r="B266" s="1341"/>
      <c r="C266" s="1374"/>
      <c r="D266" s="1373"/>
      <c r="E266" s="1369">
        <v>0</v>
      </c>
      <c r="F266" s="1372"/>
      <c r="G266" s="1371"/>
      <c r="H266" s="1371"/>
      <c r="I266" s="1353"/>
      <c r="J266" s="1341"/>
      <c r="K266" s="1341"/>
      <c r="L266" s="1341"/>
    </row>
    <row r="267" spans="1:12" s="1359" customFormat="1" ht="20.100000000000001" customHeight="1">
      <c r="A267" s="1346"/>
      <c r="B267" s="1346"/>
      <c r="C267" s="1381" t="s">
        <v>925</v>
      </c>
      <c r="D267" s="1370" t="s">
        <v>926</v>
      </c>
      <c r="E267" s="1404">
        <f>+E268+E295</f>
        <v>13980730926</v>
      </c>
      <c r="F267" s="1403">
        <f>+F268+F295</f>
        <v>8086720970</v>
      </c>
      <c r="G267" s="1368">
        <f t="shared" ref="G267:G293" si="9">+F267/E267*100</f>
        <v>57.841904066411189</v>
      </c>
      <c r="H267" s="1368">
        <f>(H268+H295)/2</f>
        <v>50.9375</v>
      </c>
      <c r="I267" s="1360"/>
      <c r="J267" s="1346"/>
      <c r="K267" s="1346"/>
      <c r="L267" s="1346"/>
    </row>
    <row r="268" spans="1:12" s="1352" customFormat="1" ht="20.100000000000001" customHeight="1">
      <c r="A268" s="1341"/>
      <c r="B268" s="1341"/>
      <c r="C268" s="1374"/>
      <c r="D268" s="1520" t="s">
        <v>161</v>
      </c>
      <c r="E268" s="1517">
        <v>7030730926</v>
      </c>
      <c r="F268" s="1517">
        <v>4186720970</v>
      </c>
      <c r="G268" s="1368">
        <f t="shared" si="9"/>
        <v>59.548872145245859</v>
      </c>
      <c r="H268" s="1385">
        <f>(H269+H271+H273+H275+H281+H284+H289+H291)/8</f>
        <v>51.875</v>
      </c>
      <c r="I268" s="1353"/>
      <c r="J268" s="1341"/>
      <c r="K268" s="1341"/>
      <c r="L268" s="1341"/>
    </row>
    <row r="269" spans="1:12" s="1352" customFormat="1" ht="20.100000000000001" customHeight="1">
      <c r="A269" s="1341"/>
      <c r="B269" s="1341"/>
      <c r="C269" s="1374"/>
      <c r="D269" s="1411" t="s">
        <v>162</v>
      </c>
      <c r="E269" s="1517">
        <v>205720000</v>
      </c>
      <c r="F269" s="1517">
        <v>0</v>
      </c>
      <c r="G269" s="1368">
        <f t="shared" si="9"/>
        <v>0</v>
      </c>
      <c r="H269" s="1385">
        <f>+G269</f>
        <v>0</v>
      </c>
      <c r="I269" s="1353"/>
      <c r="J269" s="1341"/>
      <c r="K269" s="1341"/>
      <c r="L269" s="1341"/>
    </row>
    <row r="270" spans="1:12" s="1352" customFormat="1" ht="20.100000000000001" customHeight="1">
      <c r="A270" s="1341"/>
      <c r="B270" s="1341"/>
      <c r="C270" s="1374"/>
      <c r="D270" s="1416" t="s">
        <v>607</v>
      </c>
      <c r="E270" s="1516">
        <v>205720000</v>
      </c>
      <c r="F270" s="1516">
        <v>0</v>
      </c>
      <c r="G270" s="1368">
        <f t="shared" si="9"/>
        <v>0</v>
      </c>
      <c r="H270" s="1385">
        <f>+G270</f>
        <v>0</v>
      </c>
      <c r="I270" s="1353"/>
      <c r="J270" s="1341"/>
      <c r="K270" s="1341"/>
      <c r="L270" s="1341"/>
    </row>
    <row r="271" spans="1:12" s="1352" customFormat="1" ht="20.100000000000001" customHeight="1">
      <c r="A271" s="1341"/>
      <c r="B271" s="1341"/>
      <c r="C271" s="1374"/>
      <c r="D271" s="1411" t="s">
        <v>173</v>
      </c>
      <c r="E271" s="1517">
        <v>1412886786</v>
      </c>
      <c r="F271" s="1517">
        <v>1409686000</v>
      </c>
      <c r="G271" s="1368">
        <f t="shared" si="9"/>
        <v>99.773457715670077</v>
      </c>
      <c r="H271" s="1385">
        <v>100</v>
      </c>
      <c r="I271" s="1353"/>
      <c r="J271" s="1341"/>
      <c r="K271" s="1341"/>
      <c r="L271" s="1341"/>
    </row>
    <row r="272" spans="1:12" s="1352" customFormat="1" ht="20.100000000000001" customHeight="1">
      <c r="A272" s="1341"/>
      <c r="B272" s="1341"/>
      <c r="C272" s="1374"/>
      <c r="D272" s="1416" t="s">
        <v>1685</v>
      </c>
      <c r="E272" s="1516">
        <v>1412886786</v>
      </c>
      <c r="F272" s="1516">
        <v>1409686000</v>
      </c>
      <c r="G272" s="1368">
        <f t="shared" si="9"/>
        <v>99.773457715670077</v>
      </c>
      <c r="H272" s="1385">
        <v>100</v>
      </c>
      <c r="I272" s="1353"/>
      <c r="J272" s="1341"/>
      <c r="K272" s="1341"/>
      <c r="L272" s="1341"/>
    </row>
    <row r="273" spans="1:12" s="1352" customFormat="1" ht="20.100000000000001" customHeight="1">
      <c r="A273" s="1341"/>
      <c r="B273" s="1341"/>
      <c r="C273" s="1374"/>
      <c r="D273" s="1411" t="s">
        <v>190</v>
      </c>
      <c r="E273" s="1517">
        <v>249999970</v>
      </c>
      <c r="F273" s="1517">
        <v>246299970</v>
      </c>
      <c r="G273" s="1368">
        <f t="shared" si="9"/>
        <v>98.519999822399981</v>
      </c>
      <c r="H273" s="1385">
        <v>100</v>
      </c>
      <c r="I273" s="1353"/>
      <c r="J273" s="1341"/>
      <c r="K273" s="1341"/>
      <c r="L273" s="1341"/>
    </row>
    <row r="274" spans="1:12" s="1352" customFormat="1" ht="20.100000000000001" customHeight="1">
      <c r="A274" s="1341"/>
      <c r="B274" s="1341"/>
      <c r="C274" s="1374"/>
      <c r="D274" s="1416" t="s">
        <v>3790</v>
      </c>
      <c r="E274" s="1516">
        <v>249999970</v>
      </c>
      <c r="F274" s="1516">
        <v>246299970</v>
      </c>
      <c r="G274" s="1368">
        <f t="shared" si="9"/>
        <v>98.519999822399981</v>
      </c>
      <c r="H274" s="1385">
        <v>100</v>
      </c>
      <c r="I274" s="1353"/>
      <c r="J274" s="1341"/>
      <c r="K274" s="1341"/>
      <c r="L274" s="1341"/>
    </row>
    <row r="275" spans="1:12" s="1352" customFormat="1" ht="20.100000000000001" customHeight="1">
      <c r="A275" s="1341"/>
      <c r="B275" s="1341"/>
      <c r="C275" s="1374"/>
      <c r="D275" s="1411" t="s">
        <v>196</v>
      </c>
      <c r="E275" s="1517">
        <v>1295536640</v>
      </c>
      <c r="F275" s="1517">
        <v>143200000</v>
      </c>
      <c r="G275" s="1368">
        <f t="shared" si="9"/>
        <v>11.053334624329885</v>
      </c>
      <c r="H275" s="1385">
        <f>100/5</f>
        <v>20</v>
      </c>
      <c r="I275" s="1353"/>
      <c r="J275" s="1341"/>
      <c r="K275" s="1341"/>
      <c r="L275" s="1341"/>
    </row>
    <row r="276" spans="1:12" s="1352" customFormat="1" ht="20.100000000000001" customHeight="1">
      <c r="A276" s="1341"/>
      <c r="B276" s="1341"/>
      <c r="C276" s="1374"/>
      <c r="D276" s="1416" t="s">
        <v>3789</v>
      </c>
      <c r="E276" s="1516">
        <v>421807500</v>
      </c>
      <c r="F276" s="1516">
        <v>0</v>
      </c>
      <c r="G276" s="1368">
        <f t="shared" si="9"/>
        <v>0</v>
      </c>
      <c r="H276" s="1385">
        <f t="shared" ref="H276:H288" si="10">+G276</f>
        <v>0</v>
      </c>
      <c r="I276" s="1353"/>
      <c r="J276" s="1341"/>
      <c r="K276" s="1341"/>
      <c r="L276" s="1341"/>
    </row>
    <row r="277" spans="1:12" s="1352" customFormat="1" ht="20.100000000000001" customHeight="1">
      <c r="A277" s="1341"/>
      <c r="B277" s="1341"/>
      <c r="C277" s="1374"/>
      <c r="D277" s="1416" t="s">
        <v>3788</v>
      </c>
      <c r="E277" s="1516">
        <v>570529140</v>
      </c>
      <c r="F277" s="1516">
        <v>0</v>
      </c>
      <c r="G277" s="1368">
        <f t="shared" si="9"/>
        <v>0</v>
      </c>
      <c r="H277" s="1385">
        <f t="shared" si="10"/>
        <v>0</v>
      </c>
      <c r="I277" s="1353"/>
      <c r="J277" s="1341"/>
      <c r="K277" s="1341"/>
      <c r="L277" s="1341"/>
    </row>
    <row r="278" spans="1:12" s="1352" customFormat="1" ht="20.100000000000001" customHeight="1">
      <c r="A278" s="1341"/>
      <c r="B278" s="1341"/>
      <c r="C278" s="1374"/>
      <c r="D278" s="1416" t="s">
        <v>3787</v>
      </c>
      <c r="E278" s="1516">
        <v>80000000</v>
      </c>
      <c r="F278" s="1516">
        <v>0</v>
      </c>
      <c r="G278" s="1368">
        <f t="shared" si="9"/>
        <v>0</v>
      </c>
      <c r="H278" s="1385">
        <f t="shared" si="10"/>
        <v>0</v>
      </c>
      <c r="I278" s="1353"/>
      <c r="J278" s="1341"/>
      <c r="K278" s="1341"/>
      <c r="L278" s="1341"/>
    </row>
    <row r="279" spans="1:12" s="1352" customFormat="1" ht="20.100000000000001" customHeight="1">
      <c r="A279" s="1341"/>
      <c r="B279" s="1341"/>
      <c r="C279" s="1374"/>
      <c r="D279" s="1416" t="s">
        <v>3786</v>
      </c>
      <c r="E279" s="1516">
        <v>80000000</v>
      </c>
      <c r="F279" s="1516">
        <v>0</v>
      </c>
      <c r="G279" s="1368">
        <f t="shared" si="9"/>
        <v>0</v>
      </c>
      <c r="H279" s="1385">
        <f t="shared" si="10"/>
        <v>0</v>
      </c>
      <c r="I279" s="1353"/>
      <c r="J279" s="1341"/>
      <c r="K279" s="1341"/>
      <c r="L279" s="1341"/>
    </row>
    <row r="280" spans="1:12" s="1352" customFormat="1" ht="20.100000000000001" customHeight="1">
      <c r="A280" s="1341"/>
      <c r="B280" s="1341"/>
      <c r="C280" s="1374"/>
      <c r="D280" s="1416" t="s">
        <v>3785</v>
      </c>
      <c r="E280" s="1516">
        <v>143200000</v>
      </c>
      <c r="F280" s="1516">
        <v>143200000</v>
      </c>
      <c r="G280" s="1368">
        <f t="shared" si="9"/>
        <v>100</v>
      </c>
      <c r="H280" s="1385">
        <f t="shared" si="10"/>
        <v>100</v>
      </c>
      <c r="I280" s="1353"/>
      <c r="J280" s="1341"/>
      <c r="K280" s="1341"/>
      <c r="L280" s="1341"/>
    </row>
    <row r="281" spans="1:12" s="1352" customFormat="1" ht="20.100000000000001" customHeight="1">
      <c r="A281" s="1341"/>
      <c r="B281" s="1341"/>
      <c r="C281" s="1374"/>
      <c r="D281" s="1411" t="s">
        <v>953</v>
      </c>
      <c r="E281" s="1517">
        <v>340591180</v>
      </c>
      <c r="F281" s="1517">
        <v>0</v>
      </c>
      <c r="G281" s="1368">
        <f t="shared" si="9"/>
        <v>0</v>
      </c>
      <c r="H281" s="1385">
        <f t="shared" si="10"/>
        <v>0</v>
      </c>
      <c r="I281" s="1353"/>
      <c r="J281" s="1341"/>
      <c r="K281" s="1341"/>
      <c r="L281" s="1341"/>
    </row>
    <row r="282" spans="1:12" s="1352" customFormat="1" ht="20.100000000000001" customHeight="1">
      <c r="A282" s="1341"/>
      <c r="B282" s="1341"/>
      <c r="C282" s="1374"/>
      <c r="D282" s="1416" t="s">
        <v>1728</v>
      </c>
      <c r="E282" s="1516">
        <v>236400000</v>
      </c>
      <c r="F282" s="1516">
        <v>0</v>
      </c>
      <c r="G282" s="1368">
        <f t="shared" si="9"/>
        <v>0</v>
      </c>
      <c r="H282" s="1385">
        <f t="shared" si="10"/>
        <v>0</v>
      </c>
      <c r="I282" s="1353"/>
      <c r="J282" s="1341"/>
      <c r="K282" s="1341"/>
      <c r="L282" s="1341"/>
    </row>
    <row r="283" spans="1:12" s="1352" customFormat="1" ht="38.25" customHeight="1">
      <c r="A283" s="1341"/>
      <c r="B283" s="1341"/>
      <c r="C283" s="1374"/>
      <c r="D283" s="1416" t="s">
        <v>2928</v>
      </c>
      <c r="E283" s="1516">
        <v>104191180</v>
      </c>
      <c r="F283" s="1516">
        <v>0</v>
      </c>
      <c r="G283" s="1368">
        <f t="shared" si="9"/>
        <v>0</v>
      </c>
      <c r="H283" s="1385">
        <f t="shared" si="10"/>
        <v>0</v>
      </c>
      <c r="I283" s="1353"/>
      <c r="J283" s="1341"/>
      <c r="K283" s="1341"/>
      <c r="L283" s="1341"/>
    </row>
    <row r="284" spans="1:12" s="1352" customFormat="1" ht="20.100000000000001" customHeight="1">
      <c r="A284" s="1341"/>
      <c r="B284" s="1341"/>
      <c r="C284" s="1374"/>
      <c r="D284" s="1411" t="s">
        <v>212</v>
      </c>
      <c r="E284" s="1517">
        <v>356791000</v>
      </c>
      <c r="F284" s="1517">
        <v>0</v>
      </c>
      <c r="G284" s="1368">
        <f t="shared" si="9"/>
        <v>0</v>
      </c>
      <c r="H284" s="1385">
        <f t="shared" si="10"/>
        <v>0</v>
      </c>
      <c r="I284" s="1353"/>
      <c r="J284" s="1341"/>
      <c r="K284" s="1341"/>
      <c r="L284" s="1341"/>
    </row>
    <row r="285" spans="1:12" s="1352" customFormat="1" ht="38.25" customHeight="1">
      <c r="A285" s="1341"/>
      <c r="B285" s="1341"/>
      <c r="C285" s="1374"/>
      <c r="D285" s="1416" t="s">
        <v>3784</v>
      </c>
      <c r="E285" s="1516">
        <v>356791000</v>
      </c>
      <c r="F285" s="1516">
        <v>0</v>
      </c>
      <c r="G285" s="1368">
        <f t="shared" si="9"/>
        <v>0</v>
      </c>
      <c r="H285" s="1385">
        <f t="shared" si="10"/>
        <v>0</v>
      </c>
      <c r="I285" s="1353"/>
      <c r="J285" s="1341"/>
      <c r="K285" s="1341"/>
      <c r="L285" s="1341"/>
    </row>
    <row r="286" spans="1:12" s="1352" customFormat="1" ht="20.100000000000001" customHeight="1">
      <c r="A286" s="1341"/>
      <c r="B286" s="1341"/>
      <c r="C286" s="1374"/>
      <c r="D286" s="1411" t="s">
        <v>877</v>
      </c>
      <c r="E286" s="1517">
        <v>689907600</v>
      </c>
      <c r="F286" s="1517">
        <v>0</v>
      </c>
      <c r="G286" s="1368">
        <f t="shared" si="9"/>
        <v>0</v>
      </c>
      <c r="H286" s="1385">
        <f t="shared" si="10"/>
        <v>0</v>
      </c>
      <c r="I286" s="1353"/>
      <c r="J286" s="1341"/>
      <c r="K286" s="1341"/>
      <c r="L286" s="1341"/>
    </row>
    <row r="287" spans="1:12" s="1352" customFormat="1" ht="20.100000000000001" customHeight="1">
      <c r="A287" s="1341"/>
      <c r="B287" s="1341"/>
      <c r="C287" s="1374"/>
      <c r="D287" s="1416" t="s">
        <v>2037</v>
      </c>
      <c r="E287" s="1516">
        <v>591317000</v>
      </c>
      <c r="F287" s="1516">
        <v>0</v>
      </c>
      <c r="G287" s="1368">
        <f t="shared" si="9"/>
        <v>0</v>
      </c>
      <c r="H287" s="1385">
        <f t="shared" si="10"/>
        <v>0</v>
      </c>
      <c r="I287" s="1353"/>
      <c r="J287" s="1341"/>
      <c r="K287" s="1341"/>
      <c r="L287" s="1341"/>
    </row>
    <row r="288" spans="1:12" s="1352" customFormat="1" ht="20.100000000000001" customHeight="1">
      <c r="A288" s="1341"/>
      <c r="B288" s="1341"/>
      <c r="C288" s="1374"/>
      <c r="D288" s="1416" t="s">
        <v>3783</v>
      </c>
      <c r="E288" s="1516">
        <v>98590600</v>
      </c>
      <c r="F288" s="1516">
        <v>0</v>
      </c>
      <c r="G288" s="1368">
        <f t="shared" si="9"/>
        <v>0</v>
      </c>
      <c r="H288" s="1385">
        <f t="shared" si="10"/>
        <v>0</v>
      </c>
      <c r="I288" s="1353"/>
      <c r="J288" s="1341"/>
      <c r="K288" s="1341"/>
      <c r="L288" s="1341"/>
    </row>
    <row r="289" spans="1:12" s="1352" customFormat="1" ht="20.100000000000001" customHeight="1">
      <c r="A289" s="1341"/>
      <c r="B289" s="1341"/>
      <c r="C289" s="1374"/>
      <c r="D289" s="1411" t="s">
        <v>221</v>
      </c>
      <c r="E289" s="1517">
        <v>660900000</v>
      </c>
      <c r="F289" s="1517">
        <v>620500000</v>
      </c>
      <c r="G289" s="1368">
        <f t="shared" si="9"/>
        <v>93.887123619307005</v>
      </c>
      <c r="H289" s="1385">
        <v>95</v>
      </c>
      <c r="I289" s="1353"/>
      <c r="J289" s="1341"/>
      <c r="K289" s="1341"/>
      <c r="L289" s="1341"/>
    </row>
    <row r="290" spans="1:12" s="1352" customFormat="1" ht="38.25" customHeight="1">
      <c r="A290" s="1341"/>
      <c r="B290" s="1341"/>
      <c r="C290" s="1374"/>
      <c r="D290" s="1416" t="s">
        <v>3782</v>
      </c>
      <c r="E290" s="1516">
        <v>660900000</v>
      </c>
      <c r="F290" s="1516">
        <v>620500000</v>
      </c>
      <c r="G290" s="1368">
        <f t="shared" si="9"/>
        <v>93.887123619307005</v>
      </c>
      <c r="H290" s="1385">
        <v>95</v>
      </c>
      <c r="I290" s="1353"/>
      <c r="J290" s="1341"/>
      <c r="K290" s="1341"/>
      <c r="L290" s="1341"/>
    </row>
    <row r="291" spans="1:12" s="1352" customFormat="1" ht="20.100000000000001" customHeight="1">
      <c r="A291" s="1341"/>
      <c r="B291" s="1341"/>
      <c r="C291" s="1374"/>
      <c r="D291" s="1411" t="s">
        <v>3781</v>
      </c>
      <c r="E291" s="1517">
        <v>1818397750</v>
      </c>
      <c r="F291" s="1517">
        <v>1767035000</v>
      </c>
      <c r="G291" s="1368">
        <f t="shared" si="9"/>
        <v>97.175384208432945</v>
      </c>
      <c r="H291" s="1385">
        <v>100</v>
      </c>
      <c r="I291" s="1353"/>
      <c r="J291" s="1341"/>
      <c r="K291" s="1341"/>
      <c r="L291" s="1341"/>
    </row>
    <row r="292" spans="1:12" s="1352" customFormat="1" ht="20.100000000000001" customHeight="1">
      <c r="A292" s="1341"/>
      <c r="B292" s="1341"/>
      <c r="C292" s="1374"/>
      <c r="D292" s="1416" t="s">
        <v>3780</v>
      </c>
      <c r="E292" s="1516">
        <v>1263362582</v>
      </c>
      <c r="F292" s="1516">
        <v>1212000000</v>
      </c>
      <c r="G292" s="1368">
        <f t="shared" si="9"/>
        <v>95.9344543892784</v>
      </c>
      <c r="H292" s="1385">
        <v>100</v>
      </c>
      <c r="I292" s="1353"/>
      <c r="J292" s="1341"/>
      <c r="K292" s="1341"/>
      <c r="L292" s="1341"/>
    </row>
    <row r="293" spans="1:12" s="1352" customFormat="1" ht="20.100000000000001" customHeight="1">
      <c r="A293" s="1341"/>
      <c r="B293" s="1341"/>
      <c r="C293" s="1374"/>
      <c r="D293" s="1416" t="s">
        <v>2209</v>
      </c>
      <c r="E293" s="1516">
        <v>555035168</v>
      </c>
      <c r="F293" s="1516">
        <v>555035000</v>
      </c>
      <c r="G293" s="1368">
        <f t="shared" si="9"/>
        <v>99.99996973164771</v>
      </c>
      <c r="H293" s="1385">
        <f>+G293</f>
        <v>99.99996973164771</v>
      </c>
      <c r="I293" s="1353"/>
      <c r="J293" s="1341"/>
      <c r="K293" s="1341"/>
      <c r="L293" s="1341"/>
    </row>
    <row r="294" spans="1:12" s="1352" customFormat="1" ht="15" customHeight="1">
      <c r="A294" s="1341"/>
      <c r="B294" s="1341"/>
      <c r="C294" s="1374"/>
      <c r="D294" s="1416"/>
      <c r="E294" s="1516"/>
      <c r="F294" s="1516"/>
      <c r="G294" s="1368"/>
      <c r="H294" s="1368"/>
      <c r="I294" s="1353"/>
      <c r="J294" s="1341"/>
      <c r="K294" s="1341"/>
      <c r="L294" s="1341"/>
    </row>
    <row r="295" spans="1:12" s="1352" customFormat="1" ht="20.100000000000001" customHeight="1">
      <c r="A295" s="1341"/>
      <c r="B295" s="1341"/>
      <c r="C295" s="1374"/>
      <c r="D295" s="1520" t="s">
        <v>959</v>
      </c>
      <c r="E295" s="1517">
        <v>6950000000</v>
      </c>
      <c r="F295" s="1517">
        <v>3900000000</v>
      </c>
      <c r="G295" s="1368">
        <f>+F295/E295*100</f>
        <v>56.115107913669057</v>
      </c>
      <c r="H295" s="1385">
        <v>50</v>
      </c>
      <c r="I295" s="1353"/>
      <c r="J295" s="1341"/>
      <c r="K295" s="1341"/>
      <c r="L295" s="1341"/>
    </row>
    <row r="296" spans="1:12" s="1352" customFormat="1" ht="20.100000000000001" customHeight="1">
      <c r="A296" s="1341"/>
      <c r="B296" s="1341"/>
      <c r="C296" s="1374"/>
      <c r="D296" s="1519" t="s">
        <v>877</v>
      </c>
      <c r="E296" s="1517">
        <v>3900000000</v>
      </c>
      <c r="F296" s="1517">
        <v>3900000000</v>
      </c>
      <c r="G296" s="1368">
        <f>+F296/E296*100</f>
        <v>100</v>
      </c>
      <c r="H296" s="1385">
        <f>+G296</f>
        <v>100</v>
      </c>
      <c r="I296" s="1353"/>
      <c r="J296" s="1341"/>
      <c r="K296" s="1341"/>
      <c r="L296" s="1341"/>
    </row>
    <row r="297" spans="1:12" s="1352" customFormat="1" ht="20.100000000000001" customHeight="1">
      <c r="A297" s="1341"/>
      <c r="B297" s="1341"/>
      <c r="C297" s="1374"/>
      <c r="D297" s="1518" t="s">
        <v>3779</v>
      </c>
      <c r="E297" s="1516">
        <v>3900000000</v>
      </c>
      <c r="F297" s="1516">
        <v>3900000000</v>
      </c>
      <c r="G297" s="1368">
        <f>+F297/E297*100</f>
        <v>100</v>
      </c>
      <c r="H297" s="1385">
        <f>+G297</f>
        <v>100</v>
      </c>
      <c r="I297" s="1353"/>
      <c r="J297" s="1341"/>
      <c r="K297" s="1341"/>
      <c r="L297" s="1341"/>
    </row>
    <row r="298" spans="1:12" s="1352" customFormat="1" ht="20.100000000000001" customHeight="1">
      <c r="A298" s="1341"/>
      <c r="B298" s="1341"/>
      <c r="C298" s="1374"/>
      <c r="D298" s="1454" t="s">
        <v>162</v>
      </c>
      <c r="E298" s="1517">
        <v>3050000000</v>
      </c>
      <c r="F298" s="1517">
        <v>0</v>
      </c>
      <c r="G298" s="1368">
        <f>+F298/E298*100</f>
        <v>0</v>
      </c>
      <c r="H298" s="1385">
        <f>+G298</f>
        <v>0</v>
      </c>
      <c r="I298" s="1353"/>
      <c r="J298" s="1341"/>
      <c r="K298" s="1341"/>
      <c r="L298" s="1341"/>
    </row>
    <row r="299" spans="1:12" s="1352" customFormat="1" ht="20.100000000000001" customHeight="1">
      <c r="A299" s="1341"/>
      <c r="B299" s="1341"/>
      <c r="C299" s="1374"/>
      <c r="D299" s="1452" t="s">
        <v>607</v>
      </c>
      <c r="E299" s="1516">
        <v>3050000000</v>
      </c>
      <c r="F299" s="1516">
        <v>0</v>
      </c>
      <c r="G299" s="1368">
        <f>+F299/E299*100</f>
        <v>0</v>
      </c>
      <c r="H299" s="1385">
        <f>+G299</f>
        <v>0</v>
      </c>
      <c r="I299" s="1353"/>
      <c r="J299" s="1341"/>
      <c r="K299" s="1341"/>
      <c r="L299" s="1341"/>
    </row>
    <row r="300" spans="1:12" ht="15" customHeight="1">
      <c r="A300" s="1341"/>
      <c r="B300" s="1341"/>
      <c r="C300" s="1374"/>
      <c r="D300" s="1452"/>
      <c r="E300" s="1516"/>
      <c r="F300" s="1516"/>
      <c r="G300" s="1515"/>
      <c r="H300" s="1371"/>
      <c r="I300" s="1353"/>
      <c r="J300" s="1341"/>
      <c r="K300" s="1341"/>
      <c r="L300" s="1341"/>
    </row>
    <row r="301" spans="1:12" s="1359" customFormat="1" ht="20.100000000000001" customHeight="1">
      <c r="A301" s="1346"/>
      <c r="B301" s="1346"/>
      <c r="C301" s="1381" t="s">
        <v>1080</v>
      </c>
      <c r="D301" s="1370" t="s">
        <v>1081</v>
      </c>
      <c r="E301" s="1404">
        <f>+E302+E316</f>
        <v>14018253366.52</v>
      </c>
      <c r="F301" s="1403">
        <f>+F302+F316</f>
        <v>9810350632</v>
      </c>
      <c r="G301" s="1417">
        <f t="shared" ref="G301:G314" si="11">+F301/E301*100</f>
        <v>69.982688823631932</v>
      </c>
      <c r="H301" s="1417">
        <f>(H302+H316)/2</f>
        <v>88.541666666666657</v>
      </c>
      <c r="I301" s="1360"/>
      <c r="J301" s="1346"/>
      <c r="K301" s="1346"/>
      <c r="L301" s="1346"/>
    </row>
    <row r="302" spans="1:12" s="1352" customFormat="1" ht="20.100000000000001" customHeight="1">
      <c r="A302" s="1341"/>
      <c r="B302" s="1341"/>
      <c r="C302" s="1374"/>
      <c r="D302" s="1486" t="s">
        <v>65</v>
      </c>
      <c r="E302" s="1514">
        <v>13771519011.52</v>
      </c>
      <c r="F302" s="1514">
        <v>9564007527</v>
      </c>
      <c r="G302" s="1417">
        <f t="shared" si="11"/>
        <v>69.447731357736359</v>
      </c>
      <c r="H302" s="1417">
        <f>SUM((H303:H314))/12</f>
        <v>77.083333333333329</v>
      </c>
      <c r="I302" s="1353"/>
      <c r="J302" s="1341"/>
      <c r="K302" s="1341"/>
      <c r="L302" s="1341"/>
    </row>
    <row r="303" spans="1:12" s="1352" customFormat="1" ht="20.100000000000001" customHeight="1">
      <c r="A303" s="1341"/>
      <c r="B303" s="1341"/>
      <c r="C303" s="1374"/>
      <c r="D303" s="1396" t="s">
        <v>3723</v>
      </c>
      <c r="E303" s="1428">
        <v>1040530500</v>
      </c>
      <c r="F303" s="1513">
        <v>599980000</v>
      </c>
      <c r="G303" s="1417">
        <f t="shared" si="11"/>
        <v>57.660971975352957</v>
      </c>
      <c r="H303" s="1417">
        <v>60</v>
      </c>
      <c r="I303" s="1353"/>
      <c r="J303" s="1341"/>
      <c r="K303" s="1341"/>
      <c r="L303" s="1341"/>
    </row>
    <row r="304" spans="1:12" s="1352" customFormat="1" ht="31.5" customHeight="1">
      <c r="A304" s="1341"/>
      <c r="B304" s="1341"/>
      <c r="C304" s="1374"/>
      <c r="D304" s="1396" t="s">
        <v>3722</v>
      </c>
      <c r="E304" s="1428">
        <v>389005000</v>
      </c>
      <c r="F304" s="1513">
        <v>388756580</v>
      </c>
      <c r="G304" s="1417">
        <f t="shared" si="11"/>
        <v>99.936139638307992</v>
      </c>
      <c r="H304" s="1417">
        <v>100</v>
      </c>
      <c r="I304" s="1353"/>
      <c r="J304" s="1341"/>
      <c r="K304" s="1341"/>
      <c r="L304" s="1341"/>
    </row>
    <row r="305" spans="1:12" s="1352" customFormat="1" ht="20.100000000000001" customHeight="1">
      <c r="A305" s="1341"/>
      <c r="B305" s="1341"/>
      <c r="C305" s="1374"/>
      <c r="D305" s="1396" t="s">
        <v>3721</v>
      </c>
      <c r="E305" s="1428">
        <v>617440000</v>
      </c>
      <c r="F305" s="1513">
        <v>617179563</v>
      </c>
      <c r="G305" s="1417">
        <f t="shared" si="11"/>
        <v>99.957819869137083</v>
      </c>
      <c r="H305" s="1417">
        <v>100</v>
      </c>
      <c r="I305" s="1353"/>
      <c r="J305" s="1341"/>
      <c r="K305" s="1341"/>
      <c r="L305" s="1341"/>
    </row>
    <row r="306" spans="1:12" s="1352" customFormat="1" ht="31.5" customHeight="1">
      <c r="A306" s="1341"/>
      <c r="B306" s="1341"/>
      <c r="C306" s="1374"/>
      <c r="D306" s="1396" t="s">
        <v>3720</v>
      </c>
      <c r="E306" s="1428">
        <v>1355854200</v>
      </c>
      <c r="F306" s="1513">
        <v>536968000</v>
      </c>
      <c r="G306" s="1417">
        <f t="shared" si="11"/>
        <v>39.603668300028126</v>
      </c>
      <c r="H306" s="1417">
        <v>40</v>
      </c>
      <c r="I306" s="1353"/>
      <c r="J306" s="1341"/>
      <c r="K306" s="1341"/>
      <c r="L306" s="1341"/>
    </row>
    <row r="307" spans="1:12" s="1352" customFormat="1" ht="20.100000000000001" customHeight="1">
      <c r="A307" s="1341"/>
      <c r="B307" s="1341"/>
      <c r="C307" s="1374"/>
      <c r="D307" s="1396" t="s">
        <v>3719</v>
      </c>
      <c r="E307" s="1428">
        <v>615620000</v>
      </c>
      <c r="F307" s="1513">
        <v>453828000</v>
      </c>
      <c r="G307" s="1417">
        <f t="shared" si="11"/>
        <v>73.71885253890386</v>
      </c>
      <c r="H307" s="1417">
        <v>75</v>
      </c>
      <c r="I307" s="1353"/>
      <c r="J307" s="1341"/>
      <c r="K307" s="1341"/>
      <c r="L307" s="1341"/>
    </row>
    <row r="308" spans="1:12" s="1352" customFormat="1" ht="20.100000000000001" customHeight="1">
      <c r="A308" s="1341"/>
      <c r="B308" s="1341"/>
      <c r="C308" s="1374"/>
      <c r="D308" s="1396" t="s">
        <v>3718</v>
      </c>
      <c r="E308" s="1428">
        <v>1427405000</v>
      </c>
      <c r="F308" s="1513">
        <v>1180819662</v>
      </c>
      <c r="G308" s="1417">
        <f t="shared" si="11"/>
        <v>82.724921238190987</v>
      </c>
      <c r="H308" s="1417">
        <v>85</v>
      </c>
      <c r="I308" s="1353"/>
      <c r="J308" s="1341"/>
      <c r="K308" s="1341"/>
      <c r="L308" s="1341"/>
    </row>
    <row r="309" spans="1:12" s="1352" customFormat="1" ht="20.100000000000001" customHeight="1">
      <c r="A309" s="1341"/>
      <c r="B309" s="1341"/>
      <c r="C309" s="1374"/>
      <c r="D309" s="1396" t="s">
        <v>3717</v>
      </c>
      <c r="E309" s="1428">
        <v>351795000</v>
      </c>
      <c r="F309" s="1513">
        <v>351474763</v>
      </c>
      <c r="G309" s="1417">
        <f t="shared" si="11"/>
        <v>99.908970565243962</v>
      </c>
      <c r="H309" s="1417">
        <v>100</v>
      </c>
      <c r="I309" s="1353"/>
      <c r="J309" s="1341"/>
      <c r="K309" s="1341"/>
      <c r="L309" s="1341"/>
    </row>
    <row r="310" spans="1:12" s="1352" customFormat="1" ht="20.100000000000001" customHeight="1">
      <c r="A310" s="1341"/>
      <c r="B310" s="1341"/>
      <c r="C310" s="1374"/>
      <c r="D310" s="1396" t="s">
        <v>3716</v>
      </c>
      <c r="E310" s="1428">
        <v>378120000</v>
      </c>
      <c r="F310" s="1513">
        <v>285398120</v>
      </c>
      <c r="G310" s="1417">
        <f t="shared" si="11"/>
        <v>75.478186818999262</v>
      </c>
      <c r="H310" s="1417">
        <v>80</v>
      </c>
      <c r="I310" s="1353"/>
      <c r="J310" s="1341"/>
      <c r="K310" s="1341"/>
      <c r="L310" s="1341"/>
    </row>
    <row r="311" spans="1:12" s="1352" customFormat="1" ht="20.100000000000001" customHeight="1">
      <c r="A311" s="1341"/>
      <c r="B311" s="1341"/>
      <c r="C311" s="1374"/>
      <c r="D311" s="1396" t="s">
        <v>3715</v>
      </c>
      <c r="E311" s="1428">
        <v>5335160859.5200005</v>
      </c>
      <c r="F311" s="1513">
        <v>3669786970</v>
      </c>
      <c r="G311" s="1417">
        <f t="shared" si="11"/>
        <v>68.784935761621398</v>
      </c>
      <c r="H311" s="1417">
        <v>70</v>
      </c>
      <c r="I311" s="1353"/>
      <c r="J311" s="1341"/>
      <c r="K311" s="1341"/>
      <c r="L311" s="1341"/>
    </row>
    <row r="312" spans="1:12" s="1352" customFormat="1" ht="20.100000000000001" customHeight="1">
      <c r="A312" s="1341"/>
      <c r="B312" s="1341"/>
      <c r="C312" s="1374"/>
      <c r="D312" s="1396" t="s">
        <v>3714</v>
      </c>
      <c r="E312" s="1428">
        <v>875267452</v>
      </c>
      <c r="F312" s="1513">
        <v>233199600</v>
      </c>
      <c r="G312" s="1417">
        <f t="shared" si="11"/>
        <v>26.643239099904285</v>
      </c>
      <c r="H312" s="1417">
        <v>30</v>
      </c>
      <c r="I312" s="1353"/>
      <c r="J312" s="1341"/>
      <c r="K312" s="1341"/>
      <c r="L312" s="1341"/>
    </row>
    <row r="313" spans="1:12" s="1352" customFormat="1" ht="20.100000000000001" customHeight="1">
      <c r="A313" s="1341"/>
      <c r="B313" s="1341"/>
      <c r="C313" s="1374"/>
      <c r="D313" s="1396" t="s">
        <v>3713</v>
      </c>
      <c r="E313" s="1428">
        <v>645821000</v>
      </c>
      <c r="F313" s="1513">
        <v>642116269</v>
      </c>
      <c r="G313" s="1417">
        <f t="shared" si="11"/>
        <v>99.42635327745613</v>
      </c>
      <c r="H313" s="1417">
        <v>100</v>
      </c>
      <c r="I313" s="1353"/>
      <c r="J313" s="1341"/>
      <c r="K313" s="1341"/>
      <c r="L313" s="1341"/>
    </row>
    <row r="314" spans="1:12" s="1352" customFormat="1" ht="20.100000000000001" customHeight="1">
      <c r="A314" s="1341"/>
      <c r="B314" s="1341"/>
      <c r="C314" s="1374"/>
      <c r="D314" s="1396" t="s">
        <v>3712</v>
      </c>
      <c r="E314" s="1428">
        <v>739500000</v>
      </c>
      <c r="F314" s="1513">
        <v>604500000</v>
      </c>
      <c r="G314" s="1417">
        <f t="shared" si="11"/>
        <v>81.744421906693702</v>
      </c>
      <c r="H314" s="1417">
        <v>85</v>
      </c>
      <c r="I314" s="1353"/>
      <c r="J314" s="1341"/>
      <c r="K314" s="1341"/>
      <c r="L314" s="1341"/>
    </row>
    <row r="315" spans="1:12" s="1352" customFormat="1" ht="15" customHeight="1">
      <c r="A315" s="1341"/>
      <c r="B315" s="1341"/>
      <c r="C315" s="1374"/>
      <c r="D315" s="1396"/>
      <c r="E315" s="1428"/>
      <c r="F315" s="1513"/>
      <c r="G315" s="1417"/>
      <c r="H315" s="1417"/>
      <c r="I315" s="1353"/>
      <c r="J315" s="1341"/>
      <c r="K315" s="1341"/>
      <c r="L315" s="1341"/>
    </row>
    <row r="316" spans="1:12" s="1352" customFormat="1" ht="20.100000000000001" customHeight="1">
      <c r="A316" s="1341"/>
      <c r="B316" s="1341"/>
      <c r="C316" s="1374"/>
      <c r="D316" s="1486" t="s">
        <v>1131</v>
      </c>
      <c r="E316" s="1514">
        <v>246734355</v>
      </c>
      <c r="F316" s="1514">
        <v>246343105</v>
      </c>
      <c r="G316" s="1417">
        <f>+F316/E316*100</f>
        <v>99.841428649042413</v>
      </c>
      <c r="H316" s="1417">
        <v>100</v>
      </c>
      <c r="I316" s="1353"/>
      <c r="J316" s="1341"/>
      <c r="K316" s="1341"/>
      <c r="L316" s="1341"/>
    </row>
    <row r="317" spans="1:12" s="1352" customFormat="1" ht="31.5" customHeight="1">
      <c r="A317" s="1341"/>
      <c r="B317" s="1341"/>
      <c r="C317" s="1374"/>
      <c r="D317" s="1485" t="s">
        <v>3703</v>
      </c>
      <c r="E317" s="1513">
        <v>246734355</v>
      </c>
      <c r="F317" s="1513">
        <v>246343105</v>
      </c>
      <c r="G317" s="1417">
        <f>+F317/E317*100</f>
        <v>99.841428649042413</v>
      </c>
      <c r="H317" s="1417">
        <v>100</v>
      </c>
      <c r="I317" s="1353"/>
      <c r="J317" s="1341"/>
      <c r="K317" s="1341"/>
      <c r="L317" s="1341"/>
    </row>
    <row r="318" spans="1:12" ht="15" customHeight="1">
      <c r="A318" s="1341"/>
      <c r="B318" s="1341"/>
      <c r="C318" s="1374"/>
      <c r="D318" s="1373"/>
      <c r="E318" s="1404">
        <v>0</v>
      </c>
      <c r="F318" s="1405"/>
      <c r="G318" s="1371"/>
      <c r="H318" s="1371"/>
      <c r="I318" s="1353"/>
      <c r="J318" s="1341"/>
      <c r="K318" s="1341"/>
      <c r="L318" s="1341"/>
    </row>
    <row r="319" spans="1:12" s="1359" customFormat="1" ht="20.100000000000001" customHeight="1">
      <c r="A319" s="1346"/>
      <c r="B319" s="1346"/>
      <c r="C319" s="1381" t="s">
        <v>1163</v>
      </c>
      <c r="D319" s="1370" t="s">
        <v>1164</v>
      </c>
      <c r="E319" s="1404">
        <f>+E320+E326</f>
        <v>4971641590</v>
      </c>
      <c r="F319" s="1403">
        <f>+F320+F326</f>
        <v>4191307691</v>
      </c>
      <c r="G319" s="1385">
        <f t="shared" ref="G319:G324" si="12">+F319/E319*100</f>
        <v>84.30430100654138</v>
      </c>
      <c r="H319" s="1385">
        <f>(H320+H326)/2</f>
        <v>75</v>
      </c>
      <c r="I319" s="1360"/>
      <c r="J319" s="1346"/>
      <c r="K319" s="1346"/>
      <c r="L319" s="1346"/>
    </row>
    <row r="320" spans="1:12" s="1352" customFormat="1" ht="20.100000000000001" customHeight="1">
      <c r="A320" s="1341"/>
      <c r="B320" s="1341"/>
      <c r="C320" s="1374"/>
      <c r="D320" s="1512" t="s">
        <v>161</v>
      </c>
      <c r="E320" s="1511">
        <f>E321+E323</f>
        <v>3925366590</v>
      </c>
      <c r="F320" s="1510">
        <f>F321+F323</f>
        <v>3157951627</v>
      </c>
      <c r="G320" s="1368">
        <f t="shared" si="12"/>
        <v>80.449852379265295</v>
      </c>
      <c r="H320" s="1385">
        <v>50</v>
      </c>
      <c r="I320" s="1353"/>
      <c r="J320" s="1341"/>
      <c r="K320" s="1341"/>
      <c r="L320" s="1341"/>
    </row>
    <row r="321" spans="1:12" s="1352" customFormat="1" ht="20.100000000000001" customHeight="1">
      <c r="A321" s="1341"/>
      <c r="B321" s="1341"/>
      <c r="C321" s="1374"/>
      <c r="D321" s="1512" t="s">
        <v>1171</v>
      </c>
      <c r="E321" s="1511">
        <f>E322</f>
        <v>710000000</v>
      </c>
      <c r="F321" s="1510">
        <f>F322</f>
        <v>0</v>
      </c>
      <c r="G321" s="1368">
        <f t="shared" si="12"/>
        <v>0</v>
      </c>
      <c r="H321" s="1385">
        <f>+G321</f>
        <v>0</v>
      </c>
      <c r="I321" s="1353"/>
      <c r="J321" s="1341"/>
      <c r="K321" s="1341"/>
      <c r="L321" s="1341"/>
    </row>
    <row r="322" spans="1:12" s="1352" customFormat="1" ht="20.100000000000001" customHeight="1">
      <c r="A322" s="1341"/>
      <c r="B322" s="1341"/>
      <c r="C322" s="1374"/>
      <c r="D322" s="1509" t="s">
        <v>1172</v>
      </c>
      <c r="E322" s="1508">
        <v>710000000</v>
      </c>
      <c r="F322" s="1507">
        <v>0</v>
      </c>
      <c r="G322" s="1368">
        <f t="shared" si="12"/>
        <v>0</v>
      </c>
      <c r="H322" s="1385">
        <f>+G322</f>
        <v>0</v>
      </c>
      <c r="I322" s="1353"/>
      <c r="J322" s="1341"/>
      <c r="K322" s="1341"/>
      <c r="L322" s="1341"/>
    </row>
    <row r="323" spans="1:12" s="1352" customFormat="1" ht="20.100000000000001" customHeight="1">
      <c r="A323" s="1341"/>
      <c r="B323" s="1341"/>
      <c r="C323" s="1374"/>
      <c r="D323" s="1512" t="s">
        <v>877</v>
      </c>
      <c r="E323" s="1511">
        <v>3215366590</v>
      </c>
      <c r="F323" s="1510">
        <f>F324</f>
        <v>3157951627</v>
      </c>
      <c r="G323" s="1368">
        <f t="shared" si="12"/>
        <v>98.214357169146311</v>
      </c>
      <c r="H323" s="1385">
        <v>100</v>
      </c>
      <c r="I323" s="1353"/>
      <c r="J323" s="1341"/>
      <c r="K323" s="1341"/>
      <c r="L323" s="1341"/>
    </row>
    <row r="324" spans="1:12" s="1352" customFormat="1" ht="20.100000000000001" customHeight="1">
      <c r="A324" s="1341"/>
      <c r="B324" s="1341"/>
      <c r="C324" s="1374"/>
      <c r="D324" s="1509" t="s">
        <v>1172</v>
      </c>
      <c r="E324" s="1508">
        <v>3215366590</v>
      </c>
      <c r="F324" s="1507">
        <v>3157951627</v>
      </c>
      <c r="G324" s="1368">
        <f t="shared" si="12"/>
        <v>98.214357169146311</v>
      </c>
      <c r="H324" s="1385">
        <v>100</v>
      </c>
      <c r="I324" s="1353"/>
      <c r="J324" s="1341"/>
      <c r="K324" s="1341"/>
      <c r="L324" s="1341"/>
    </row>
    <row r="325" spans="1:12" s="1352" customFormat="1" ht="15" customHeight="1">
      <c r="A325" s="1341"/>
      <c r="B325" s="1341"/>
      <c r="C325" s="1374"/>
      <c r="D325" s="1509"/>
      <c r="E325" s="1508"/>
      <c r="F325" s="1507"/>
      <c r="G325" s="1375"/>
      <c r="H325" s="1375"/>
      <c r="I325" s="1353"/>
      <c r="J325" s="1341"/>
      <c r="K325" s="1341"/>
      <c r="L325" s="1341"/>
    </row>
    <row r="326" spans="1:12" s="1352" customFormat="1" ht="20.100000000000001" customHeight="1">
      <c r="A326" s="1341"/>
      <c r="B326" s="1341"/>
      <c r="C326" s="1374"/>
      <c r="D326" s="1512" t="s">
        <v>959</v>
      </c>
      <c r="E326" s="1511">
        <f>E327+E329</f>
        <v>1046275000</v>
      </c>
      <c r="F326" s="1510">
        <f>F327+F329</f>
        <v>1033356064</v>
      </c>
      <c r="G326" s="1368">
        <f>+F326/E326*100</f>
        <v>98.765244701440821</v>
      </c>
      <c r="H326" s="1385">
        <v>100</v>
      </c>
      <c r="I326" s="1353"/>
      <c r="J326" s="1341"/>
      <c r="K326" s="1341"/>
      <c r="L326" s="1341"/>
    </row>
    <row r="327" spans="1:12" s="1352" customFormat="1" ht="20.100000000000001" customHeight="1">
      <c r="A327" s="1341"/>
      <c r="B327" s="1341"/>
      <c r="C327" s="1374"/>
      <c r="D327" s="1512" t="s">
        <v>173</v>
      </c>
      <c r="E327" s="1511">
        <f>E328</f>
        <v>746275000</v>
      </c>
      <c r="F327" s="1510">
        <v>733665438</v>
      </c>
      <c r="G327" s="1368">
        <f>+F327/E327*100</f>
        <v>98.310333054169035</v>
      </c>
      <c r="H327" s="1385">
        <v>100</v>
      </c>
      <c r="I327" s="1353"/>
      <c r="J327" s="1341"/>
      <c r="K327" s="1341"/>
      <c r="L327" s="1341"/>
    </row>
    <row r="328" spans="1:12" s="1352" customFormat="1" ht="31.5" customHeight="1">
      <c r="A328" s="1341"/>
      <c r="B328" s="1341"/>
      <c r="C328" s="1374"/>
      <c r="D328" s="1509" t="s">
        <v>1175</v>
      </c>
      <c r="E328" s="1508">
        <v>746275000</v>
      </c>
      <c r="F328" s="1507">
        <v>733665438</v>
      </c>
      <c r="G328" s="1368">
        <f>+F328/E328*100</f>
        <v>98.310333054169035</v>
      </c>
      <c r="H328" s="1385">
        <v>100</v>
      </c>
      <c r="I328" s="1353"/>
      <c r="J328" s="1341"/>
      <c r="K328" s="1341"/>
      <c r="L328" s="1341"/>
    </row>
    <row r="329" spans="1:12" s="1352" customFormat="1" ht="20.100000000000001" customHeight="1">
      <c r="A329" s="1341"/>
      <c r="B329" s="1341"/>
      <c r="C329" s="1374"/>
      <c r="D329" s="1512" t="s">
        <v>877</v>
      </c>
      <c r="E329" s="1511">
        <f>E330</f>
        <v>300000000</v>
      </c>
      <c r="F329" s="1510">
        <f>F330</f>
        <v>299690626</v>
      </c>
      <c r="G329" s="1368">
        <f>+F329/E329*100</f>
        <v>99.896875333333341</v>
      </c>
      <c r="H329" s="1385">
        <v>100</v>
      </c>
      <c r="I329" s="1353"/>
      <c r="J329" s="1341"/>
      <c r="K329" s="1341"/>
      <c r="L329" s="1341"/>
    </row>
    <row r="330" spans="1:12" s="1352" customFormat="1" ht="20.100000000000001" customHeight="1">
      <c r="A330" s="1341"/>
      <c r="B330" s="1341"/>
      <c r="C330" s="1374"/>
      <c r="D330" s="1509" t="s">
        <v>1172</v>
      </c>
      <c r="E330" s="1508">
        <v>300000000</v>
      </c>
      <c r="F330" s="1507">
        <v>299690626</v>
      </c>
      <c r="G330" s="1368">
        <f>+F330/E330*100</f>
        <v>99.896875333333341</v>
      </c>
      <c r="H330" s="1385">
        <v>100</v>
      </c>
      <c r="I330" s="1353"/>
      <c r="J330" s="1341"/>
      <c r="K330" s="1341"/>
      <c r="L330" s="1341"/>
    </row>
    <row r="331" spans="1:12" ht="15" customHeight="1">
      <c r="A331" s="1341"/>
      <c r="B331" s="1341"/>
      <c r="C331" s="1374"/>
      <c r="D331" s="1373"/>
      <c r="E331" s="1404"/>
      <c r="F331" s="1405"/>
      <c r="G331" s="1371"/>
      <c r="H331" s="1371"/>
      <c r="I331" s="1353"/>
      <c r="J331" s="1341"/>
      <c r="K331" s="1341"/>
      <c r="L331" s="1341"/>
    </row>
    <row r="332" spans="1:12" s="44" customFormat="1" ht="20.100000000000001" customHeight="1">
      <c r="A332" s="1346"/>
      <c r="B332" s="1346"/>
      <c r="C332" s="1381" t="s">
        <v>1207</v>
      </c>
      <c r="D332" s="1370" t="s">
        <v>1208</v>
      </c>
      <c r="E332" s="1404">
        <v>15068481750</v>
      </c>
      <c r="F332" s="1403">
        <f>+F333+F353</f>
        <v>13418908512</v>
      </c>
      <c r="G332" s="1385">
        <f>+F332/E332*100</f>
        <v>89.052823865284239</v>
      </c>
      <c r="H332" s="1385">
        <f>(H333+H353)/2</f>
        <v>78.888888888888886</v>
      </c>
      <c r="I332" s="1360"/>
      <c r="J332" s="1346"/>
      <c r="K332" s="1346"/>
      <c r="L332" s="1346"/>
    </row>
    <row r="333" spans="1:12" ht="20.100000000000001" customHeight="1">
      <c r="A333" s="1341"/>
      <c r="B333" s="1341"/>
      <c r="C333" s="1374"/>
      <c r="D333" s="1365" t="s">
        <v>65</v>
      </c>
      <c r="E333" s="1504">
        <f>E334+E336+E340+E342+E348+E350</f>
        <v>12068473700</v>
      </c>
      <c r="F333" s="1503">
        <f>F334+F336+F340+F342+F348+F350</f>
        <v>10451554500</v>
      </c>
      <c r="G333" s="1499">
        <f t="shared" ref="G333:G351" si="13">F333/E333*100</f>
        <v>86.602123514591582</v>
      </c>
      <c r="H333" s="1499">
        <f>(H334+H336+H340+H348+H350)/6</f>
        <v>57.777777777777779</v>
      </c>
      <c r="I333" s="1353"/>
      <c r="J333" s="1341"/>
      <c r="K333" s="1341"/>
      <c r="L333" s="1341"/>
    </row>
    <row r="334" spans="1:12" ht="20.100000000000001" customHeight="1">
      <c r="A334" s="1341"/>
      <c r="B334" s="1341"/>
      <c r="C334" s="1374"/>
      <c r="D334" s="1505" t="s">
        <v>162</v>
      </c>
      <c r="E334" s="1504">
        <f>E335</f>
        <v>1401580000</v>
      </c>
      <c r="F334" s="1503">
        <f>F335</f>
        <v>1373504100</v>
      </c>
      <c r="G334" s="1499">
        <f t="shared" si="13"/>
        <v>97.996839281382435</v>
      </c>
      <c r="H334" s="1499">
        <v>100</v>
      </c>
      <c r="I334" s="1353"/>
      <c r="J334" s="1341"/>
      <c r="K334" s="1341"/>
      <c r="L334" s="1341"/>
    </row>
    <row r="335" spans="1:12" ht="20.100000000000001" customHeight="1">
      <c r="A335" s="1341"/>
      <c r="B335" s="1341"/>
      <c r="C335" s="1374"/>
      <c r="D335" s="1502" t="s">
        <v>1222</v>
      </c>
      <c r="E335" s="1501">
        <v>1401580000</v>
      </c>
      <c r="F335" s="1500">
        <v>1373504100</v>
      </c>
      <c r="G335" s="1499">
        <f t="shared" si="13"/>
        <v>97.996839281382435</v>
      </c>
      <c r="H335" s="1499">
        <v>100</v>
      </c>
      <c r="I335" s="1353"/>
      <c r="J335" s="1341"/>
      <c r="K335" s="1341"/>
      <c r="L335" s="1341"/>
    </row>
    <row r="336" spans="1:12" ht="20.100000000000001" customHeight="1">
      <c r="A336" s="1341"/>
      <c r="B336" s="1341"/>
      <c r="C336" s="1374"/>
      <c r="D336" s="1365" t="s">
        <v>173</v>
      </c>
      <c r="E336" s="1504">
        <f>SUM(E337:E339)</f>
        <v>8140617000</v>
      </c>
      <c r="F336" s="1503">
        <f>SUM(F337:F339)</f>
        <v>7074967900</v>
      </c>
      <c r="G336" s="1499">
        <f t="shared" si="13"/>
        <v>86.9094799571089</v>
      </c>
      <c r="H336" s="1499">
        <f>275/3</f>
        <v>91.666666666666671</v>
      </c>
      <c r="I336" s="1353"/>
      <c r="J336" s="1341"/>
      <c r="K336" s="1341"/>
      <c r="L336" s="1341"/>
    </row>
    <row r="337" spans="1:12" ht="20.100000000000001" customHeight="1">
      <c r="A337" s="1341"/>
      <c r="B337" s="1341"/>
      <c r="C337" s="1374"/>
      <c r="D337" s="1502" t="s">
        <v>1223</v>
      </c>
      <c r="E337" s="1501">
        <v>4246860100</v>
      </c>
      <c r="F337" s="1500">
        <v>3607650000</v>
      </c>
      <c r="G337" s="1499">
        <f t="shared" si="13"/>
        <v>84.948642409953649</v>
      </c>
      <c r="H337" s="1499">
        <v>90</v>
      </c>
      <c r="I337" s="1353"/>
      <c r="J337" s="1341"/>
      <c r="K337" s="1341"/>
      <c r="L337" s="1341"/>
    </row>
    <row r="338" spans="1:12" ht="31.5" customHeight="1">
      <c r="A338" s="1341"/>
      <c r="B338" s="1341"/>
      <c r="C338" s="1374"/>
      <c r="D338" s="1502" t="s">
        <v>1224</v>
      </c>
      <c r="E338" s="1501">
        <v>3839206900</v>
      </c>
      <c r="F338" s="1500">
        <v>3416267900</v>
      </c>
      <c r="G338" s="1499">
        <f t="shared" si="13"/>
        <v>88.983688271658394</v>
      </c>
      <c r="H338" s="1499">
        <v>90</v>
      </c>
      <c r="I338" s="1353"/>
      <c r="J338" s="1341"/>
      <c r="K338" s="1341"/>
      <c r="L338" s="1341"/>
    </row>
    <row r="339" spans="1:12" ht="31.5" customHeight="1">
      <c r="A339" s="1341"/>
      <c r="B339" s="1341"/>
      <c r="C339" s="1374"/>
      <c r="D339" s="1502" t="s">
        <v>3668</v>
      </c>
      <c r="E339" s="1501">
        <v>54550000</v>
      </c>
      <c r="F339" s="1500">
        <v>51050000</v>
      </c>
      <c r="G339" s="1499">
        <f t="shared" si="13"/>
        <v>93.583868010999083</v>
      </c>
      <c r="H339" s="1499">
        <v>95</v>
      </c>
      <c r="I339" s="1353"/>
      <c r="J339" s="1341"/>
      <c r="K339" s="1341"/>
      <c r="L339" s="1341"/>
    </row>
    <row r="340" spans="1:12" ht="20.100000000000001" customHeight="1">
      <c r="A340" s="1341"/>
      <c r="B340" s="1341"/>
      <c r="C340" s="1374"/>
      <c r="D340" s="1365" t="s">
        <v>190</v>
      </c>
      <c r="E340" s="1504">
        <f>E341</f>
        <v>288180000</v>
      </c>
      <c r="F340" s="1503">
        <f>F341</f>
        <v>280322500</v>
      </c>
      <c r="G340" s="1499">
        <f t="shared" si="13"/>
        <v>97.27340551044486</v>
      </c>
      <c r="H340" s="1499">
        <v>100</v>
      </c>
      <c r="I340" s="1353"/>
      <c r="J340" s="1341"/>
      <c r="K340" s="1341"/>
      <c r="L340" s="1341"/>
    </row>
    <row r="341" spans="1:12" ht="20.100000000000001" customHeight="1">
      <c r="A341" s="1341"/>
      <c r="B341" s="1341"/>
      <c r="C341" s="1374"/>
      <c r="D341" s="1502" t="s">
        <v>1225</v>
      </c>
      <c r="E341" s="1501">
        <v>288180000</v>
      </c>
      <c r="F341" s="1500">
        <v>280322500</v>
      </c>
      <c r="G341" s="1499">
        <f t="shared" si="13"/>
        <v>97.27340551044486</v>
      </c>
      <c r="H341" s="1499">
        <v>100</v>
      </c>
      <c r="I341" s="1353"/>
      <c r="J341" s="1341"/>
      <c r="K341" s="1341"/>
      <c r="L341" s="1341"/>
    </row>
    <row r="342" spans="1:12" ht="20.100000000000001" customHeight="1">
      <c r="A342" s="1341"/>
      <c r="B342" s="1341"/>
      <c r="C342" s="1374"/>
      <c r="D342" s="1365" t="s">
        <v>196</v>
      </c>
      <c r="E342" s="1504">
        <f>SUM(E343:E347)</f>
        <v>1340294000</v>
      </c>
      <c r="F342" s="1503">
        <f>SUM(F343:F347)</f>
        <v>1337390000</v>
      </c>
      <c r="G342" s="1499">
        <f t="shared" si="13"/>
        <v>99.783331119888615</v>
      </c>
      <c r="H342" s="1499">
        <v>100</v>
      </c>
      <c r="I342" s="1353"/>
      <c r="J342" s="1341"/>
      <c r="K342" s="1341"/>
      <c r="L342" s="1341"/>
    </row>
    <row r="343" spans="1:12" ht="20.100000000000001" customHeight="1">
      <c r="A343" s="1341"/>
      <c r="B343" s="1341"/>
      <c r="C343" s="1374"/>
      <c r="D343" s="1502" t="s">
        <v>3667</v>
      </c>
      <c r="E343" s="1501">
        <v>189740000</v>
      </c>
      <c r="F343" s="1500">
        <v>189590000</v>
      </c>
      <c r="G343" s="1499">
        <f t="shared" si="13"/>
        <v>99.920944450300411</v>
      </c>
      <c r="H343" s="1499">
        <v>100</v>
      </c>
      <c r="I343" s="1353"/>
      <c r="J343" s="1341"/>
      <c r="K343" s="1341"/>
      <c r="L343" s="1341"/>
    </row>
    <row r="344" spans="1:12" ht="20.100000000000001" customHeight="1">
      <c r="A344" s="1341"/>
      <c r="B344" s="1341"/>
      <c r="C344" s="1374"/>
      <c r="D344" s="1502" t="s">
        <v>1226</v>
      </c>
      <c r="E344" s="1501">
        <v>305494000</v>
      </c>
      <c r="F344" s="1500">
        <v>304920000</v>
      </c>
      <c r="G344" s="1499">
        <f t="shared" si="13"/>
        <v>99.812107602767981</v>
      </c>
      <c r="H344" s="1499">
        <v>100</v>
      </c>
      <c r="I344" s="1353"/>
      <c r="J344" s="1341"/>
      <c r="K344" s="1341"/>
      <c r="L344" s="1341"/>
    </row>
    <row r="345" spans="1:12" ht="20.100000000000001" customHeight="1">
      <c r="A345" s="1341"/>
      <c r="B345" s="1341"/>
      <c r="C345" s="1374"/>
      <c r="D345" s="1502" t="s">
        <v>1227</v>
      </c>
      <c r="E345" s="1501">
        <v>581700000</v>
      </c>
      <c r="F345" s="1500">
        <v>581200000</v>
      </c>
      <c r="G345" s="1499">
        <f t="shared" si="13"/>
        <v>99.914045040398832</v>
      </c>
      <c r="H345" s="1499">
        <v>100</v>
      </c>
      <c r="I345" s="1353"/>
      <c r="J345" s="1341"/>
      <c r="K345" s="1341"/>
      <c r="L345" s="1341"/>
    </row>
    <row r="346" spans="1:12" ht="20.100000000000001" customHeight="1">
      <c r="A346" s="1341"/>
      <c r="B346" s="1341"/>
      <c r="C346" s="1374"/>
      <c r="D346" s="1502" t="s">
        <v>1228</v>
      </c>
      <c r="E346" s="1501">
        <v>148240000</v>
      </c>
      <c r="F346" s="1500">
        <v>146560000</v>
      </c>
      <c r="G346" s="1499">
        <f t="shared" si="13"/>
        <v>98.866702644360487</v>
      </c>
      <c r="H346" s="1499">
        <v>100</v>
      </c>
      <c r="I346" s="1353"/>
      <c r="J346" s="1341"/>
      <c r="K346" s="1341"/>
      <c r="L346" s="1341"/>
    </row>
    <row r="347" spans="1:12" ht="20.100000000000001" customHeight="1">
      <c r="A347" s="1341"/>
      <c r="B347" s="1341"/>
      <c r="C347" s="1374"/>
      <c r="D347" s="1502" t="s">
        <v>1229</v>
      </c>
      <c r="E347" s="1501">
        <v>115120000</v>
      </c>
      <c r="F347" s="1500">
        <v>115120000</v>
      </c>
      <c r="G347" s="1499">
        <f t="shared" si="13"/>
        <v>100</v>
      </c>
      <c r="H347" s="1499">
        <f>+G347</f>
        <v>100</v>
      </c>
      <c r="I347" s="1353"/>
      <c r="J347" s="1341"/>
      <c r="K347" s="1341"/>
      <c r="L347" s="1341"/>
    </row>
    <row r="348" spans="1:12" ht="31.5" customHeight="1">
      <c r="A348" s="1341"/>
      <c r="B348" s="1341"/>
      <c r="C348" s="1374"/>
      <c r="D348" s="1365" t="s">
        <v>421</v>
      </c>
      <c r="E348" s="1506">
        <f>E349</f>
        <v>165967000</v>
      </c>
      <c r="F348" s="1503">
        <f>F349</f>
        <v>0</v>
      </c>
      <c r="G348" s="1499">
        <f t="shared" si="13"/>
        <v>0</v>
      </c>
      <c r="H348" s="1499">
        <f>+G348</f>
        <v>0</v>
      </c>
      <c r="I348" s="1353"/>
      <c r="J348" s="1341"/>
      <c r="K348" s="1341"/>
      <c r="L348" s="1341"/>
    </row>
    <row r="349" spans="1:12" ht="20.100000000000001" customHeight="1">
      <c r="A349" s="1341"/>
      <c r="B349" s="1341"/>
      <c r="C349" s="1374"/>
      <c r="D349" s="1502" t="s">
        <v>3666</v>
      </c>
      <c r="E349" s="1501">
        <v>165967000</v>
      </c>
      <c r="F349" s="1500">
        <v>0</v>
      </c>
      <c r="G349" s="1499">
        <f t="shared" si="13"/>
        <v>0</v>
      </c>
      <c r="H349" s="1499">
        <f>+G349</f>
        <v>0</v>
      </c>
      <c r="I349" s="1353"/>
      <c r="J349" s="1341"/>
      <c r="K349" s="1341"/>
      <c r="L349" s="1341"/>
    </row>
    <row r="350" spans="1:12" ht="20.100000000000001" customHeight="1">
      <c r="A350" s="1341"/>
      <c r="B350" s="1341"/>
      <c r="C350" s="1374"/>
      <c r="D350" s="1365" t="s">
        <v>212</v>
      </c>
      <c r="E350" s="1504">
        <f>E351</f>
        <v>731835700</v>
      </c>
      <c r="F350" s="1503">
        <f>F351</f>
        <v>385370000</v>
      </c>
      <c r="G350" s="1499">
        <f t="shared" si="13"/>
        <v>52.657994137208661</v>
      </c>
      <c r="H350" s="1499">
        <v>55</v>
      </c>
      <c r="I350" s="1353"/>
      <c r="J350" s="1341"/>
      <c r="K350" s="1341"/>
      <c r="L350" s="1341"/>
    </row>
    <row r="351" spans="1:12" ht="31.5" customHeight="1">
      <c r="A351" s="1341"/>
      <c r="B351" s="1341"/>
      <c r="C351" s="1374"/>
      <c r="D351" s="1502" t="s">
        <v>1230</v>
      </c>
      <c r="E351" s="1501">
        <v>731835700</v>
      </c>
      <c r="F351" s="1500">
        <v>385370000</v>
      </c>
      <c r="G351" s="1499">
        <f t="shared" si="13"/>
        <v>52.657994137208661</v>
      </c>
      <c r="H351" s="1499">
        <v>55</v>
      </c>
      <c r="I351" s="1353"/>
      <c r="J351" s="1341"/>
      <c r="K351" s="1341"/>
      <c r="L351" s="1341"/>
    </row>
    <row r="352" spans="1:12" ht="15" customHeight="1">
      <c r="A352" s="1341"/>
      <c r="B352" s="1341"/>
      <c r="C352" s="1374"/>
      <c r="D352" s="1502"/>
      <c r="E352" s="1501"/>
      <c r="F352" s="1500"/>
      <c r="G352" s="1499"/>
      <c r="H352" s="1499"/>
      <c r="I352" s="1353"/>
      <c r="J352" s="1341"/>
      <c r="K352" s="1341"/>
      <c r="L352" s="1341"/>
    </row>
    <row r="353" spans="1:12" ht="20.100000000000001" customHeight="1">
      <c r="A353" s="1341"/>
      <c r="B353" s="1341"/>
      <c r="C353" s="1374"/>
      <c r="D353" s="1505" t="s">
        <v>1231</v>
      </c>
      <c r="E353" s="1504">
        <f>E354</f>
        <v>3000000000</v>
      </c>
      <c r="F353" s="1503">
        <f>F354</f>
        <v>2967354012</v>
      </c>
      <c r="G353" s="1499">
        <f>F353/E353*100</f>
        <v>98.911800400000004</v>
      </c>
      <c r="H353" s="1499">
        <v>100</v>
      </c>
      <c r="I353" s="1353"/>
      <c r="J353" s="1341"/>
      <c r="K353" s="1341"/>
      <c r="L353" s="1341"/>
    </row>
    <row r="354" spans="1:12" ht="20.100000000000001" customHeight="1">
      <c r="A354" s="1341"/>
      <c r="B354" s="1341"/>
      <c r="C354" s="1374"/>
      <c r="D354" s="1505" t="s">
        <v>1232</v>
      </c>
      <c r="E354" s="1504">
        <f>E355</f>
        <v>3000000000</v>
      </c>
      <c r="F354" s="1503">
        <f>F355</f>
        <v>2967354012</v>
      </c>
      <c r="G354" s="1499">
        <f>F354/E354*100</f>
        <v>98.911800400000004</v>
      </c>
      <c r="H354" s="1499">
        <v>100</v>
      </c>
      <c r="I354" s="1353"/>
      <c r="J354" s="1341"/>
      <c r="K354" s="1341"/>
      <c r="L354" s="1341"/>
    </row>
    <row r="355" spans="1:12" ht="20.100000000000001" customHeight="1">
      <c r="A355" s="1341"/>
      <c r="B355" s="1341"/>
      <c r="C355" s="1374"/>
      <c r="D355" s="1502" t="s">
        <v>1233</v>
      </c>
      <c r="E355" s="1501">
        <v>3000000000</v>
      </c>
      <c r="F355" s="1500">
        <v>2967354012</v>
      </c>
      <c r="G355" s="1499">
        <f>F355/E355*100</f>
        <v>98.911800400000004</v>
      </c>
      <c r="H355" s="1499">
        <v>100</v>
      </c>
      <c r="I355" s="1353"/>
      <c r="J355" s="1341"/>
      <c r="K355" s="1341"/>
      <c r="L355" s="1341"/>
    </row>
    <row r="356" spans="1:12" ht="15" customHeight="1">
      <c r="A356" s="1341"/>
      <c r="B356" s="1341"/>
      <c r="C356" s="1374"/>
      <c r="D356" s="1373"/>
      <c r="E356" s="1404"/>
      <c r="F356" s="1405"/>
      <c r="G356" s="1371"/>
      <c r="H356" s="1371"/>
      <c r="I356" s="1353"/>
      <c r="J356" s="1341"/>
      <c r="K356" s="1341"/>
      <c r="L356" s="1341"/>
    </row>
    <row r="357" spans="1:12" s="1359" customFormat="1" ht="20.100000000000001" customHeight="1">
      <c r="A357" s="1346"/>
      <c r="B357" s="1346"/>
      <c r="C357" s="1381" t="s">
        <v>1241</v>
      </c>
      <c r="D357" s="1370" t="s">
        <v>1242</v>
      </c>
      <c r="E357" s="1404">
        <f>+E358</f>
        <v>8612920000</v>
      </c>
      <c r="F357" s="1403">
        <f>+F358</f>
        <v>7282794950</v>
      </c>
      <c r="G357" s="1368">
        <f>+F357/E357*100</f>
        <v>84.55663062004524</v>
      </c>
      <c r="H357" s="1368">
        <f>H358</f>
        <v>81.166666666666671</v>
      </c>
      <c r="I357" s="1360"/>
      <c r="J357" s="1346"/>
      <c r="K357" s="1346"/>
      <c r="L357" s="1346"/>
    </row>
    <row r="358" spans="1:12" s="1352" customFormat="1" ht="20.100000000000001" customHeight="1">
      <c r="A358" s="1341"/>
      <c r="B358" s="1341"/>
      <c r="C358" s="1374"/>
      <c r="D358" s="1498" t="s">
        <v>65</v>
      </c>
      <c r="E358" s="1420">
        <v>8612920000</v>
      </c>
      <c r="F358" s="1412">
        <v>7282794950</v>
      </c>
      <c r="G358" s="1417">
        <f t="shared" ref="G358:G375" si="14">F358/E358*100</f>
        <v>84.55663062004524</v>
      </c>
      <c r="H358" s="1382">
        <f>(H359+H361+H363+H365+H374+H371)/6</f>
        <v>81.166666666666671</v>
      </c>
      <c r="I358" s="1353"/>
      <c r="J358" s="1341"/>
      <c r="K358" s="1341"/>
      <c r="L358" s="1341"/>
    </row>
    <row r="359" spans="1:12" s="1352" customFormat="1" ht="20.100000000000001" customHeight="1">
      <c r="A359" s="1341"/>
      <c r="B359" s="1341"/>
      <c r="C359" s="1374"/>
      <c r="D359" s="1498" t="s">
        <v>3639</v>
      </c>
      <c r="E359" s="1420">
        <v>676200000</v>
      </c>
      <c r="F359" s="1412">
        <v>465000000</v>
      </c>
      <c r="G359" s="1417">
        <f t="shared" si="14"/>
        <v>68.766637089618456</v>
      </c>
      <c r="H359" s="1382">
        <v>70</v>
      </c>
      <c r="I359" s="1353"/>
      <c r="J359" s="1341"/>
      <c r="K359" s="1341"/>
      <c r="L359" s="1341"/>
    </row>
    <row r="360" spans="1:12" s="1352" customFormat="1" ht="41.25" customHeight="1">
      <c r="A360" s="1341"/>
      <c r="B360" s="1341"/>
      <c r="C360" s="1374"/>
      <c r="D360" s="1497" t="s">
        <v>4131</v>
      </c>
      <c r="E360" s="1419">
        <v>676200000</v>
      </c>
      <c r="F360" s="1413">
        <v>465000000</v>
      </c>
      <c r="G360" s="1417">
        <f t="shared" si="14"/>
        <v>68.766637089618456</v>
      </c>
      <c r="H360" s="1382">
        <v>70</v>
      </c>
      <c r="I360" s="1353"/>
      <c r="J360" s="1341"/>
      <c r="K360" s="1341"/>
      <c r="L360" s="1341"/>
    </row>
    <row r="361" spans="1:12" s="1352" customFormat="1" ht="20.100000000000001" customHeight="1">
      <c r="A361" s="1341"/>
      <c r="B361" s="1341"/>
      <c r="C361" s="1374"/>
      <c r="D361" s="1498" t="s">
        <v>3637</v>
      </c>
      <c r="E361" s="1420">
        <v>448100000</v>
      </c>
      <c r="F361" s="1412">
        <v>448100000</v>
      </c>
      <c r="G361" s="1417">
        <f t="shared" si="14"/>
        <v>100</v>
      </c>
      <c r="H361" s="1382">
        <f>G361</f>
        <v>100</v>
      </c>
      <c r="I361" s="1353"/>
      <c r="J361" s="1341"/>
      <c r="K361" s="1341"/>
      <c r="L361" s="1341"/>
    </row>
    <row r="362" spans="1:12" s="1352" customFormat="1" ht="41.25" customHeight="1">
      <c r="A362" s="1341"/>
      <c r="B362" s="1341"/>
      <c r="C362" s="1374"/>
      <c r="D362" s="1497" t="s">
        <v>4130</v>
      </c>
      <c r="E362" s="1419">
        <v>448100000</v>
      </c>
      <c r="F362" s="1413">
        <v>448100000</v>
      </c>
      <c r="G362" s="1417">
        <f t="shared" si="14"/>
        <v>100</v>
      </c>
      <c r="H362" s="1382">
        <f>G362</f>
        <v>100</v>
      </c>
      <c r="I362" s="1353"/>
      <c r="J362" s="1341"/>
      <c r="K362" s="1341"/>
      <c r="L362" s="1341"/>
    </row>
    <row r="363" spans="1:12" s="1352" customFormat="1" ht="20.100000000000001" customHeight="1">
      <c r="A363" s="1341"/>
      <c r="B363" s="1341"/>
      <c r="C363" s="1374"/>
      <c r="D363" s="1498" t="s">
        <v>3635</v>
      </c>
      <c r="E363" s="1420">
        <v>1989000000</v>
      </c>
      <c r="F363" s="1412">
        <v>1937000000</v>
      </c>
      <c r="G363" s="1417">
        <f t="shared" si="14"/>
        <v>97.385620915032675</v>
      </c>
      <c r="H363" s="1382">
        <v>100</v>
      </c>
      <c r="I363" s="1353"/>
      <c r="J363" s="1341"/>
      <c r="K363" s="1341"/>
      <c r="L363" s="1341"/>
    </row>
    <row r="364" spans="1:12" s="1352" customFormat="1" ht="20.100000000000001" customHeight="1">
      <c r="A364" s="1341"/>
      <c r="B364" s="1341"/>
      <c r="C364" s="1374"/>
      <c r="D364" s="1497" t="s">
        <v>4129</v>
      </c>
      <c r="E364" s="1419">
        <v>1989000000</v>
      </c>
      <c r="F364" s="1413">
        <v>1937000000</v>
      </c>
      <c r="G364" s="1417">
        <f t="shared" si="14"/>
        <v>97.385620915032675</v>
      </c>
      <c r="H364" s="1382">
        <v>100</v>
      </c>
      <c r="I364" s="1353"/>
      <c r="J364" s="1341"/>
      <c r="K364" s="1341"/>
      <c r="L364" s="1341"/>
    </row>
    <row r="365" spans="1:12" s="1352" customFormat="1" ht="20.100000000000001" customHeight="1">
      <c r="A365" s="1341"/>
      <c r="B365" s="1341"/>
      <c r="C365" s="1374"/>
      <c r="D365" s="1498" t="s">
        <v>1269</v>
      </c>
      <c r="E365" s="1420">
        <v>691900000</v>
      </c>
      <c r="F365" s="1412">
        <f>F366+F367+F369+F370</f>
        <v>565300000</v>
      </c>
      <c r="G365" s="1417">
        <f t="shared" si="14"/>
        <v>81.702558173146414</v>
      </c>
      <c r="H365" s="1382">
        <f>SUM((H366:H370))/5</f>
        <v>77</v>
      </c>
      <c r="I365" s="1353"/>
      <c r="J365" s="1341"/>
      <c r="K365" s="1341"/>
      <c r="L365" s="1341"/>
    </row>
    <row r="366" spans="1:12" s="1352" customFormat="1" ht="20.100000000000001" customHeight="1">
      <c r="A366" s="1341"/>
      <c r="B366" s="1341"/>
      <c r="C366" s="1374"/>
      <c r="D366" s="1497" t="s">
        <v>4128</v>
      </c>
      <c r="E366" s="1419">
        <v>88000000</v>
      </c>
      <c r="F366" s="1413">
        <v>74000000</v>
      </c>
      <c r="G366" s="1417">
        <f t="shared" si="14"/>
        <v>84.090909090909093</v>
      </c>
      <c r="H366" s="1382">
        <v>85</v>
      </c>
      <c r="I366" s="1353"/>
      <c r="J366" s="1341"/>
      <c r="K366" s="1341"/>
      <c r="L366" s="1341"/>
    </row>
    <row r="367" spans="1:12" s="1352" customFormat="1" ht="20.100000000000001" customHeight="1">
      <c r="A367" s="1341"/>
      <c r="B367" s="1341"/>
      <c r="C367" s="1374"/>
      <c r="D367" s="1497" t="s">
        <v>4127</v>
      </c>
      <c r="E367" s="1419">
        <v>48000000</v>
      </c>
      <c r="F367" s="1413">
        <v>48000000</v>
      </c>
      <c r="G367" s="1417">
        <f t="shared" si="14"/>
        <v>100</v>
      </c>
      <c r="H367" s="1382">
        <f>G367</f>
        <v>100</v>
      </c>
      <c r="I367" s="1353"/>
      <c r="J367" s="1341"/>
      <c r="K367" s="1341"/>
      <c r="L367" s="1341"/>
    </row>
    <row r="368" spans="1:12" s="1352" customFormat="1" ht="20.100000000000001" customHeight="1">
      <c r="A368" s="1341"/>
      <c r="B368" s="1341"/>
      <c r="C368" s="1374"/>
      <c r="D368" s="1497" t="s">
        <v>4126</v>
      </c>
      <c r="E368" s="1419">
        <v>109000000</v>
      </c>
      <c r="F368" s="1413"/>
      <c r="G368" s="1417">
        <f t="shared" si="14"/>
        <v>0</v>
      </c>
      <c r="H368" s="1382">
        <v>0</v>
      </c>
      <c r="I368" s="1353"/>
      <c r="J368" s="1341"/>
      <c r="K368" s="1341"/>
      <c r="L368" s="1341"/>
    </row>
    <row r="369" spans="1:12" s="1352" customFormat="1" ht="20.100000000000001" customHeight="1">
      <c r="A369" s="1341"/>
      <c r="B369" s="1341"/>
      <c r="C369" s="1374"/>
      <c r="D369" s="1497" t="s">
        <v>4125</v>
      </c>
      <c r="E369" s="1419">
        <v>46800000</v>
      </c>
      <c r="F369" s="1413">
        <v>46800000</v>
      </c>
      <c r="G369" s="1417">
        <f t="shared" si="14"/>
        <v>100</v>
      </c>
      <c r="H369" s="1382">
        <f>G369</f>
        <v>100</v>
      </c>
      <c r="I369" s="1353"/>
      <c r="J369" s="1341"/>
      <c r="K369" s="1341"/>
      <c r="L369" s="1341"/>
    </row>
    <row r="370" spans="1:12" s="1352" customFormat="1" ht="41.25" customHeight="1">
      <c r="A370" s="1341"/>
      <c r="B370" s="1341"/>
      <c r="C370" s="1374"/>
      <c r="D370" s="1497" t="s">
        <v>4124</v>
      </c>
      <c r="E370" s="1419">
        <v>400100000</v>
      </c>
      <c r="F370" s="1413">
        <v>396500000</v>
      </c>
      <c r="G370" s="1417">
        <f t="shared" si="14"/>
        <v>99.100224943764061</v>
      </c>
      <c r="H370" s="1382">
        <v>100</v>
      </c>
      <c r="I370" s="1353"/>
      <c r="J370" s="1341"/>
      <c r="K370" s="1341"/>
      <c r="L370" s="1341"/>
    </row>
    <row r="371" spans="1:12" s="1352" customFormat="1" ht="20.100000000000001" customHeight="1">
      <c r="A371" s="1341"/>
      <c r="B371" s="1341"/>
      <c r="C371" s="1374"/>
      <c r="D371" s="1498" t="s">
        <v>3628</v>
      </c>
      <c r="E371" s="1420">
        <v>3807720000</v>
      </c>
      <c r="F371" s="1412">
        <f>F372+F373</f>
        <v>3260621200</v>
      </c>
      <c r="G371" s="1417">
        <f t="shared" si="14"/>
        <v>85.631853182481905</v>
      </c>
      <c r="H371" s="1382">
        <v>75</v>
      </c>
      <c r="I371" s="1353"/>
      <c r="J371" s="1341"/>
      <c r="K371" s="1341"/>
      <c r="L371" s="1341"/>
    </row>
    <row r="372" spans="1:12" s="1352" customFormat="1" ht="20.100000000000001" customHeight="1">
      <c r="A372" s="1341"/>
      <c r="B372" s="1341"/>
      <c r="C372" s="1374"/>
      <c r="D372" s="1497" t="s">
        <v>4123</v>
      </c>
      <c r="E372" s="1419">
        <v>750000000</v>
      </c>
      <c r="F372" s="1413">
        <v>353896200</v>
      </c>
      <c r="G372" s="1417">
        <f t="shared" si="14"/>
        <v>47.186160000000001</v>
      </c>
      <c r="H372" s="1382">
        <v>50</v>
      </c>
      <c r="I372" s="1353"/>
      <c r="J372" s="1341"/>
      <c r="K372" s="1341"/>
      <c r="L372" s="1341"/>
    </row>
    <row r="373" spans="1:12" s="1352" customFormat="1" ht="20.100000000000001" customHeight="1">
      <c r="A373" s="1341"/>
      <c r="B373" s="1341"/>
      <c r="C373" s="1374"/>
      <c r="D373" s="1497" t="s">
        <v>4122</v>
      </c>
      <c r="E373" s="1419">
        <v>3057720000</v>
      </c>
      <c r="F373" s="1413">
        <v>2906725000</v>
      </c>
      <c r="G373" s="1417">
        <f t="shared" si="14"/>
        <v>95.061843465065479</v>
      </c>
      <c r="H373" s="1382">
        <v>100</v>
      </c>
      <c r="I373" s="1353"/>
      <c r="J373" s="1341"/>
      <c r="K373" s="1341"/>
      <c r="L373" s="1341"/>
    </row>
    <row r="374" spans="1:12" s="1352" customFormat="1" ht="28.5" customHeight="1">
      <c r="A374" s="1341"/>
      <c r="B374" s="1341"/>
      <c r="C374" s="1374"/>
      <c r="D374" s="1498" t="s">
        <v>3625</v>
      </c>
      <c r="E374" s="1420">
        <v>1000000000</v>
      </c>
      <c r="F374" s="1412">
        <v>606773750</v>
      </c>
      <c r="G374" s="1417">
        <f t="shared" si="14"/>
        <v>60.677374999999998</v>
      </c>
      <c r="H374" s="1382">
        <v>65</v>
      </c>
      <c r="I374" s="1353"/>
      <c r="J374" s="1341"/>
      <c r="K374" s="1341"/>
      <c r="L374" s="1341"/>
    </row>
    <row r="375" spans="1:12" s="1352" customFormat="1" ht="20.100000000000001" customHeight="1">
      <c r="A375" s="1341"/>
      <c r="B375" s="1341"/>
      <c r="C375" s="1374"/>
      <c r="D375" s="1497" t="s">
        <v>4121</v>
      </c>
      <c r="E375" s="1419">
        <v>1000000000</v>
      </c>
      <c r="F375" s="1413">
        <v>606773750</v>
      </c>
      <c r="G375" s="1417">
        <f t="shared" si="14"/>
        <v>60.677374999999998</v>
      </c>
      <c r="H375" s="1382">
        <v>65</v>
      </c>
      <c r="I375" s="1353"/>
      <c r="J375" s="1341"/>
      <c r="K375" s="1341"/>
      <c r="L375" s="1341"/>
    </row>
    <row r="376" spans="1:12" ht="15" customHeight="1">
      <c r="A376" s="1341"/>
      <c r="B376" s="1341"/>
      <c r="C376" s="1374"/>
      <c r="D376" s="1373"/>
      <c r="E376" s="1404">
        <v>0</v>
      </c>
      <c r="F376" s="1405"/>
      <c r="G376" s="1371"/>
      <c r="H376" s="1371"/>
      <c r="I376" s="1353"/>
      <c r="J376" s="1341"/>
      <c r="K376" s="1341"/>
      <c r="L376" s="1341"/>
    </row>
    <row r="377" spans="1:12" s="1359" customFormat="1" ht="20.100000000000001" customHeight="1">
      <c r="A377" s="1346"/>
      <c r="B377" s="1346"/>
      <c r="C377" s="1381" t="s">
        <v>1314</v>
      </c>
      <c r="D377" s="1370" t="s">
        <v>1315</v>
      </c>
      <c r="E377" s="1404">
        <v>9290904878.2199993</v>
      </c>
      <c r="F377" s="1404">
        <f>+F378+F384</f>
        <v>8122170587</v>
      </c>
      <c r="G377" s="1368">
        <f t="shared" ref="G377:G382" si="15">+F377/E377*100</f>
        <v>87.42066239468474</v>
      </c>
      <c r="H377" s="1368">
        <f>(H378+H384)/2</f>
        <v>87.5</v>
      </c>
      <c r="I377" s="1360"/>
      <c r="J377" s="1346"/>
      <c r="K377" s="1346"/>
      <c r="L377" s="1346"/>
    </row>
    <row r="378" spans="1:12" s="1359" customFormat="1" ht="20.100000000000001" customHeight="1">
      <c r="A378" s="1346"/>
      <c r="B378" s="1346"/>
      <c r="C378" s="1381"/>
      <c r="D378" s="1393" t="s">
        <v>3586</v>
      </c>
      <c r="E378" s="1392">
        <f>E379+E381</f>
        <v>6410724569.7299995</v>
      </c>
      <c r="F378" s="1392">
        <f>F379+F381</f>
        <v>6334822863</v>
      </c>
      <c r="G378" s="1368">
        <f t="shared" si="15"/>
        <v>98.816019844490128</v>
      </c>
      <c r="H378" s="1385">
        <v>100</v>
      </c>
      <c r="I378" s="1360"/>
      <c r="J378" s="1346"/>
      <c r="K378" s="1346"/>
      <c r="L378" s="1346"/>
    </row>
    <row r="379" spans="1:12" s="1359" customFormat="1" ht="20.100000000000001" customHeight="1">
      <c r="A379" s="1346"/>
      <c r="B379" s="1346"/>
      <c r="C379" s="1381"/>
      <c r="D379" s="1414" t="s">
        <v>606</v>
      </c>
      <c r="E379" s="1392">
        <f>E380</f>
        <v>590724569.73000002</v>
      </c>
      <c r="F379" s="1392">
        <f>F380</f>
        <v>587548863</v>
      </c>
      <c r="G379" s="1368">
        <f t="shared" si="15"/>
        <v>99.462404834210389</v>
      </c>
      <c r="H379" s="1385">
        <v>100</v>
      </c>
      <c r="I379" s="1360"/>
      <c r="J379" s="1346"/>
      <c r="K379" s="1346"/>
      <c r="L379" s="1346"/>
    </row>
    <row r="380" spans="1:12" s="1352" customFormat="1" ht="20.100000000000001" customHeight="1">
      <c r="A380" s="1341"/>
      <c r="B380" s="1341"/>
      <c r="C380" s="1374"/>
      <c r="D380" s="1438" t="s">
        <v>3585</v>
      </c>
      <c r="E380" s="1496">
        <v>590724569.73000002</v>
      </c>
      <c r="F380" s="1388">
        <v>587548863</v>
      </c>
      <c r="G380" s="1368">
        <f t="shared" si="15"/>
        <v>99.462404834210389</v>
      </c>
      <c r="H380" s="1385">
        <v>100</v>
      </c>
      <c r="I380" s="1353"/>
      <c r="J380" s="1341"/>
      <c r="K380" s="1341"/>
      <c r="L380" s="1341"/>
    </row>
    <row r="381" spans="1:12" s="1359" customFormat="1" ht="20.100000000000001" customHeight="1">
      <c r="A381" s="1346"/>
      <c r="B381" s="1346"/>
      <c r="C381" s="1381"/>
      <c r="D381" s="1414" t="s">
        <v>597</v>
      </c>
      <c r="E381" s="1392">
        <f>E382</f>
        <v>5820000000</v>
      </c>
      <c r="F381" s="1392">
        <f>F382</f>
        <v>5747274000</v>
      </c>
      <c r="G381" s="1368">
        <f t="shared" si="15"/>
        <v>98.750412371134018</v>
      </c>
      <c r="H381" s="1385">
        <v>100</v>
      </c>
      <c r="I381" s="1360"/>
      <c r="J381" s="1346"/>
      <c r="K381" s="1346"/>
      <c r="L381" s="1346"/>
    </row>
    <row r="382" spans="1:12" s="1352" customFormat="1" ht="20.100000000000001" customHeight="1">
      <c r="A382" s="1341"/>
      <c r="B382" s="1341"/>
      <c r="C382" s="1374"/>
      <c r="D382" s="1438" t="s">
        <v>3584</v>
      </c>
      <c r="E382" s="1496">
        <v>5820000000</v>
      </c>
      <c r="F382" s="1388">
        <v>5747274000</v>
      </c>
      <c r="G382" s="1368">
        <f t="shared" si="15"/>
        <v>98.750412371134018</v>
      </c>
      <c r="H382" s="1385">
        <v>100</v>
      </c>
      <c r="I382" s="1353"/>
      <c r="J382" s="1341"/>
      <c r="K382" s="1341"/>
      <c r="L382" s="1341"/>
    </row>
    <row r="383" spans="1:12" s="1352" customFormat="1" ht="15" customHeight="1">
      <c r="A383" s="1341"/>
      <c r="B383" s="1341"/>
      <c r="C383" s="1374"/>
      <c r="D383" s="1373"/>
      <c r="E383" s="1404">
        <v>0</v>
      </c>
      <c r="F383" s="1415"/>
      <c r="G383" s="1368"/>
      <c r="H383" s="1368"/>
      <c r="I383" s="1353"/>
      <c r="J383" s="1341"/>
      <c r="K383" s="1341"/>
      <c r="L383" s="1341"/>
    </row>
    <row r="384" spans="1:12" s="1359" customFormat="1" ht="20.100000000000001" customHeight="1">
      <c r="A384" s="1346"/>
      <c r="B384" s="1346"/>
      <c r="C384" s="1381"/>
      <c r="D384" s="1393" t="s">
        <v>1319</v>
      </c>
      <c r="E384" s="1392">
        <f>E385+E387</f>
        <v>2880180308.4899998</v>
      </c>
      <c r="F384" s="1392">
        <f>F385+F387</f>
        <v>1787347724</v>
      </c>
      <c r="G384" s="1368">
        <f t="shared" ref="G384:G389" si="16">+F384/E384*100</f>
        <v>62.056799663943885</v>
      </c>
      <c r="H384" s="1385">
        <v>75</v>
      </c>
      <c r="I384" s="1360"/>
      <c r="J384" s="1346"/>
      <c r="K384" s="1346"/>
      <c r="L384" s="1346"/>
    </row>
    <row r="385" spans="1:12" s="1359" customFormat="1" ht="20.100000000000001" customHeight="1">
      <c r="A385" s="1346"/>
      <c r="B385" s="1346"/>
      <c r="C385" s="1381"/>
      <c r="D385" s="1414" t="s">
        <v>606</v>
      </c>
      <c r="E385" s="1392">
        <f>E386</f>
        <v>2127363000</v>
      </c>
      <c r="F385" s="1392">
        <f>F386</f>
        <v>1035641695</v>
      </c>
      <c r="G385" s="1368">
        <f t="shared" si="16"/>
        <v>48.681945441375078</v>
      </c>
      <c r="H385" s="1385">
        <v>50</v>
      </c>
      <c r="I385" s="1360"/>
      <c r="J385" s="1346"/>
      <c r="K385" s="1346"/>
      <c r="L385" s="1346"/>
    </row>
    <row r="386" spans="1:12" s="1352" customFormat="1" ht="20.100000000000001" customHeight="1">
      <c r="A386" s="1341"/>
      <c r="B386" s="1341"/>
      <c r="C386" s="1374"/>
      <c r="D386" s="1438" t="s">
        <v>1320</v>
      </c>
      <c r="E386" s="1496">
        <v>2127363000</v>
      </c>
      <c r="F386" s="1388">
        <v>1035641695</v>
      </c>
      <c r="G386" s="1368">
        <f t="shared" si="16"/>
        <v>48.681945441375078</v>
      </c>
      <c r="H386" s="1385">
        <v>50</v>
      </c>
      <c r="I386" s="1353"/>
      <c r="J386" s="1341"/>
      <c r="K386" s="1341"/>
      <c r="L386" s="1341"/>
    </row>
    <row r="387" spans="1:12" s="1359" customFormat="1" ht="20.100000000000001" customHeight="1">
      <c r="A387" s="1346"/>
      <c r="B387" s="1346"/>
      <c r="C387" s="1381"/>
      <c r="D387" s="1414" t="s">
        <v>597</v>
      </c>
      <c r="E387" s="1392">
        <f>SUM(E388:E389)</f>
        <v>752817308.49000001</v>
      </c>
      <c r="F387" s="1392">
        <f>SUM(F388:F389)</f>
        <v>751706029</v>
      </c>
      <c r="G387" s="1368">
        <f t="shared" si="16"/>
        <v>99.852383908091994</v>
      </c>
      <c r="H387" s="1385">
        <v>100</v>
      </c>
      <c r="I387" s="1360"/>
      <c r="J387" s="1346"/>
      <c r="K387" s="1346"/>
      <c r="L387" s="1346"/>
    </row>
    <row r="388" spans="1:12" s="1352" customFormat="1" ht="34.5" customHeight="1">
      <c r="A388" s="1341"/>
      <c r="B388" s="1341"/>
      <c r="C388" s="1374"/>
      <c r="D388" s="1438" t="s">
        <v>3583</v>
      </c>
      <c r="E388" s="1496">
        <v>449537831</v>
      </c>
      <c r="F388" s="1388">
        <v>448501900</v>
      </c>
      <c r="G388" s="1368">
        <f t="shared" si="16"/>
        <v>99.769556435840883</v>
      </c>
      <c r="H388" s="1385">
        <v>100</v>
      </c>
      <c r="I388" s="1353"/>
      <c r="J388" s="1341"/>
      <c r="K388" s="1341"/>
      <c r="L388" s="1341"/>
    </row>
    <row r="389" spans="1:12" s="1352" customFormat="1" ht="20.100000000000001" customHeight="1">
      <c r="A389" s="1341"/>
      <c r="B389" s="1341"/>
      <c r="C389" s="1374"/>
      <c r="D389" s="1438" t="s">
        <v>3582</v>
      </c>
      <c r="E389" s="1496">
        <v>303279477.49000001</v>
      </c>
      <c r="F389" s="1388">
        <v>303204129</v>
      </c>
      <c r="G389" s="1368">
        <f t="shared" si="16"/>
        <v>99.975155427388756</v>
      </c>
      <c r="H389" s="1385">
        <v>100</v>
      </c>
      <c r="I389" s="1353"/>
      <c r="J389" s="1341"/>
      <c r="K389" s="1341"/>
      <c r="L389" s="1341"/>
    </row>
    <row r="390" spans="1:12" ht="15" customHeight="1">
      <c r="A390" s="1341"/>
      <c r="B390" s="1341"/>
      <c r="C390" s="1374"/>
      <c r="D390" s="1373"/>
      <c r="E390" s="1404">
        <v>0</v>
      </c>
      <c r="F390" s="1405"/>
      <c r="G390" s="1371"/>
      <c r="H390" s="1371"/>
      <c r="I390" s="1353"/>
      <c r="J390" s="1341"/>
      <c r="K390" s="1341"/>
      <c r="L390" s="1341"/>
    </row>
    <row r="391" spans="1:12" s="1359" customFormat="1" ht="20.100000000000001" customHeight="1">
      <c r="A391" s="1346"/>
      <c r="B391" s="1346"/>
      <c r="C391" s="1381" t="s">
        <v>1381</v>
      </c>
      <c r="D391" s="1370" t="s">
        <v>1382</v>
      </c>
      <c r="E391" s="1404">
        <f>+E392+E412</f>
        <v>11564528432</v>
      </c>
      <c r="F391" s="1404">
        <f>+F392+F412</f>
        <v>8657200000</v>
      </c>
      <c r="G391" s="1368">
        <f>+F391/E391*100</f>
        <v>74.859948253876198</v>
      </c>
      <c r="H391" s="1368">
        <f>(H392+H412)/2</f>
        <v>60.714285714285715</v>
      </c>
      <c r="I391" s="1360"/>
      <c r="J391" s="1346"/>
      <c r="K391" s="1346"/>
      <c r="L391" s="1346"/>
    </row>
    <row r="392" spans="1:12" s="1352" customFormat="1" ht="20.100000000000001" customHeight="1">
      <c r="A392" s="1341"/>
      <c r="B392" s="1341"/>
      <c r="C392" s="1374"/>
      <c r="D392" s="1414" t="s">
        <v>65</v>
      </c>
      <c r="E392" s="1494">
        <f>E393+E395+E397+E399+E403+E405+E409</f>
        <v>9000000000</v>
      </c>
      <c r="F392" s="1494">
        <f>F393+F395+F397+F399+F403+F405+F409</f>
        <v>8016000000</v>
      </c>
      <c r="G392" s="1493">
        <f t="shared" ref="G392:G410" si="17">(F392/E392)*100</f>
        <v>89.066666666666677</v>
      </c>
      <c r="H392" s="1493">
        <f>(H393+H395+H397+H399+H403+H405+H409)/7</f>
        <v>96.428571428571431</v>
      </c>
      <c r="I392" s="1353"/>
      <c r="J392" s="1341"/>
      <c r="K392" s="1341"/>
      <c r="L392" s="1341"/>
    </row>
    <row r="393" spans="1:12" s="1352" customFormat="1" ht="20.100000000000001" customHeight="1">
      <c r="A393" s="1341"/>
      <c r="B393" s="1341"/>
      <c r="C393" s="1374"/>
      <c r="D393" s="1495" t="s">
        <v>162</v>
      </c>
      <c r="E393" s="1494">
        <f>SUM(E394)</f>
        <v>1135850000</v>
      </c>
      <c r="F393" s="1494">
        <f>SUM(F394)</f>
        <v>1135850000</v>
      </c>
      <c r="G393" s="1493">
        <f t="shared" si="17"/>
        <v>100</v>
      </c>
      <c r="H393" s="1493">
        <f>SUM(H394)</f>
        <v>100</v>
      </c>
      <c r="I393" s="1353"/>
      <c r="J393" s="1341"/>
      <c r="K393" s="1341"/>
      <c r="L393" s="1341"/>
    </row>
    <row r="394" spans="1:12" s="1352" customFormat="1" ht="20.100000000000001" customHeight="1">
      <c r="A394" s="1341"/>
      <c r="B394" s="1341"/>
      <c r="C394" s="1374"/>
      <c r="D394" s="1492" t="s">
        <v>2030</v>
      </c>
      <c r="E394" s="1491">
        <v>1135850000</v>
      </c>
      <c r="F394" s="1491">
        <v>1135850000</v>
      </c>
      <c r="G394" s="1490">
        <f t="shared" si="17"/>
        <v>100</v>
      </c>
      <c r="H394" s="1490">
        <v>100</v>
      </c>
      <c r="I394" s="1353"/>
      <c r="J394" s="1341"/>
      <c r="K394" s="1341"/>
      <c r="L394" s="1341"/>
    </row>
    <row r="395" spans="1:12" s="1352" customFormat="1" ht="20.100000000000001" customHeight="1">
      <c r="A395" s="1341"/>
      <c r="B395" s="1341"/>
      <c r="C395" s="1374"/>
      <c r="D395" s="1495" t="s">
        <v>186</v>
      </c>
      <c r="E395" s="1494">
        <f>SUM(E396)</f>
        <v>75000000</v>
      </c>
      <c r="F395" s="1494">
        <f>SUM(F396)</f>
        <v>75000000</v>
      </c>
      <c r="G395" s="1493">
        <f t="shared" si="17"/>
        <v>100</v>
      </c>
      <c r="H395" s="1493">
        <f>SUM(H396)</f>
        <v>100</v>
      </c>
      <c r="I395" s="1353"/>
      <c r="J395" s="1341"/>
      <c r="K395" s="1341"/>
      <c r="L395" s="1341"/>
    </row>
    <row r="396" spans="1:12" s="1352" customFormat="1" ht="20.100000000000001" customHeight="1">
      <c r="A396" s="1341"/>
      <c r="B396" s="1341"/>
      <c r="C396" s="1374"/>
      <c r="D396" s="1492" t="s">
        <v>3515</v>
      </c>
      <c r="E396" s="1491">
        <v>75000000</v>
      </c>
      <c r="F396" s="1491">
        <v>75000000</v>
      </c>
      <c r="G396" s="1490">
        <f t="shared" si="17"/>
        <v>100</v>
      </c>
      <c r="H396" s="1490">
        <v>100</v>
      </c>
      <c r="I396" s="1353"/>
      <c r="J396" s="1341"/>
      <c r="K396" s="1341"/>
      <c r="L396" s="1341"/>
    </row>
    <row r="397" spans="1:12" s="1352" customFormat="1" ht="20.100000000000001" customHeight="1">
      <c r="A397" s="1341"/>
      <c r="B397" s="1341"/>
      <c r="C397" s="1374"/>
      <c r="D397" s="1495" t="s">
        <v>190</v>
      </c>
      <c r="E397" s="1494">
        <f>SUM(E398)</f>
        <v>100000000</v>
      </c>
      <c r="F397" s="1494">
        <f>SUM(F398)</f>
        <v>100000000</v>
      </c>
      <c r="G397" s="1493">
        <f t="shared" si="17"/>
        <v>100</v>
      </c>
      <c r="H397" s="1493">
        <f>SUM(H398)</f>
        <v>100</v>
      </c>
      <c r="I397" s="1353"/>
      <c r="J397" s="1341"/>
      <c r="K397" s="1341"/>
      <c r="L397" s="1341"/>
    </row>
    <row r="398" spans="1:12" s="1352" customFormat="1" ht="60.75" customHeight="1">
      <c r="A398" s="1341"/>
      <c r="B398" s="1341"/>
      <c r="C398" s="1374"/>
      <c r="D398" s="1438" t="s">
        <v>3514</v>
      </c>
      <c r="E398" s="1491">
        <v>100000000</v>
      </c>
      <c r="F398" s="1491">
        <v>100000000</v>
      </c>
      <c r="G398" s="1490">
        <f t="shared" si="17"/>
        <v>100</v>
      </c>
      <c r="H398" s="1490">
        <v>100</v>
      </c>
      <c r="I398" s="1353"/>
      <c r="J398" s="1341"/>
      <c r="K398" s="1341"/>
      <c r="L398" s="1341"/>
    </row>
    <row r="399" spans="1:12" s="1352" customFormat="1" ht="20.100000000000001" customHeight="1">
      <c r="A399" s="1341"/>
      <c r="B399" s="1341"/>
      <c r="C399" s="1374"/>
      <c r="D399" s="1495" t="s">
        <v>196</v>
      </c>
      <c r="E399" s="1494">
        <f>SUM(E400:E402)</f>
        <v>238400000</v>
      </c>
      <c r="F399" s="1494">
        <f>SUM(F400:F402)</f>
        <v>238400000</v>
      </c>
      <c r="G399" s="1493">
        <f t="shared" si="17"/>
        <v>100</v>
      </c>
      <c r="H399" s="1493">
        <f>SUM(H400:H402)/3</f>
        <v>100</v>
      </c>
      <c r="I399" s="1353"/>
      <c r="J399" s="1341"/>
      <c r="K399" s="1341"/>
      <c r="L399" s="1341"/>
    </row>
    <row r="400" spans="1:12" s="1352" customFormat="1" ht="20.100000000000001" customHeight="1">
      <c r="A400" s="1341"/>
      <c r="B400" s="1341"/>
      <c r="C400" s="1374"/>
      <c r="D400" s="1492" t="s">
        <v>3513</v>
      </c>
      <c r="E400" s="1491">
        <v>75000000</v>
      </c>
      <c r="F400" s="1491">
        <v>75000000</v>
      </c>
      <c r="G400" s="1490">
        <f t="shared" si="17"/>
        <v>100</v>
      </c>
      <c r="H400" s="1490">
        <v>100</v>
      </c>
      <c r="I400" s="1353"/>
      <c r="J400" s="1341"/>
      <c r="K400" s="1341"/>
      <c r="L400" s="1341"/>
    </row>
    <row r="401" spans="1:12" s="1352" customFormat="1" ht="20.100000000000001" customHeight="1">
      <c r="A401" s="1341"/>
      <c r="B401" s="1341"/>
      <c r="C401" s="1374"/>
      <c r="D401" s="1492" t="s">
        <v>3512</v>
      </c>
      <c r="E401" s="1491">
        <v>103400000</v>
      </c>
      <c r="F401" s="1491">
        <v>103400000</v>
      </c>
      <c r="G401" s="1490">
        <f t="shared" si="17"/>
        <v>100</v>
      </c>
      <c r="H401" s="1490">
        <v>100</v>
      </c>
      <c r="I401" s="1353"/>
      <c r="J401" s="1341"/>
      <c r="K401" s="1341"/>
      <c r="L401" s="1341"/>
    </row>
    <row r="402" spans="1:12" s="1352" customFormat="1" ht="20.100000000000001" customHeight="1">
      <c r="A402" s="1341"/>
      <c r="B402" s="1341"/>
      <c r="C402" s="1374"/>
      <c r="D402" s="1492" t="s">
        <v>3511</v>
      </c>
      <c r="E402" s="1491">
        <v>60000000</v>
      </c>
      <c r="F402" s="1491">
        <v>60000000</v>
      </c>
      <c r="G402" s="1490">
        <f t="shared" si="17"/>
        <v>100</v>
      </c>
      <c r="H402" s="1490">
        <v>100</v>
      </c>
      <c r="I402" s="1353"/>
      <c r="J402" s="1341"/>
      <c r="K402" s="1341"/>
      <c r="L402" s="1341"/>
    </row>
    <row r="403" spans="1:12" s="1352" customFormat="1" ht="20.100000000000001" customHeight="1">
      <c r="A403" s="1341"/>
      <c r="B403" s="1341"/>
      <c r="C403" s="1374"/>
      <c r="D403" s="1495" t="s">
        <v>3510</v>
      </c>
      <c r="E403" s="1494">
        <f>SUM(E404)</f>
        <v>60000000</v>
      </c>
      <c r="F403" s="1494">
        <f>SUM(F404)</f>
        <v>60000000</v>
      </c>
      <c r="G403" s="1493">
        <f t="shared" si="17"/>
        <v>100</v>
      </c>
      <c r="H403" s="1493">
        <f>SUM(H404)</f>
        <v>100</v>
      </c>
      <c r="I403" s="1353"/>
      <c r="J403" s="1341"/>
      <c r="K403" s="1341"/>
      <c r="L403" s="1341"/>
    </row>
    <row r="404" spans="1:12" s="1352" customFormat="1" ht="30.75" customHeight="1">
      <c r="A404" s="1341"/>
      <c r="B404" s="1341"/>
      <c r="C404" s="1374"/>
      <c r="D404" s="1492" t="s">
        <v>3509</v>
      </c>
      <c r="E404" s="1491">
        <v>60000000</v>
      </c>
      <c r="F404" s="1491">
        <v>60000000</v>
      </c>
      <c r="G404" s="1490">
        <f t="shared" si="17"/>
        <v>100</v>
      </c>
      <c r="H404" s="1490">
        <v>100</v>
      </c>
      <c r="I404" s="1353"/>
      <c r="J404" s="1341"/>
      <c r="K404" s="1341"/>
      <c r="L404" s="1341"/>
    </row>
    <row r="405" spans="1:12" s="1352" customFormat="1" ht="20.100000000000001" customHeight="1">
      <c r="A405" s="1341"/>
      <c r="B405" s="1341"/>
      <c r="C405" s="1374"/>
      <c r="D405" s="1495" t="s">
        <v>3508</v>
      </c>
      <c r="E405" s="1494">
        <f>E406</f>
        <v>7248000000</v>
      </c>
      <c r="F405" s="1494">
        <f>F406</f>
        <v>6264000000</v>
      </c>
      <c r="G405" s="1493">
        <f t="shared" si="17"/>
        <v>86.423841059602651</v>
      </c>
      <c r="H405" s="1493">
        <f>H406</f>
        <v>75</v>
      </c>
      <c r="I405" s="1353"/>
      <c r="J405" s="1341"/>
      <c r="K405" s="1341"/>
      <c r="L405" s="1341"/>
    </row>
    <row r="406" spans="1:12" s="1352" customFormat="1" ht="20.100000000000001" customHeight="1">
      <c r="A406" s="1341"/>
      <c r="B406" s="1341"/>
      <c r="C406" s="1374"/>
      <c r="D406" s="1492" t="s">
        <v>3507</v>
      </c>
      <c r="E406" s="1491">
        <f>SUM(E407:E408)</f>
        <v>7248000000</v>
      </c>
      <c r="F406" s="1491">
        <f>SUM(F407:F408)</f>
        <v>6264000000</v>
      </c>
      <c r="G406" s="1490">
        <f t="shared" si="17"/>
        <v>86.423841059602651</v>
      </c>
      <c r="H406" s="1490">
        <f>SUM(H407:H408)/2</f>
        <v>75</v>
      </c>
      <c r="I406" s="1353"/>
      <c r="J406" s="1341"/>
      <c r="K406" s="1341"/>
      <c r="L406" s="1341"/>
    </row>
    <row r="407" spans="1:12" s="1352" customFormat="1" ht="20.100000000000001" customHeight="1">
      <c r="A407" s="1341"/>
      <c r="B407" s="1341"/>
      <c r="C407" s="1374"/>
      <c r="D407" s="1492" t="s">
        <v>3506</v>
      </c>
      <c r="E407" s="1491">
        <v>5400000000</v>
      </c>
      <c r="F407" s="1491">
        <v>5400000000</v>
      </c>
      <c r="G407" s="1490">
        <f t="shared" si="17"/>
        <v>100</v>
      </c>
      <c r="H407" s="1490">
        <v>100</v>
      </c>
      <c r="I407" s="1353"/>
      <c r="J407" s="1341"/>
      <c r="K407" s="1341"/>
      <c r="L407" s="1341"/>
    </row>
    <row r="408" spans="1:12" s="1352" customFormat="1" ht="20.100000000000001" customHeight="1">
      <c r="A408" s="1341"/>
      <c r="B408" s="1341"/>
      <c r="C408" s="1374"/>
      <c r="D408" s="1492" t="s">
        <v>3505</v>
      </c>
      <c r="E408" s="1491">
        <v>1848000000</v>
      </c>
      <c r="F408" s="1491">
        <v>864000000</v>
      </c>
      <c r="G408" s="1490">
        <f t="shared" si="17"/>
        <v>46.753246753246749</v>
      </c>
      <c r="H408" s="1490">
        <v>50</v>
      </c>
      <c r="I408" s="1353"/>
      <c r="J408" s="1341"/>
      <c r="K408" s="1341"/>
      <c r="L408" s="1341"/>
    </row>
    <row r="409" spans="1:12" s="1352" customFormat="1" ht="20.100000000000001" customHeight="1">
      <c r="A409" s="1341"/>
      <c r="B409" s="1341"/>
      <c r="C409" s="1374"/>
      <c r="D409" s="1495" t="s">
        <v>3504</v>
      </c>
      <c r="E409" s="1494">
        <f>SUM(E410)</f>
        <v>142750000</v>
      </c>
      <c r="F409" s="1494">
        <f>SUM(F410)</f>
        <v>142750000</v>
      </c>
      <c r="G409" s="1493">
        <f t="shared" si="17"/>
        <v>100</v>
      </c>
      <c r="H409" s="1493">
        <f>SUM(H410)</f>
        <v>100</v>
      </c>
      <c r="I409" s="1353"/>
      <c r="J409" s="1341"/>
      <c r="K409" s="1341"/>
      <c r="L409" s="1341"/>
    </row>
    <row r="410" spans="1:12" s="1352" customFormat="1" ht="20.100000000000001" customHeight="1">
      <c r="A410" s="1341"/>
      <c r="B410" s="1341"/>
      <c r="C410" s="1374"/>
      <c r="D410" s="1492" t="s">
        <v>3503</v>
      </c>
      <c r="E410" s="1491">
        <v>142750000</v>
      </c>
      <c r="F410" s="1491">
        <v>142750000</v>
      </c>
      <c r="G410" s="1490">
        <f t="shared" si="17"/>
        <v>100</v>
      </c>
      <c r="H410" s="1490">
        <v>100</v>
      </c>
      <c r="I410" s="1353"/>
      <c r="J410" s="1341"/>
      <c r="K410" s="1341"/>
      <c r="L410" s="1341"/>
    </row>
    <row r="411" spans="1:12" s="1352" customFormat="1" ht="15" customHeight="1">
      <c r="A411" s="1341"/>
      <c r="B411" s="1341"/>
      <c r="C411" s="1374"/>
      <c r="D411" s="1492"/>
      <c r="E411" s="1491"/>
      <c r="F411" s="1491"/>
      <c r="G411" s="1490"/>
      <c r="H411" s="1490"/>
      <c r="I411" s="1353"/>
      <c r="J411" s="1341"/>
      <c r="K411" s="1341"/>
      <c r="L411" s="1341"/>
    </row>
    <row r="412" spans="1:12" s="1352" customFormat="1" ht="20.100000000000001" customHeight="1">
      <c r="A412" s="1341"/>
      <c r="B412" s="1341"/>
      <c r="C412" s="1374"/>
      <c r="D412" s="1414" t="s">
        <v>1411</v>
      </c>
      <c r="E412" s="1494">
        <f>E413+E415</f>
        <v>2564528432</v>
      </c>
      <c r="F412" s="1494">
        <f>F413+F415</f>
        <v>641200000</v>
      </c>
      <c r="G412" s="1493">
        <f t="shared" ref="G412:G417" si="18">(F412/E412)*100</f>
        <v>25.002647348305945</v>
      </c>
      <c r="H412" s="1493">
        <f>(H413+H415)/2</f>
        <v>25</v>
      </c>
      <c r="I412" s="1353"/>
      <c r="J412" s="1341"/>
      <c r="K412" s="1341"/>
      <c r="L412" s="1341"/>
    </row>
    <row r="413" spans="1:12" s="1352" customFormat="1" ht="20.100000000000001" customHeight="1">
      <c r="A413" s="1341"/>
      <c r="B413" s="1341"/>
      <c r="C413" s="1374"/>
      <c r="D413" s="1495" t="s">
        <v>162</v>
      </c>
      <c r="E413" s="1494">
        <f>SUM(E414)</f>
        <v>1503428432</v>
      </c>
      <c r="F413" s="1494">
        <f>SUM(F414)</f>
        <v>0</v>
      </c>
      <c r="G413" s="1493">
        <f t="shared" si="18"/>
        <v>0</v>
      </c>
      <c r="H413" s="1493">
        <f>SUM(H414)</f>
        <v>0</v>
      </c>
      <c r="I413" s="1353"/>
      <c r="J413" s="1341"/>
      <c r="K413" s="1341"/>
      <c r="L413" s="1341"/>
    </row>
    <row r="414" spans="1:12" s="1352" customFormat="1" ht="20.100000000000001" customHeight="1">
      <c r="A414" s="1341"/>
      <c r="B414" s="1341"/>
      <c r="C414" s="1374"/>
      <c r="D414" s="1492" t="s">
        <v>3502</v>
      </c>
      <c r="E414" s="1491">
        <v>1503428432</v>
      </c>
      <c r="F414" s="1491">
        <v>0</v>
      </c>
      <c r="G414" s="1490">
        <f t="shared" si="18"/>
        <v>0</v>
      </c>
      <c r="H414" s="1490">
        <v>0</v>
      </c>
      <c r="I414" s="1353"/>
      <c r="J414" s="1341"/>
      <c r="K414" s="1341"/>
      <c r="L414" s="1341"/>
    </row>
    <row r="415" spans="1:12" s="1352" customFormat="1" ht="20.100000000000001" customHeight="1">
      <c r="A415" s="1341"/>
      <c r="B415" s="1341"/>
      <c r="C415" s="1374"/>
      <c r="D415" s="1495" t="s">
        <v>173</v>
      </c>
      <c r="E415" s="1494">
        <f>SUM(E416:E417)</f>
        <v>1061100000</v>
      </c>
      <c r="F415" s="1494">
        <f>SUM(F416:F417)</f>
        <v>641200000</v>
      </c>
      <c r="G415" s="1493">
        <f t="shared" si="18"/>
        <v>60.42785788332862</v>
      </c>
      <c r="H415" s="1493">
        <f>SUM(H416:H417)/2</f>
        <v>50</v>
      </c>
      <c r="I415" s="1353"/>
      <c r="J415" s="1341"/>
      <c r="K415" s="1341"/>
      <c r="L415" s="1341"/>
    </row>
    <row r="416" spans="1:12" s="1352" customFormat="1" ht="20.100000000000001" customHeight="1">
      <c r="A416" s="1341"/>
      <c r="B416" s="1341"/>
      <c r="C416" s="1374"/>
      <c r="D416" s="1492" t="s">
        <v>1413</v>
      </c>
      <c r="E416" s="1491">
        <v>641200000</v>
      </c>
      <c r="F416" s="1491">
        <v>641200000</v>
      </c>
      <c r="G416" s="1490">
        <f t="shared" si="18"/>
        <v>100</v>
      </c>
      <c r="H416" s="1490">
        <v>100</v>
      </c>
      <c r="I416" s="1353"/>
      <c r="J416" s="1341"/>
      <c r="K416" s="1341"/>
      <c r="L416" s="1341"/>
    </row>
    <row r="417" spans="1:12" s="1352" customFormat="1" ht="31.5" customHeight="1">
      <c r="A417" s="1341"/>
      <c r="B417" s="1341"/>
      <c r="C417" s="1374"/>
      <c r="D417" s="1492" t="s">
        <v>3501</v>
      </c>
      <c r="E417" s="1491">
        <v>419900000</v>
      </c>
      <c r="F417" s="1491">
        <v>0</v>
      </c>
      <c r="G417" s="1490">
        <f t="shared" si="18"/>
        <v>0</v>
      </c>
      <c r="H417" s="1490">
        <v>0</v>
      </c>
      <c r="I417" s="1353"/>
      <c r="J417" s="1341"/>
      <c r="K417" s="1341"/>
      <c r="L417" s="1341"/>
    </row>
    <row r="418" spans="1:12" ht="15" customHeight="1">
      <c r="A418" s="1341"/>
      <c r="B418" s="1341"/>
      <c r="C418" s="1374"/>
      <c r="D418" s="1373"/>
      <c r="E418" s="1404">
        <v>0</v>
      </c>
      <c r="F418" s="1405"/>
      <c r="G418" s="1371"/>
      <c r="H418" s="1371"/>
      <c r="I418" s="1353"/>
      <c r="J418" s="1341"/>
      <c r="K418" s="1341"/>
      <c r="L418" s="1341"/>
    </row>
    <row r="419" spans="1:12" s="1359" customFormat="1" ht="20.100000000000001" customHeight="1">
      <c r="A419" s="1346"/>
      <c r="B419" s="1346"/>
      <c r="C419" s="1381" t="s">
        <v>1478</v>
      </c>
      <c r="D419" s="1370" t="s">
        <v>4120</v>
      </c>
      <c r="E419" s="1404">
        <f>+E420+E437</f>
        <v>12860000000</v>
      </c>
      <c r="F419" s="1403">
        <f>+F420+F437</f>
        <v>11193334000</v>
      </c>
      <c r="G419" s="1368">
        <f t="shared" ref="G419:G435" si="19">+F419/E419*100</f>
        <v>87.039922239502332</v>
      </c>
      <c r="H419" s="1368">
        <f>(H420+H437)/2</f>
        <v>98.75</v>
      </c>
      <c r="I419" s="1360"/>
      <c r="J419" s="1346"/>
      <c r="K419" s="1346"/>
      <c r="L419" s="1346"/>
    </row>
    <row r="420" spans="1:12" s="1352" customFormat="1" ht="20.100000000000001" customHeight="1">
      <c r="A420" s="1341"/>
      <c r="B420" s="1341"/>
      <c r="C420" s="1374"/>
      <c r="D420" s="1488" t="s">
        <v>65</v>
      </c>
      <c r="E420" s="1487">
        <f>+E421+E423+E425+E427+E429+E432+E434</f>
        <v>8010000000</v>
      </c>
      <c r="F420" s="1487">
        <f>+F421+F423+F425+F427+F429</f>
        <v>6384028000</v>
      </c>
      <c r="G420" s="1483">
        <f t="shared" si="19"/>
        <v>79.700724094881409</v>
      </c>
      <c r="H420" s="1482">
        <f>(H421+H423+H425+H427+H429+H432)/6</f>
        <v>97.5</v>
      </c>
      <c r="I420" s="1353"/>
      <c r="J420" s="1341"/>
      <c r="K420" s="1341"/>
      <c r="L420" s="1341"/>
    </row>
    <row r="421" spans="1:12" s="1352" customFormat="1" ht="20.100000000000001" customHeight="1">
      <c r="A421" s="1341"/>
      <c r="B421" s="1341"/>
      <c r="C421" s="1374"/>
      <c r="D421" s="1486" t="s">
        <v>162</v>
      </c>
      <c r="E421" s="1487">
        <f>+E422</f>
        <v>1710000000</v>
      </c>
      <c r="F421" s="1487">
        <f>+F422</f>
        <v>1410000000</v>
      </c>
      <c r="G421" s="1483">
        <f t="shared" si="19"/>
        <v>82.456140350877192</v>
      </c>
      <c r="H421" s="1482">
        <v>85</v>
      </c>
      <c r="I421" s="1353"/>
      <c r="J421" s="1341"/>
      <c r="K421" s="1341"/>
      <c r="L421" s="1341"/>
    </row>
    <row r="422" spans="1:12" s="1352" customFormat="1" ht="20.100000000000001" customHeight="1">
      <c r="A422" s="1341"/>
      <c r="B422" s="1341"/>
      <c r="C422" s="1374"/>
      <c r="D422" s="1485" t="s">
        <v>2030</v>
      </c>
      <c r="E422" s="1484">
        <v>1710000000</v>
      </c>
      <c r="F422" s="1487">
        <v>1410000000</v>
      </c>
      <c r="G422" s="1483">
        <f t="shared" si="19"/>
        <v>82.456140350877192</v>
      </c>
      <c r="H422" s="1482">
        <v>85</v>
      </c>
      <c r="I422" s="1353"/>
      <c r="J422" s="1341"/>
      <c r="K422" s="1341"/>
      <c r="L422" s="1341"/>
    </row>
    <row r="423" spans="1:12" s="1352" customFormat="1" ht="20.100000000000001" customHeight="1">
      <c r="A423" s="1341"/>
      <c r="B423" s="1341"/>
      <c r="C423" s="1374"/>
      <c r="D423" s="1486" t="s">
        <v>1171</v>
      </c>
      <c r="E423" s="1484">
        <f>+E424</f>
        <v>1800000000</v>
      </c>
      <c r="F423" s="1487">
        <f>+F424</f>
        <v>1800000000</v>
      </c>
      <c r="G423" s="1483">
        <f t="shared" si="19"/>
        <v>100</v>
      </c>
      <c r="H423" s="1482">
        <f>+G423</f>
        <v>100</v>
      </c>
      <c r="I423" s="1353"/>
      <c r="J423" s="1341"/>
      <c r="K423" s="1341"/>
      <c r="L423" s="1341"/>
    </row>
    <row r="424" spans="1:12" s="1352" customFormat="1" ht="20.100000000000001" customHeight="1">
      <c r="A424" s="1341"/>
      <c r="B424" s="1341"/>
      <c r="C424" s="1374"/>
      <c r="D424" s="1485" t="s">
        <v>3460</v>
      </c>
      <c r="E424" s="1484">
        <v>1800000000</v>
      </c>
      <c r="F424" s="1487">
        <v>1800000000</v>
      </c>
      <c r="G424" s="1483">
        <f t="shared" si="19"/>
        <v>100</v>
      </c>
      <c r="H424" s="1482">
        <f>+G424</f>
        <v>100</v>
      </c>
      <c r="I424" s="1353"/>
      <c r="J424" s="1341"/>
      <c r="K424" s="1341"/>
      <c r="L424" s="1341"/>
    </row>
    <row r="425" spans="1:12" s="1352" customFormat="1" ht="20.100000000000001" customHeight="1">
      <c r="A425" s="1341"/>
      <c r="B425" s="1341"/>
      <c r="C425" s="1374"/>
      <c r="D425" s="1486" t="s">
        <v>190</v>
      </c>
      <c r="E425" s="1484">
        <f>+E426</f>
        <v>1000000000</v>
      </c>
      <c r="F425" s="1487">
        <f>+F426</f>
        <v>987456000</v>
      </c>
      <c r="G425" s="1483">
        <f t="shared" si="19"/>
        <v>98.745599999999996</v>
      </c>
      <c r="H425" s="1482">
        <v>100</v>
      </c>
      <c r="I425" s="1353"/>
      <c r="J425" s="1341"/>
      <c r="K425" s="1341"/>
      <c r="L425" s="1341"/>
    </row>
    <row r="426" spans="1:12" s="1352" customFormat="1" ht="20.100000000000001" customHeight="1">
      <c r="A426" s="1341"/>
      <c r="B426" s="1341"/>
      <c r="C426" s="1374"/>
      <c r="D426" s="1485" t="s">
        <v>3459</v>
      </c>
      <c r="E426" s="1484">
        <v>1000000000</v>
      </c>
      <c r="F426" s="1487">
        <v>987456000</v>
      </c>
      <c r="G426" s="1483">
        <f t="shared" si="19"/>
        <v>98.745599999999996</v>
      </c>
      <c r="H426" s="1482">
        <v>100</v>
      </c>
      <c r="I426" s="1353"/>
      <c r="J426" s="1341"/>
      <c r="K426" s="1341"/>
      <c r="L426" s="1341"/>
    </row>
    <row r="427" spans="1:12" s="1352" customFormat="1" ht="20.100000000000001" customHeight="1">
      <c r="A427" s="1341"/>
      <c r="B427" s="1341"/>
      <c r="C427" s="1374"/>
      <c r="D427" s="1486" t="s">
        <v>196</v>
      </c>
      <c r="E427" s="1484">
        <f>+E428</f>
        <v>1000000000</v>
      </c>
      <c r="F427" s="1487">
        <f>+F428</f>
        <v>1000000000</v>
      </c>
      <c r="G427" s="1483">
        <f t="shared" si="19"/>
        <v>100</v>
      </c>
      <c r="H427" s="1482">
        <f>+G427</f>
        <v>100</v>
      </c>
      <c r="I427" s="1353"/>
      <c r="J427" s="1341"/>
      <c r="K427" s="1341"/>
      <c r="L427" s="1341"/>
    </row>
    <row r="428" spans="1:12" s="1352" customFormat="1" ht="20.100000000000001" customHeight="1">
      <c r="A428" s="1341"/>
      <c r="B428" s="1341"/>
      <c r="C428" s="1374"/>
      <c r="D428" s="1485" t="s">
        <v>1499</v>
      </c>
      <c r="E428" s="1484">
        <v>1000000000</v>
      </c>
      <c r="F428" s="1484">
        <v>1000000000</v>
      </c>
      <c r="G428" s="1483">
        <f t="shared" si="19"/>
        <v>100</v>
      </c>
      <c r="H428" s="1482">
        <f>+G428</f>
        <v>100</v>
      </c>
      <c r="I428" s="1353"/>
      <c r="J428" s="1341"/>
      <c r="K428" s="1341"/>
      <c r="L428" s="1341"/>
    </row>
    <row r="429" spans="1:12" s="1352" customFormat="1" ht="20.100000000000001" customHeight="1">
      <c r="A429" s="1341"/>
      <c r="B429" s="1341"/>
      <c r="C429" s="1374"/>
      <c r="D429" s="1486" t="s">
        <v>212</v>
      </c>
      <c r="E429" s="1484">
        <f>+E430+E431</f>
        <v>1200000000</v>
      </c>
      <c r="F429" s="1484">
        <f>+F430+F431</f>
        <v>1186572000</v>
      </c>
      <c r="G429" s="1483">
        <f t="shared" si="19"/>
        <v>98.881</v>
      </c>
      <c r="H429" s="1482">
        <v>100</v>
      </c>
      <c r="I429" s="1353"/>
      <c r="J429" s="1341"/>
      <c r="K429" s="1341"/>
      <c r="L429" s="1341"/>
    </row>
    <row r="430" spans="1:12" s="1352" customFormat="1" ht="30" customHeight="1">
      <c r="A430" s="1341"/>
      <c r="B430" s="1341"/>
      <c r="C430" s="1374"/>
      <c r="D430" s="1485" t="s">
        <v>1500</v>
      </c>
      <c r="E430" s="1484">
        <v>1000000000</v>
      </c>
      <c r="F430" s="1484">
        <v>989822000</v>
      </c>
      <c r="G430" s="1483">
        <f t="shared" si="19"/>
        <v>98.982199999999992</v>
      </c>
      <c r="H430" s="1482">
        <v>100</v>
      </c>
      <c r="I430" s="1353"/>
      <c r="J430" s="1341"/>
      <c r="K430" s="1341"/>
      <c r="L430" s="1341"/>
    </row>
    <row r="431" spans="1:12" s="1352" customFormat="1" ht="20.100000000000001" customHeight="1">
      <c r="A431" s="1341"/>
      <c r="B431" s="1341"/>
      <c r="C431" s="1374"/>
      <c r="D431" s="1485" t="s">
        <v>3458</v>
      </c>
      <c r="E431" s="1484">
        <v>200000000</v>
      </c>
      <c r="F431" s="1484">
        <v>196750000</v>
      </c>
      <c r="G431" s="1483">
        <f t="shared" si="19"/>
        <v>98.375</v>
      </c>
      <c r="H431" s="1482">
        <v>100</v>
      </c>
      <c r="I431" s="1353"/>
      <c r="J431" s="1341"/>
      <c r="K431" s="1341"/>
      <c r="L431" s="1341"/>
    </row>
    <row r="432" spans="1:12" s="1352" customFormat="1" ht="20.100000000000001" customHeight="1">
      <c r="A432" s="1341"/>
      <c r="B432" s="1341"/>
      <c r="C432" s="1374"/>
      <c r="D432" s="1486" t="s">
        <v>221</v>
      </c>
      <c r="E432" s="1484">
        <f>+E433</f>
        <v>600000000</v>
      </c>
      <c r="F432" s="1484">
        <f>+F433</f>
        <v>600000000</v>
      </c>
      <c r="G432" s="1483">
        <f t="shared" si="19"/>
        <v>100</v>
      </c>
      <c r="H432" s="1482">
        <f>+G432</f>
        <v>100</v>
      </c>
      <c r="I432" s="1353"/>
      <c r="J432" s="1341"/>
      <c r="K432" s="1341"/>
      <c r="L432" s="1341"/>
    </row>
    <row r="433" spans="1:12" s="1352" customFormat="1" ht="28.5" customHeight="1">
      <c r="A433" s="1341"/>
      <c r="B433" s="1341"/>
      <c r="C433" s="1374"/>
      <c r="D433" s="1485" t="s">
        <v>1410</v>
      </c>
      <c r="E433" s="1484">
        <v>600000000</v>
      </c>
      <c r="F433" s="1484">
        <v>600000000</v>
      </c>
      <c r="G433" s="1483">
        <f t="shared" si="19"/>
        <v>100</v>
      </c>
      <c r="H433" s="1482">
        <f>+G433</f>
        <v>100</v>
      </c>
      <c r="I433" s="1353"/>
      <c r="J433" s="1341"/>
      <c r="K433" s="1341"/>
      <c r="L433" s="1341"/>
    </row>
    <row r="434" spans="1:12" s="1352" customFormat="1" ht="20.100000000000001" customHeight="1">
      <c r="A434" s="1341"/>
      <c r="B434" s="1341"/>
      <c r="C434" s="1374"/>
      <c r="D434" s="1486" t="s">
        <v>1501</v>
      </c>
      <c r="E434" s="1484">
        <f>+E435</f>
        <v>700000000</v>
      </c>
      <c r="F434" s="1484">
        <f>+F435</f>
        <v>647500000</v>
      </c>
      <c r="G434" s="1483">
        <f t="shared" si="19"/>
        <v>92.5</v>
      </c>
      <c r="H434" s="1482">
        <v>95</v>
      </c>
      <c r="I434" s="1353"/>
      <c r="J434" s="1341"/>
      <c r="K434" s="1341"/>
      <c r="L434" s="1341"/>
    </row>
    <row r="435" spans="1:12" s="1352" customFormat="1" ht="67.5" customHeight="1">
      <c r="A435" s="1341"/>
      <c r="B435" s="1341"/>
      <c r="C435" s="1374"/>
      <c r="D435" s="1489" t="s">
        <v>3457</v>
      </c>
      <c r="E435" s="1484">
        <v>700000000</v>
      </c>
      <c r="F435" s="1484">
        <v>647500000</v>
      </c>
      <c r="G435" s="1483">
        <f t="shared" si="19"/>
        <v>92.5</v>
      </c>
      <c r="H435" s="1482">
        <v>95</v>
      </c>
      <c r="I435" s="1353"/>
      <c r="J435" s="1341"/>
      <c r="K435" s="1341"/>
      <c r="L435" s="1341"/>
    </row>
    <row r="436" spans="1:12" s="1352" customFormat="1" ht="15" customHeight="1">
      <c r="A436" s="1341"/>
      <c r="B436" s="1341"/>
      <c r="C436" s="1374"/>
      <c r="D436" s="1486"/>
      <c r="E436" s="1484"/>
      <c r="F436" s="1484"/>
      <c r="G436" s="1483"/>
      <c r="H436" s="1482"/>
      <c r="I436" s="1353"/>
      <c r="J436" s="1341"/>
      <c r="K436" s="1341"/>
      <c r="L436" s="1341"/>
    </row>
    <row r="437" spans="1:12" s="1359" customFormat="1" ht="20.100000000000001" customHeight="1">
      <c r="A437" s="1346"/>
      <c r="B437" s="1346"/>
      <c r="C437" s="1381"/>
      <c r="D437" s="1488" t="s">
        <v>1231</v>
      </c>
      <c r="E437" s="1487">
        <f>+E438+E440+E442</f>
        <v>4850000000</v>
      </c>
      <c r="F437" s="1487">
        <f>+F438+F440+F442</f>
        <v>4809306000</v>
      </c>
      <c r="G437" s="1483">
        <f t="shared" ref="G437:G443" si="20">+F437/E437*100</f>
        <v>99.160948453608242</v>
      </c>
      <c r="H437" s="1482">
        <v>100</v>
      </c>
      <c r="I437" s="1360"/>
      <c r="J437" s="1346"/>
      <c r="K437" s="1346"/>
      <c r="L437" s="1346"/>
    </row>
    <row r="438" spans="1:12" s="1352" customFormat="1" ht="20.100000000000001" customHeight="1">
      <c r="A438" s="1341"/>
      <c r="B438" s="1341"/>
      <c r="C438" s="1374"/>
      <c r="D438" s="1486" t="s">
        <v>162</v>
      </c>
      <c r="E438" s="1484">
        <f>+E439</f>
        <v>1400000000</v>
      </c>
      <c r="F438" s="1484">
        <f>+F439</f>
        <v>1384531000</v>
      </c>
      <c r="G438" s="1483">
        <f t="shared" si="20"/>
        <v>98.895071428571427</v>
      </c>
      <c r="H438" s="1482">
        <v>100</v>
      </c>
      <c r="I438" s="1353"/>
      <c r="J438" s="1341"/>
      <c r="K438" s="1341"/>
      <c r="L438" s="1341"/>
    </row>
    <row r="439" spans="1:12" s="1352" customFormat="1" ht="20.100000000000001" customHeight="1">
      <c r="A439" s="1341"/>
      <c r="B439" s="1341"/>
      <c r="C439" s="1374"/>
      <c r="D439" s="1485" t="s">
        <v>3139</v>
      </c>
      <c r="E439" s="1484">
        <v>1400000000</v>
      </c>
      <c r="F439" s="1484">
        <v>1384531000</v>
      </c>
      <c r="G439" s="1483">
        <f t="shared" si="20"/>
        <v>98.895071428571427</v>
      </c>
      <c r="H439" s="1482">
        <v>100</v>
      </c>
      <c r="I439" s="1353"/>
      <c r="J439" s="1341"/>
      <c r="K439" s="1341"/>
      <c r="L439" s="1341"/>
    </row>
    <row r="440" spans="1:12" s="1352" customFormat="1" ht="20.100000000000001" customHeight="1">
      <c r="A440" s="1341"/>
      <c r="B440" s="1341"/>
      <c r="C440" s="1374"/>
      <c r="D440" s="1486" t="s">
        <v>173</v>
      </c>
      <c r="E440" s="1484">
        <f>+E441</f>
        <v>2200000000</v>
      </c>
      <c r="F440" s="1484">
        <f>+F441</f>
        <v>2174775000</v>
      </c>
      <c r="G440" s="1483">
        <f t="shared" si="20"/>
        <v>98.853409090909096</v>
      </c>
      <c r="H440" s="1482">
        <v>100</v>
      </c>
      <c r="I440" s="1353"/>
      <c r="J440" s="1341"/>
      <c r="K440" s="1341"/>
      <c r="L440" s="1341"/>
    </row>
    <row r="441" spans="1:12" s="1352" customFormat="1" ht="20.100000000000001" customHeight="1">
      <c r="A441" s="1341"/>
      <c r="B441" s="1341"/>
      <c r="C441" s="1374"/>
      <c r="D441" s="1485" t="s">
        <v>2346</v>
      </c>
      <c r="E441" s="1484">
        <v>2200000000</v>
      </c>
      <c r="F441" s="1484">
        <v>2174775000</v>
      </c>
      <c r="G441" s="1483">
        <f t="shared" si="20"/>
        <v>98.853409090909096</v>
      </c>
      <c r="H441" s="1482">
        <v>100</v>
      </c>
      <c r="I441" s="1353"/>
      <c r="J441" s="1341"/>
      <c r="K441" s="1341"/>
      <c r="L441" s="1341"/>
    </row>
    <row r="442" spans="1:12" s="1352" customFormat="1" ht="20.100000000000001" customHeight="1">
      <c r="A442" s="1341"/>
      <c r="B442" s="1341"/>
      <c r="C442" s="1374"/>
      <c r="D442" s="1486" t="s">
        <v>1171</v>
      </c>
      <c r="E442" s="1484">
        <f>+E443</f>
        <v>1250000000</v>
      </c>
      <c r="F442" s="1484">
        <f>+F443</f>
        <v>1250000000</v>
      </c>
      <c r="G442" s="1483">
        <f t="shared" si="20"/>
        <v>100</v>
      </c>
      <c r="H442" s="1482">
        <f>+G442</f>
        <v>100</v>
      </c>
      <c r="I442" s="1353"/>
      <c r="J442" s="1341"/>
      <c r="K442" s="1341"/>
      <c r="L442" s="1341"/>
    </row>
    <row r="443" spans="1:12" s="1352" customFormat="1" ht="20.100000000000001" customHeight="1">
      <c r="A443" s="1341"/>
      <c r="B443" s="1341"/>
      <c r="C443" s="1374"/>
      <c r="D443" s="1485" t="s">
        <v>1496</v>
      </c>
      <c r="E443" s="1484">
        <v>1250000000</v>
      </c>
      <c r="F443" s="1484">
        <v>1250000000</v>
      </c>
      <c r="G443" s="1483">
        <f t="shared" si="20"/>
        <v>100</v>
      </c>
      <c r="H443" s="1482">
        <f>+G443</f>
        <v>100</v>
      </c>
      <c r="I443" s="1353"/>
      <c r="J443" s="1341"/>
      <c r="K443" s="1341"/>
      <c r="L443" s="1341"/>
    </row>
    <row r="444" spans="1:12" ht="15" customHeight="1">
      <c r="A444" s="1341"/>
      <c r="B444" s="1341"/>
      <c r="C444" s="1374"/>
      <c r="D444" s="1373"/>
      <c r="E444" s="1404">
        <v>0</v>
      </c>
      <c r="F444" s="1405"/>
      <c r="G444" s="1371"/>
      <c r="H444" s="1371"/>
      <c r="I444" s="1353"/>
      <c r="J444" s="1341"/>
      <c r="K444" s="1341"/>
      <c r="L444" s="1341"/>
    </row>
    <row r="445" spans="1:12" s="1359" customFormat="1" ht="20.100000000000001" customHeight="1">
      <c r="A445" s="1346"/>
      <c r="B445" s="1346"/>
      <c r="C445" s="1381" t="s">
        <v>1542</v>
      </c>
      <c r="D445" s="1370" t="s">
        <v>1543</v>
      </c>
      <c r="E445" s="1404">
        <v>9713976400</v>
      </c>
      <c r="F445" s="1403">
        <f>+F446</f>
        <v>9564292000</v>
      </c>
      <c r="G445" s="1368">
        <f>+F445/E445*100</f>
        <v>98.459082111832188</v>
      </c>
      <c r="H445" s="1368">
        <f>H446</f>
        <v>100</v>
      </c>
      <c r="I445" s="1360"/>
      <c r="J445" s="1346"/>
      <c r="K445" s="1346"/>
      <c r="L445" s="1346"/>
    </row>
    <row r="446" spans="1:12" s="1352" customFormat="1" ht="20.100000000000001" customHeight="1">
      <c r="A446" s="1341"/>
      <c r="B446" s="1341"/>
      <c r="C446" s="1374"/>
      <c r="D446" s="1480" t="s">
        <v>161</v>
      </c>
      <c r="E446" s="1476">
        <f>E447++E449+E451</f>
        <v>9713976399.9100037</v>
      </c>
      <c r="F446" s="1476">
        <v>9564292000</v>
      </c>
      <c r="G446" s="1475">
        <v>98.459082111832188</v>
      </c>
      <c r="H446" s="1479">
        <v>100</v>
      </c>
      <c r="I446" s="1353"/>
      <c r="J446" s="1341"/>
      <c r="K446" s="1341"/>
      <c r="L446" s="1341"/>
    </row>
    <row r="447" spans="1:12" s="1352" customFormat="1" ht="20.100000000000001" customHeight="1">
      <c r="A447" s="1341"/>
      <c r="B447" s="1341"/>
      <c r="C447" s="1374"/>
      <c r="D447" s="1480" t="s">
        <v>173</v>
      </c>
      <c r="E447" s="1476">
        <f>E448</f>
        <v>3473965849.9100037</v>
      </c>
      <c r="F447" s="1476">
        <v>3334444000</v>
      </c>
      <c r="G447" s="1475">
        <v>95.983787520536509</v>
      </c>
      <c r="H447" s="1479">
        <v>100</v>
      </c>
      <c r="I447" s="1353"/>
      <c r="J447" s="1341"/>
      <c r="K447" s="1341"/>
      <c r="L447" s="1341"/>
    </row>
    <row r="448" spans="1:12" s="1352" customFormat="1" ht="30.75" customHeight="1">
      <c r="A448" s="1341"/>
      <c r="B448" s="1341"/>
      <c r="C448" s="1374"/>
      <c r="D448" s="1478" t="s">
        <v>1557</v>
      </c>
      <c r="E448" s="1477">
        <v>3473965849.9100037</v>
      </c>
      <c r="F448" s="1476">
        <v>3334444000</v>
      </c>
      <c r="G448" s="1481">
        <v>95.983787520536509</v>
      </c>
      <c r="H448" s="1474">
        <v>100</v>
      </c>
      <c r="I448" s="1353"/>
      <c r="J448" s="1341"/>
      <c r="K448" s="1341"/>
      <c r="L448" s="1341"/>
    </row>
    <row r="449" spans="1:12" s="1352" customFormat="1" ht="20.100000000000001" customHeight="1">
      <c r="A449" s="1341"/>
      <c r="B449" s="1341"/>
      <c r="C449" s="1374"/>
      <c r="D449" s="1480" t="s">
        <v>212</v>
      </c>
      <c r="E449" s="1476">
        <f>E450</f>
        <v>5099685550</v>
      </c>
      <c r="F449" s="1476">
        <v>5089523000</v>
      </c>
      <c r="G449" s="1475">
        <v>99.800722026870858</v>
      </c>
      <c r="H449" s="1479">
        <v>100</v>
      </c>
      <c r="I449" s="1353"/>
      <c r="J449" s="1341"/>
      <c r="K449" s="1341"/>
      <c r="L449" s="1341"/>
    </row>
    <row r="450" spans="1:12" s="1352" customFormat="1" ht="27.75" customHeight="1">
      <c r="A450" s="1341"/>
      <c r="B450" s="1341"/>
      <c r="C450" s="1374"/>
      <c r="D450" s="1478" t="s">
        <v>1558</v>
      </c>
      <c r="E450" s="1477">
        <v>5099685550</v>
      </c>
      <c r="F450" s="1476">
        <v>5089523000</v>
      </c>
      <c r="G450" s="1475">
        <v>99.800722026870858</v>
      </c>
      <c r="H450" s="1474">
        <v>100</v>
      </c>
      <c r="I450" s="1353"/>
      <c r="J450" s="1341"/>
      <c r="K450" s="1341"/>
      <c r="L450" s="1341"/>
    </row>
    <row r="451" spans="1:12" s="1352" customFormat="1" ht="20.100000000000001" customHeight="1">
      <c r="A451" s="1341"/>
      <c r="B451" s="1341"/>
      <c r="C451" s="1374"/>
      <c r="D451" s="1480" t="s">
        <v>2764</v>
      </c>
      <c r="E451" s="1476">
        <f>E452</f>
        <v>1140325000</v>
      </c>
      <c r="F451" s="1476">
        <v>1140325000</v>
      </c>
      <c r="G451" s="1475">
        <v>100</v>
      </c>
      <c r="H451" s="1479">
        <v>100</v>
      </c>
      <c r="I451" s="1353"/>
      <c r="J451" s="1341"/>
      <c r="K451" s="1341"/>
      <c r="L451" s="1341"/>
    </row>
    <row r="452" spans="1:12" s="1352" customFormat="1" ht="29.25" customHeight="1">
      <c r="A452" s="1341"/>
      <c r="B452" s="1341"/>
      <c r="C452" s="1374"/>
      <c r="D452" s="1478" t="s">
        <v>3442</v>
      </c>
      <c r="E452" s="1477">
        <v>1140325000</v>
      </c>
      <c r="F452" s="1476">
        <v>1140325000</v>
      </c>
      <c r="G452" s="1475">
        <v>100</v>
      </c>
      <c r="H452" s="1474">
        <v>100</v>
      </c>
      <c r="I452" s="1353"/>
      <c r="J452" s="1341"/>
      <c r="K452" s="1341"/>
      <c r="L452" s="1341"/>
    </row>
    <row r="453" spans="1:12" ht="15" customHeight="1">
      <c r="A453" s="1341"/>
      <c r="B453" s="1341"/>
      <c r="C453" s="1374"/>
      <c r="D453" s="1373"/>
      <c r="E453" s="1404">
        <v>0</v>
      </c>
      <c r="F453" s="1405"/>
      <c r="G453" s="1371"/>
      <c r="H453" s="1371"/>
      <c r="I453" s="1353"/>
      <c r="J453" s="1341"/>
      <c r="K453" s="1341"/>
      <c r="L453" s="1341"/>
    </row>
    <row r="454" spans="1:12" s="1359" customFormat="1" ht="20.100000000000001" customHeight="1">
      <c r="A454" s="1346"/>
      <c r="B454" s="1346"/>
      <c r="C454" s="1381" t="s">
        <v>1584</v>
      </c>
      <c r="D454" s="1370" t="s">
        <v>3426</v>
      </c>
      <c r="E454" s="1404">
        <f>+E455+E485</f>
        <v>11301196997</v>
      </c>
      <c r="F454" s="1403">
        <f>+F455+F485</f>
        <v>7199930294</v>
      </c>
      <c r="G454" s="1368">
        <f t="shared" ref="G454:G483" si="21">+F454/E454*100</f>
        <v>63.709448617799367</v>
      </c>
      <c r="H454" s="1368">
        <f>(H455+H485)/2</f>
        <v>67.5</v>
      </c>
      <c r="I454" s="1360"/>
      <c r="J454" s="1346"/>
      <c r="K454" s="1346"/>
      <c r="L454" s="1346"/>
    </row>
    <row r="455" spans="1:12" s="1352" customFormat="1" ht="20.100000000000001" customHeight="1">
      <c r="A455" s="1341"/>
      <c r="B455" s="1341"/>
      <c r="C455" s="1374"/>
      <c r="D455" s="1473" t="s">
        <v>65</v>
      </c>
      <c r="E455" s="1410">
        <f>E456+E458+E462+E464+E471+E473+E475+E477+E479+E482</f>
        <v>8800000000</v>
      </c>
      <c r="F455" s="1466">
        <f>F456+F458+F462+F464+F471+F473+F475+F477+F479+F482</f>
        <v>6628226000</v>
      </c>
      <c r="G455" s="1368">
        <f t="shared" si="21"/>
        <v>75.320750000000004</v>
      </c>
      <c r="H455" s="1385">
        <f>(H456+H458+H462+H464+H471+H473+H475+H477+H479+H482)/10</f>
        <v>96.666666666666671</v>
      </c>
      <c r="I455" s="1353"/>
      <c r="J455" s="1341"/>
      <c r="K455" s="1341"/>
      <c r="L455" s="1341"/>
    </row>
    <row r="456" spans="1:12" s="1352" customFormat="1" ht="20.100000000000001" customHeight="1">
      <c r="A456" s="1341"/>
      <c r="B456" s="1341"/>
      <c r="C456" s="1374"/>
      <c r="D456" s="1393" t="s">
        <v>1601</v>
      </c>
      <c r="E456" s="1469">
        <f>E457</f>
        <v>1740000000</v>
      </c>
      <c r="F456" s="1466">
        <f>F457</f>
        <v>1739486400</v>
      </c>
      <c r="G456" s="1368">
        <f t="shared" si="21"/>
        <v>99.97048275862069</v>
      </c>
      <c r="H456" s="1385">
        <v>100</v>
      </c>
      <c r="I456" s="1353"/>
      <c r="J456" s="1341"/>
      <c r="K456" s="1341"/>
      <c r="L456" s="1341"/>
    </row>
    <row r="457" spans="1:12" s="1352" customFormat="1" ht="20.100000000000001" customHeight="1">
      <c r="A457" s="1341"/>
      <c r="B457" s="1341"/>
      <c r="C457" s="1374"/>
      <c r="D457" s="1396" t="s">
        <v>1504</v>
      </c>
      <c r="E457" s="1471">
        <v>1740000000</v>
      </c>
      <c r="F457" s="1464">
        <v>1739486400</v>
      </c>
      <c r="G457" s="1368">
        <f t="shared" si="21"/>
        <v>99.97048275862069</v>
      </c>
      <c r="H457" s="1385">
        <v>100</v>
      </c>
      <c r="I457" s="1353"/>
      <c r="J457" s="1341"/>
      <c r="K457" s="1341"/>
      <c r="L457" s="1341"/>
    </row>
    <row r="458" spans="1:12" s="1352" customFormat="1" ht="20.100000000000001" customHeight="1">
      <c r="A458" s="1341"/>
      <c r="B458" s="1341"/>
      <c r="C458" s="1374"/>
      <c r="D458" s="1393" t="s">
        <v>1602</v>
      </c>
      <c r="E458" s="1469">
        <f>SUM(E459:E461)</f>
        <v>3520000000</v>
      </c>
      <c r="F458" s="1466">
        <f>F459+F460+F461</f>
        <v>1362630000</v>
      </c>
      <c r="G458" s="1368">
        <f t="shared" si="21"/>
        <v>38.711079545454545</v>
      </c>
      <c r="H458" s="1385">
        <f>SUM((H459:H461))/3</f>
        <v>76.666666666666671</v>
      </c>
      <c r="I458" s="1353"/>
      <c r="J458" s="1341"/>
      <c r="K458" s="1341"/>
      <c r="L458" s="1341"/>
    </row>
    <row r="459" spans="1:12" s="1352" customFormat="1" ht="20.100000000000001" customHeight="1">
      <c r="A459" s="1341"/>
      <c r="B459" s="1341"/>
      <c r="C459" s="1374"/>
      <c r="D459" s="1396" t="s">
        <v>2346</v>
      </c>
      <c r="E459" s="1471">
        <v>2875350000</v>
      </c>
      <c r="F459" s="1464">
        <v>729280000</v>
      </c>
      <c r="G459" s="1368">
        <f t="shared" si="21"/>
        <v>25.363173178917346</v>
      </c>
      <c r="H459" s="1385">
        <v>30</v>
      </c>
      <c r="I459" s="1353"/>
      <c r="J459" s="1341"/>
      <c r="K459" s="1341"/>
      <c r="L459" s="1341"/>
    </row>
    <row r="460" spans="1:12" s="1352" customFormat="1" ht="20.100000000000001" customHeight="1">
      <c r="A460" s="1341"/>
      <c r="B460" s="1341"/>
      <c r="C460" s="1374"/>
      <c r="D460" s="1396" t="s">
        <v>414</v>
      </c>
      <c r="E460" s="1471">
        <v>244650000</v>
      </c>
      <c r="F460" s="1464">
        <v>244650000</v>
      </c>
      <c r="G460" s="1368">
        <f t="shared" si="21"/>
        <v>100</v>
      </c>
      <c r="H460" s="1385">
        <f>+G460</f>
        <v>100</v>
      </c>
      <c r="I460" s="1353"/>
      <c r="J460" s="1341"/>
      <c r="K460" s="1341"/>
      <c r="L460" s="1341"/>
    </row>
    <row r="461" spans="1:12" s="1352" customFormat="1" ht="20.100000000000001" customHeight="1">
      <c r="A461" s="1341"/>
      <c r="B461" s="1341"/>
      <c r="C461" s="1374"/>
      <c r="D461" s="1396" t="s">
        <v>3414</v>
      </c>
      <c r="E461" s="1471">
        <v>400000000</v>
      </c>
      <c r="F461" s="1464">
        <v>388700000</v>
      </c>
      <c r="G461" s="1368">
        <f t="shared" si="21"/>
        <v>97.174999999999997</v>
      </c>
      <c r="H461" s="1385">
        <v>100</v>
      </c>
      <c r="I461" s="1353"/>
      <c r="J461" s="1341"/>
      <c r="K461" s="1341"/>
      <c r="L461" s="1341"/>
    </row>
    <row r="462" spans="1:12" s="1352" customFormat="1" ht="20.100000000000001" customHeight="1">
      <c r="A462" s="1341"/>
      <c r="B462" s="1341"/>
      <c r="C462" s="1374"/>
      <c r="D462" s="1398" t="s">
        <v>190</v>
      </c>
      <c r="E462" s="1472">
        <f>E463</f>
        <v>400000000</v>
      </c>
      <c r="F462" s="1466">
        <f>SUM(F463)</f>
        <v>400000000</v>
      </c>
      <c r="G462" s="1368">
        <f t="shared" si="21"/>
        <v>100</v>
      </c>
      <c r="H462" s="1385">
        <f t="shared" ref="H462:H472" si="22">+G462</f>
        <v>100</v>
      </c>
      <c r="I462" s="1353"/>
      <c r="J462" s="1341"/>
      <c r="K462" s="1341"/>
      <c r="L462" s="1341"/>
    </row>
    <row r="463" spans="1:12" s="1352" customFormat="1" ht="20.100000000000001" customHeight="1">
      <c r="A463" s="1341"/>
      <c r="B463" s="1341"/>
      <c r="C463" s="1374"/>
      <c r="D463" s="1396" t="s">
        <v>1605</v>
      </c>
      <c r="E463" s="1471">
        <v>400000000</v>
      </c>
      <c r="F463" s="1464">
        <v>400000000</v>
      </c>
      <c r="G463" s="1368">
        <f t="shared" si="21"/>
        <v>100</v>
      </c>
      <c r="H463" s="1385">
        <f t="shared" si="22"/>
        <v>100</v>
      </c>
      <c r="I463" s="1353"/>
      <c r="J463" s="1341"/>
      <c r="K463" s="1341"/>
      <c r="L463" s="1341"/>
    </row>
    <row r="464" spans="1:12" s="1352" customFormat="1" ht="20.100000000000001" customHeight="1">
      <c r="A464" s="1341"/>
      <c r="B464" s="1341"/>
      <c r="C464" s="1374"/>
      <c r="D464" s="1393" t="s">
        <v>4119</v>
      </c>
      <c r="E464" s="1410">
        <f>E465+E466+E467+E468+E469+E470</f>
        <v>900000000</v>
      </c>
      <c r="F464" s="1466">
        <f>SUM(F465:F470)</f>
        <v>900000000</v>
      </c>
      <c r="G464" s="1368">
        <f t="shared" si="21"/>
        <v>100</v>
      </c>
      <c r="H464" s="1385">
        <f t="shared" si="22"/>
        <v>100</v>
      </c>
      <c r="I464" s="1353"/>
      <c r="J464" s="1341"/>
      <c r="K464" s="1341"/>
      <c r="L464" s="1341"/>
    </row>
    <row r="465" spans="1:12" s="1352" customFormat="1" ht="20.100000000000001" customHeight="1">
      <c r="A465" s="1341"/>
      <c r="B465" s="1341"/>
      <c r="C465" s="1374"/>
      <c r="D465" s="1396" t="s">
        <v>3412</v>
      </c>
      <c r="E465" s="1470">
        <v>300000000</v>
      </c>
      <c r="F465" s="1464">
        <v>300000000</v>
      </c>
      <c r="G465" s="1368">
        <f t="shared" si="21"/>
        <v>100</v>
      </c>
      <c r="H465" s="1385">
        <f t="shared" si="22"/>
        <v>100</v>
      </c>
      <c r="I465" s="1353"/>
      <c r="J465" s="1341"/>
      <c r="K465" s="1341"/>
      <c r="L465" s="1341"/>
    </row>
    <row r="466" spans="1:12" s="1352" customFormat="1" ht="20.100000000000001" customHeight="1">
      <c r="A466" s="1341"/>
      <c r="B466" s="1341"/>
      <c r="C466" s="1374"/>
      <c r="D466" s="1396" t="s">
        <v>3411</v>
      </c>
      <c r="E466" s="1470">
        <v>200000000</v>
      </c>
      <c r="F466" s="1464">
        <v>200000000</v>
      </c>
      <c r="G466" s="1368">
        <f t="shared" si="21"/>
        <v>100</v>
      </c>
      <c r="H466" s="1385">
        <f t="shared" si="22"/>
        <v>100</v>
      </c>
      <c r="I466" s="1353"/>
      <c r="J466" s="1341"/>
      <c r="K466" s="1341"/>
      <c r="L466" s="1341"/>
    </row>
    <row r="467" spans="1:12" s="1352" customFormat="1" ht="20.100000000000001" customHeight="1">
      <c r="A467" s="1341"/>
      <c r="B467" s="1341"/>
      <c r="C467" s="1374"/>
      <c r="D467" s="1396" t="s">
        <v>3410</v>
      </c>
      <c r="E467" s="1470">
        <v>100000000</v>
      </c>
      <c r="F467" s="1464">
        <v>100000000</v>
      </c>
      <c r="G467" s="1368">
        <f t="shared" si="21"/>
        <v>100</v>
      </c>
      <c r="H467" s="1385">
        <f t="shared" si="22"/>
        <v>100</v>
      </c>
      <c r="I467" s="1353"/>
      <c r="J467" s="1341"/>
      <c r="K467" s="1341"/>
      <c r="L467" s="1341"/>
    </row>
    <row r="468" spans="1:12" s="1352" customFormat="1" ht="20.100000000000001" customHeight="1">
      <c r="A468" s="1341"/>
      <c r="B468" s="1341"/>
      <c r="C468" s="1374"/>
      <c r="D468" s="1396" t="s">
        <v>3409</v>
      </c>
      <c r="E468" s="1470">
        <v>100000000</v>
      </c>
      <c r="F468" s="1464">
        <v>100000000</v>
      </c>
      <c r="G468" s="1368">
        <f t="shared" si="21"/>
        <v>100</v>
      </c>
      <c r="H468" s="1385">
        <f t="shared" si="22"/>
        <v>100</v>
      </c>
      <c r="I468" s="1353"/>
      <c r="J468" s="1341"/>
      <c r="K468" s="1341"/>
      <c r="L468" s="1341"/>
    </row>
    <row r="469" spans="1:12" s="1352" customFormat="1" ht="20.100000000000001" customHeight="1">
      <c r="A469" s="1341"/>
      <c r="B469" s="1341"/>
      <c r="C469" s="1374"/>
      <c r="D469" s="1396" t="s">
        <v>3408</v>
      </c>
      <c r="E469" s="1470">
        <v>100000000</v>
      </c>
      <c r="F469" s="1464">
        <v>100000000</v>
      </c>
      <c r="G469" s="1368">
        <f t="shared" si="21"/>
        <v>100</v>
      </c>
      <c r="H469" s="1385">
        <f t="shared" si="22"/>
        <v>100</v>
      </c>
      <c r="I469" s="1353"/>
      <c r="J469" s="1341"/>
      <c r="K469" s="1341"/>
      <c r="L469" s="1341"/>
    </row>
    <row r="470" spans="1:12" s="1352" customFormat="1" ht="20.100000000000001" customHeight="1">
      <c r="A470" s="1341"/>
      <c r="B470" s="1341"/>
      <c r="C470" s="1374"/>
      <c r="D470" s="1396" t="s">
        <v>3407</v>
      </c>
      <c r="E470" s="1470">
        <v>100000000</v>
      </c>
      <c r="F470" s="1464">
        <v>100000000</v>
      </c>
      <c r="G470" s="1368">
        <f t="shared" si="21"/>
        <v>100</v>
      </c>
      <c r="H470" s="1385">
        <f t="shared" si="22"/>
        <v>100</v>
      </c>
      <c r="I470" s="1353"/>
      <c r="J470" s="1341"/>
      <c r="K470" s="1341"/>
      <c r="L470" s="1341"/>
    </row>
    <row r="471" spans="1:12" s="1352" customFormat="1" ht="20.100000000000001" customHeight="1">
      <c r="A471" s="1341"/>
      <c r="B471" s="1341"/>
      <c r="C471" s="1374"/>
      <c r="D471" s="1393" t="s">
        <v>4118</v>
      </c>
      <c r="E471" s="1410">
        <f>E472</f>
        <v>200000000</v>
      </c>
      <c r="F471" s="1466">
        <f>SUM(F472)</f>
        <v>200000000</v>
      </c>
      <c r="G471" s="1368">
        <f t="shared" si="21"/>
        <v>100</v>
      </c>
      <c r="H471" s="1385">
        <f t="shared" si="22"/>
        <v>100</v>
      </c>
      <c r="I471" s="1353"/>
      <c r="J471" s="1341"/>
      <c r="K471" s="1341"/>
      <c r="L471" s="1341"/>
    </row>
    <row r="472" spans="1:12" s="1352" customFormat="1" ht="20.100000000000001" customHeight="1">
      <c r="A472" s="1341"/>
      <c r="B472" s="1341"/>
      <c r="C472" s="1374"/>
      <c r="D472" s="1396" t="s">
        <v>1614</v>
      </c>
      <c r="E472" s="1415">
        <v>200000000</v>
      </c>
      <c r="F472" s="1464">
        <v>200000000</v>
      </c>
      <c r="G472" s="1368">
        <f t="shared" si="21"/>
        <v>100</v>
      </c>
      <c r="H472" s="1385">
        <f t="shared" si="22"/>
        <v>100</v>
      </c>
      <c r="I472" s="1353"/>
      <c r="J472" s="1341"/>
      <c r="K472" s="1341"/>
      <c r="L472" s="1341"/>
    </row>
    <row r="473" spans="1:12" s="1352" customFormat="1" ht="20.100000000000001" customHeight="1">
      <c r="A473" s="1341"/>
      <c r="B473" s="1341"/>
      <c r="C473" s="1374"/>
      <c r="D473" s="1393" t="s">
        <v>4117</v>
      </c>
      <c r="E473" s="1467">
        <f>E474</f>
        <v>200000000</v>
      </c>
      <c r="F473" s="1466">
        <f>SUM(F474)</f>
        <v>199909600</v>
      </c>
      <c r="G473" s="1368">
        <f t="shared" si="21"/>
        <v>99.954800000000006</v>
      </c>
      <c r="H473" s="1385">
        <v>100</v>
      </c>
      <c r="I473" s="1353"/>
      <c r="J473" s="1341"/>
      <c r="K473" s="1341"/>
      <c r="L473" s="1341"/>
    </row>
    <row r="474" spans="1:12" s="1352" customFormat="1" ht="29.25" customHeight="1">
      <c r="A474" s="1341"/>
      <c r="B474" s="1341"/>
      <c r="C474" s="1374"/>
      <c r="D474" s="1396" t="s">
        <v>1616</v>
      </c>
      <c r="E474" s="1415">
        <v>200000000</v>
      </c>
      <c r="F474" s="1464">
        <v>199909600</v>
      </c>
      <c r="G474" s="1368">
        <f t="shared" si="21"/>
        <v>99.954800000000006</v>
      </c>
      <c r="H474" s="1385">
        <v>100</v>
      </c>
      <c r="I474" s="1353"/>
      <c r="J474" s="1341"/>
      <c r="K474" s="1341"/>
      <c r="L474" s="1341"/>
    </row>
    <row r="475" spans="1:12" s="1352" customFormat="1" ht="20.100000000000001" customHeight="1">
      <c r="A475" s="1341"/>
      <c r="B475" s="1341"/>
      <c r="C475" s="1374"/>
      <c r="D475" s="1393" t="s">
        <v>4116</v>
      </c>
      <c r="E475" s="1410">
        <f>E476</f>
        <v>300000000</v>
      </c>
      <c r="F475" s="1466">
        <f>SUM(F476)</f>
        <v>300000000</v>
      </c>
      <c r="G475" s="1368">
        <f t="shared" si="21"/>
        <v>100</v>
      </c>
      <c r="H475" s="1385">
        <f>+G475</f>
        <v>100</v>
      </c>
      <c r="I475" s="1353"/>
      <c r="J475" s="1341"/>
      <c r="K475" s="1341"/>
      <c r="L475" s="1341"/>
    </row>
    <row r="476" spans="1:12" s="1352" customFormat="1" ht="70.5" customHeight="1">
      <c r="A476" s="1341"/>
      <c r="B476" s="1341"/>
      <c r="C476" s="1374"/>
      <c r="D476" s="1396" t="s">
        <v>3403</v>
      </c>
      <c r="E476" s="1415">
        <v>300000000</v>
      </c>
      <c r="F476" s="1464">
        <v>300000000</v>
      </c>
      <c r="G476" s="1368">
        <f t="shared" si="21"/>
        <v>100</v>
      </c>
      <c r="H476" s="1385">
        <f>+G476</f>
        <v>100</v>
      </c>
      <c r="I476" s="1353"/>
      <c r="J476" s="1341"/>
      <c r="K476" s="1341"/>
      <c r="L476" s="1341"/>
    </row>
    <row r="477" spans="1:12" s="1352" customFormat="1" ht="20.100000000000001" customHeight="1">
      <c r="A477" s="1341"/>
      <c r="B477" s="1341"/>
      <c r="C477" s="1374"/>
      <c r="D477" s="1393" t="s">
        <v>4115</v>
      </c>
      <c r="E477" s="1469">
        <f>E478</f>
        <v>920304000</v>
      </c>
      <c r="F477" s="1466">
        <f>SUM(F478)</f>
        <v>919304000</v>
      </c>
      <c r="G477" s="1368">
        <f t="shared" si="21"/>
        <v>99.891340252786037</v>
      </c>
      <c r="H477" s="1385">
        <v>100</v>
      </c>
      <c r="I477" s="1353"/>
      <c r="J477" s="1341"/>
      <c r="K477" s="1341"/>
      <c r="L477" s="1341"/>
    </row>
    <row r="478" spans="1:12" s="1352" customFormat="1" ht="20.100000000000001" customHeight="1">
      <c r="A478" s="1341"/>
      <c r="B478" s="1341"/>
      <c r="C478" s="1374"/>
      <c r="D478" s="1396" t="s">
        <v>1619</v>
      </c>
      <c r="E478" s="1415">
        <v>920304000</v>
      </c>
      <c r="F478" s="1464">
        <v>919304000</v>
      </c>
      <c r="G478" s="1368">
        <f t="shared" si="21"/>
        <v>99.891340252786037</v>
      </c>
      <c r="H478" s="1385">
        <v>100</v>
      </c>
      <c r="I478" s="1353"/>
      <c r="J478" s="1341"/>
      <c r="K478" s="1341"/>
      <c r="L478" s="1341"/>
    </row>
    <row r="479" spans="1:12" s="1352" customFormat="1" ht="20.100000000000001" customHeight="1">
      <c r="A479" s="1341"/>
      <c r="B479" s="1341"/>
      <c r="C479" s="1374"/>
      <c r="D479" s="1393" t="s">
        <v>4114</v>
      </c>
      <c r="E479" s="1397">
        <f>SUM(E480:E481)</f>
        <v>500000000</v>
      </c>
      <c r="F479" s="1466">
        <f>SUM(F480:F481)</f>
        <v>500000000</v>
      </c>
      <c r="G479" s="1368">
        <f t="shared" si="21"/>
        <v>100</v>
      </c>
      <c r="H479" s="1385">
        <f>+G479</f>
        <v>100</v>
      </c>
      <c r="I479" s="1353"/>
      <c r="J479" s="1341"/>
      <c r="K479" s="1341"/>
      <c r="L479" s="1341"/>
    </row>
    <row r="480" spans="1:12" s="1352" customFormat="1" ht="20.100000000000001" customHeight="1">
      <c r="A480" s="1341"/>
      <c r="B480" s="1341"/>
      <c r="C480" s="1374"/>
      <c r="D480" s="1396" t="s">
        <v>3400</v>
      </c>
      <c r="E480" s="1415">
        <v>100000000</v>
      </c>
      <c r="F480" s="1464">
        <v>100000000</v>
      </c>
      <c r="G480" s="1368">
        <f t="shared" si="21"/>
        <v>100</v>
      </c>
      <c r="H480" s="1385">
        <f>+G480</f>
        <v>100</v>
      </c>
      <c r="I480" s="1353"/>
      <c r="J480" s="1341"/>
      <c r="K480" s="1341"/>
      <c r="L480" s="1341"/>
    </row>
    <row r="481" spans="1:12" s="1352" customFormat="1" ht="20.100000000000001" customHeight="1">
      <c r="A481" s="1341"/>
      <c r="B481" s="1341"/>
      <c r="C481" s="1374"/>
      <c r="D481" s="1396" t="s">
        <v>3399</v>
      </c>
      <c r="E481" s="1415">
        <v>400000000</v>
      </c>
      <c r="F481" s="1464">
        <v>400000000</v>
      </c>
      <c r="G481" s="1368">
        <f t="shared" si="21"/>
        <v>100</v>
      </c>
      <c r="H481" s="1385">
        <f>+G481</f>
        <v>100</v>
      </c>
      <c r="I481" s="1353"/>
      <c r="J481" s="1341"/>
      <c r="K481" s="1341"/>
      <c r="L481" s="1341"/>
    </row>
    <row r="482" spans="1:12" s="1352" customFormat="1" ht="20.100000000000001" customHeight="1">
      <c r="A482" s="1341"/>
      <c r="B482" s="1341"/>
      <c r="C482" s="1374"/>
      <c r="D482" s="1393" t="s">
        <v>4113</v>
      </c>
      <c r="E482" s="1467">
        <f>E483</f>
        <v>119696000</v>
      </c>
      <c r="F482" s="1466">
        <f>SUM(F483)</f>
        <v>106896000</v>
      </c>
      <c r="G482" s="1368">
        <f t="shared" si="21"/>
        <v>89.306242480951752</v>
      </c>
      <c r="H482" s="1385">
        <v>90</v>
      </c>
      <c r="I482" s="1353"/>
      <c r="J482" s="1341"/>
      <c r="K482" s="1341"/>
      <c r="L482" s="1341"/>
    </row>
    <row r="483" spans="1:12" s="1352" customFormat="1" ht="20.100000000000001" customHeight="1">
      <c r="A483" s="1341"/>
      <c r="B483" s="1341"/>
      <c r="C483" s="1374"/>
      <c r="D483" s="1396" t="s">
        <v>1622</v>
      </c>
      <c r="E483" s="1465">
        <v>119696000</v>
      </c>
      <c r="F483" s="1464">
        <v>106896000</v>
      </c>
      <c r="G483" s="1368">
        <f t="shared" si="21"/>
        <v>89.306242480951752</v>
      </c>
      <c r="H483" s="1385">
        <v>90</v>
      </c>
      <c r="I483" s="1353"/>
      <c r="J483" s="1341"/>
      <c r="K483" s="1341"/>
      <c r="L483" s="1341"/>
    </row>
    <row r="484" spans="1:12" s="1352" customFormat="1" ht="15" customHeight="1">
      <c r="A484" s="1341"/>
      <c r="B484" s="1341"/>
      <c r="C484" s="1374"/>
      <c r="D484" s="1396"/>
      <c r="E484" s="1465"/>
      <c r="F484" s="1464"/>
      <c r="G484" s="1368"/>
      <c r="H484" s="1385"/>
      <c r="I484" s="1353"/>
      <c r="J484" s="1341"/>
      <c r="K484" s="1341"/>
      <c r="L484" s="1341"/>
    </row>
    <row r="485" spans="1:12" s="1352" customFormat="1" ht="20.100000000000001" customHeight="1">
      <c r="A485" s="1341"/>
      <c r="B485" s="1341"/>
      <c r="C485" s="1374"/>
      <c r="D485" s="1398" t="s">
        <v>1231</v>
      </c>
      <c r="E485" s="1410">
        <f>E486+E488+E491</f>
        <v>2501196997</v>
      </c>
      <c r="F485" s="1466">
        <f>F486+F492</f>
        <v>571704294</v>
      </c>
      <c r="G485" s="1368">
        <f t="shared" ref="G485:G492" si="23">+F485/E485*100</f>
        <v>22.857227746783511</v>
      </c>
      <c r="H485" s="1385">
        <f>115/3</f>
        <v>38.333333333333336</v>
      </c>
      <c r="I485" s="1353"/>
      <c r="J485" s="1341"/>
      <c r="K485" s="1341"/>
      <c r="L485" s="1341"/>
    </row>
    <row r="486" spans="1:12" s="1352" customFormat="1" ht="20.100000000000001" customHeight="1">
      <c r="A486" s="1341"/>
      <c r="B486" s="1341"/>
      <c r="C486" s="1374"/>
      <c r="D486" s="1398" t="s">
        <v>162</v>
      </c>
      <c r="E486" s="1469">
        <f>E487</f>
        <v>433102700</v>
      </c>
      <c r="F486" s="1466">
        <f>F487</f>
        <v>373714000</v>
      </c>
      <c r="G486" s="1368">
        <f t="shared" si="23"/>
        <v>86.287617232587095</v>
      </c>
      <c r="H486" s="1385">
        <v>90</v>
      </c>
      <c r="I486" s="1353"/>
      <c r="J486" s="1341"/>
      <c r="K486" s="1341"/>
      <c r="L486" s="1341"/>
    </row>
    <row r="487" spans="1:12" s="1352" customFormat="1" ht="20.100000000000001" customHeight="1">
      <c r="A487" s="1341"/>
      <c r="B487" s="1341"/>
      <c r="C487" s="1374"/>
      <c r="D487" s="1396" t="s">
        <v>1504</v>
      </c>
      <c r="E487" s="1465">
        <v>433102700</v>
      </c>
      <c r="F487" s="1464">
        <v>373714000</v>
      </c>
      <c r="G487" s="1368">
        <f t="shared" si="23"/>
        <v>86.287617232587095</v>
      </c>
      <c r="H487" s="1385">
        <v>90</v>
      </c>
      <c r="I487" s="1353"/>
      <c r="J487" s="1341"/>
      <c r="K487" s="1341"/>
      <c r="L487" s="1341"/>
    </row>
    <row r="488" spans="1:12" s="1352" customFormat="1" ht="20.100000000000001" customHeight="1">
      <c r="A488" s="1341"/>
      <c r="B488" s="1341"/>
      <c r="C488" s="1374"/>
      <c r="D488" s="1398" t="s">
        <v>3397</v>
      </c>
      <c r="E488" s="1467">
        <f>SUM(E489:E490)</f>
        <v>1197104003</v>
      </c>
      <c r="F488" s="1464"/>
      <c r="G488" s="1368">
        <f t="shared" si="23"/>
        <v>0</v>
      </c>
      <c r="H488" s="1385">
        <f>+G488</f>
        <v>0</v>
      </c>
      <c r="I488" s="1353"/>
      <c r="J488" s="1341"/>
      <c r="K488" s="1341"/>
      <c r="L488" s="1341"/>
    </row>
    <row r="489" spans="1:12" s="1352" customFormat="1" ht="20.100000000000001" customHeight="1">
      <c r="A489" s="1341"/>
      <c r="B489" s="1341"/>
      <c r="C489" s="1374"/>
      <c r="D489" s="1468" t="s">
        <v>4112</v>
      </c>
      <c r="E489" s="1465">
        <v>819549150</v>
      </c>
      <c r="F489" s="1464"/>
      <c r="G489" s="1368">
        <f t="shared" si="23"/>
        <v>0</v>
      </c>
      <c r="H489" s="1385">
        <f>+G489</f>
        <v>0</v>
      </c>
      <c r="I489" s="1353"/>
      <c r="J489" s="1341"/>
      <c r="K489" s="1341"/>
      <c r="L489" s="1341"/>
    </row>
    <row r="490" spans="1:12" s="1352" customFormat="1" ht="20.100000000000001" customHeight="1">
      <c r="A490" s="1341"/>
      <c r="B490" s="1341"/>
      <c r="C490" s="1374"/>
      <c r="D490" s="1396" t="s">
        <v>3395</v>
      </c>
      <c r="E490" s="1465">
        <v>377554853</v>
      </c>
      <c r="F490" s="1464"/>
      <c r="G490" s="1368">
        <f t="shared" si="23"/>
        <v>0</v>
      </c>
      <c r="H490" s="1385">
        <f>+G490</f>
        <v>0</v>
      </c>
      <c r="I490" s="1353"/>
      <c r="J490" s="1341"/>
      <c r="K490" s="1341"/>
      <c r="L490" s="1341"/>
    </row>
    <row r="491" spans="1:12" s="1352" customFormat="1" ht="20.100000000000001" customHeight="1">
      <c r="A491" s="1341"/>
      <c r="B491" s="1341"/>
      <c r="C491" s="1374"/>
      <c r="D491" s="1398" t="s">
        <v>3394</v>
      </c>
      <c r="E491" s="1467">
        <f>E492</f>
        <v>870990294</v>
      </c>
      <c r="F491" s="1466">
        <f>F492</f>
        <v>197990294</v>
      </c>
      <c r="G491" s="1368">
        <f t="shared" si="23"/>
        <v>22.7316303481104</v>
      </c>
      <c r="H491" s="1385">
        <v>25</v>
      </c>
      <c r="I491" s="1353"/>
      <c r="J491" s="1341"/>
      <c r="K491" s="1341"/>
      <c r="L491" s="1341"/>
    </row>
    <row r="492" spans="1:12" s="1352" customFormat="1" ht="20.100000000000001" customHeight="1">
      <c r="A492" s="1341"/>
      <c r="B492" s="1341"/>
      <c r="C492" s="1374"/>
      <c r="D492" s="1396" t="s">
        <v>1627</v>
      </c>
      <c r="E492" s="1465">
        <v>870990294</v>
      </c>
      <c r="F492" s="1464">
        <v>197990294</v>
      </c>
      <c r="G492" s="1368">
        <f t="shared" si="23"/>
        <v>22.7316303481104</v>
      </c>
      <c r="H492" s="1385">
        <v>25</v>
      </c>
      <c r="I492" s="1353"/>
      <c r="J492" s="1341"/>
      <c r="K492" s="1341"/>
      <c r="L492" s="1341"/>
    </row>
    <row r="493" spans="1:12" s="1352" customFormat="1" ht="15" customHeight="1">
      <c r="A493" s="1341"/>
      <c r="B493" s="1341"/>
      <c r="C493" s="1374"/>
      <c r="D493" s="1373"/>
      <c r="E493" s="1404">
        <v>0</v>
      </c>
      <c r="F493" s="1405"/>
      <c r="G493" s="1371"/>
      <c r="H493" s="1371"/>
      <c r="I493" s="1353"/>
      <c r="J493" s="1341"/>
      <c r="K493" s="1341"/>
      <c r="L493" s="1341"/>
    </row>
    <row r="494" spans="1:12" s="1359" customFormat="1" ht="20.100000000000001" customHeight="1">
      <c r="A494" s="1346"/>
      <c r="B494" s="1346"/>
      <c r="C494" s="1381" t="s">
        <v>3373</v>
      </c>
      <c r="D494" s="1370" t="s">
        <v>1669</v>
      </c>
      <c r="E494" s="1404">
        <v>8000000000</v>
      </c>
      <c r="F494" s="1403">
        <f>+F495</f>
        <v>6169740000</v>
      </c>
      <c r="G494" s="1368">
        <f>+F494/E494*100</f>
        <v>77.121750000000006</v>
      </c>
      <c r="H494" s="1368">
        <f>H495</f>
        <v>75</v>
      </c>
      <c r="I494" s="1360"/>
      <c r="J494" s="1346"/>
      <c r="K494" s="1346"/>
      <c r="L494" s="1346"/>
    </row>
    <row r="495" spans="1:12" s="1352" customFormat="1" ht="20.100000000000001" customHeight="1">
      <c r="A495" s="1341"/>
      <c r="B495" s="1341"/>
      <c r="C495" s="1374"/>
      <c r="D495" s="1414" t="s">
        <v>65</v>
      </c>
      <c r="E495" s="1462">
        <f>E496+E498+E500+E502</f>
        <v>8000000000</v>
      </c>
      <c r="F495" s="1462">
        <f>F496+F498+F500+F502</f>
        <v>6169740000</v>
      </c>
      <c r="G495" s="1383">
        <f t="shared" ref="G495:G503" si="24">F495/E495*100</f>
        <v>77.121750000000006</v>
      </c>
      <c r="H495" s="1383">
        <f>300/4</f>
        <v>75</v>
      </c>
      <c r="I495" s="1353"/>
      <c r="J495" s="1341"/>
      <c r="K495" s="1341"/>
      <c r="L495" s="1341"/>
    </row>
    <row r="496" spans="1:12" s="1352" customFormat="1" ht="20.100000000000001" customHeight="1">
      <c r="A496" s="1341"/>
      <c r="B496" s="1341"/>
      <c r="C496" s="1374"/>
      <c r="D496" s="1414" t="s">
        <v>1682</v>
      </c>
      <c r="E496" s="1462">
        <f>E497</f>
        <v>1738760000</v>
      </c>
      <c r="F496" s="1462">
        <f>F497</f>
        <v>0</v>
      </c>
      <c r="G496" s="1376">
        <f t="shared" si="24"/>
        <v>0</v>
      </c>
      <c r="H496" s="1376">
        <v>0</v>
      </c>
      <c r="I496" s="1353"/>
      <c r="J496" s="1341"/>
      <c r="K496" s="1341"/>
      <c r="L496" s="1341"/>
    </row>
    <row r="497" spans="1:12" s="1352" customFormat="1" ht="20.100000000000001" customHeight="1">
      <c r="A497" s="1341"/>
      <c r="B497" s="1341"/>
      <c r="C497" s="1374"/>
      <c r="D497" s="1438" t="s">
        <v>3356</v>
      </c>
      <c r="E497" s="1461">
        <v>1738760000</v>
      </c>
      <c r="F497" s="1461">
        <v>0</v>
      </c>
      <c r="G497" s="1376">
        <f t="shared" si="24"/>
        <v>0</v>
      </c>
      <c r="H497" s="1383">
        <v>0</v>
      </c>
      <c r="I497" s="1353"/>
      <c r="J497" s="1341"/>
      <c r="K497" s="1341"/>
      <c r="L497" s="1341"/>
    </row>
    <row r="498" spans="1:12" s="1352" customFormat="1" ht="20.100000000000001" customHeight="1">
      <c r="A498" s="1341"/>
      <c r="B498" s="1341"/>
      <c r="C498" s="1374"/>
      <c r="D498" s="1414" t="s">
        <v>3355</v>
      </c>
      <c r="E498" s="1462">
        <f>E499</f>
        <v>825240000</v>
      </c>
      <c r="F498" s="1462">
        <f>F499</f>
        <v>825240000</v>
      </c>
      <c r="G498" s="1383">
        <f t="shared" si="24"/>
        <v>100</v>
      </c>
      <c r="H498" s="1376">
        <v>100</v>
      </c>
      <c r="I498" s="1353"/>
      <c r="J498" s="1341"/>
      <c r="K498" s="1341"/>
      <c r="L498" s="1341"/>
    </row>
    <row r="499" spans="1:12" s="1352" customFormat="1" ht="20.100000000000001" customHeight="1">
      <c r="A499" s="1341"/>
      <c r="B499" s="1341"/>
      <c r="C499" s="1374"/>
      <c r="D499" s="1438" t="s">
        <v>3354</v>
      </c>
      <c r="E499" s="1461">
        <v>825240000</v>
      </c>
      <c r="F499" s="1461">
        <v>825240000</v>
      </c>
      <c r="G499" s="1376">
        <f t="shared" si="24"/>
        <v>100</v>
      </c>
      <c r="H499" s="1383">
        <v>100</v>
      </c>
      <c r="I499" s="1353"/>
      <c r="J499" s="1341"/>
      <c r="K499" s="1341"/>
      <c r="L499" s="1341"/>
    </row>
    <row r="500" spans="1:12" s="1352" customFormat="1" ht="20.100000000000001" customHeight="1">
      <c r="A500" s="1341"/>
      <c r="B500" s="1341"/>
      <c r="C500" s="1374"/>
      <c r="D500" s="1414" t="s">
        <v>1693</v>
      </c>
      <c r="E500" s="1462">
        <f>E501</f>
        <v>4446000000</v>
      </c>
      <c r="F500" s="1462">
        <f>F501</f>
        <v>4354500000</v>
      </c>
      <c r="G500" s="1383">
        <f t="shared" si="24"/>
        <v>97.941970310391355</v>
      </c>
      <c r="H500" s="1383">
        <v>100</v>
      </c>
      <c r="I500" s="1353"/>
      <c r="J500" s="1341"/>
      <c r="K500" s="1341"/>
      <c r="L500" s="1341"/>
    </row>
    <row r="501" spans="1:12" s="1352" customFormat="1" ht="20.100000000000001" customHeight="1">
      <c r="A501" s="1341"/>
      <c r="B501" s="1341"/>
      <c r="C501" s="1374"/>
      <c r="D501" s="1438" t="s">
        <v>3353</v>
      </c>
      <c r="E501" s="1463">
        <v>4446000000</v>
      </c>
      <c r="F501" s="1463">
        <v>4354500000</v>
      </c>
      <c r="G501" s="1376">
        <f t="shared" si="24"/>
        <v>97.941970310391355</v>
      </c>
      <c r="H501" s="1376">
        <v>100</v>
      </c>
      <c r="I501" s="1353"/>
      <c r="J501" s="1341"/>
      <c r="K501" s="1341"/>
      <c r="L501" s="1341"/>
    </row>
    <row r="502" spans="1:12" s="1352" customFormat="1" ht="37.5" customHeight="1">
      <c r="A502" s="1341"/>
      <c r="B502" s="1341"/>
      <c r="C502" s="1374"/>
      <c r="D502" s="1414" t="s">
        <v>3352</v>
      </c>
      <c r="E502" s="1462">
        <f>E503</f>
        <v>990000000</v>
      </c>
      <c r="F502" s="1462">
        <f>F503</f>
        <v>990000000</v>
      </c>
      <c r="G502" s="1383">
        <f t="shared" si="24"/>
        <v>100</v>
      </c>
      <c r="H502" s="1383">
        <v>100</v>
      </c>
      <c r="I502" s="1353"/>
      <c r="J502" s="1341"/>
      <c r="K502" s="1341"/>
      <c r="L502" s="1341"/>
    </row>
    <row r="503" spans="1:12" s="1352" customFormat="1" ht="20.100000000000001" customHeight="1">
      <c r="A503" s="1341"/>
      <c r="B503" s="1341"/>
      <c r="C503" s="1374"/>
      <c r="D503" s="1438" t="s">
        <v>1415</v>
      </c>
      <c r="E503" s="1461">
        <v>990000000</v>
      </c>
      <c r="F503" s="1461">
        <v>990000000</v>
      </c>
      <c r="G503" s="1376">
        <f t="shared" si="24"/>
        <v>100</v>
      </c>
      <c r="H503" s="1376">
        <v>100</v>
      </c>
      <c r="I503" s="1353"/>
      <c r="J503" s="1341"/>
      <c r="K503" s="1341"/>
      <c r="L503" s="1341"/>
    </row>
    <row r="504" spans="1:12" ht="15" customHeight="1">
      <c r="A504" s="1341"/>
      <c r="B504" s="1341"/>
      <c r="C504" s="1374"/>
      <c r="D504" s="1373"/>
      <c r="E504" s="1404">
        <v>0</v>
      </c>
      <c r="F504" s="1405"/>
      <c r="G504" s="1371"/>
      <c r="H504" s="1371"/>
      <c r="I504" s="1353"/>
      <c r="J504" s="1341"/>
      <c r="K504" s="1341"/>
      <c r="L504" s="1341"/>
    </row>
    <row r="505" spans="1:12" s="1359" customFormat="1" ht="20.100000000000001" customHeight="1">
      <c r="A505" s="1346"/>
      <c r="B505" s="1346"/>
      <c r="C505" s="1381" t="s">
        <v>1720</v>
      </c>
      <c r="D505" s="1370" t="s">
        <v>3341</v>
      </c>
      <c r="E505" s="1404">
        <f>+E506</f>
        <v>5210000000</v>
      </c>
      <c r="F505" s="1403">
        <f>+F506</f>
        <v>2125000000</v>
      </c>
      <c r="G505" s="1368">
        <f>+G506</f>
        <v>40.786948176583493</v>
      </c>
      <c r="H505" s="1368">
        <f>+H506</f>
        <v>50</v>
      </c>
      <c r="I505" s="1360"/>
      <c r="J505" s="1346"/>
      <c r="K505" s="1346"/>
      <c r="L505" s="1346"/>
    </row>
    <row r="506" spans="1:12" s="1352" customFormat="1" ht="20.100000000000001" customHeight="1">
      <c r="A506" s="1341"/>
      <c r="B506" s="1341"/>
      <c r="C506" s="1374"/>
      <c r="D506" s="1414" t="s">
        <v>161</v>
      </c>
      <c r="E506" s="1409">
        <f>E507+E509</f>
        <v>5210000000</v>
      </c>
      <c r="F506" s="1460">
        <f>F507+F509</f>
        <v>2125000000</v>
      </c>
      <c r="G506" s="1459">
        <f>F506/E506*100</f>
        <v>40.786948176583493</v>
      </c>
      <c r="H506" s="1459">
        <v>50</v>
      </c>
      <c r="I506" s="1353"/>
      <c r="J506" s="1341"/>
      <c r="K506" s="1341"/>
      <c r="L506" s="1341"/>
    </row>
    <row r="507" spans="1:12" s="1352" customFormat="1" ht="20.100000000000001" customHeight="1">
      <c r="A507" s="1341"/>
      <c r="B507" s="1341"/>
      <c r="C507" s="1374"/>
      <c r="D507" s="1414" t="s">
        <v>953</v>
      </c>
      <c r="E507" s="1409">
        <f>SUM(E508:E508)</f>
        <v>1450000000</v>
      </c>
      <c r="F507" s="1460">
        <f>F508</f>
        <v>725000000</v>
      </c>
      <c r="G507" s="1459">
        <f>F507/E507*100</f>
        <v>50</v>
      </c>
      <c r="H507" s="1459">
        <v>50</v>
      </c>
      <c r="I507" s="1353"/>
      <c r="J507" s="1341"/>
      <c r="K507" s="1341"/>
      <c r="L507" s="1341"/>
    </row>
    <row r="508" spans="1:12" s="1352" customFormat="1" ht="20.100000000000001" customHeight="1">
      <c r="A508" s="1341"/>
      <c r="B508" s="1341"/>
      <c r="C508" s="1374"/>
      <c r="D508" s="1438" t="s">
        <v>1728</v>
      </c>
      <c r="E508" s="1407">
        <v>1450000000</v>
      </c>
      <c r="F508" s="1458">
        <v>725000000</v>
      </c>
      <c r="G508" s="1457">
        <v>50</v>
      </c>
      <c r="H508" s="1457">
        <v>50</v>
      </c>
      <c r="I508" s="1353"/>
      <c r="J508" s="1341"/>
      <c r="K508" s="1341"/>
      <c r="L508" s="1341"/>
    </row>
    <row r="509" spans="1:12" s="1352" customFormat="1" ht="20.100000000000001" customHeight="1">
      <c r="A509" s="1341"/>
      <c r="B509" s="1341"/>
      <c r="C509" s="1374"/>
      <c r="D509" s="1414" t="s">
        <v>1171</v>
      </c>
      <c r="E509" s="1409">
        <v>3760000000</v>
      </c>
      <c r="F509" s="1460">
        <v>1400000000</v>
      </c>
      <c r="G509" s="1459">
        <f>F509/E509*100</f>
        <v>37.234042553191486</v>
      </c>
      <c r="H509" s="1459">
        <v>50</v>
      </c>
      <c r="I509" s="1353"/>
      <c r="J509" s="1341"/>
      <c r="K509" s="1341"/>
      <c r="L509" s="1341"/>
    </row>
    <row r="510" spans="1:12" s="1352" customFormat="1" ht="20.100000000000001" customHeight="1">
      <c r="A510" s="1341"/>
      <c r="B510" s="1341"/>
      <c r="C510" s="1374"/>
      <c r="D510" s="1438" t="s">
        <v>1729</v>
      </c>
      <c r="E510" s="1407">
        <v>3760000000</v>
      </c>
      <c r="F510" s="1458">
        <v>1400000000</v>
      </c>
      <c r="G510" s="1457">
        <f>F510/E510*100</f>
        <v>37.234042553191486</v>
      </c>
      <c r="H510" s="1457">
        <v>50</v>
      </c>
      <c r="I510" s="1353"/>
      <c r="J510" s="1341"/>
      <c r="K510" s="1341"/>
      <c r="L510" s="1341"/>
    </row>
    <row r="511" spans="1:12" ht="15" customHeight="1">
      <c r="A511" s="1341"/>
      <c r="B511" s="1341"/>
      <c r="C511" s="1374"/>
      <c r="D511" s="1373"/>
      <c r="E511" s="1404"/>
      <c r="F511" s="1405"/>
      <c r="G511" s="1371"/>
      <c r="H511" s="1371"/>
      <c r="I511" s="1353"/>
      <c r="J511" s="1341"/>
      <c r="K511" s="1341"/>
      <c r="L511" s="1341"/>
    </row>
    <row r="512" spans="1:12" s="1359" customFormat="1" ht="20.100000000000001" customHeight="1">
      <c r="A512" s="1346"/>
      <c r="B512" s="1346"/>
      <c r="C512" s="1381" t="s">
        <v>1749</v>
      </c>
      <c r="D512" s="1370" t="s">
        <v>1750</v>
      </c>
      <c r="E512" s="1404">
        <f>+E513+E537</f>
        <v>9386218437</v>
      </c>
      <c r="F512" s="1404">
        <f>+F513+F537</f>
        <v>5493920000</v>
      </c>
      <c r="G512" s="1368">
        <f t="shared" ref="G512:G535" si="25">+F512/E512*100</f>
        <v>58.531772266701623</v>
      </c>
      <c r="H512" s="1368">
        <f>(H513+H537)/2</f>
        <v>72.976190476190482</v>
      </c>
      <c r="I512" s="1360"/>
      <c r="J512" s="1346"/>
      <c r="K512" s="1346"/>
      <c r="L512" s="1346"/>
    </row>
    <row r="513" spans="1:12" s="1352" customFormat="1" ht="20.100000000000001" customHeight="1">
      <c r="A513" s="1341"/>
      <c r="B513" s="1341"/>
      <c r="C513" s="1374"/>
      <c r="D513" s="1411" t="s">
        <v>161</v>
      </c>
      <c r="E513" s="1453">
        <f>SUM(E514,E516,E519,E524,E528,E531,E533)</f>
        <v>7119540437</v>
      </c>
      <c r="F513" s="1405">
        <v>3317986000</v>
      </c>
      <c r="G513" s="1368">
        <f t="shared" si="25"/>
        <v>46.603935034297216</v>
      </c>
      <c r="H513" s="1385">
        <f>(H514+H516+H519+H524+H528+H531+H533)/7</f>
        <v>50.952380952380956</v>
      </c>
      <c r="I513" s="1353"/>
      <c r="J513" s="1341"/>
      <c r="K513" s="1341"/>
      <c r="L513" s="1341"/>
    </row>
    <row r="514" spans="1:12" s="1352" customFormat="1" ht="20.100000000000001" customHeight="1">
      <c r="A514" s="1341"/>
      <c r="B514" s="1341"/>
      <c r="C514" s="1374"/>
      <c r="D514" s="1454" t="s">
        <v>162</v>
      </c>
      <c r="E514" s="1453">
        <f>E515</f>
        <v>892175437</v>
      </c>
      <c r="F514" s="1403">
        <v>768651000</v>
      </c>
      <c r="G514" s="1368">
        <f t="shared" si="25"/>
        <v>86.154692017148633</v>
      </c>
      <c r="H514" s="1385">
        <v>90</v>
      </c>
      <c r="I514" s="1353"/>
      <c r="J514" s="1341"/>
      <c r="K514" s="1341"/>
      <c r="L514" s="1341"/>
    </row>
    <row r="515" spans="1:12" s="1352" customFormat="1" ht="20.100000000000001" customHeight="1">
      <c r="A515" s="1341"/>
      <c r="B515" s="1341"/>
      <c r="C515" s="1374"/>
      <c r="D515" s="1452" t="s">
        <v>3322</v>
      </c>
      <c r="E515" s="1451">
        <v>892175437</v>
      </c>
      <c r="F515" s="1403">
        <v>768651000</v>
      </c>
      <c r="G515" s="1368">
        <f t="shared" si="25"/>
        <v>86.154692017148633</v>
      </c>
      <c r="H515" s="1385">
        <v>90</v>
      </c>
      <c r="I515" s="1353"/>
      <c r="J515" s="1341"/>
      <c r="K515" s="1341"/>
      <c r="L515" s="1341"/>
    </row>
    <row r="516" spans="1:12" s="1352" customFormat="1" ht="20.100000000000001" customHeight="1">
      <c r="A516" s="1341"/>
      <c r="B516" s="1341"/>
      <c r="C516" s="1374"/>
      <c r="D516" s="1454" t="s">
        <v>173</v>
      </c>
      <c r="E516" s="1453">
        <f>SUM(E517:E518)</f>
        <v>3921460000</v>
      </c>
      <c r="F516" s="1403">
        <v>1919460000</v>
      </c>
      <c r="G516" s="1368">
        <f t="shared" si="25"/>
        <v>48.947585848127993</v>
      </c>
      <c r="H516" s="1385">
        <v>75</v>
      </c>
      <c r="I516" s="1353"/>
      <c r="J516" s="1341"/>
      <c r="K516" s="1341"/>
      <c r="L516" s="1341"/>
    </row>
    <row r="517" spans="1:12" s="1352" customFormat="1" ht="20.100000000000001" customHeight="1">
      <c r="A517" s="1341"/>
      <c r="B517" s="1341"/>
      <c r="C517" s="1374"/>
      <c r="D517" s="1455" t="s">
        <v>1223</v>
      </c>
      <c r="E517" s="1451">
        <v>3791160000</v>
      </c>
      <c r="F517" s="1403">
        <v>1789160000</v>
      </c>
      <c r="G517" s="1368">
        <f t="shared" si="25"/>
        <v>47.192943584549319</v>
      </c>
      <c r="H517" s="1385">
        <v>50</v>
      </c>
      <c r="I517" s="1353"/>
      <c r="J517" s="1341"/>
      <c r="K517" s="1341"/>
      <c r="L517" s="1341"/>
    </row>
    <row r="518" spans="1:12" s="1352" customFormat="1" ht="31.5" customHeight="1">
      <c r="A518" s="1341"/>
      <c r="B518" s="1341"/>
      <c r="C518" s="1374"/>
      <c r="D518" s="1455" t="s">
        <v>1780</v>
      </c>
      <c r="E518" s="1451">
        <v>130300000</v>
      </c>
      <c r="F518" s="1403">
        <v>130300000</v>
      </c>
      <c r="G518" s="1368">
        <f t="shared" si="25"/>
        <v>100</v>
      </c>
      <c r="H518" s="1385">
        <f>+G518</f>
        <v>100</v>
      </c>
      <c r="I518" s="1353"/>
      <c r="J518" s="1341"/>
      <c r="K518" s="1341"/>
      <c r="L518" s="1341"/>
    </row>
    <row r="519" spans="1:12" s="1352" customFormat="1" ht="20.100000000000001" customHeight="1">
      <c r="A519" s="1341"/>
      <c r="B519" s="1341"/>
      <c r="C519" s="1374"/>
      <c r="D519" s="1454" t="s">
        <v>190</v>
      </c>
      <c r="E519" s="1453">
        <f>SUM(E520:E523)</f>
        <v>772005000</v>
      </c>
      <c r="F519" s="1405">
        <v>140575000</v>
      </c>
      <c r="G519" s="1368">
        <f t="shared" si="25"/>
        <v>18.209078956742509</v>
      </c>
      <c r="H519" s="1385">
        <f>100/4</f>
        <v>25</v>
      </c>
      <c r="I519" s="1353"/>
      <c r="J519" s="1341"/>
      <c r="K519" s="1341"/>
      <c r="L519" s="1341"/>
    </row>
    <row r="520" spans="1:12" s="1352" customFormat="1" ht="20.100000000000001" customHeight="1">
      <c r="A520" s="1341"/>
      <c r="B520" s="1341"/>
      <c r="C520" s="1374"/>
      <c r="D520" s="1452" t="s">
        <v>1782</v>
      </c>
      <c r="E520" s="1451">
        <v>234920000</v>
      </c>
      <c r="F520" s="1403">
        <v>0</v>
      </c>
      <c r="G520" s="1368">
        <f t="shared" si="25"/>
        <v>0</v>
      </c>
      <c r="H520" s="1385">
        <f>+G520</f>
        <v>0</v>
      </c>
      <c r="I520" s="1353"/>
      <c r="J520" s="1341"/>
      <c r="K520" s="1341"/>
      <c r="L520" s="1341"/>
    </row>
    <row r="521" spans="1:12" s="1352" customFormat="1" ht="43.5" customHeight="1">
      <c r="A521" s="1341"/>
      <c r="B521" s="1341"/>
      <c r="C521" s="1374"/>
      <c r="D521" s="1455" t="s">
        <v>1783</v>
      </c>
      <c r="E521" s="1451">
        <v>100000000</v>
      </c>
      <c r="F521" s="1405">
        <v>0</v>
      </c>
      <c r="G521" s="1368">
        <f t="shared" si="25"/>
        <v>0</v>
      </c>
      <c r="H521" s="1385">
        <f>+G521</f>
        <v>0</v>
      </c>
      <c r="I521" s="1353"/>
      <c r="J521" s="1341"/>
      <c r="K521" s="1341"/>
      <c r="L521" s="1341"/>
    </row>
    <row r="522" spans="1:12" s="1352" customFormat="1" ht="20.100000000000001" customHeight="1">
      <c r="A522" s="1341"/>
      <c r="B522" s="1341"/>
      <c r="C522" s="1374"/>
      <c r="D522" s="1455" t="s">
        <v>1784</v>
      </c>
      <c r="E522" s="1451">
        <v>140575000</v>
      </c>
      <c r="F522" s="1405">
        <v>140575000</v>
      </c>
      <c r="G522" s="1368">
        <f t="shared" si="25"/>
        <v>100</v>
      </c>
      <c r="H522" s="1385">
        <f>+G522</f>
        <v>100</v>
      </c>
      <c r="I522" s="1353"/>
      <c r="J522" s="1341"/>
      <c r="K522" s="1341"/>
      <c r="L522" s="1341"/>
    </row>
    <row r="523" spans="1:12" s="1352" customFormat="1" ht="20.100000000000001" customHeight="1">
      <c r="A523" s="1341"/>
      <c r="B523" s="1341"/>
      <c r="C523" s="1374"/>
      <c r="D523" s="1455" t="s">
        <v>1781</v>
      </c>
      <c r="E523" s="1451">
        <v>296510000</v>
      </c>
      <c r="F523" s="1405">
        <v>0</v>
      </c>
      <c r="G523" s="1368">
        <f t="shared" si="25"/>
        <v>0</v>
      </c>
      <c r="H523" s="1385">
        <f>+G523</f>
        <v>0</v>
      </c>
      <c r="I523" s="1353"/>
      <c r="J523" s="1341"/>
      <c r="K523" s="1341"/>
      <c r="L523" s="1341"/>
    </row>
    <row r="524" spans="1:12" s="1352" customFormat="1" ht="20.100000000000001" customHeight="1">
      <c r="A524" s="1341"/>
      <c r="B524" s="1341"/>
      <c r="C524" s="1374"/>
      <c r="D524" s="1454" t="s">
        <v>196</v>
      </c>
      <c r="E524" s="1453">
        <f>SUM(E525:E527)</f>
        <v>435000000</v>
      </c>
      <c r="F524" s="1405">
        <v>269100000</v>
      </c>
      <c r="G524" s="1368">
        <f t="shared" si="25"/>
        <v>61.862068965517238</v>
      </c>
      <c r="H524" s="1385">
        <f>200/3</f>
        <v>66.666666666666671</v>
      </c>
      <c r="I524" s="1353"/>
      <c r="J524" s="1341"/>
      <c r="K524" s="1341"/>
      <c r="L524" s="1341"/>
    </row>
    <row r="525" spans="1:12" s="1352" customFormat="1" ht="20.100000000000001" customHeight="1">
      <c r="A525" s="1341"/>
      <c r="B525" s="1341"/>
      <c r="C525" s="1374"/>
      <c r="D525" s="1455" t="s">
        <v>3321</v>
      </c>
      <c r="E525" s="1451">
        <v>165900000</v>
      </c>
      <c r="F525" s="1403">
        <v>0</v>
      </c>
      <c r="G525" s="1368">
        <f t="shared" si="25"/>
        <v>0</v>
      </c>
      <c r="H525" s="1385">
        <f>+G525</f>
        <v>0</v>
      </c>
      <c r="I525" s="1353"/>
      <c r="J525" s="1341"/>
      <c r="K525" s="1341"/>
      <c r="L525" s="1341"/>
    </row>
    <row r="526" spans="1:12" s="1352" customFormat="1" ht="20.100000000000001" customHeight="1">
      <c r="A526" s="1341"/>
      <c r="B526" s="1341"/>
      <c r="C526" s="1374"/>
      <c r="D526" s="1455" t="s">
        <v>3320</v>
      </c>
      <c r="E526" s="1451">
        <v>150300000</v>
      </c>
      <c r="F526" s="1405">
        <v>150300000</v>
      </c>
      <c r="G526" s="1368">
        <f t="shared" si="25"/>
        <v>100</v>
      </c>
      <c r="H526" s="1385">
        <f>+G526</f>
        <v>100</v>
      </c>
      <c r="I526" s="1353"/>
      <c r="J526" s="1341"/>
      <c r="K526" s="1341"/>
      <c r="L526" s="1341"/>
    </row>
    <row r="527" spans="1:12" s="1352" customFormat="1" ht="20.100000000000001" customHeight="1">
      <c r="A527" s="1341"/>
      <c r="B527" s="1341"/>
      <c r="C527" s="1374"/>
      <c r="D527" s="1455" t="s">
        <v>3319</v>
      </c>
      <c r="E527" s="1451">
        <v>118800000</v>
      </c>
      <c r="F527" s="1403">
        <v>118800000</v>
      </c>
      <c r="G527" s="1368">
        <f t="shared" si="25"/>
        <v>100</v>
      </c>
      <c r="H527" s="1385">
        <f>+G527</f>
        <v>100</v>
      </c>
      <c r="I527" s="1353"/>
      <c r="J527" s="1341"/>
      <c r="K527" s="1341"/>
      <c r="L527" s="1341"/>
    </row>
    <row r="528" spans="1:12" s="1352" customFormat="1" ht="20.100000000000001" customHeight="1">
      <c r="A528" s="1341"/>
      <c r="B528" s="1341"/>
      <c r="C528" s="1374"/>
      <c r="D528" s="1454" t="s">
        <v>953</v>
      </c>
      <c r="E528" s="1453">
        <f>SUM(E529:E530)</f>
        <v>638600000</v>
      </c>
      <c r="F528" s="1405">
        <v>120200000</v>
      </c>
      <c r="G528" s="1368">
        <f t="shared" si="25"/>
        <v>18.822424052615094</v>
      </c>
      <c r="H528" s="1385">
        <v>50</v>
      </c>
      <c r="I528" s="1353"/>
      <c r="J528" s="1341"/>
      <c r="K528" s="1341"/>
      <c r="L528" s="1341"/>
    </row>
    <row r="529" spans="1:12" s="1352" customFormat="1" ht="20.100000000000001" customHeight="1">
      <c r="A529" s="1341"/>
      <c r="B529" s="1341"/>
      <c r="C529" s="1374"/>
      <c r="D529" s="1455" t="s">
        <v>3318</v>
      </c>
      <c r="E529" s="1451">
        <v>120200000</v>
      </c>
      <c r="F529" s="1405">
        <v>120200000</v>
      </c>
      <c r="G529" s="1368">
        <f t="shared" si="25"/>
        <v>100</v>
      </c>
      <c r="H529" s="1385">
        <f>+G529</f>
        <v>100</v>
      </c>
      <c r="I529" s="1353"/>
      <c r="J529" s="1341"/>
      <c r="K529" s="1341"/>
      <c r="L529" s="1341"/>
    </row>
    <row r="530" spans="1:12" s="1352" customFormat="1" ht="20.100000000000001" customHeight="1">
      <c r="A530" s="1341"/>
      <c r="B530" s="1341"/>
      <c r="C530" s="1374"/>
      <c r="D530" s="1455" t="s">
        <v>3317</v>
      </c>
      <c r="E530" s="1451">
        <v>518400000</v>
      </c>
      <c r="F530" s="1403">
        <v>0</v>
      </c>
      <c r="G530" s="1368">
        <f t="shared" si="25"/>
        <v>0</v>
      </c>
      <c r="H530" s="1385">
        <f>+G530</f>
        <v>0</v>
      </c>
      <c r="I530" s="1353"/>
      <c r="J530" s="1341"/>
      <c r="K530" s="1341"/>
      <c r="L530" s="1341"/>
    </row>
    <row r="531" spans="1:12" s="1352" customFormat="1" ht="20.100000000000001" customHeight="1">
      <c r="A531" s="1341"/>
      <c r="B531" s="1341"/>
      <c r="C531" s="1374"/>
      <c r="D531" s="1454" t="s">
        <v>483</v>
      </c>
      <c r="E531" s="1453">
        <f>E532</f>
        <v>257000000</v>
      </c>
      <c r="F531" s="1405">
        <v>0</v>
      </c>
      <c r="G531" s="1368">
        <f t="shared" si="25"/>
        <v>0</v>
      </c>
      <c r="H531" s="1385">
        <f>+G531</f>
        <v>0</v>
      </c>
      <c r="I531" s="1353"/>
      <c r="J531" s="1341"/>
      <c r="K531" s="1341"/>
      <c r="L531" s="1341"/>
    </row>
    <row r="532" spans="1:12" s="1352" customFormat="1" ht="29.25" customHeight="1">
      <c r="A532" s="1341"/>
      <c r="B532" s="1341"/>
      <c r="C532" s="1374"/>
      <c r="D532" s="1455" t="s">
        <v>1791</v>
      </c>
      <c r="E532" s="1451">
        <v>257000000</v>
      </c>
      <c r="F532" s="1405">
        <v>0</v>
      </c>
      <c r="G532" s="1368">
        <f t="shared" si="25"/>
        <v>0</v>
      </c>
      <c r="H532" s="1385">
        <f>+G532</f>
        <v>0</v>
      </c>
      <c r="I532" s="1353"/>
      <c r="J532" s="1341"/>
      <c r="K532" s="1341"/>
      <c r="L532" s="1341"/>
    </row>
    <row r="533" spans="1:12" s="1352" customFormat="1" ht="20.100000000000001" customHeight="1">
      <c r="A533" s="1341"/>
      <c r="B533" s="1341"/>
      <c r="C533" s="1374"/>
      <c r="D533" s="1454" t="s">
        <v>3316</v>
      </c>
      <c r="E533" s="1453">
        <f>SUM(E534:E535)</f>
        <v>203300000</v>
      </c>
      <c r="F533" s="1405">
        <v>100000000</v>
      </c>
      <c r="G533" s="1368">
        <f t="shared" si="25"/>
        <v>49.188391539596651</v>
      </c>
      <c r="H533" s="1385">
        <v>50</v>
      </c>
      <c r="I533" s="1353"/>
      <c r="J533" s="1341"/>
      <c r="K533" s="1341"/>
      <c r="L533" s="1341"/>
    </row>
    <row r="534" spans="1:12" s="1352" customFormat="1" ht="20.100000000000001" customHeight="1">
      <c r="A534" s="1341"/>
      <c r="B534" s="1341"/>
      <c r="C534" s="1374"/>
      <c r="D534" s="1452" t="s">
        <v>3315</v>
      </c>
      <c r="E534" s="1451">
        <v>107000000</v>
      </c>
      <c r="F534" s="1405">
        <v>100000000</v>
      </c>
      <c r="G534" s="1368">
        <f t="shared" si="25"/>
        <v>93.45794392523365</v>
      </c>
      <c r="H534" s="1385">
        <v>100</v>
      </c>
      <c r="I534" s="1353"/>
      <c r="J534" s="1341"/>
      <c r="K534" s="1341"/>
      <c r="L534" s="1341"/>
    </row>
    <row r="535" spans="1:12" s="1352" customFormat="1" ht="20.100000000000001" customHeight="1">
      <c r="A535" s="1341"/>
      <c r="B535" s="1341"/>
      <c r="C535" s="1374"/>
      <c r="D535" s="1455" t="s">
        <v>3314</v>
      </c>
      <c r="E535" s="1451">
        <v>96300000</v>
      </c>
      <c r="F535" s="1405">
        <v>0</v>
      </c>
      <c r="G535" s="1368">
        <f t="shared" si="25"/>
        <v>0</v>
      </c>
      <c r="H535" s="1385">
        <f>+G535</f>
        <v>0</v>
      </c>
      <c r="I535" s="1353"/>
      <c r="J535" s="1341"/>
      <c r="K535" s="1341"/>
      <c r="L535" s="1341"/>
    </row>
    <row r="536" spans="1:12" s="1352" customFormat="1" ht="15" customHeight="1">
      <c r="A536" s="1341"/>
      <c r="B536" s="1341"/>
      <c r="C536" s="1374"/>
      <c r="D536" s="1456"/>
      <c r="E536" s="1451"/>
      <c r="F536" s="1405"/>
      <c r="G536" s="1368"/>
      <c r="H536" s="1385"/>
      <c r="I536" s="1353"/>
      <c r="J536" s="1341"/>
      <c r="K536" s="1341"/>
      <c r="L536" s="1341"/>
    </row>
    <row r="537" spans="1:12" s="1352" customFormat="1" ht="20.100000000000001" customHeight="1">
      <c r="A537" s="1341"/>
      <c r="B537" s="1341"/>
      <c r="C537" s="1374"/>
      <c r="D537" s="1411" t="s">
        <v>425</v>
      </c>
      <c r="E537" s="1453">
        <f>SUM(E538,E540,E543)</f>
        <v>2266678000</v>
      </c>
      <c r="F537" s="1405">
        <v>2175934000</v>
      </c>
      <c r="G537" s="1368">
        <f t="shared" ref="G537:G544" si="26">+F537/E537*100</f>
        <v>95.996608252252855</v>
      </c>
      <c r="H537" s="1385">
        <f>(H538+H540+H543)/3</f>
        <v>95</v>
      </c>
      <c r="I537" s="1353"/>
      <c r="J537" s="1341"/>
      <c r="K537" s="1341"/>
      <c r="L537" s="1341"/>
    </row>
    <row r="538" spans="1:12" s="1352" customFormat="1" ht="20.100000000000001" customHeight="1">
      <c r="A538" s="1341"/>
      <c r="B538" s="1341"/>
      <c r="C538" s="1374"/>
      <c r="D538" s="1454" t="s">
        <v>162</v>
      </c>
      <c r="E538" s="1453">
        <f>E539</f>
        <v>549914000</v>
      </c>
      <c r="F538" s="1403">
        <v>492700000</v>
      </c>
      <c r="G538" s="1368">
        <f t="shared" si="26"/>
        <v>89.595827711242123</v>
      </c>
      <c r="H538" s="1385">
        <v>90</v>
      </c>
      <c r="I538" s="1353"/>
      <c r="J538" s="1341"/>
      <c r="K538" s="1341"/>
      <c r="L538" s="1341"/>
    </row>
    <row r="539" spans="1:12" s="1352" customFormat="1" ht="20.100000000000001" customHeight="1">
      <c r="A539" s="1341"/>
      <c r="B539" s="1341"/>
      <c r="C539" s="1374"/>
      <c r="D539" s="1455" t="s">
        <v>1222</v>
      </c>
      <c r="E539" s="1451">
        <v>549914000</v>
      </c>
      <c r="F539" s="1405">
        <v>492700000</v>
      </c>
      <c r="G539" s="1368">
        <f t="shared" si="26"/>
        <v>89.595827711242123</v>
      </c>
      <c r="H539" s="1385">
        <v>90</v>
      </c>
      <c r="I539" s="1353"/>
      <c r="J539" s="1341"/>
      <c r="K539" s="1341"/>
      <c r="L539" s="1341"/>
    </row>
    <row r="540" spans="1:12" s="1352" customFormat="1" ht="20.100000000000001" customHeight="1">
      <c r="A540" s="1341"/>
      <c r="B540" s="1341"/>
      <c r="C540" s="1374"/>
      <c r="D540" s="1454" t="s">
        <v>179</v>
      </c>
      <c r="E540" s="1453">
        <f>SUM(E541:E542)</f>
        <v>1188764000</v>
      </c>
      <c r="F540" s="1405">
        <v>1188764000</v>
      </c>
      <c r="G540" s="1368">
        <f t="shared" si="26"/>
        <v>100</v>
      </c>
      <c r="H540" s="1385">
        <f>+G540</f>
        <v>100</v>
      </c>
      <c r="I540" s="1353"/>
      <c r="J540" s="1341"/>
      <c r="K540" s="1341"/>
      <c r="L540" s="1341"/>
    </row>
    <row r="541" spans="1:12" s="1352" customFormat="1" ht="20.100000000000001" customHeight="1">
      <c r="A541" s="1341"/>
      <c r="B541" s="1341"/>
      <c r="C541" s="1374"/>
      <c r="D541" s="1455" t="s">
        <v>3313</v>
      </c>
      <c r="E541" s="1451">
        <v>500000000</v>
      </c>
      <c r="F541" s="1405">
        <v>500000000</v>
      </c>
      <c r="G541" s="1368">
        <f t="shared" si="26"/>
        <v>100</v>
      </c>
      <c r="H541" s="1385">
        <f>+G541</f>
        <v>100</v>
      </c>
      <c r="I541" s="1353"/>
      <c r="J541" s="1341"/>
      <c r="K541" s="1341"/>
      <c r="L541" s="1341"/>
    </row>
    <row r="542" spans="1:12" s="1352" customFormat="1" ht="20.100000000000001" customHeight="1">
      <c r="A542" s="1341"/>
      <c r="B542" s="1341"/>
      <c r="C542" s="1374"/>
      <c r="D542" s="1455" t="s">
        <v>3312</v>
      </c>
      <c r="E542" s="1451">
        <v>688764000</v>
      </c>
      <c r="F542" s="1405">
        <v>688764000</v>
      </c>
      <c r="G542" s="1368">
        <f t="shared" si="26"/>
        <v>100</v>
      </c>
      <c r="H542" s="1385">
        <f>+G542</f>
        <v>100</v>
      </c>
      <c r="I542" s="1353"/>
      <c r="J542" s="1341"/>
      <c r="K542" s="1341"/>
      <c r="L542" s="1341"/>
    </row>
    <row r="543" spans="1:12" s="1352" customFormat="1" ht="20.100000000000001" customHeight="1">
      <c r="A543" s="1341"/>
      <c r="B543" s="1341"/>
      <c r="C543" s="1374"/>
      <c r="D543" s="1454" t="s">
        <v>3039</v>
      </c>
      <c r="E543" s="1453">
        <f>E544</f>
        <v>528000000</v>
      </c>
      <c r="F543" s="1405">
        <v>494470000</v>
      </c>
      <c r="G543" s="1368">
        <f t="shared" si="26"/>
        <v>93.649621212121218</v>
      </c>
      <c r="H543" s="1385">
        <v>95</v>
      </c>
      <c r="I543" s="1353"/>
      <c r="J543" s="1341"/>
      <c r="K543" s="1341"/>
      <c r="L543" s="1341"/>
    </row>
    <row r="544" spans="1:12" s="1352" customFormat="1" ht="20.100000000000001" customHeight="1">
      <c r="A544" s="1341"/>
      <c r="B544" s="1341"/>
      <c r="C544" s="1374"/>
      <c r="D544" s="1452" t="s">
        <v>3311</v>
      </c>
      <c r="E544" s="1451">
        <v>528000000</v>
      </c>
      <c r="F544" s="1403">
        <v>494470000</v>
      </c>
      <c r="G544" s="1368">
        <f t="shared" si="26"/>
        <v>93.649621212121218</v>
      </c>
      <c r="H544" s="1385">
        <v>95</v>
      </c>
      <c r="I544" s="1353"/>
      <c r="J544" s="1341"/>
      <c r="K544" s="1341"/>
      <c r="L544" s="1341"/>
    </row>
    <row r="545" spans="1:12" ht="15" customHeight="1">
      <c r="A545" s="1341"/>
      <c r="B545" s="1341"/>
      <c r="C545" s="1374"/>
      <c r="D545" s="1373"/>
      <c r="E545" s="1404">
        <v>0</v>
      </c>
      <c r="F545" s="1405"/>
      <c r="G545" s="1371"/>
      <c r="H545" s="1371"/>
      <c r="I545" s="1353"/>
      <c r="J545" s="1341"/>
      <c r="K545" s="1341"/>
      <c r="L545" s="1341"/>
    </row>
    <row r="546" spans="1:12" s="605" customFormat="1" ht="20.100000000000001" customHeight="1">
      <c r="A546" s="1447"/>
      <c r="B546" s="1447"/>
      <c r="C546" s="1450" t="s">
        <v>1869</v>
      </c>
      <c r="D546" s="1398" t="s">
        <v>3283</v>
      </c>
      <c r="E546" s="1449">
        <f>+E547</f>
        <v>8910933264.5499992</v>
      </c>
      <c r="F546" s="1397">
        <f>+F547</f>
        <v>8910933264.5499992</v>
      </c>
      <c r="G546" s="1355">
        <f>+F546/E546*100</f>
        <v>100</v>
      </c>
      <c r="H546" s="1355">
        <f>+G546</f>
        <v>100</v>
      </c>
      <c r="I546" s="1448"/>
      <c r="J546" s="1447"/>
      <c r="K546" s="1447"/>
      <c r="L546" s="1447"/>
    </row>
    <row r="547" spans="1:12" s="603" customFormat="1" ht="20.100000000000001" customHeight="1">
      <c r="A547" s="1441"/>
      <c r="B547" s="1441"/>
      <c r="C547" s="1445"/>
      <c r="D547" s="1398" t="s">
        <v>65</v>
      </c>
      <c r="E547" s="1397">
        <f>E548+E551+E553</f>
        <v>8910933264.5499992</v>
      </c>
      <c r="F547" s="1397">
        <f>+E547</f>
        <v>8910933264.5499992</v>
      </c>
      <c r="G547" s="1446">
        <f t="shared" ref="G547:G554" si="27">F547/E547*100</f>
        <v>100</v>
      </c>
      <c r="H547" s="1446">
        <f t="shared" ref="H547:H554" si="28">F547/E547*100</f>
        <v>100</v>
      </c>
      <c r="I547" s="1442"/>
      <c r="J547" s="1441"/>
      <c r="K547" s="1441"/>
      <c r="L547" s="1441"/>
    </row>
    <row r="548" spans="1:12" s="603" customFormat="1" ht="20.100000000000001" customHeight="1">
      <c r="A548" s="1441"/>
      <c r="B548" s="1441"/>
      <c r="C548" s="1445"/>
      <c r="D548" s="1398" t="s">
        <v>173</v>
      </c>
      <c r="E548" s="1397">
        <f>SUM(E549:E550)</f>
        <v>6741904398</v>
      </c>
      <c r="F548" s="1397">
        <f>+E548</f>
        <v>6741904398</v>
      </c>
      <c r="G548" s="1446">
        <f t="shared" si="27"/>
        <v>100</v>
      </c>
      <c r="H548" s="1446">
        <f t="shared" si="28"/>
        <v>100</v>
      </c>
      <c r="I548" s="1442"/>
      <c r="J548" s="1441"/>
      <c r="K548" s="1441"/>
      <c r="L548" s="1441"/>
    </row>
    <row r="549" spans="1:12" s="603" customFormat="1" ht="31.5" customHeight="1">
      <c r="A549" s="1441"/>
      <c r="B549" s="1441"/>
      <c r="C549" s="1445"/>
      <c r="D549" s="1396" t="s">
        <v>3267</v>
      </c>
      <c r="E549" s="1444">
        <v>5768404398</v>
      </c>
      <c r="F549" s="1444">
        <f>+E549</f>
        <v>5768404398</v>
      </c>
      <c r="G549" s="1443">
        <f t="shared" si="27"/>
        <v>100</v>
      </c>
      <c r="H549" s="1443">
        <f t="shared" si="28"/>
        <v>100</v>
      </c>
      <c r="I549" s="1442"/>
      <c r="J549" s="1441"/>
      <c r="K549" s="1441"/>
      <c r="L549" s="1441"/>
    </row>
    <row r="550" spans="1:12" s="603" customFormat="1" ht="20.100000000000001" customHeight="1">
      <c r="A550" s="1441"/>
      <c r="B550" s="1441"/>
      <c r="C550" s="1445"/>
      <c r="D550" s="1396" t="s">
        <v>3266</v>
      </c>
      <c r="E550" s="1444">
        <v>973500000</v>
      </c>
      <c r="F550" s="1395">
        <v>973500000</v>
      </c>
      <c r="G550" s="1443">
        <f t="shared" si="27"/>
        <v>100</v>
      </c>
      <c r="H550" s="1443">
        <f t="shared" si="28"/>
        <v>100</v>
      </c>
      <c r="I550" s="1442"/>
      <c r="J550" s="1441"/>
      <c r="K550" s="1441"/>
      <c r="L550" s="1441"/>
    </row>
    <row r="551" spans="1:12" s="603" customFormat="1" ht="20.100000000000001" customHeight="1">
      <c r="A551" s="1441"/>
      <c r="B551" s="1441"/>
      <c r="C551" s="1445"/>
      <c r="D551" s="1398" t="s">
        <v>190</v>
      </c>
      <c r="E551" s="1397">
        <f>E552</f>
        <v>20500000</v>
      </c>
      <c r="F551" s="1397">
        <f>F552</f>
        <v>20500000</v>
      </c>
      <c r="G551" s="1446">
        <f t="shared" si="27"/>
        <v>100</v>
      </c>
      <c r="H551" s="1446">
        <f t="shared" si="28"/>
        <v>100</v>
      </c>
      <c r="I551" s="1442"/>
      <c r="J551" s="1441"/>
      <c r="K551" s="1441"/>
      <c r="L551" s="1441"/>
    </row>
    <row r="552" spans="1:12" s="603" customFormat="1" ht="20.100000000000001" customHeight="1">
      <c r="A552" s="1441"/>
      <c r="B552" s="1441"/>
      <c r="C552" s="1445"/>
      <c r="D552" s="1396" t="s">
        <v>3265</v>
      </c>
      <c r="E552" s="1395">
        <v>20500000</v>
      </c>
      <c r="F552" s="1395">
        <v>20500000</v>
      </c>
      <c r="G552" s="1443">
        <f t="shared" si="27"/>
        <v>100</v>
      </c>
      <c r="H552" s="1443">
        <f t="shared" si="28"/>
        <v>100</v>
      </c>
      <c r="I552" s="1442"/>
      <c r="J552" s="1441"/>
      <c r="K552" s="1441"/>
      <c r="L552" s="1441"/>
    </row>
    <row r="553" spans="1:12" s="603" customFormat="1" ht="20.100000000000001" customHeight="1">
      <c r="A553" s="1441"/>
      <c r="B553" s="1441"/>
      <c r="C553" s="1445"/>
      <c r="D553" s="1398" t="s">
        <v>221</v>
      </c>
      <c r="E553" s="1397">
        <f>E554</f>
        <v>2148528866.5500002</v>
      </c>
      <c r="F553" s="1397">
        <f>F554</f>
        <v>2107383265.7</v>
      </c>
      <c r="G553" s="1446">
        <f t="shared" si="27"/>
        <v>98.084940747569775</v>
      </c>
      <c r="H553" s="1446">
        <f t="shared" si="28"/>
        <v>98.084940747569775</v>
      </c>
      <c r="I553" s="1442"/>
      <c r="J553" s="1441"/>
      <c r="K553" s="1441"/>
      <c r="L553" s="1441"/>
    </row>
    <row r="554" spans="1:12" s="603" customFormat="1" ht="20.100000000000001" customHeight="1">
      <c r="A554" s="1441"/>
      <c r="B554" s="1441"/>
      <c r="C554" s="1445"/>
      <c r="D554" s="1396" t="s">
        <v>3264</v>
      </c>
      <c r="E554" s="1444">
        <v>2148528866.5500002</v>
      </c>
      <c r="F554" s="1444">
        <v>2107383265.7</v>
      </c>
      <c r="G554" s="1443">
        <f t="shared" si="27"/>
        <v>98.084940747569775</v>
      </c>
      <c r="H554" s="1443">
        <f t="shared" si="28"/>
        <v>98.084940747569775</v>
      </c>
      <c r="I554" s="1442"/>
      <c r="J554" s="1441"/>
      <c r="K554" s="1441"/>
      <c r="L554" s="1441"/>
    </row>
    <row r="555" spans="1:12" ht="15" customHeight="1">
      <c r="A555" s="1341"/>
      <c r="B555" s="1341"/>
      <c r="C555" s="1374"/>
      <c r="D555" s="1373"/>
      <c r="E555" s="1404"/>
      <c r="F555" s="1405"/>
      <c r="G555" s="1371"/>
      <c r="H555" s="1371"/>
      <c r="I555" s="1353"/>
      <c r="J555" s="1341"/>
      <c r="K555" s="1341"/>
      <c r="L555" s="1341"/>
    </row>
    <row r="556" spans="1:12" s="1359" customFormat="1" ht="20.100000000000001" customHeight="1">
      <c r="A556" s="1346"/>
      <c r="B556" s="1346"/>
      <c r="C556" s="1381" t="s">
        <v>1918</v>
      </c>
      <c r="D556" s="1370" t="s">
        <v>1919</v>
      </c>
      <c r="E556" s="1404">
        <f>+E557</f>
        <v>9327876344.1100006</v>
      </c>
      <c r="F556" s="1403">
        <f>+F557</f>
        <v>8324935000</v>
      </c>
      <c r="G556" s="1368">
        <f t="shared" ref="G556:G579" si="29">+F556/E556*100</f>
        <v>89.247913382307019</v>
      </c>
      <c r="H556" s="1368">
        <f>H557</f>
        <v>75.3125</v>
      </c>
      <c r="I556" s="1360"/>
      <c r="J556" s="1346"/>
      <c r="K556" s="1346"/>
      <c r="L556" s="1346"/>
    </row>
    <row r="557" spans="1:12" s="1352" customFormat="1" ht="20.100000000000001" customHeight="1">
      <c r="A557" s="1341"/>
      <c r="B557" s="1341"/>
      <c r="C557" s="1374"/>
      <c r="D557" s="1398" t="s">
        <v>161</v>
      </c>
      <c r="E557" s="1392">
        <f>E558+E560+E562+E564+E568+E571+E573+E575+E578</f>
        <v>9327876344.1100006</v>
      </c>
      <c r="F557" s="1392">
        <f>F558+F560+F562+F564+F568+F571+F573+F575+F578</f>
        <v>8324935000</v>
      </c>
      <c r="G557" s="1355">
        <f t="shared" si="29"/>
        <v>89.247913382307019</v>
      </c>
      <c r="H557" s="1354">
        <f>(H558+H560+H562+H564+H568+H571+H573+H578)/8</f>
        <v>75.3125</v>
      </c>
      <c r="I557" s="1353"/>
      <c r="J557" s="1341"/>
      <c r="K557" s="1341"/>
      <c r="L557" s="1341"/>
    </row>
    <row r="558" spans="1:12" s="1352" customFormat="1" ht="20.100000000000001" customHeight="1">
      <c r="A558" s="1341"/>
      <c r="B558" s="1341"/>
      <c r="C558" s="1374"/>
      <c r="D558" s="1398" t="s">
        <v>162</v>
      </c>
      <c r="E558" s="1392">
        <f>SUM(E559)</f>
        <v>258731316.11000001</v>
      </c>
      <c r="F558" s="1392">
        <f>SUM(F559)</f>
        <v>76000000</v>
      </c>
      <c r="G558" s="1355">
        <f t="shared" si="29"/>
        <v>29.374101729412793</v>
      </c>
      <c r="H558" s="1354">
        <v>30</v>
      </c>
      <c r="I558" s="1353"/>
      <c r="J558" s="1341"/>
      <c r="K558" s="1341"/>
      <c r="L558" s="1341"/>
    </row>
    <row r="559" spans="1:12" s="1352" customFormat="1" ht="20.100000000000001" customHeight="1">
      <c r="A559" s="1341"/>
      <c r="B559" s="1341"/>
      <c r="C559" s="1374"/>
      <c r="D559" s="1408" t="s">
        <v>678</v>
      </c>
      <c r="E559" s="1388">
        <v>258731316.11000001</v>
      </c>
      <c r="F559" s="1388">
        <v>76000000</v>
      </c>
      <c r="G559" s="1355">
        <f t="shared" si="29"/>
        <v>29.374101729412793</v>
      </c>
      <c r="H559" s="1354">
        <v>30</v>
      </c>
      <c r="I559" s="1353"/>
      <c r="J559" s="1341"/>
      <c r="K559" s="1341"/>
      <c r="L559" s="1341"/>
    </row>
    <row r="560" spans="1:12" s="1352" customFormat="1" ht="20.100000000000001" customHeight="1">
      <c r="A560" s="1341"/>
      <c r="B560" s="1341"/>
      <c r="C560" s="1374"/>
      <c r="D560" s="1393" t="s">
        <v>173</v>
      </c>
      <c r="E560" s="1391">
        <f>E561</f>
        <v>155500000</v>
      </c>
      <c r="F560" s="1391">
        <f>F561</f>
        <v>0</v>
      </c>
      <c r="G560" s="1355">
        <f t="shared" si="29"/>
        <v>0</v>
      </c>
      <c r="H560" s="1354">
        <f>+G560</f>
        <v>0</v>
      </c>
      <c r="I560" s="1353"/>
      <c r="J560" s="1341"/>
      <c r="K560" s="1341"/>
      <c r="L560" s="1341"/>
    </row>
    <row r="561" spans="1:12" s="1352" customFormat="1" ht="27.75" customHeight="1">
      <c r="A561" s="1341"/>
      <c r="B561" s="1341"/>
      <c r="C561" s="1374"/>
      <c r="D561" s="1408" t="s">
        <v>3213</v>
      </c>
      <c r="E561" s="1387">
        <v>155500000</v>
      </c>
      <c r="F561" s="1388">
        <v>0</v>
      </c>
      <c r="G561" s="1355">
        <f t="shared" si="29"/>
        <v>0</v>
      </c>
      <c r="H561" s="1354">
        <f>+G561</f>
        <v>0</v>
      </c>
      <c r="I561" s="1353"/>
      <c r="J561" s="1341"/>
      <c r="K561" s="1341"/>
      <c r="L561" s="1341"/>
    </row>
    <row r="562" spans="1:12" s="1352" customFormat="1" ht="20.100000000000001" customHeight="1">
      <c r="A562" s="1341"/>
      <c r="B562" s="1341"/>
      <c r="C562" s="1374"/>
      <c r="D562" s="1440" t="s">
        <v>190</v>
      </c>
      <c r="E562" s="1391">
        <f>E563</f>
        <v>181688000</v>
      </c>
      <c r="F562" s="1391">
        <f>F563</f>
        <v>181688000</v>
      </c>
      <c r="G562" s="1355">
        <f t="shared" si="29"/>
        <v>100</v>
      </c>
      <c r="H562" s="1354">
        <f>+G562</f>
        <v>100</v>
      </c>
      <c r="I562" s="1353"/>
      <c r="J562" s="1341"/>
      <c r="K562" s="1341"/>
      <c r="L562" s="1341"/>
    </row>
    <row r="563" spans="1:12" s="1352" customFormat="1" ht="20.100000000000001" customHeight="1">
      <c r="A563" s="1341"/>
      <c r="B563" s="1341"/>
      <c r="C563" s="1374"/>
      <c r="D563" s="1408" t="s">
        <v>3212</v>
      </c>
      <c r="E563" s="1387">
        <v>181688000</v>
      </c>
      <c r="F563" s="1388">
        <v>181688000</v>
      </c>
      <c r="G563" s="1355">
        <f t="shared" si="29"/>
        <v>100</v>
      </c>
      <c r="H563" s="1354">
        <f>+G563</f>
        <v>100</v>
      </c>
      <c r="I563" s="1353"/>
      <c r="J563" s="1341"/>
      <c r="K563" s="1341"/>
      <c r="L563" s="1341"/>
    </row>
    <row r="564" spans="1:12" s="1352" customFormat="1" ht="28.5" customHeight="1">
      <c r="A564" s="1341"/>
      <c r="B564" s="1341"/>
      <c r="C564" s="1374"/>
      <c r="D564" s="1440" t="s">
        <v>1414</v>
      </c>
      <c r="E564" s="1391">
        <f>E565+E566+E567</f>
        <v>1882233028</v>
      </c>
      <c r="F564" s="1391">
        <f>F565+F566+F567</f>
        <v>1877179000</v>
      </c>
      <c r="G564" s="1355">
        <f t="shared" si="29"/>
        <v>99.731487657223283</v>
      </c>
      <c r="H564" s="1354">
        <v>100</v>
      </c>
      <c r="I564" s="1353"/>
      <c r="J564" s="1341"/>
      <c r="K564" s="1341"/>
      <c r="L564" s="1341"/>
    </row>
    <row r="565" spans="1:12" s="1352" customFormat="1" ht="20.100000000000001" customHeight="1">
      <c r="A565" s="1341"/>
      <c r="B565" s="1341"/>
      <c r="C565" s="1374"/>
      <c r="D565" s="1408" t="s">
        <v>3211</v>
      </c>
      <c r="E565" s="1387">
        <v>1003174888</v>
      </c>
      <c r="F565" s="1388">
        <v>1000530000</v>
      </c>
      <c r="G565" s="1355">
        <f t="shared" si="29"/>
        <v>99.736348264730495</v>
      </c>
      <c r="H565" s="1354">
        <v>100</v>
      </c>
      <c r="I565" s="1353"/>
      <c r="J565" s="1341"/>
      <c r="K565" s="1341"/>
      <c r="L565" s="1341"/>
    </row>
    <row r="566" spans="1:12" s="1352" customFormat="1" ht="20.100000000000001" customHeight="1">
      <c r="A566" s="1341"/>
      <c r="B566" s="1341"/>
      <c r="C566" s="1374"/>
      <c r="D566" s="1408" t="s">
        <v>3210</v>
      </c>
      <c r="E566" s="1387">
        <v>493858140</v>
      </c>
      <c r="F566" s="1388">
        <v>491849000</v>
      </c>
      <c r="G566" s="1355">
        <f t="shared" si="29"/>
        <v>99.593174671576747</v>
      </c>
      <c r="H566" s="1354">
        <v>100</v>
      </c>
      <c r="I566" s="1353"/>
      <c r="J566" s="1341"/>
      <c r="K566" s="1341"/>
      <c r="L566" s="1341"/>
    </row>
    <row r="567" spans="1:12" s="1352" customFormat="1" ht="20.100000000000001" customHeight="1">
      <c r="A567" s="1341"/>
      <c r="B567" s="1341"/>
      <c r="C567" s="1374"/>
      <c r="D567" s="1408" t="s">
        <v>3209</v>
      </c>
      <c r="E567" s="1387">
        <v>385200000</v>
      </c>
      <c r="F567" s="1388">
        <v>384800000</v>
      </c>
      <c r="G567" s="1355">
        <f t="shared" si="29"/>
        <v>99.896157840083077</v>
      </c>
      <c r="H567" s="1354">
        <v>100</v>
      </c>
      <c r="I567" s="1353"/>
      <c r="J567" s="1341"/>
      <c r="K567" s="1341"/>
      <c r="L567" s="1341"/>
    </row>
    <row r="568" spans="1:12" s="1352" customFormat="1" ht="20.100000000000001" customHeight="1">
      <c r="A568" s="1341"/>
      <c r="B568" s="1341"/>
      <c r="C568" s="1374"/>
      <c r="D568" s="1440" t="s">
        <v>953</v>
      </c>
      <c r="E568" s="1391">
        <f>E569+E570</f>
        <v>4917968000</v>
      </c>
      <c r="F568" s="1391">
        <f>F569+F570</f>
        <v>4874400000</v>
      </c>
      <c r="G568" s="1355">
        <f t="shared" si="29"/>
        <v>99.114105663151946</v>
      </c>
      <c r="H568" s="1354">
        <f>195/2</f>
        <v>97.5</v>
      </c>
      <c r="I568" s="1353"/>
      <c r="J568" s="1341"/>
      <c r="K568" s="1341"/>
      <c r="L568" s="1341"/>
    </row>
    <row r="569" spans="1:12" s="1352" customFormat="1" ht="20.100000000000001" customHeight="1">
      <c r="A569" s="1341"/>
      <c r="B569" s="1341"/>
      <c r="C569" s="1374"/>
      <c r="D569" s="1408" t="s">
        <v>3208</v>
      </c>
      <c r="E569" s="1387">
        <v>4428000000</v>
      </c>
      <c r="F569" s="1388">
        <v>4428000000</v>
      </c>
      <c r="G569" s="1355">
        <f t="shared" si="29"/>
        <v>100</v>
      </c>
      <c r="H569" s="1354">
        <f>+G569</f>
        <v>100</v>
      </c>
      <c r="I569" s="1353"/>
      <c r="J569" s="1341"/>
      <c r="K569" s="1341"/>
      <c r="L569" s="1341"/>
    </row>
    <row r="570" spans="1:12" s="1352" customFormat="1" ht="20.100000000000001" customHeight="1">
      <c r="A570" s="1341"/>
      <c r="B570" s="1341"/>
      <c r="C570" s="1374"/>
      <c r="D570" s="1408" t="s">
        <v>3207</v>
      </c>
      <c r="E570" s="1387">
        <v>489968000</v>
      </c>
      <c r="F570" s="1388">
        <v>446400000</v>
      </c>
      <c r="G570" s="1355">
        <f t="shared" si="29"/>
        <v>91.107990725924964</v>
      </c>
      <c r="H570" s="1354">
        <v>95</v>
      </c>
      <c r="I570" s="1353"/>
      <c r="J570" s="1341"/>
      <c r="K570" s="1341"/>
      <c r="L570" s="1341"/>
    </row>
    <row r="571" spans="1:12" s="1352" customFormat="1" ht="20.100000000000001" customHeight="1">
      <c r="A571" s="1341"/>
      <c r="B571" s="1341"/>
      <c r="C571" s="1374"/>
      <c r="D571" s="1440" t="s">
        <v>3206</v>
      </c>
      <c r="E571" s="1391">
        <f>E572</f>
        <v>72820000</v>
      </c>
      <c r="F571" s="1391">
        <f>F572</f>
        <v>71900000</v>
      </c>
      <c r="G571" s="1355">
        <f t="shared" si="29"/>
        <v>98.736610821202959</v>
      </c>
      <c r="H571" s="1354">
        <v>100</v>
      </c>
      <c r="I571" s="1353"/>
      <c r="J571" s="1341"/>
      <c r="K571" s="1341"/>
      <c r="L571" s="1341"/>
    </row>
    <row r="572" spans="1:12" s="1352" customFormat="1" ht="20.100000000000001" customHeight="1">
      <c r="A572" s="1341"/>
      <c r="B572" s="1341"/>
      <c r="C572" s="1374"/>
      <c r="D572" s="1408" t="s">
        <v>3205</v>
      </c>
      <c r="E572" s="1387">
        <v>72820000</v>
      </c>
      <c r="F572" s="1388">
        <v>71900000</v>
      </c>
      <c r="G572" s="1355">
        <f t="shared" si="29"/>
        <v>98.736610821202959</v>
      </c>
      <c r="H572" s="1354">
        <v>100</v>
      </c>
      <c r="I572" s="1353"/>
      <c r="J572" s="1341"/>
      <c r="K572" s="1341"/>
      <c r="L572" s="1341"/>
    </row>
    <row r="573" spans="1:12" s="1352" customFormat="1" ht="20.100000000000001" customHeight="1">
      <c r="A573" s="1341"/>
      <c r="B573" s="1341"/>
      <c r="C573" s="1374"/>
      <c r="D573" s="1393" t="s">
        <v>221</v>
      </c>
      <c r="E573" s="1391">
        <f>E574</f>
        <v>800000000</v>
      </c>
      <c r="F573" s="1391">
        <f>F574</f>
        <v>600000000</v>
      </c>
      <c r="G573" s="1355">
        <f t="shared" si="29"/>
        <v>75</v>
      </c>
      <c r="H573" s="1354">
        <f>+G573</f>
        <v>75</v>
      </c>
      <c r="I573" s="1353"/>
      <c r="J573" s="1341"/>
      <c r="K573" s="1341"/>
      <c r="L573" s="1341"/>
    </row>
    <row r="574" spans="1:12" s="1352" customFormat="1" ht="30" customHeight="1">
      <c r="A574" s="1341"/>
      <c r="B574" s="1341"/>
      <c r="C574" s="1374"/>
      <c r="D574" s="1408" t="s">
        <v>1938</v>
      </c>
      <c r="E574" s="1387">
        <v>800000000</v>
      </c>
      <c r="F574" s="1388">
        <v>600000000</v>
      </c>
      <c r="G574" s="1355">
        <f t="shared" si="29"/>
        <v>75</v>
      </c>
      <c r="H574" s="1354">
        <f>+G574</f>
        <v>75</v>
      </c>
      <c r="I574" s="1353"/>
      <c r="J574" s="1341"/>
      <c r="K574" s="1341"/>
      <c r="L574" s="1341"/>
    </row>
    <row r="575" spans="1:12" s="1352" customFormat="1" ht="20.100000000000001" customHeight="1">
      <c r="A575" s="1341"/>
      <c r="B575" s="1341"/>
      <c r="C575" s="1374"/>
      <c r="D575" s="1393" t="s">
        <v>1501</v>
      </c>
      <c r="E575" s="1391">
        <f>E576+E577</f>
        <v>970168000</v>
      </c>
      <c r="F575" s="1391">
        <f>F576+F577</f>
        <v>555000000</v>
      </c>
      <c r="G575" s="1355">
        <f t="shared" si="29"/>
        <v>57.206586900413129</v>
      </c>
      <c r="H575" s="1354">
        <v>50</v>
      </c>
      <c r="I575" s="1353"/>
      <c r="J575" s="1341"/>
      <c r="K575" s="1341"/>
      <c r="L575" s="1341"/>
    </row>
    <row r="576" spans="1:12" s="1352" customFormat="1" ht="20.100000000000001" customHeight="1">
      <c r="A576" s="1341"/>
      <c r="B576" s="1341"/>
      <c r="C576" s="1374"/>
      <c r="D576" s="1408" t="s">
        <v>1942</v>
      </c>
      <c r="E576" s="1387">
        <v>555000000</v>
      </c>
      <c r="F576" s="1388">
        <v>555000000</v>
      </c>
      <c r="G576" s="1355">
        <f t="shared" si="29"/>
        <v>100</v>
      </c>
      <c r="H576" s="1354">
        <f>+G576</f>
        <v>100</v>
      </c>
      <c r="I576" s="1353"/>
      <c r="J576" s="1341"/>
      <c r="K576" s="1341"/>
      <c r="L576" s="1341"/>
    </row>
    <row r="577" spans="1:12" s="1352" customFormat="1" ht="30" customHeight="1">
      <c r="A577" s="1341"/>
      <c r="B577" s="1341"/>
      <c r="C577" s="1374"/>
      <c r="D577" s="1408" t="s">
        <v>1943</v>
      </c>
      <c r="E577" s="1387">
        <v>415168000</v>
      </c>
      <c r="F577" s="1388">
        <v>0</v>
      </c>
      <c r="G577" s="1355">
        <f t="shared" si="29"/>
        <v>0</v>
      </c>
      <c r="H577" s="1354">
        <f>+G577</f>
        <v>0</v>
      </c>
      <c r="I577" s="1353"/>
      <c r="J577" s="1341"/>
      <c r="K577" s="1341"/>
      <c r="L577" s="1341"/>
    </row>
    <row r="578" spans="1:12" s="1352" customFormat="1" ht="20.100000000000001" customHeight="1">
      <c r="A578" s="1341"/>
      <c r="B578" s="1341"/>
      <c r="C578" s="1374"/>
      <c r="D578" s="1440" t="s">
        <v>877</v>
      </c>
      <c r="E578" s="1391">
        <f>E579</f>
        <v>88768000</v>
      </c>
      <c r="F578" s="1391">
        <f>F579</f>
        <v>88768000</v>
      </c>
      <c r="G578" s="1355">
        <f t="shared" si="29"/>
        <v>100</v>
      </c>
      <c r="H578" s="1354">
        <f>+G578</f>
        <v>100</v>
      </c>
      <c r="I578" s="1353"/>
      <c r="J578" s="1341"/>
      <c r="K578" s="1341"/>
      <c r="L578" s="1341"/>
    </row>
    <row r="579" spans="1:12" s="1352" customFormat="1" ht="20.100000000000001" customHeight="1">
      <c r="A579" s="1341"/>
      <c r="B579" s="1341"/>
      <c r="C579" s="1374"/>
      <c r="D579" s="1408" t="s">
        <v>3204</v>
      </c>
      <c r="E579" s="1387">
        <v>88768000</v>
      </c>
      <c r="F579" s="1388">
        <v>88768000</v>
      </c>
      <c r="G579" s="1355">
        <f t="shared" si="29"/>
        <v>100</v>
      </c>
      <c r="H579" s="1354">
        <f>+G579</f>
        <v>100</v>
      </c>
      <c r="I579" s="1353"/>
      <c r="J579" s="1341"/>
      <c r="K579" s="1341"/>
      <c r="L579" s="1341"/>
    </row>
    <row r="580" spans="1:12" ht="15" customHeight="1">
      <c r="A580" s="1341"/>
      <c r="B580" s="1341"/>
      <c r="C580" s="1374"/>
      <c r="D580" s="1373"/>
      <c r="E580" s="1404">
        <v>0</v>
      </c>
      <c r="F580" s="1405"/>
      <c r="G580" s="1371"/>
      <c r="H580" s="1371"/>
      <c r="I580" s="1353"/>
      <c r="J580" s="1341"/>
      <c r="K580" s="1341"/>
      <c r="L580" s="1341"/>
    </row>
    <row r="581" spans="1:12" s="1359" customFormat="1" ht="20.100000000000001" customHeight="1">
      <c r="A581" s="1346"/>
      <c r="B581" s="1346"/>
      <c r="C581" s="1381" t="s">
        <v>1977</v>
      </c>
      <c r="D581" s="1370" t="s">
        <v>1978</v>
      </c>
      <c r="E581" s="1404">
        <v>12011457240</v>
      </c>
      <c r="F581" s="1404">
        <f>+F582+F597</f>
        <v>8185254000</v>
      </c>
      <c r="G581" s="1368">
        <f>+F581/E581*100</f>
        <v>68.145386829017269</v>
      </c>
      <c r="H581" s="1368">
        <f>(H582+H597)/2</f>
        <v>47.5</v>
      </c>
      <c r="I581" s="1360"/>
      <c r="J581" s="1346"/>
      <c r="K581" s="1346"/>
      <c r="L581" s="1346"/>
    </row>
    <row r="582" spans="1:12" s="1352" customFormat="1" ht="20.100000000000001" customHeight="1">
      <c r="A582" s="1341"/>
      <c r="B582" s="1341"/>
      <c r="C582" s="1374"/>
      <c r="D582" s="1370" t="s">
        <v>161</v>
      </c>
      <c r="E582" s="1420">
        <f>E583+E585+E587+E590+E592+E594</f>
        <v>8377798240</v>
      </c>
      <c r="F582" s="1420">
        <f>F583+F585+F587+F590+F592+F594</f>
        <v>8185254000</v>
      </c>
      <c r="G582" s="1439">
        <f t="shared" ref="G582:G595" si="30">F582/E582%</f>
        <v>97.701732191631294</v>
      </c>
      <c r="H582" s="1379">
        <f>(H583+H585+H587+H590+H592+H594)/6</f>
        <v>95</v>
      </c>
      <c r="I582" s="1353"/>
      <c r="J582" s="1341"/>
      <c r="K582" s="1341"/>
      <c r="L582" s="1341"/>
    </row>
    <row r="583" spans="1:12" s="1352" customFormat="1" ht="20.100000000000001" customHeight="1">
      <c r="A583" s="1341"/>
      <c r="B583" s="1341"/>
      <c r="C583" s="1374"/>
      <c r="D583" s="1370" t="s">
        <v>162</v>
      </c>
      <c r="E583" s="1420">
        <f>E584</f>
        <v>1700000000</v>
      </c>
      <c r="F583" s="1420">
        <f>F584</f>
        <v>1689900000</v>
      </c>
      <c r="G583" s="1379">
        <f t="shared" si="30"/>
        <v>99.405882352941177</v>
      </c>
      <c r="H583" s="1379">
        <v>100</v>
      </c>
      <c r="I583" s="1353"/>
      <c r="J583" s="1341"/>
      <c r="K583" s="1341"/>
      <c r="L583" s="1341"/>
    </row>
    <row r="584" spans="1:12" s="1352" customFormat="1" ht="20.100000000000001" customHeight="1">
      <c r="A584" s="1341"/>
      <c r="B584" s="1341"/>
      <c r="C584" s="1374"/>
      <c r="D584" s="1373" t="s">
        <v>3189</v>
      </c>
      <c r="E584" s="1419">
        <v>1700000000</v>
      </c>
      <c r="F584" s="1419">
        <v>1689900000</v>
      </c>
      <c r="G584" s="1439">
        <f t="shared" si="30"/>
        <v>99.405882352941177</v>
      </c>
      <c r="H584" s="1439">
        <v>100</v>
      </c>
      <c r="I584" s="1353"/>
      <c r="J584" s="1341"/>
      <c r="K584" s="1341"/>
      <c r="L584" s="1341"/>
    </row>
    <row r="585" spans="1:12" s="1352" customFormat="1" ht="20.100000000000001" customHeight="1">
      <c r="A585" s="1341"/>
      <c r="B585" s="1341"/>
      <c r="C585" s="1374"/>
      <c r="D585" s="1370" t="s">
        <v>173</v>
      </c>
      <c r="E585" s="1420">
        <f>E586</f>
        <v>3600000000</v>
      </c>
      <c r="F585" s="1420">
        <f>F586</f>
        <v>3600000000</v>
      </c>
      <c r="G585" s="1379">
        <f t="shared" si="30"/>
        <v>100</v>
      </c>
      <c r="H585" s="1379">
        <v>100</v>
      </c>
      <c r="I585" s="1353"/>
      <c r="J585" s="1341"/>
      <c r="K585" s="1341"/>
      <c r="L585" s="1341"/>
    </row>
    <row r="586" spans="1:12" s="1352" customFormat="1" ht="20.100000000000001" customHeight="1">
      <c r="A586" s="1341"/>
      <c r="B586" s="1341"/>
      <c r="C586" s="1374"/>
      <c r="D586" s="1373" t="s">
        <v>3188</v>
      </c>
      <c r="E586" s="1419">
        <v>3600000000</v>
      </c>
      <c r="F586" s="1419">
        <v>3600000000</v>
      </c>
      <c r="G586" s="1439">
        <f t="shared" si="30"/>
        <v>100</v>
      </c>
      <c r="H586" s="1439">
        <v>100</v>
      </c>
      <c r="I586" s="1353"/>
      <c r="J586" s="1341"/>
      <c r="K586" s="1341"/>
      <c r="L586" s="1341"/>
    </row>
    <row r="587" spans="1:12" s="1352" customFormat="1" ht="20.100000000000001" customHeight="1">
      <c r="A587" s="1341"/>
      <c r="B587" s="1341"/>
      <c r="C587" s="1374"/>
      <c r="D587" s="1370" t="s">
        <v>2001</v>
      </c>
      <c r="E587" s="1420">
        <f>SUM(E588:E589)</f>
        <v>2344000000</v>
      </c>
      <c r="F587" s="1420">
        <f>SUM(F588:F589)</f>
        <v>2343980000</v>
      </c>
      <c r="G587" s="1379">
        <f t="shared" si="30"/>
        <v>99.999146757679185</v>
      </c>
      <c r="H587" s="1379">
        <v>100</v>
      </c>
      <c r="I587" s="1353"/>
      <c r="J587" s="1341"/>
      <c r="K587" s="1341"/>
      <c r="L587" s="1341"/>
    </row>
    <row r="588" spans="1:12" s="1352" customFormat="1" ht="20.100000000000001" customHeight="1">
      <c r="A588" s="1341"/>
      <c r="B588" s="1341"/>
      <c r="C588" s="1374"/>
      <c r="D588" s="1373" t="s">
        <v>2002</v>
      </c>
      <c r="E588" s="1419">
        <v>1000000000</v>
      </c>
      <c r="F588" s="1419">
        <v>999980000</v>
      </c>
      <c r="G588" s="1439">
        <f t="shared" si="30"/>
        <v>99.998000000000005</v>
      </c>
      <c r="H588" s="1439">
        <v>100</v>
      </c>
      <c r="I588" s="1353"/>
      <c r="J588" s="1341"/>
      <c r="K588" s="1341"/>
      <c r="L588" s="1341"/>
    </row>
    <row r="589" spans="1:12" s="1352" customFormat="1" ht="20.100000000000001" customHeight="1">
      <c r="A589" s="1341"/>
      <c r="B589" s="1341"/>
      <c r="C589" s="1374"/>
      <c r="D589" s="1373" t="s">
        <v>2003</v>
      </c>
      <c r="E589" s="1419">
        <v>1344000000</v>
      </c>
      <c r="F589" s="1419">
        <v>1344000000</v>
      </c>
      <c r="G589" s="1439">
        <f t="shared" si="30"/>
        <v>100</v>
      </c>
      <c r="H589" s="1439">
        <v>100</v>
      </c>
      <c r="I589" s="1353"/>
      <c r="J589" s="1341"/>
      <c r="K589" s="1341"/>
      <c r="L589" s="1341"/>
    </row>
    <row r="590" spans="1:12" s="1352" customFormat="1" ht="20.100000000000001" customHeight="1">
      <c r="A590" s="1341"/>
      <c r="B590" s="1341"/>
      <c r="C590" s="1374"/>
      <c r="D590" s="1370" t="s">
        <v>190</v>
      </c>
      <c r="E590" s="1420">
        <f>E591</f>
        <v>86775240</v>
      </c>
      <c r="F590" s="1420">
        <f>F591</f>
        <v>86774000</v>
      </c>
      <c r="G590" s="1379">
        <f t="shared" si="30"/>
        <v>99.998571020950209</v>
      </c>
      <c r="H590" s="1379">
        <v>100</v>
      </c>
      <c r="I590" s="1353"/>
      <c r="J590" s="1341"/>
      <c r="K590" s="1341"/>
      <c r="L590" s="1341"/>
    </row>
    <row r="591" spans="1:12" s="1352" customFormat="1" ht="20.100000000000001" customHeight="1">
      <c r="A591" s="1341"/>
      <c r="B591" s="1341"/>
      <c r="C591" s="1374"/>
      <c r="D591" s="1373" t="s">
        <v>1997</v>
      </c>
      <c r="E591" s="1419">
        <v>86775240</v>
      </c>
      <c r="F591" s="1419">
        <v>86774000</v>
      </c>
      <c r="G591" s="1439">
        <f t="shared" si="30"/>
        <v>99.998571020950209</v>
      </c>
      <c r="H591" s="1439">
        <v>100</v>
      </c>
      <c r="I591" s="1353"/>
      <c r="J591" s="1341"/>
      <c r="K591" s="1341"/>
      <c r="L591" s="1341"/>
    </row>
    <row r="592" spans="1:12" s="1352" customFormat="1" ht="20.100000000000001" customHeight="1">
      <c r="A592" s="1341"/>
      <c r="B592" s="1341"/>
      <c r="C592" s="1374"/>
      <c r="D592" s="1370" t="s">
        <v>1999</v>
      </c>
      <c r="E592" s="1420">
        <f>E593</f>
        <v>392423000</v>
      </c>
      <c r="F592" s="1420">
        <f>F593</f>
        <v>210000000</v>
      </c>
      <c r="G592" s="1379">
        <f t="shared" si="30"/>
        <v>53.513682939073398</v>
      </c>
      <c r="H592" s="1379">
        <v>70</v>
      </c>
      <c r="I592" s="1353"/>
      <c r="J592" s="1341"/>
      <c r="K592" s="1341"/>
      <c r="L592" s="1341"/>
    </row>
    <row r="593" spans="1:12" s="1352" customFormat="1" ht="20.100000000000001" customHeight="1">
      <c r="A593" s="1341"/>
      <c r="B593" s="1341"/>
      <c r="C593" s="1374"/>
      <c r="D593" s="1373" t="s">
        <v>2000</v>
      </c>
      <c r="E593" s="1419">
        <v>392423000</v>
      </c>
      <c r="F593" s="1419">
        <v>210000000</v>
      </c>
      <c r="G593" s="1439">
        <f t="shared" si="30"/>
        <v>53.513682939073398</v>
      </c>
      <c r="H593" s="1439">
        <v>70</v>
      </c>
      <c r="I593" s="1353"/>
      <c r="J593" s="1341"/>
      <c r="K593" s="1341"/>
      <c r="L593" s="1341"/>
    </row>
    <row r="594" spans="1:12" s="1352" customFormat="1" ht="20.100000000000001" customHeight="1">
      <c r="A594" s="1341"/>
      <c r="B594" s="1341"/>
      <c r="C594" s="1374"/>
      <c r="D594" s="1370" t="s">
        <v>483</v>
      </c>
      <c r="E594" s="1420">
        <f>E595</f>
        <v>254600000</v>
      </c>
      <c r="F594" s="1420">
        <f>F595</f>
        <v>254600000</v>
      </c>
      <c r="G594" s="1379">
        <f t="shared" si="30"/>
        <v>100</v>
      </c>
      <c r="H594" s="1379">
        <v>100</v>
      </c>
      <c r="I594" s="1353"/>
      <c r="J594" s="1341"/>
      <c r="K594" s="1341"/>
      <c r="L594" s="1341"/>
    </row>
    <row r="595" spans="1:12" s="1352" customFormat="1" ht="20.100000000000001" customHeight="1">
      <c r="A595" s="1341"/>
      <c r="B595" s="1341"/>
      <c r="C595" s="1374"/>
      <c r="D595" s="1373" t="s">
        <v>3187</v>
      </c>
      <c r="E595" s="1419">
        <v>254600000</v>
      </c>
      <c r="F595" s="1419">
        <v>254600000</v>
      </c>
      <c r="G595" s="1439">
        <f t="shared" si="30"/>
        <v>100</v>
      </c>
      <c r="H595" s="1439">
        <v>100</v>
      </c>
      <c r="I595" s="1353"/>
      <c r="J595" s="1341"/>
      <c r="K595" s="1341"/>
      <c r="L595" s="1341"/>
    </row>
    <row r="596" spans="1:12" s="1352" customFormat="1" ht="15" customHeight="1">
      <c r="A596" s="1341"/>
      <c r="B596" s="1341"/>
      <c r="C596" s="1374"/>
      <c r="D596" s="1373"/>
      <c r="E596" s="1404">
        <v>0</v>
      </c>
      <c r="F596" s="1405"/>
      <c r="G596" s="1371"/>
      <c r="H596" s="1371"/>
      <c r="I596" s="1353"/>
      <c r="J596" s="1341"/>
      <c r="K596" s="1341"/>
      <c r="L596" s="1341"/>
    </row>
    <row r="597" spans="1:12" s="1352" customFormat="1" ht="20.100000000000001" customHeight="1">
      <c r="A597" s="1341"/>
      <c r="B597" s="1341"/>
      <c r="C597" s="1374"/>
      <c r="D597" s="1370" t="s">
        <v>1219</v>
      </c>
      <c r="E597" s="1404">
        <v>3633659000</v>
      </c>
      <c r="F597" s="1405"/>
      <c r="G597" s="1371"/>
      <c r="H597" s="1371"/>
      <c r="I597" s="1353"/>
      <c r="J597" s="1341"/>
      <c r="K597" s="1341"/>
      <c r="L597" s="1341"/>
    </row>
    <row r="598" spans="1:12" s="1352" customFormat="1" ht="20.100000000000001" customHeight="1">
      <c r="A598" s="1341"/>
      <c r="B598" s="1341"/>
      <c r="C598" s="1374"/>
      <c r="D598" s="1438" t="s">
        <v>2616</v>
      </c>
      <c r="E598" s="1404">
        <v>3633659000</v>
      </c>
      <c r="F598" s="1405"/>
      <c r="G598" s="1371"/>
      <c r="H598" s="1371"/>
      <c r="I598" s="1353"/>
      <c r="J598" s="1341"/>
      <c r="K598" s="1341"/>
      <c r="L598" s="1341"/>
    </row>
    <row r="599" spans="1:12" ht="15" customHeight="1">
      <c r="A599" s="1341"/>
      <c r="B599" s="1341"/>
      <c r="C599" s="1374"/>
      <c r="D599" s="1373"/>
      <c r="E599" s="1404">
        <v>0</v>
      </c>
      <c r="F599" s="1405"/>
      <c r="G599" s="1371"/>
      <c r="H599" s="1371"/>
      <c r="I599" s="1353"/>
      <c r="J599" s="1341"/>
      <c r="K599" s="1341"/>
      <c r="L599" s="1341"/>
    </row>
    <row r="600" spans="1:12" s="1352" customFormat="1" ht="20.100000000000001" customHeight="1">
      <c r="A600" s="1341"/>
      <c r="B600" s="1341"/>
      <c r="C600" s="1374" t="s">
        <v>2014</v>
      </c>
      <c r="D600" s="1398" t="s">
        <v>2015</v>
      </c>
      <c r="E600" s="1404">
        <f>+E601</f>
        <v>9731310095</v>
      </c>
      <c r="F600" s="1403">
        <f>+F601</f>
        <v>9483310095</v>
      </c>
      <c r="G600" s="1368">
        <f>+F600/E600*100</f>
        <v>97.45152505080047</v>
      </c>
      <c r="H600" s="1368">
        <f>H601</f>
        <v>100</v>
      </c>
      <c r="I600" s="1353"/>
      <c r="J600" s="1341"/>
      <c r="K600" s="1341"/>
      <c r="L600" s="1341"/>
    </row>
    <row r="601" spans="1:12" s="1359" customFormat="1" ht="20.100000000000001" customHeight="1">
      <c r="A601" s="1346"/>
      <c r="B601" s="1346"/>
      <c r="C601" s="1381"/>
      <c r="D601" s="1398" t="s">
        <v>161</v>
      </c>
      <c r="E601" s="1437">
        <f>E602+E604+E606+E608+E611</f>
        <v>9731310095</v>
      </c>
      <c r="F601" s="1437">
        <f>F602+F604+F606+F608+F611</f>
        <v>9483310095</v>
      </c>
      <c r="G601" s="1436">
        <f t="shared" ref="G601:G608" si="31">(F601/E601)*100</f>
        <v>97.45152505080047</v>
      </c>
      <c r="H601" s="1436">
        <v>100</v>
      </c>
      <c r="I601" s="1360"/>
      <c r="J601" s="1346"/>
      <c r="K601" s="1346"/>
      <c r="L601" s="1346"/>
    </row>
    <row r="602" spans="1:12" s="1352" customFormat="1" ht="20.100000000000001" customHeight="1">
      <c r="A602" s="1341"/>
      <c r="B602" s="1341"/>
      <c r="C602" s="1374"/>
      <c r="D602" s="1434" t="s">
        <v>162</v>
      </c>
      <c r="E602" s="1433">
        <f>E603</f>
        <v>97776000</v>
      </c>
      <c r="F602" s="1433">
        <f>F603</f>
        <v>97776000</v>
      </c>
      <c r="G602" s="1432">
        <f t="shared" si="31"/>
        <v>100</v>
      </c>
      <c r="H602" s="1431">
        <f>H603</f>
        <v>100</v>
      </c>
      <c r="I602" s="1353"/>
      <c r="J602" s="1341"/>
      <c r="K602" s="1341"/>
      <c r="L602" s="1341"/>
    </row>
    <row r="603" spans="1:12" s="1352" customFormat="1" ht="20.100000000000001" customHeight="1">
      <c r="A603" s="1341"/>
      <c r="B603" s="1341"/>
      <c r="C603" s="1374"/>
      <c r="D603" s="1430" t="s">
        <v>2030</v>
      </c>
      <c r="E603" s="1429">
        <v>97776000</v>
      </c>
      <c r="F603" s="1429">
        <v>97776000</v>
      </c>
      <c r="G603" s="1394">
        <f t="shared" si="31"/>
        <v>100</v>
      </c>
      <c r="H603" s="1394">
        <v>100</v>
      </c>
      <c r="I603" s="1353"/>
      <c r="J603" s="1341"/>
      <c r="K603" s="1341"/>
      <c r="L603" s="1341"/>
    </row>
    <row r="604" spans="1:12" s="1352" customFormat="1" ht="20.100000000000001" customHeight="1">
      <c r="A604" s="1341"/>
      <c r="B604" s="1341"/>
      <c r="C604" s="1374"/>
      <c r="D604" s="1434" t="s">
        <v>173</v>
      </c>
      <c r="E604" s="1433">
        <f>SUM(E605:E605)</f>
        <v>8848800000</v>
      </c>
      <c r="F604" s="1433">
        <f>SUM(F605:F605)</f>
        <v>8600800000</v>
      </c>
      <c r="G604" s="1432">
        <f t="shared" si="31"/>
        <v>97.197360094024049</v>
      </c>
      <c r="H604" s="1431">
        <v>100</v>
      </c>
      <c r="I604" s="1353"/>
      <c r="J604" s="1341"/>
      <c r="K604" s="1341"/>
      <c r="L604" s="1341"/>
    </row>
    <row r="605" spans="1:12" s="1352" customFormat="1" ht="20.100000000000001" customHeight="1">
      <c r="A605" s="1341"/>
      <c r="B605" s="1341"/>
      <c r="C605" s="1374"/>
      <c r="D605" s="1430" t="s">
        <v>1685</v>
      </c>
      <c r="E605" s="1429">
        <v>8848800000</v>
      </c>
      <c r="F605" s="1388">
        <v>8600800000</v>
      </c>
      <c r="G605" s="1394">
        <f t="shared" si="31"/>
        <v>97.197360094024049</v>
      </c>
      <c r="H605" s="1394">
        <v>100</v>
      </c>
      <c r="I605" s="1353"/>
      <c r="J605" s="1341"/>
      <c r="K605" s="1341"/>
      <c r="L605" s="1341"/>
    </row>
    <row r="606" spans="1:12" s="1352" customFormat="1" ht="20.100000000000001" customHeight="1">
      <c r="A606" s="1341"/>
      <c r="B606" s="1341"/>
      <c r="C606" s="1374"/>
      <c r="D606" s="1434" t="s">
        <v>196</v>
      </c>
      <c r="E606" s="1433">
        <f>E607</f>
        <v>326900000</v>
      </c>
      <c r="F606" s="1433">
        <f>F607</f>
        <v>326900000</v>
      </c>
      <c r="G606" s="1432">
        <f t="shared" si="31"/>
        <v>100</v>
      </c>
      <c r="H606" s="1431">
        <f>H607</f>
        <v>100</v>
      </c>
      <c r="I606" s="1353"/>
      <c r="J606" s="1341"/>
      <c r="K606" s="1341"/>
      <c r="L606" s="1341"/>
    </row>
    <row r="607" spans="1:12" s="1352" customFormat="1" ht="20.100000000000001" customHeight="1">
      <c r="A607" s="1341"/>
      <c r="B607" s="1341"/>
      <c r="C607" s="1374"/>
      <c r="D607" s="1430" t="s">
        <v>3168</v>
      </c>
      <c r="E607" s="1429">
        <v>326900000</v>
      </c>
      <c r="F607" s="1429">
        <v>326900000</v>
      </c>
      <c r="G607" s="1394">
        <f t="shared" si="31"/>
        <v>100</v>
      </c>
      <c r="H607" s="1394">
        <v>100</v>
      </c>
      <c r="I607" s="1353"/>
      <c r="J607" s="1341"/>
      <c r="K607" s="1341"/>
      <c r="L607" s="1341"/>
    </row>
    <row r="608" spans="1:12" s="1352" customFormat="1" ht="32.25" customHeight="1">
      <c r="A608" s="1341"/>
      <c r="B608" s="1341"/>
      <c r="C608" s="1374"/>
      <c r="D608" s="1435" t="s">
        <v>3167</v>
      </c>
      <c r="E608" s="1433">
        <f>E609+E610</f>
        <v>222350000</v>
      </c>
      <c r="F608" s="1433">
        <f>F609+F610</f>
        <v>222350000</v>
      </c>
      <c r="G608" s="1432">
        <f t="shared" si="31"/>
        <v>100</v>
      </c>
      <c r="H608" s="1431">
        <v>100</v>
      </c>
      <c r="I608" s="1353"/>
      <c r="J608" s="1341"/>
      <c r="K608" s="1341"/>
      <c r="L608" s="1341"/>
    </row>
    <row r="609" spans="1:12" s="1352" customFormat="1" ht="20.100000000000001" customHeight="1">
      <c r="A609" s="1341"/>
      <c r="B609" s="1341"/>
      <c r="C609" s="1374"/>
      <c r="D609" s="1430" t="s">
        <v>3166</v>
      </c>
      <c r="E609" s="1429">
        <v>42350000</v>
      </c>
      <c r="F609" s="1429">
        <v>42350000</v>
      </c>
      <c r="G609" s="1394">
        <v>100</v>
      </c>
      <c r="H609" s="1428">
        <v>100</v>
      </c>
      <c r="I609" s="1353"/>
      <c r="J609" s="1341"/>
      <c r="K609" s="1341"/>
      <c r="L609" s="1341"/>
    </row>
    <row r="610" spans="1:12" s="1352" customFormat="1" ht="20.100000000000001" customHeight="1">
      <c r="A610" s="1341"/>
      <c r="B610" s="1341"/>
      <c r="C610" s="1374"/>
      <c r="D610" s="1430" t="s">
        <v>687</v>
      </c>
      <c r="E610" s="1429">
        <v>180000000</v>
      </c>
      <c r="F610" s="1429">
        <v>180000000</v>
      </c>
      <c r="G610" s="1394">
        <v>100</v>
      </c>
      <c r="H610" s="1394">
        <v>100</v>
      </c>
      <c r="I610" s="1353"/>
      <c r="J610" s="1341"/>
      <c r="K610" s="1341"/>
      <c r="L610" s="1341"/>
    </row>
    <row r="611" spans="1:12" s="1352" customFormat="1" ht="20.100000000000001" customHeight="1">
      <c r="A611" s="1341"/>
      <c r="B611" s="1341"/>
      <c r="C611" s="1374"/>
      <c r="D611" s="1434" t="s">
        <v>1878</v>
      </c>
      <c r="E611" s="1433">
        <f>E612</f>
        <v>235484095</v>
      </c>
      <c r="F611" s="1433">
        <f>F612</f>
        <v>235484095</v>
      </c>
      <c r="G611" s="1432">
        <f>(F611/E611)*100</f>
        <v>100</v>
      </c>
      <c r="H611" s="1431">
        <f>H612</f>
        <v>100</v>
      </c>
      <c r="I611" s="1353"/>
      <c r="J611" s="1341"/>
      <c r="K611" s="1341"/>
      <c r="L611" s="1341"/>
    </row>
    <row r="612" spans="1:12" s="1352" customFormat="1" ht="20.100000000000001" customHeight="1">
      <c r="A612" s="1341"/>
      <c r="B612" s="1341"/>
      <c r="C612" s="1374"/>
      <c r="D612" s="1430" t="s">
        <v>1728</v>
      </c>
      <c r="E612" s="1429">
        <v>235484095</v>
      </c>
      <c r="F612" s="1429">
        <v>235484095</v>
      </c>
      <c r="G612" s="1394">
        <f>(F612/E612)*100</f>
        <v>100</v>
      </c>
      <c r="H612" s="1428">
        <v>100</v>
      </c>
      <c r="I612" s="1353"/>
      <c r="J612" s="1341"/>
      <c r="K612" s="1341"/>
      <c r="L612" s="1341"/>
    </row>
    <row r="613" spans="1:12" ht="15" customHeight="1">
      <c r="A613" s="1341"/>
      <c r="B613" s="1341"/>
      <c r="C613" s="1374"/>
      <c r="D613" s="1373"/>
      <c r="E613" s="1404"/>
      <c r="F613" s="1405"/>
      <c r="G613" s="1371"/>
      <c r="H613" s="1371"/>
      <c r="I613" s="1353"/>
      <c r="J613" s="1341"/>
      <c r="K613" s="1341"/>
      <c r="L613" s="1341"/>
    </row>
    <row r="614" spans="1:12" s="1359" customFormat="1" ht="20.100000000000001" customHeight="1">
      <c r="A614" s="1346"/>
      <c r="B614" s="1346"/>
      <c r="C614" s="1381" t="s">
        <v>2066</v>
      </c>
      <c r="D614" s="1370" t="s">
        <v>2067</v>
      </c>
      <c r="E614" s="1404">
        <v>9231688037.3299999</v>
      </c>
      <c r="F614" s="1403">
        <f>+F615</f>
        <v>8331859800</v>
      </c>
      <c r="G614" s="1368">
        <f t="shared" ref="G614:G629" si="32">+F614/E614*100</f>
        <v>90.252830969900828</v>
      </c>
      <c r="H614" s="1368">
        <f>H615</f>
        <v>80</v>
      </c>
      <c r="I614" s="1360"/>
      <c r="J614" s="1346"/>
      <c r="K614" s="1346"/>
      <c r="L614" s="1346"/>
    </row>
    <row r="615" spans="1:12" s="1352" customFormat="1" ht="20.100000000000001" customHeight="1">
      <c r="A615" s="1341"/>
      <c r="B615" s="1341"/>
      <c r="C615" s="1374"/>
      <c r="D615" s="1427" t="s">
        <v>65</v>
      </c>
      <c r="E615" s="1426">
        <f>E616+E618+E620+E622+E624+E626+E628</f>
        <v>9231688037.3299999</v>
      </c>
      <c r="F615" s="1425">
        <f>F616+F618+F620+F622+F624+F626+F628</f>
        <v>8331859800</v>
      </c>
      <c r="G615" s="1424">
        <f t="shared" si="32"/>
        <v>90.252830969900828</v>
      </c>
      <c r="H615" s="1424">
        <f>(H616+H618+H620+H622+H624+H626+H628)/7</f>
        <v>80</v>
      </c>
      <c r="I615" s="1353"/>
      <c r="J615" s="1341"/>
      <c r="K615" s="1341"/>
      <c r="L615" s="1341"/>
    </row>
    <row r="616" spans="1:12" s="1352" customFormat="1" ht="20.100000000000001" customHeight="1">
      <c r="A616" s="1341"/>
      <c r="B616" s="1341"/>
      <c r="C616" s="1374"/>
      <c r="D616" s="1427" t="s">
        <v>1878</v>
      </c>
      <c r="E616" s="1426">
        <f>SUM(E617)</f>
        <v>23900000</v>
      </c>
      <c r="F616" s="1425">
        <f>F617</f>
        <v>7200000</v>
      </c>
      <c r="G616" s="1424">
        <f t="shared" si="32"/>
        <v>30.125523012552303</v>
      </c>
      <c r="H616" s="1424">
        <v>35</v>
      </c>
      <c r="I616" s="1353"/>
      <c r="J616" s="1341"/>
      <c r="K616" s="1341"/>
      <c r="L616" s="1341"/>
    </row>
    <row r="617" spans="1:12" s="1352" customFormat="1" ht="20.100000000000001" customHeight="1">
      <c r="A617" s="1341"/>
      <c r="B617" s="1341"/>
      <c r="C617" s="1374"/>
      <c r="D617" s="1396" t="s">
        <v>3101</v>
      </c>
      <c r="E617" s="1423">
        <v>23900000</v>
      </c>
      <c r="F617" s="1422">
        <v>7200000</v>
      </c>
      <c r="G617" s="1421">
        <f t="shared" si="32"/>
        <v>30.125523012552303</v>
      </c>
      <c r="H617" s="1421">
        <v>35</v>
      </c>
      <c r="I617" s="1353"/>
      <c r="J617" s="1341"/>
      <c r="K617" s="1341"/>
      <c r="L617" s="1341"/>
    </row>
    <row r="618" spans="1:12" s="1352" customFormat="1" ht="20.100000000000001" customHeight="1">
      <c r="A618" s="1341"/>
      <c r="B618" s="1341"/>
      <c r="C618" s="1374"/>
      <c r="D618" s="1427" t="s">
        <v>162</v>
      </c>
      <c r="E618" s="1426">
        <f>SUM(E619:E619)</f>
        <v>689100000</v>
      </c>
      <c r="F618" s="1425">
        <f>F619</f>
        <v>383828000</v>
      </c>
      <c r="G618" s="1424">
        <f t="shared" si="32"/>
        <v>55.699898418226667</v>
      </c>
      <c r="H618" s="1424">
        <v>60</v>
      </c>
      <c r="I618" s="1353"/>
      <c r="J618" s="1341"/>
      <c r="K618" s="1341"/>
      <c r="L618" s="1341"/>
    </row>
    <row r="619" spans="1:12" s="1352" customFormat="1" ht="20.25" customHeight="1">
      <c r="A619" s="1341"/>
      <c r="B619" s="1341"/>
      <c r="C619" s="1374"/>
      <c r="D619" s="1396" t="s">
        <v>3139</v>
      </c>
      <c r="E619" s="1423">
        <v>689100000</v>
      </c>
      <c r="F619" s="1422">
        <v>383828000</v>
      </c>
      <c r="G619" s="1421">
        <f t="shared" si="32"/>
        <v>55.699898418226667</v>
      </c>
      <c r="H619" s="1421">
        <v>60</v>
      </c>
      <c r="I619" s="1353"/>
      <c r="J619" s="1341"/>
      <c r="K619" s="1341"/>
      <c r="L619" s="1341"/>
    </row>
    <row r="620" spans="1:12" s="1352" customFormat="1" ht="20.100000000000001" customHeight="1">
      <c r="A620" s="1341"/>
      <c r="B620" s="1341"/>
      <c r="C620" s="1374"/>
      <c r="D620" s="1427" t="s">
        <v>173</v>
      </c>
      <c r="E620" s="1426">
        <f>SUM(E621)</f>
        <v>4411500000</v>
      </c>
      <c r="F620" s="1425">
        <f>F621</f>
        <v>4286500000</v>
      </c>
      <c r="G620" s="1424">
        <f t="shared" si="32"/>
        <v>97.166496656466052</v>
      </c>
      <c r="H620" s="1424">
        <v>100</v>
      </c>
      <c r="I620" s="1353"/>
      <c r="J620" s="1341"/>
      <c r="K620" s="1341"/>
      <c r="L620" s="1341"/>
    </row>
    <row r="621" spans="1:12" s="1352" customFormat="1" ht="20.100000000000001" customHeight="1">
      <c r="A621" s="1341"/>
      <c r="B621" s="1341"/>
      <c r="C621" s="1374"/>
      <c r="D621" s="1396" t="s">
        <v>414</v>
      </c>
      <c r="E621" s="1423">
        <v>4411500000</v>
      </c>
      <c r="F621" s="1422">
        <v>4286500000</v>
      </c>
      <c r="G621" s="1421">
        <f t="shared" si="32"/>
        <v>97.166496656466052</v>
      </c>
      <c r="H621" s="1421">
        <v>100</v>
      </c>
      <c r="I621" s="1353"/>
      <c r="J621" s="1341"/>
      <c r="K621" s="1341"/>
      <c r="L621" s="1341"/>
    </row>
    <row r="622" spans="1:12" s="1352" customFormat="1" ht="20.100000000000001" customHeight="1">
      <c r="A622" s="1341"/>
      <c r="B622" s="1341"/>
      <c r="C622" s="1374"/>
      <c r="D622" s="1427" t="s">
        <v>2080</v>
      </c>
      <c r="E622" s="1426">
        <f>SUM(E623:E623)</f>
        <v>430500000</v>
      </c>
      <c r="F622" s="1425">
        <f>F623</f>
        <v>398000000</v>
      </c>
      <c r="G622" s="1424">
        <f t="shared" si="32"/>
        <v>92.450638792102197</v>
      </c>
      <c r="H622" s="1424">
        <v>95</v>
      </c>
      <c r="I622" s="1353"/>
      <c r="J622" s="1341"/>
      <c r="K622" s="1341"/>
      <c r="L622" s="1341"/>
    </row>
    <row r="623" spans="1:12" s="1352" customFormat="1" ht="20.100000000000001" customHeight="1">
      <c r="A623" s="1341"/>
      <c r="B623" s="1341"/>
      <c r="C623" s="1374"/>
      <c r="D623" s="1396" t="s">
        <v>684</v>
      </c>
      <c r="E623" s="1423">
        <v>430500000</v>
      </c>
      <c r="F623" s="1422">
        <f>201000000+197000000</f>
        <v>398000000</v>
      </c>
      <c r="G623" s="1421">
        <f t="shared" si="32"/>
        <v>92.450638792102197</v>
      </c>
      <c r="H623" s="1421">
        <v>95</v>
      </c>
      <c r="I623" s="1353"/>
      <c r="J623" s="1341"/>
      <c r="K623" s="1341"/>
      <c r="L623" s="1341"/>
    </row>
    <row r="624" spans="1:12" s="1352" customFormat="1" ht="20.100000000000001" customHeight="1">
      <c r="A624" s="1341"/>
      <c r="B624" s="1341"/>
      <c r="C624" s="1374"/>
      <c r="D624" s="1427" t="s">
        <v>221</v>
      </c>
      <c r="E624" s="1426">
        <f>SUM(E625:E625)</f>
        <v>1181750000</v>
      </c>
      <c r="F624" s="1425">
        <f>F625</f>
        <v>830809800</v>
      </c>
      <c r="G624" s="1424">
        <f t="shared" si="32"/>
        <v>70.303346731542206</v>
      </c>
      <c r="H624" s="1424">
        <v>70</v>
      </c>
      <c r="I624" s="1353"/>
      <c r="J624" s="1341"/>
      <c r="K624" s="1341"/>
      <c r="L624" s="1341"/>
    </row>
    <row r="625" spans="1:12" s="1352" customFormat="1" ht="30" customHeight="1">
      <c r="A625" s="1341"/>
      <c r="B625" s="1341"/>
      <c r="C625" s="1374"/>
      <c r="D625" s="1396" t="s">
        <v>1410</v>
      </c>
      <c r="E625" s="1423">
        <v>1181750000</v>
      </c>
      <c r="F625" s="1422">
        <f>75059800+1750000+754000000</f>
        <v>830809800</v>
      </c>
      <c r="G625" s="1421">
        <f t="shared" si="32"/>
        <v>70.303346731542206</v>
      </c>
      <c r="H625" s="1421">
        <v>70</v>
      </c>
      <c r="I625" s="1353"/>
      <c r="J625" s="1341"/>
      <c r="K625" s="1341"/>
      <c r="L625" s="1341"/>
    </row>
    <row r="626" spans="1:12" s="1352" customFormat="1" ht="33.75" customHeight="1">
      <c r="A626" s="1341"/>
      <c r="B626" s="1341"/>
      <c r="C626" s="1374"/>
      <c r="D626" s="1427" t="s">
        <v>3138</v>
      </c>
      <c r="E626" s="1426">
        <f>SUM(E627:E627)</f>
        <v>1075000000</v>
      </c>
      <c r="F626" s="1425">
        <f>F627</f>
        <v>1072455000</v>
      </c>
      <c r="G626" s="1424">
        <f t="shared" si="32"/>
        <v>99.763255813953492</v>
      </c>
      <c r="H626" s="1424">
        <v>100</v>
      </c>
      <c r="I626" s="1353"/>
      <c r="J626" s="1341"/>
      <c r="K626" s="1341"/>
      <c r="L626" s="1341"/>
    </row>
    <row r="627" spans="1:12" s="1352" customFormat="1" ht="20.100000000000001" customHeight="1">
      <c r="A627" s="1341"/>
      <c r="B627" s="1341"/>
      <c r="C627" s="1374"/>
      <c r="D627" s="1396" t="s">
        <v>3137</v>
      </c>
      <c r="E627" s="1423">
        <v>1075000000</v>
      </c>
      <c r="F627" s="1422">
        <f>997818000+10000000+64637000</f>
        <v>1072455000</v>
      </c>
      <c r="G627" s="1421">
        <f t="shared" si="32"/>
        <v>99.763255813953492</v>
      </c>
      <c r="H627" s="1421">
        <v>100</v>
      </c>
      <c r="I627" s="1353"/>
      <c r="J627" s="1341"/>
      <c r="K627" s="1341"/>
      <c r="L627" s="1341"/>
    </row>
    <row r="628" spans="1:12" s="1352" customFormat="1" ht="51.75" customHeight="1">
      <c r="A628" s="1341"/>
      <c r="B628" s="1341"/>
      <c r="C628" s="1374"/>
      <c r="D628" s="1427" t="s">
        <v>3136</v>
      </c>
      <c r="E628" s="1426">
        <f>SUM(E629)</f>
        <v>1419938037.3299999</v>
      </c>
      <c r="F628" s="1425">
        <f>F629</f>
        <v>1353067000</v>
      </c>
      <c r="G628" s="1424">
        <f t="shared" si="32"/>
        <v>95.290566519667166</v>
      </c>
      <c r="H628" s="1424">
        <v>100</v>
      </c>
      <c r="I628" s="1353"/>
      <c r="J628" s="1341"/>
      <c r="K628" s="1341"/>
      <c r="L628" s="1341"/>
    </row>
    <row r="629" spans="1:12" s="1352" customFormat="1" ht="20.100000000000001" customHeight="1">
      <c r="A629" s="1341"/>
      <c r="B629" s="1341"/>
      <c r="C629" s="1374"/>
      <c r="D629" s="1396" t="s">
        <v>3135</v>
      </c>
      <c r="E629" s="1423">
        <v>1419938037.3299999</v>
      </c>
      <c r="F629" s="1422">
        <f>1310500000+8000000+34567000</f>
        <v>1353067000</v>
      </c>
      <c r="G629" s="1421">
        <f t="shared" si="32"/>
        <v>95.290566519667166</v>
      </c>
      <c r="H629" s="1421">
        <v>100</v>
      </c>
      <c r="I629" s="1353"/>
      <c r="J629" s="1341"/>
      <c r="K629" s="1341"/>
      <c r="L629" s="1341"/>
    </row>
    <row r="630" spans="1:12" ht="15" customHeight="1">
      <c r="A630" s="1341"/>
      <c r="B630" s="1341"/>
      <c r="C630" s="1374"/>
      <c r="D630" s="1373"/>
      <c r="E630" s="1404">
        <v>0</v>
      </c>
      <c r="F630" s="1405"/>
      <c r="G630" s="1371"/>
      <c r="H630" s="1371"/>
      <c r="I630" s="1353"/>
      <c r="J630" s="1341"/>
      <c r="K630" s="1341"/>
      <c r="L630" s="1341"/>
    </row>
    <row r="631" spans="1:12" s="1359" customFormat="1" ht="20.100000000000001" customHeight="1">
      <c r="A631" s="1346"/>
      <c r="B631" s="1346"/>
      <c r="C631" s="1381" t="s">
        <v>2117</v>
      </c>
      <c r="D631" s="1370" t="s">
        <v>2118</v>
      </c>
      <c r="E631" s="1404">
        <v>9057975423</v>
      </c>
      <c r="F631" s="1403">
        <f>+F632</f>
        <v>9053500000</v>
      </c>
      <c r="G631" s="1368">
        <f>+F631/E631*100</f>
        <v>99.950591354127155</v>
      </c>
      <c r="H631" s="1368">
        <f>H632</f>
        <v>100</v>
      </c>
      <c r="I631" s="1360"/>
      <c r="J631" s="1346"/>
      <c r="K631" s="1346"/>
      <c r="L631" s="1346"/>
    </row>
    <row r="632" spans="1:12" s="1352" customFormat="1" ht="20.100000000000001" customHeight="1">
      <c r="A632" s="1341"/>
      <c r="B632" s="1341"/>
      <c r="C632" s="1374"/>
      <c r="D632" s="1370" t="s">
        <v>161</v>
      </c>
      <c r="E632" s="1420">
        <f>+E633+E635+E637+E639</f>
        <v>9057975423.5299988</v>
      </c>
      <c r="F632" s="1420">
        <f>+F633+F635+F637+F639</f>
        <v>9053500000</v>
      </c>
      <c r="G632" s="1417">
        <f>+F632/E632*100</f>
        <v>99.950591348278863</v>
      </c>
      <c r="H632" s="1417">
        <v>100</v>
      </c>
      <c r="I632" s="1353"/>
      <c r="J632" s="1341"/>
      <c r="K632" s="1341"/>
      <c r="L632" s="1341"/>
    </row>
    <row r="633" spans="1:12" s="1352" customFormat="1" ht="20.100000000000001" customHeight="1">
      <c r="A633" s="1341"/>
      <c r="B633" s="1341"/>
      <c r="C633" s="1374"/>
      <c r="D633" s="1370" t="s">
        <v>212</v>
      </c>
      <c r="E633" s="1420">
        <f>SUM(E634:E634)</f>
        <v>1000000000</v>
      </c>
      <c r="F633" s="1420">
        <f>SUM(F634:F634)</f>
        <v>998500000</v>
      </c>
      <c r="G633" s="1417">
        <v>100</v>
      </c>
      <c r="H633" s="1417">
        <f t="shared" ref="H633:H640" si="33">+G633</f>
        <v>100</v>
      </c>
      <c r="I633" s="1353"/>
      <c r="J633" s="1341"/>
      <c r="K633" s="1341"/>
      <c r="L633" s="1341"/>
    </row>
    <row r="634" spans="1:12" s="1352" customFormat="1" ht="33" customHeight="1">
      <c r="A634" s="1341"/>
      <c r="B634" s="1341"/>
      <c r="C634" s="1374"/>
      <c r="D634" s="1373" t="s">
        <v>3102</v>
      </c>
      <c r="E634" s="1419">
        <v>1000000000</v>
      </c>
      <c r="F634" s="1419">
        <v>998500000</v>
      </c>
      <c r="G634" s="1418">
        <v>100</v>
      </c>
      <c r="H634" s="1417">
        <f t="shared" si="33"/>
        <v>100</v>
      </c>
      <c r="I634" s="1353"/>
      <c r="J634" s="1341"/>
      <c r="K634" s="1341"/>
      <c r="L634" s="1341"/>
    </row>
    <row r="635" spans="1:12" s="1352" customFormat="1" ht="20.100000000000001" customHeight="1">
      <c r="A635" s="1341"/>
      <c r="B635" s="1341"/>
      <c r="C635" s="1374"/>
      <c r="D635" s="1370" t="s">
        <v>953</v>
      </c>
      <c r="E635" s="1420">
        <f>SUM(E636:E636)</f>
        <v>750000000</v>
      </c>
      <c r="F635" s="1420">
        <f>SUM(F636:F636)</f>
        <v>750000000</v>
      </c>
      <c r="G635" s="1417">
        <v>100</v>
      </c>
      <c r="H635" s="1417">
        <f t="shared" si="33"/>
        <v>100</v>
      </c>
      <c r="I635" s="1353"/>
      <c r="J635" s="1341"/>
      <c r="K635" s="1341"/>
      <c r="L635" s="1341"/>
    </row>
    <row r="636" spans="1:12" s="1352" customFormat="1" ht="20.100000000000001" customHeight="1">
      <c r="A636" s="1341"/>
      <c r="B636" s="1341"/>
      <c r="C636" s="1374"/>
      <c r="D636" s="1373" t="s">
        <v>3101</v>
      </c>
      <c r="E636" s="1419">
        <v>750000000</v>
      </c>
      <c r="F636" s="1419">
        <v>750000000</v>
      </c>
      <c r="G636" s="1418">
        <v>100</v>
      </c>
      <c r="H636" s="1417">
        <f t="shared" si="33"/>
        <v>100</v>
      </c>
      <c r="I636" s="1353"/>
      <c r="J636" s="1341"/>
      <c r="K636" s="1341"/>
      <c r="L636" s="1341"/>
    </row>
    <row r="637" spans="1:12" s="1352" customFormat="1" ht="20.100000000000001" customHeight="1">
      <c r="A637" s="1341"/>
      <c r="B637" s="1341"/>
      <c r="C637" s="1374"/>
      <c r="D637" s="1370" t="s">
        <v>162</v>
      </c>
      <c r="E637" s="1420">
        <f>E638</f>
        <v>4307975423.5299997</v>
      </c>
      <c r="F637" s="1420">
        <f>F638</f>
        <v>4305000000</v>
      </c>
      <c r="G637" s="1417">
        <v>100</v>
      </c>
      <c r="H637" s="1417">
        <f t="shared" si="33"/>
        <v>100</v>
      </c>
      <c r="I637" s="1353"/>
      <c r="J637" s="1341"/>
      <c r="K637" s="1341"/>
      <c r="L637" s="1341"/>
    </row>
    <row r="638" spans="1:12" s="1352" customFormat="1" ht="20.100000000000001" customHeight="1">
      <c r="A638" s="1341"/>
      <c r="B638" s="1341"/>
      <c r="C638" s="1374"/>
      <c r="D638" s="1373" t="s">
        <v>859</v>
      </c>
      <c r="E638" s="1419">
        <v>4307975423.5299997</v>
      </c>
      <c r="F638" s="1419">
        <v>4305000000</v>
      </c>
      <c r="G638" s="1418">
        <v>100</v>
      </c>
      <c r="H638" s="1417">
        <f t="shared" si="33"/>
        <v>100</v>
      </c>
      <c r="I638" s="1353"/>
      <c r="J638" s="1341"/>
      <c r="K638" s="1341"/>
      <c r="L638" s="1341"/>
    </row>
    <row r="639" spans="1:12" s="1352" customFormat="1" ht="20.100000000000001" customHeight="1">
      <c r="A639" s="1341"/>
      <c r="B639" s="1341"/>
      <c r="C639" s="1374"/>
      <c r="D639" s="1370" t="s">
        <v>2124</v>
      </c>
      <c r="E639" s="1420">
        <f>E640</f>
        <v>3000000000</v>
      </c>
      <c r="F639" s="1420">
        <f>F640</f>
        <v>3000000000</v>
      </c>
      <c r="G639" s="1417">
        <v>100</v>
      </c>
      <c r="H639" s="1417">
        <f t="shared" si="33"/>
        <v>100</v>
      </c>
      <c r="I639" s="1353"/>
      <c r="J639" s="1341"/>
      <c r="K639" s="1341"/>
      <c r="L639" s="1341"/>
    </row>
    <row r="640" spans="1:12" s="1352" customFormat="1" ht="20.100000000000001" customHeight="1">
      <c r="A640" s="1341"/>
      <c r="B640" s="1341"/>
      <c r="C640" s="1374"/>
      <c r="D640" s="1373" t="s">
        <v>1172</v>
      </c>
      <c r="E640" s="1419">
        <v>3000000000</v>
      </c>
      <c r="F640" s="1419">
        <v>3000000000</v>
      </c>
      <c r="G640" s="1418">
        <v>100</v>
      </c>
      <c r="H640" s="1417">
        <f t="shared" si="33"/>
        <v>100</v>
      </c>
      <c r="I640" s="1353"/>
      <c r="J640" s="1341"/>
      <c r="K640" s="1341"/>
      <c r="L640" s="1341"/>
    </row>
    <row r="641" spans="1:12" ht="15" customHeight="1">
      <c r="A641" s="1341"/>
      <c r="B641" s="1341"/>
      <c r="C641" s="1374"/>
      <c r="D641" s="1373"/>
      <c r="E641" s="1404"/>
      <c r="F641" s="1405"/>
      <c r="G641" s="1371"/>
      <c r="H641" s="1371"/>
      <c r="I641" s="1353"/>
      <c r="J641" s="1341"/>
      <c r="K641" s="1341"/>
      <c r="L641" s="1341"/>
    </row>
    <row r="642" spans="1:12" s="1359" customFormat="1" ht="20.100000000000001" customHeight="1">
      <c r="A642" s="1346"/>
      <c r="B642" s="1346"/>
      <c r="C642" s="1381" t="s">
        <v>2158</v>
      </c>
      <c r="D642" s="1370" t="s">
        <v>2159</v>
      </c>
      <c r="E642" s="1404">
        <f>+E643+E661</f>
        <v>15948248100</v>
      </c>
      <c r="F642" s="1403">
        <f>+F643+F661</f>
        <v>13949832300</v>
      </c>
      <c r="G642" s="1368">
        <f t="shared" ref="G642:G659" si="34">+F642/E642*100</f>
        <v>87.469371008844547</v>
      </c>
      <c r="H642" s="1368">
        <f>(H643+H661)/2</f>
        <v>92.1875</v>
      </c>
      <c r="I642" s="1360"/>
      <c r="J642" s="1346"/>
      <c r="K642" s="1346"/>
      <c r="L642" s="1346"/>
    </row>
    <row r="643" spans="1:12" s="1352" customFormat="1" ht="20.100000000000001" customHeight="1">
      <c r="A643" s="1341"/>
      <c r="B643" s="1341"/>
      <c r="C643" s="1374"/>
      <c r="D643" s="1393" t="s">
        <v>65</v>
      </c>
      <c r="E643" s="1410">
        <f>E644+E646+E651+E653+E655+E657</f>
        <v>13948298100</v>
      </c>
      <c r="F643" s="1410">
        <f>F644+F646+F651+F653+F655+F657</f>
        <v>12367906300</v>
      </c>
      <c r="G643" s="1368">
        <f t="shared" si="34"/>
        <v>88.669644219892319</v>
      </c>
      <c r="H643" s="1385">
        <f>(H644+H646+H651+H653+H655+H657)/6</f>
        <v>99.375</v>
      </c>
      <c r="I643" s="1353"/>
      <c r="J643" s="1341"/>
      <c r="K643" s="1341"/>
      <c r="L643" s="1341"/>
    </row>
    <row r="644" spans="1:12" s="1352" customFormat="1" ht="20.100000000000001" customHeight="1">
      <c r="A644" s="1341"/>
      <c r="B644" s="1341"/>
      <c r="C644" s="1374"/>
      <c r="D644" s="1411" t="s">
        <v>162</v>
      </c>
      <c r="E644" s="1410">
        <f>SUM(E645)</f>
        <v>1032200000</v>
      </c>
      <c r="F644" s="1409">
        <f>SUM(F645)</f>
        <v>1025490700</v>
      </c>
      <c r="G644" s="1368">
        <f t="shared" si="34"/>
        <v>99.350000000000009</v>
      </c>
      <c r="H644" s="1385">
        <v>100</v>
      </c>
      <c r="I644" s="1353"/>
      <c r="J644" s="1341"/>
      <c r="K644" s="1341"/>
      <c r="L644" s="1341"/>
    </row>
    <row r="645" spans="1:12" s="1352" customFormat="1" ht="20.100000000000001" customHeight="1">
      <c r="A645" s="1341"/>
      <c r="B645" s="1341"/>
      <c r="C645" s="1374"/>
      <c r="D645" s="1416" t="s">
        <v>1504</v>
      </c>
      <c r="E645" s="1415">
        <v>1032200000</v>
      </c>
      <c r="F645" s="1406">
        <v>1025490700</v>
      </c>
      <c r="G645" s="1368">
        <f t="shared" si="34"/>
        <v>99.350000000000009</v>
      </c>
      <c r="H645" s="1385">
        <v>100</v>
      </c>
      <c r="I645" s="1353"/>
      <c r="J645" s="1341"/>
      <c r="K645" s="1341"/>
      <c r="L645" s="1341"/>
    </row>
    <row r="646" spans="1:12" s="1352" customFormat="1" ht="20.100000000000001" customHeight="1">
      <c r="A646" s="1341"/>
      <c r="B646" s="1341"/>
      <c r="C646" s="1374"/>
      <c r="D646" s="1411" t="s">
        <v>173</v>
      </c>
      <c r="E646" s="1410">
        <f>SUM(E647:E650)</f>
        <v>10314450000</v>
      </c>
      <c r="F646" s="1409">
        <f>SUM(F647:F650)</f>
        <v>8743130000</v>
      </c>
      <c r="G646" s="1368">
        <f t="shared" si="34"/>
        <v>84.76583821725832</v>
      </c>
      <c r="H646" s="1385">
        <f>SUM((H647:H650))/4</f>
        <v>96.25</v>
      </c>
      <c r="I646" s="1353"/>
      <c r="J646" s="1341"/>
      <c r="K646" s="1341"/>
      <c r="L646" s="1341"/>
    </row>
    <row r="647" spans="1:12" s="1352" customFormat="1" ht="20.100000000000001" customHeight="1">
      <c r="A647" s="1341"/>
      <c r="B647" s="1341"/>
      <c r="C647" s="1374"/>
      <c r="D647" s="1416" t="s">
        <v>2346</v>
      </c>
      <c r="E647" s="1415">
        <v>77400000</v>
      </c>
      <c r="F647" s="1406">
        <v>77400000</v>
      </c>
      <c r="G647" s="1368">
        <f t="shared" si="34"/>
        <v>100</v>
      </c>
      <c r="H647" s="1385">
        <f>+G647</f>
        <v>100</v>
      </c>
      <c r="I647" s="1353"/>
      <c r="J647" s="1341"/>
      <c r="K647" s="1341"/>
      <c r="L647" s="1341"/>
    </row>
    <row r="648" spans="1:12" s="1352" customFormat="1" ht="20.100000000000001" customHeight="1">
      <c r="A648" s="1341"/>
      <c r="B648" s="1341"/>
      <c r="C648" s="1374"/>
      <c r="D648" s="1416" t="s">
        <v>414</v>
      </c>
      <c r="E648" s="1415">
        <v>9582000000</v>
      </c>
      <c r="F648" s="1406">
        <v>8011450000</v>
      </c>
      <c r="G648" s="1368">
        <f t="shared" si="34"/>
        <v>83.609371738676685</v>
      </c>
      <c r="H648" s="1385">
        <v>85</v>
      </c>
      <c r="I648" s="1353"/>
      <c r="J648" s="1341"/>
      <c r="K648" s="1341"/>
      <c r="L648" s="1341"/>
    </row>
    <row r="649" spans="1:12" s="1352" customFormat="1" ht="53.25" customHeight="1">
      <c r="A649" s="1341"/>
      <c r="B649" s="1341"/>
      <c r="C649" s="1374"/>
      <c r="D649" s="1416" t="s">
        <v>3076</v>
      </c>
      <c r="E649" s="1415">
        <v>176300000</v>
      </c>
      <c r="F649" s="1406">
        <v>176300000</v>
      </c>
      <c r="G649" s="1368">
        <f t="shared" si="34"/>
        <v>100</v>
      </c>
      <c r="H649" s="1385">
        <f>+G649</f>
        <v>100</v>
      </c>
      <c r="I649" s="1353"/>
      <c r="J649" s="1341"/>
      <c r="K649" s="1341"/>
      <c r="L649" s="1341"/>
    </row>
    <row r="650" spans="1:12" s="1352" customFormat="1" ht="29.25" customHeight="1">
      <c r="A650" s="1341"/>
      <c r="B650" s="1341"/>
      <c r="C650" s="1374"/>
      <c r="D650" s="1416" t="s">
        <v>3075</v>
      </c>
      <c r="E650" s="1415">
        <v>478750000</v>
      </c>
      <c r="F650" s="1406">
        <v>477980000</v>
      </c>
      <c r="G650" s="1368">
        <f t="shared" si="34"/>
        <v>99.83916449086162</v>
      </c>
      <c r="H650" s="1385">
        <v>100</v>
      </c>
      <c r="I650" s="1353"/>
      <c r="J650" s="1341"/>
      <c r="K650" s="1341"/>
      <c r="L650" s="1341"/>
    </row>
    <row r="651" spans="1:12" s="1352" customFormat="1" ht="20.100000000000001" customHeight="1">
      <c r="A651" s="1341"/>
      <c r="B651" s="1341"/>
      <c r="C651" s="1374"/>
      <c r="D651" s="1411" t="s">
        <v>190</v>
      </c>
      <c r="E651" s="1410">
        <f>SUM(E652:E652)</f>
        <v>750487500</v>
      </c>
      <c r="F651" s="1412">
        <f>SUM(F652:F652)</f>
        <v>748125000</v>
      </c>
      <c r="G651" s="1368">
        <f t="shared" si="34"/>
        <v>99.685204616998945</v>
      </c>
      <c r="H651" s="1385">
        <v>100</v>
      </c>
      <c r="I651" s="1353"/>
      <c r="J651" s="1341"/>
      <c r="K651" s="1341"/>
      <c r="L651" s="1341"/>
    </row>
    <row r="652" spans="1:12" s="1352" customFormat="1" ht="20.100000000000001" customHeight="1">
      <c r="A652" s="1341"/>
      <c r="B652" s="1341"/>
      <c r="C652" s="1374"/>
      <c r="D652" s="1416" t="s">
        <v>3074</v>
      </c>
      <c r="E652" s="1415">
        <v>750487500</v>
      </c>
      <c r="F652" s="1406">
        <v>748125000</v>
      </c>
      <c r="G652" s="1368">
        <f t="shared" si="34"/>
        <v>99.685204616998945</v>
      </c>
      <c r="H652" s="1385">
        <v>100</v>
      </c>
      <c r="I652" s="1353"/>
      <c r="J652" s="1341"/>
      <c r="K652" s="1341"/>
      <c r="L652" s="1341"/>
    </row>
    <row r="653" spans="1:12" s="1352" customFormat="1" ht="20.100000000000001" customHeight="1">
      <c r="A653" s="1341"/>
      <c r="B653" s="1341"/>
      <c r="C653" s="1374"/>
      <c r="D653" s="1411" t="s">
        <v>953</v>
      </c>
      <c r="E653" s="1410">
        <f>SUM(E654:E654)</f>
        <v>834000000</v>
      </c>
      <c r="F653" s="1412">
        <f>SUM(F654:F654)</f>
        <v>834000000</v>
      </c>
      <c r="G653" s="1368">
        <f t="shared" si="34"/>
        <v>100</v>
      </c>
      <c r="H653" s="1385">
        <f t="shared" ref="H653:H659" si="35">+G653</f>
        <v>100</v>
      </c>
      <c r="I653" s="1353"/>
      <c r="J653" s="1341"/>
      <c r="K653" s="1341"/>
      <c r="L653" s="1341"/>
    </row>
    <row r="654" spans="1:12" s="1352" customFormat="1" ht="30.75" customHeight="1">
      <c r="A654" s="1341"/>
      <c r="B654" s="1341"/>
      <c r="C654" s="1374"/>
      <c r="D654" s="1416" t="s">
        <v>3073</v>
      </c>
      <c r="E654" s="1415">
        <v>834000000</v>
      </c>
      <c r="F654" s="1406">
        <v>834000000</v>
      </c>
      <c r="G654" s="1368">
        <f t="shared" si="34"/>
        <v>100</v>
      </c>
      <c r="H654" s="1385">
        <f t="shared" si="35"/>
        <v>100</v>
      </c>
      <c r="I654" s="1353"/>
      <c r="J654" s="1341"/>
      <c r="K654" s="1341"/>
      <c r="L654" s="1341"/>
    </row>
    <row r="655" spans="1:12" s="1352" customFormat="1" ht="20.100000000000001" customHeight="1">
      <c r="A655" s="1341"/>
      <c r="B655" s="1341"/>
      <c r="C655" s="1374"/>
      <c r="D655" s="1411" t="s">
        <v>212</v>
      </c>
      <c r="E655" s="1410">
        <f>SUM(E656:E656)</f>
        <v>350000000</v>
      </c>
      <c r="F655" s="1412">
        <f>F656</f>
        <v>350000000</v>
      </c>
      <c r="G655" s="1368">
        <f t="shared" si="34"/>
        <v>100</v>
      </c>
      <c r="H655" s="1385">
        <f t="shared" si="35"/>
        <v>100</v>
      </c>
      <c r="I655" s="1353"/>
      <c r="J655" s="1341"/>
      <c r="K655" s="1341"/>
      <c r="L655" s="1341"/>
    </row>
    <row r="656" spans="1:12" s="1352" customFormat="1" ht="53.25" customHeight="1">
      <c r="A656" s="1341"/>
      <c r="B656" s="1341"/>
      <c r="C656" s="1374"/>
      <c r="D656" s="1416" t="s">
        <v>1616</v>
      </c>
      <c r="E656" s="1415">
        <v>350000000</v>
      </c>
      <c r="F656" s="1406">
        <v>350000000</v>
      </c>
      <c r="G656" s="1368">
        <f t="shared" si="34"/>
        <v>100</v>
      </c>
      <c r="H656" s="1385">
        <f t="shared" si="35"/>
        <v>100</v>
      </c>
      <c r="I656" s="1353"/>
      <c r="J656" s="1341"/>
      <c r="K656" s="1341"/>
      <c r="L656" s="1341"/>
    </row>
    <row r="657" spans="1:12" s="1352" customFormat="1" ht="20.100000000000001" customHeight="1">
      <c r="A657" s="1341"/>
      <c r="B657" s="1341"/>
      <c r="C657" s="1374"/>
      <c r="D657" s="1411" t="s">
        <v>877</v>
      </c>
      <c r="E657" s="1410">
        <f>SUM(E658:E659)</f>
        <v>667160600</v>
      </c>
      <c r="F657" s="1409">
        <f>SUM(F658:F659)</f>
        <v>667160600</v>
      </c>
      <c r="G657" s="1368">
        <f t="shared" si="34"/>
        <v>100</v>
      </c>
      <c r="H657" s="1385">
        <f t="shared" si="35"/>
        <v>100</v>
      </c>
      <c r="I657" s="1353"/>
      <c r="J657" s="1341"/>
      <c r="K657" s="1341"/>
      <c r="L657" s="1341"/>
    </row>
    <row r="658" spans="1:12" s="1352" customFormat="1" ht="20.100000000000001" customHeight="1">
      <c r="A658" s="1341"/>
      <c r="B658" s="1341"/>
      <c r="C658" s="1374"/>
      <c r="D658" s="1416" t="s">
        <v>3072</v>
      </c>
      <c r="E658" s="1415">
        <v>266160600</v>
      </c>
      <c r="F658" s="1406">
        <v>266160600</v>
      </c>
      <c r="G658" s="1368">
        <f t="shared" si="34"/>
        <v>100</v>
      </c>
      <c r="H658" s="1385">
        <f t="shared" si="35"/>
        <v>100</v>
      </c>
      <c r="I658" s="1353"/>
      <c r="J658" s="1341"/>
      <c r="K658" s="1341"/>
      <c r="L658" s="1341"/>
    </row>
    <row r="659" spans="1:12" s="1352" customFormat="1" ht="20.100000000000001" customHeight="1">
      <c r="A659" s="1341"/>
      <c r="B659" s="1341"/>
      <c r="C659" s="1374"/>
      <c r="D659" s="1416" t="s">
        <v>2961</v>
      </c>
      <c r="E659" s="1415">
        <v>401000000</v>
      </c>
      <c r="F659" s="1406">
        <v>401000000</v>
      </c>
      <c r="G659" s="1368">
        <f t="shared" si="34"/>
        <v>100</v>
      </c>
      <c r="H659" s="1385">
        <f t="shared" si="35"/>
        <v>100</v>
      </c>
      <c r="I659" s="1353"/>
      <c r="J659" s="1341"/>
      <c r="K659" s="1341"/>
      <c r="L659" s="1341"/>
    </row>
    <row r="660" spans="1:12" s="1352" customFormat="1" ht="15" customHeight="1">
      <c r="A660" s="1341"/>
      <c r="B660" s="1341"/>
      <c r="C660" s="1374"/>
      <c r="D660" s="1414"/>
      <c r="E660" s="1407"/>
      <c r="F660" s="1413"/>
      <c r="G660" s="1368"/>
      <c r="H660" s="1385"/>
      <c r="I660" s="1353"/>
      <c r="J660" s="1341"/>
      <c r="K660" s="1341"/>
      <c r="L660" s="1341"/>
    </row>
    <row r="661" spans="1:12" s="1352" customFormat="1" ht="20.100000000000001" customHeight="1">
      <c r="A661" s="1341"/>
      <c r="B661" s="1341"/>
      <c r="C661" s="1374"/>
      <c r="D661" s="1393" t="s">
        <v>1231</v>
      </c>
      <c r="E661" s="1409">
        <f>E662</f>
        <v>1999950000</v>
      </c>
      <c r="F661" s="1412">
        <f>F662</f>
        <v>1581926000</v>
      </c>
      <c r="G661" s="1368">
        <f>+F661/E661*100</f>
        <v>79.09827745693643</v>
      </c>
      <c r="H661" s="1385">
        <f>H662</f>
        <v>85</v>
      </c>
      <c r="I661" s="1353"/>
      <c r="J661" s="1341"/>
      <c r="K661" s="1341"/>
      <c r="L661" s="1341"/>
    </row>
    <row r="662" spans="1:12" s="1352" customFormat="1" ht="20.100000000000001" customHeight="1">
      <c r="A662" s="1341"/>
      <c r="B662" s="1341"/>
      <c r="C662" s="1374"/>
      <c r="D662" s="1411" t="s">
        <v>1171</v>
      </c>
      <c r="E662" s="1410">
        <f>SUM(E663:E664)</f>
        <v>1999950000</v>
      </c>
      <c r="F662" s="1409">
        <f>F663+F664</f>
        <v>1581926000</v>
      </c>
      <c r="G662" s="1368">
        <f>+F662/E662*100</f>
        <v>79.09827745693643</v>
      </c>
      <c r="H662" s="1385">
        <f>170/2</f>
        <v>85</v>
      </c>
      <c r="I662" s="1353"/>
      <c r="J662" s="1341"/>
      <c r="K662" s="1341"/>
      <c r="L662" s="1341"/>
    </row>
    <row r="663" spans="1:12" s="1352" customFormat="1" ht="20.100000000000001" customHeight="1">
      <c r="A663" s="1341"/>
      <c r="B663" s="1341"/>
      <c r="C663" s="1374"/>
      <c r="D663" s="1408" t="s">
        <v>3071</v>
      </c>
      <c r="E663" s="1407">
        <v>1357950000</v>
      </c>
      <c r="F663" s="1406">
        <v>1026926000</v>
      </c>
      <c r="G663" s="1368">
        <f>+F663/E663*100</f>
        <v>75.623255642696705</v>
      </c>
      <c r="H663" s="1385">
        <v>80</v>
      </c>
      <c r="I663" s="1353"/>
      <c r="J663" s="1341"/>
      <c r="K663" s="1341"/>
      <c r="L663" s="1341"/>
    </row>
    <row r="664" spans="1:12" s="1352" customFormat="1" ht="20.100000000000001" customHeight="1">
      <c r="A664" s="1341"/>
      <c r="B664" s="1341"/>
      <c r="C664" s="1374"/>
      <c r="D664" s="1408" t="s">
        <v>3070</v>
      </c>
      <c r="E664" s="1407">
        <v>642000000</v>
      </c>
      <c r="F664" s="1406">
        <v>555000000</v>
      </c>
      <c r="G664" s="1368">
        <f>+F664/E664*100</f>
        <v>86.44859813084112</v>
      </c>
      <c r="H664" s="1385">
        <v>90</v>
      </c>
      <c r="I664" s="1353"/>
      <c r="J664" s="1341"/>
      <c r="K664" s="1341"/>
      <c r="L664" s="1341"/>
    </row>
    <row r="665" spans="1:12" ht="15" customHeight="1">
      <c r="A665" s="1341"/>
      <c r="B665" s="1341"/>
      <c r="C665" s="1374"/>
      <c r="D665" s="1373"/>
      <c r="E665" s="1404">
        <v>0</v>
      </c>
      <c r="F665" s="1405"/>
      <c r="G665" s="1371"/>
      <c r="H665" s="1371"/>
      <c r="I665" s="1353"/>
      <c r="J665" s="1341"/>
      <c r="K665" s="1341"/>
      <c r="L665" s="1341"/>
    </row>
    <row r="666" spans="1:12" s="1359" customFormat="1" ht="20.100000000000001" customHeight="1">
      <c r="A666" s="1346"/>
      <c r="B666" s="1346"/>
      <c r="C666" s="1381" t="s">
        <v>2194</v>
      </c>
      <c r="D666" s="1370" t="s">
        <v>2195</v>
      </c>
      <c r="E666" s="1404">
        <f>+E667</f>
        <v>16589509100</v>
      </c>
      <c r="F666" s="1403">
        <f>+F667</f>
        <v>14960762000</v>
      </c>
      <c r="G666" s="1368">
        <f t="shared" ref="G666:G702" si="36">+F666/E666*100</f>
        <v>90.182065724898393</v>
      </c>
      <c r="H666" s="1368">
        <f>H667</f>
        <v>82.424242424242436</v>
      </c>
      <c r="I666" s="1360"/>
      <c r="J666" s="1346"/>
      <c r="K666" s="1346"/>
      <c r="L666" s="1346"/>
    </row>
    <row r="667" spans="1:12" s="1352" customFormat="1" ht="20.100000000000001" customHeight="1">
      <c r="A667" s="1341"/>
      <c r="B667" s="1341"/>
      <c r="C667" s="1374"/>
      <c r="D667" s="1398" t="s">
        <v>161</v>
      </c>
      <c r="E667" s="1397">
        <f>+E668+E670+E675+E677+E682+E686+E689+E693+E695+E697+E699</f>
        <v>16589509100</v>
      </c>
      <c r="F667" s="1397">
        <f>+F668+F670+F675+F677+F682+F686+F689+F695+F697+F699</f>
        <v>14960762000</v>
      </c>
      <c r="G667" s="1355">
        <f t="shared" si="36"/>
        <v>90.182065724898393</v>
      </c>
      <c r="H667" s="1354">
        <f>(H668+H670+H675+H677+H682+H686+H689+H693+H695+H697+H699)/11</f>
        <v>82.424242424242436</v>
      </c>
      <c r="I667" s="1353"/>
      <c r="J667" s="1341"/>
      <c r="K667" s="1341"/>
      <c r="L667" s="1341"/>
    </row>
    <row r="668" spans="1:12" s="1352" customFormat="1" ht="20.100000000000001" customHeight="1">
      <c r="A668" s="1341"/>
      <c r="B668" s="1341"/>
      <c r="C668" s="1374"/>
      <c r="D668" s="1398" t="s">
        <v>3054</v>
      </c>
      <c r="E668" s="1397">
        <f>+E669</f>
        <v>300000000</v>
      </c>
      <c r="F668" s="1397">
        <f>+F669</f>
        <v>300000000</v>
      </c>
      <c r="G668" s="1355">
        <f t="shared" si="36"/>
        <v>100</v>
      </c>
      <c r="H668" s="1354">
        <v>100</v>
      </c>
      <c r="I668" s="1353"/>
      <c r="J668" s="1341"/>
      <c r="K668" s="1341"/>
      <c r="L668" s="1341"/>
    </row>
    <row r="669" spans="1:12" s="1352" customFormat="1" ht="20.100000000000001" customHeight="1">
      <c r="A669" s="1341"/>
      <c r="B669" s="1341"/>
      <c r="C669" s="1374"/>
      <c r="D669" s="1396" t="s">
        <v>3053</v>
      </c>
      <c r="E669" s="1397">
        <v>300000000</v>
      </c>
      <c r="F669" s="1395">
        <v>300000000</v>
      </c>
      <c r="G669" s="1355">
        <f t="shared" si="36"/>
        <v>100</v>
      </c>
      <c r="H669" s="1400">
        <v>100</v>
      </c>
      <c r="I669" s="1353"/>
      <c r="J669" s="1341"/>
      <c r="K669" s="1341"/>
      <c r="L669" s="1341"/>
    </row>
    <row r="670" spans="1:12" s="1352" customFormat="1" ht="20.100000000000001" customHeight="1">
      <c r="A670" s="1341"/>
      <c r="B670" s="1341"/>
      <c r="C670" s="1374"/>
      <c r="D670" s="1398" t="s">
        <v>173</v>
      </c>
      <c r="E670" s="1397">
        <f>+E671+E672+E673+E674</f>
        <v>1750000000</v>
      </c>
      <c r="F670" s="1397">
        <f>+F671+F672+F673+F674</f>
        <v>1450000000</v>
      </c>
      <c r="G670" s="1355">
        <f t="shared" si="36"/>
        <v>82.857142857142861</v>
      </c>
      <c r="H670" s="1354">
        <f>SUM((H671:H674))/4</f>
        <v>75</v>
      </c>
      <c r="I670" s="1353"/>
      <c r="J670" s="1341"/>
      <c r="K670" s="1341"/>
      <c r="L670" s="1341"/>
    </row>
    <row r="671" spans="1:12" s="1352" customFormat="1" ht="20.100000000000001" customHeight="1">
      <c r="A671" s="1341"/>
      <c r="B671" s="1341"/>
      <c r="C671" s="1374"/>
      <c r="D671" s="1396" t="s">
        <v>2206</v>
      </c>
      <c r="E671" s="1402">
        <v>300000000</v>
      </c>
      <c r="F671" s="1395">
        <v>0</v>
      </c>
      <c r="G671" s="1355">
        <f t="shared" si="36"/>
        <v>0</v>
      </c>
      <c r="H671" s="1400">
        <v>0</v>
      </c>
      <c r="I671" s="1353"/>
      <c r="J671" s="1341"/>
      <c r="K671" s="1341"/>
      <c r="L671" s="1341"/>
    </row>
    <row r="672" spans="1:12" s="1352" customFormat="1" ht="53.25" customHeight="1">
      <c r="A672" s="1341"/>
      <c r="B672" s="1341"/>
      <c r="C672" s="1374"/>
      <c r="D672" s="1396" t="s">
        <v>3052</v>
      </c>
      <c r="E672" s="1402">
        <v>250000000</v>
      </c>
      <c r="F672" s="1395">
        <v>250000000</v>
      </c>
      <c r="G672" s="1355">
        <f t="shared" si="36"/>
        <v>100</v>
      </c>
      <c r="H672" s="1400">
        <v>100</v>
      </c>
      <c r="I672" s="1353"/>
      <c r="J672" s="1341"/>
      <c r="K672" s="1341"/>
      <c r="L672" s="1341"/>
    </row>
    <row r="673" spans="1:12" s="1352" customFormat="1" ht="20.100000000000001" customHeight="1">
      <c r="A673" s="1341"/>
      <c r="B673" s="1341"/>
      <c r="C673" s="1374"/>
      <c r="D673" s="1396" t="s">
        <v>1685</v>
      </c>
      <c r="E673" s="1402">
        <v>1050000000</v>
      </c>
      <c r="F673" s="1395">
        <f>+E673</f>
        <v>1050000000</v>
      </c>
      <c r="G673" s="1355">
        <f t="shared" si="36"/>
        <v>100</v>
      </c>
      <c r="H673" s="1400">
        <v>100</v>
      </c>
      <c r="I673" s="1353"/>
      <c r="J673" s="1341"/>
      <c r="K673" s="1341"/>
      <c r="L673" s="1341"/>
    </row>
    <row r="674" spans="1:12" s="1352" customFormat="1" ht="20.100000000000001" customHeight="1">
      <c r="A674" s="1341"/>
      <c r="B674" s="1341"/>
      <c r="C674" s="1374"/>
      <c r="D674" s="1396" t="s">
        <v>3051</v>
      </c>
      <c r="E674" s="1402">
        <v>150000000</v>
      </c>
      <c r="F674" s="1402">
        <v>150000000</v>
      </c>
      <c r="G674" s="1355">
        <f t="shared" si="36"/>
        <v>100</v>
      </c>
      <c r="H674" s="1401">
        <v>100</v>
      </c>
      <c r="I674" s="1353"/>
      <c r="J674" s="1341"/>
      <c r="K674" s="1341"/>
      <c r="L674" s="1341"/>
    </row>
    <row r="675" spans="1:12" s="1352" customFormat="1" ht="20.100000000000001" customHeight="1">
      <c r="A675" s="1341"/>
      <c r="B675" s="1341"/>
      <c r="C675" s="1374"/>
      <c r="D675" s="1398" t="s">
        <v>945</v>
      </c>
      <c r="E675" s="1397">
        <f>+E676</f>
        <v>950000000</v>
      </c>
      <c r="F675" s="1397">
        <f>+F676</f>
        <v>950000000</v>
      </c>
      <c r="G675" s="1355">
        <f t="shared" si="36"/>
        <v>100</v>
      </c>
      <c r="H675" s="1400">
        <v>100</v>
      </c>
      <c r="I675" s="1353"/>
      <c r="J675" s="1341"/>
      <c r="K675" s="1341"/>
      <c r="L675" s="1341"/>
    </row>
    <row r="676" spans="1:12" s="1352" customFormat="1" ht="20.100000000000001" customHeight="1">
      <c r="A676" s="1341"/>
      <c r="B676" s="1341"/>
      <c r="C676" s="1374"/>
      <c r="D676" s="1396" t="s">
        <v>2208</v>
      </c>
      <c r="E676" s="1395">
        <v>950000000</v>
      </c>
      <c r="F676" s="1395">
        <v>950000000</v>
      </c>
      <c r="G676" s="1355">
        <f t="shared" si="36"/>
        <v>100</v>
      </c>
      <c r="H676" s="1400">
        <v>100</v>
      </c>
      <c r="I676" s="1353"/>
      <c r="J676" s="1341"/>
      <c r="K676" s="1341"/>
      <c r="L676" s="1341"/>
    </row>
    <row r="677" spans="1:12" s="1352" customFormat="1" ht="20.100000000000001" customHeight="1">
      <c r="A677" s="1341"/>
      <c r="B677" s="1341"/>
      <c r="C677" s="1374"/>
      <c r="D677" s="1398" t="s">
        <v>190</v>
      </c>
      <c r="E677" s="1397">
        <f>+E678+E679+E680+E681</f>
        <v>2050000000</v>
      </c>
      <c r="F677" s="1397">
        <f>+F678+F679+F680+F681</f>
        <v>1742410000</v>
      </c>
      <c r="G677" s="1355">
        <f t="shared" si="36"/>
        <v>84.995609756097551</v>
      </c>
      <c r="H677" s="1354">
        <f>SUM((H678:H681))/4</f>
        <v>75</v>
      </c>
      <c r="I677" s="1353"/>
      <c r="J677" s="1341"/>
      <c r="K677" s="1341"/>
      <c r="L677" s="1341"/>
    </row>
    <row r="678" spans="1:12" s="1352" customFormat="1" ht="20.100000000000001" customHeight="1">
      <c r="A678" s="1341"/>
      <c r="B678" s="1341"/>
      <c r="C678" s="1374"/>
      <c r="D678" s="1396" t="s">
        <v>3050</v>
      </c>
      <c r="E678" s="1395">
        <v>1000000000</v>
      </c>
      <c r="F678" s="1395">
        <v>992750000</v>
      </c>
      <c r="G678" s="1355">
        <f t="shared" si="36"/>
        <v>99.275000000000006</v>
      </c>
      <c r="H678" s="1400">
        <v>100</v>
      </c>
      <c r="I678" s="1353"/>
      <c r="J678" s="1341"/>
      <c r="K678" s="1341"/>
      <c r="L678" s="1341"/>
    </row>
    <row r="679" spans="1:12" s="1352" customFormat="1" ht="20.100000000000001" customHeight="1">
      <c r="A679" s="1341"/>
      <c r="B679" s="1341"/>
      <c r="C679" s="1374"/>
      <c r="D679" s="1396" t="s">
        <v>3049</v>
      </c>
      <c r="E679" s="1397">
        <v>150000000</v>
      </c>
      <c r="F679" s="1395">
        <v>150000000</v>
      </c>
      <c r="G679" s="1355">
        <f t="shared" si="36"/>
        <v>100</v>
      </c>
      <c r="H679" s="1400">
        <v>100</v>
      </c>
      <c r="I679" s="1353"/>
      <c r="J679" s="1341"/>
      <c r="K679" s="1341"/>
      <c r="L679" s="1341"/>
    </row>
    <row r="680" spans="1:12" s="1352" customFormat="1" ht="20.100000000000001" customHeight="1">
      <c r="A680" s="1341"/>
      <c r="B680" s="1341"/>
      <c r="C680" s="1374"/>
      <c r="D680" s="1396" t="s">
        <v>3048</v>
      </c>
      <c r="E680" s="1395">
        <v>600000000</v>
      </c>
      <c r="F680" s="1395">
        <v>599660000</v>
      </c>
      <c r="G680" s="1355">
        <f t="shared" si="36"/>
        <v>99.943333333333328</v>
      </c>
      <c r="H680" s="1400">
        <v>100</v>
      </c>
      <c r="I680" s="1353"/>
      <c r="J680" s="1341"/>
      <c r="K680" s="1341"/>
      <c r="L680" s="1341"/>
    </row>
    <row r="681" spans="1:12" s="1352" customFormat="1" ht="20.100000000000001" customHeight="1">
      <c r="A681" s="1341"/>
      <c r="B681" s="1341"/>
      <c r="C681" s="1374"/>
      <c r="D681" s="1396" t="s">
        <v>2209</v>
      </c>
      <c r="E681" s="1395">
        <v>300000000</v>
      </c>
      <c r="F681" s="1395">
        <v>0</v>
      </c>
      <c r="G681" s="1355">
        <f t="shared" si="36"/>
        <v>0</v>
      </c>
      <c r="H681" s="1400">
        <v>0</v>
      </c>
      <c r="I681" s="1353"/>
      <c r="J681" s="1341"/>
      <c r="K681" s="1341"/>
      <c r="L681" s="1341"/>
    </row>
    <row r="682" spans="1:12" s="1352" customFormat="1" ht="20.100000000000001" customHeight="1">
      <c r="A682" s="1341"/>
      <c r="B682" s="1341"/>
      <c r="C682" s="1374"/>
      <c r="D682" s="1398" t="s">
        <v>196</v>
      </c>
      <c r="E682" s="1397">
        <f>+E683+E684+E685</f>
        <v>1450000000</v>
      </c>
      <c r="F682" s="1397">
        <f>+F683+F684+F685</f>
        <v>1248900000</v>
      </c>
      <c r="G682" s="1355">
        <f t="shared" si="36"/>
        <v>86.131034482758622</v>
      </c>
      <c r="H682" s="1354">
        <f>SUM((H683:H685))/3</f>
        <v>66.666666666666671</v>
      </c>
      <c r="I682" s="1353"/>
      <c r="J682" s="1341"/>
      <c r="K682" s="1341"/>
      <c r="L682" s="1341"/>
    </row>
    <row r="683" spans="1:12" s="1352" customFormat="1" ht="20.100000000000001" customHeight="1">
      <c r="A683" s="1341"/>
      <c r="B683" s="1341"/>
      <c r="C683" s="1374"/>
      <c r="D683" s="1396" t="s">
        <v>3047</v>
      </c>
      <c r="E683" s="1395">
        <v>200000000</v>
      </c>
      <c r="F683" s="1395">
        <v>0</v>
      </c>
      <c r="G683" s="1355">
        <f t="shared" si="36"/>
        <v>0</v>
      </c>
      <c r="H683" s="1400">
        <v>0</v>
      </c>
      <c r="I683" s="1353"/>
      <c r="J683" s="1341"/>
      <c r="K683" s="1341"/>
      <c r="L683" s="1341"/>
    </row>
    <row r="684" spans="1:12" s="1352" customFormat="1" ht="20.100000000000001" customHeight="1">
      <c r="A684" s="1341"/>
      <c r="B684" s="1341"/>
      <c r="C684" s="1374"/>
      <c r="D684" s="1396" t="s">
        <v>3046</v>
      </c>
      <c r="E684" s="1395">
        <v>1000000000</v>
      </c>
      <c r="F684" s="1395">
        <v>998900000</v>
      </c>
      <c r="G684" s="1355">
        <f t="shared" si="36"/>
        <v>99.89</v>
      </c>
      <c r="H684" s="1400">
        <v>100</v>
      </c>
      <c r="I684" s="1353"/>
      <c r="J684" s="1341"/>
      <c r="K684" s="1341"/>
      <c r="L684" s="1341"/>
    </row>
    <row r="685" spans="1:12" s="1352" customFormat="1" ht="20.100000000000001" customHeight="1">
      <c r="A685" s="1341"/>
      <c r="B685" s="1341"/>
      <c r="C685" s="1374"/>
      <c r="D685" s="1396" t="s">
        <v>3045</v>
      </c>
      <c r="E685" s="1395">
        <v>250000000</v>
      </c>
      <c r="F685" s="1395">
        <v>250000000</v>
      </c>
      <c r="G685" s="1355">
        <f t="shared" si="36"/>
        <v>100</v>
      </c>
      <c r="H685" s="1400">
        <v>100</v>
      </c>
      <c r="I685" s="1353"/>
      <c r="J685" s="1341"/>
      <c r="K685" s="1341"/>
      <c r="L685" s="1341"/>
    </row>
    <row r="686" spans="1:12" s="1352" customFormat="1" ht="20.100000000000001" customHeight="1">
      <c r="A686" s="1341"/>
      <c r="B686" s="1341"/>
      <c r="C686" s="1374"/>
      <c r="D686" s="1398" t="s">
        <v>2390</v>
      </c>
      <c r="E686" s="1397">
        <f>+E687+E688</f>
        <v>1100000000</v>
      </c>
      <c r="F686" s="1397">
        <f>+F687+F688</f>
        <v>931850000</v>
      </c>
      <c r="G686" s="1355">
        <f t="shared" si="36"/>
        <v>84.713636363636368</v>
      </c>
      <c r="H686" s="1354">
        <f>SUM((H687:H688))/2</f>
        <v>90</v>
      </c>
      <c r="I686" s="1353"/>
      <c r="J686" s="1341"/>
      <c r="K686" s="1341"/>
      <c r="L686" s="1341"/>
    </row>
    <row r="687" spans="1:12" s="1352" customFormat="1" ht="20.100000000000001" customHeight="1">
      <c r="A687" s="1341"/>
      <c r="B687" s="1341"/>
      <c r="C687" s="1374"/>
      <c r="D687" s="1396" t="s">
        <v>3044</v>
      </c>
      <c r="E687" s="1395">
        <v>350000000</v>
      </c>
      <c r="F687" s="1395">
        <v>350000000</v>
      </c>
      <c r="G687" s="1355">
        <f t="shared" si="36"/>
        <v>100</v>
      </c>
      <c r="H687" s="1400">
        <v>100</v>
      </c>
      <c r="I687" s="1353"/>
      <c r="J687" s="1341"/>
      <c r="K687" s="1341"/>
      <c r="L687" s="1341"/>
    </row>
    <row r="688" spans="1:12" s="1352" customFormat="1" ht="20.100000000000001" customHeight="1">
      <c r="A688" s="1341"/>
      <c r="B688" s="1341"/>
      <c r="C688" s="1374"/>
      <c r="D688" s="1396" t="s">
        <v>3043</v>
      </c>
      <c r="E688" s="1395">
        <v>750000000</v>
      </c>
      <c r="F688" s="1395">
        <v>581850000</v>
      </c>
      <c r="G688" s="1355">
        <f t="shared" si="36"/>
        <v>77.58</v>
      </c>
      <c r="H688" s="1400">
        <v>80</v>
      </c>
      <c r="I688" s="1353"/>
      <c r="J688" s="1341"/>
      <c r="K688" s="1341"/>
      <c r="L688" s="1341"/>
    </row>
    <row r="689" spans="1:12" s="1352" customFormat="1" ht="33.75" customHeight="1">
      <c r="A689" s="1341"/>
      <c r="B689" s="1341"/>
      <c r="C689" s="1374"/>
      <c r="D689" s="1398" t="s">
        <v>421</v>
      </c>
      <c r="E689" s="1397">
        <f>+E690+E691+E692</f>
        <v>4337778700</v>
      </c>
      <c r="F689" s="1397">
        <f>+F690+F691+F692</f>
        <v>4207841000</v>
      </c>
      <c r="G689" s="1355">
        <f t="shared" si="36"/>
        <v>97.004510626602496</v>
      </c>
      <c r="H689" s="1354">
        <f>SUM((H690:H692))/3</f>
        <v>100</v>
      </c>
      <c r="I689" s="1353"/>
      <c r="J689" s="1341"/>
      <c r="K689" s="1341"/>
      <c r="L689" s="1341"/>
    </row>
    <row r="690" spans="1:12" s="1352" customFormat="1" ht="20.100000000000001" customHeight="1">
      <c r="A690" s="1341"/>
      <c r="B690" s="1341"/>
      <c r="C690" s="1374"/>
      <c r="D690" s="1396" t="s">
        <v>3042</v>
      </c>
      <c r="E690" s="1395">
        <v>1372000000</v>
      </c>
      <c r="F690" s="1395">
        <v>1312828000</v>
      </c>
      <c r="G690" s="1355">
        <f t="shared" si="36"/>
        <v>95.687172011661801</v>
      </c>
      <c r="H690" s="1400">
        <v>100</v>
      </c>
      <c r="I690" s="1353"/>
      <c r="J690" s="1341"/>
      <c r="K690" s="1341"/>
      <c r="L690" s="1341"/>
    </row>
    <row r="691" spans="1:12" s="1352" customFormat="1" ht="20.100000000000001" customHeight="1">
      <c r="A691" s="1341"/>
      <c r="B691" s="1341"/>
      <c r="C691" s="1374"/>
      <c r="D691" s="1396" t="s">
        <v>3041</v>
      </c>
      <c r="E691" s="1395">
        <v>1965778700</v>
      </c>
      <c r="F691" s="1395">
        <v>1897513000</v>
      </c>
      <c r="G691" s="1355">
        <f t="shared" si="36"/>
        <v>96.527294756017042</v>
      </c>
      <c r="H691" s="1400">
        <v>100</v>
      </c>
      <c r="I691" s="1353"/>
      <c r="J691" s="1341"/>
      <c r="K691" s="1341"/>
      <c r="L691" s="1341"/>
    </row>
    <row r="692" spans="1:12" s="1352" customFormat="1" ht="20.100000000000001" customHeight="1">
      <c r="A692" s="1341"/>
      <c r="B692" s="1341"/>
      <c r="C692" s="1374"/>
      <c r="D692" s="1396" t="s">
        <v>3040</v>
      </c>
      <c r="E692" s="1395">
        <v>1000000000</v>
      </c>
      <c r="F692" s="1395">
        <v>997500000</v>
      </c>
      <c r="G692" s="1355">
        <f t="shared" si="36"/>
        <v>99.75</v>
      </c>
      <c r="H692" s="1400">
        <v>100</v>
      </c>
      <c r="I692" s="1353"/>
      <c r="J692" s="1341"/>
      <c r="K692" s="1341"/>
      <c r="L692" s="1341"/>
    </row>
    <row r="693" spans="1:12" s="1352" customFormat="1" ht="20.100000000000001" customHeight="1">
      <c r="A693" s="1341"/>
      <c r="B693" s="1341"/>
      <c r="C693" s="1374"/>
      <c r="D693" s="1398" t="s">
        <v>3039</v>
      </c>
      <c r="E693" s="1397">
        <f>+E694</f>
        <v>450000000</v>
      </c>
      <c r="F693" s="1397"/>
      <c r="G693" s="1355">
        <f t="shared" si="36"/>
        <v>0</v>
      </c>
      <c r="H693" s="1354"/>
      <c r="I693" s="1353"/>
      <c r="J693" s="1341"/>
      <c r="K693" s="1341"/>
      <c r="L693" s="1341"/>
    </row>
    <row r="694" spans="1:12" s="1352" customFormat="1" ht="53.25" customHeight="1">
      <c r="A694" s="1341"/>
      <c r="B694" s="1341"/>
      <c r="C694" s="1374"/>
      <c r="D694" s="1396" t="s">
        <v>3038</v>
      </c>
      <c r="E694" s="1395">
        <v>450000000</v>
      </c>
      <c r="F694" s="1395">
        <v>0</v>
      </c>
      <c r="G694" s="1355">
        <f t="shared" si="36"/>
        <v>0</v>
      </c>
      <c r="H694" s="1400">
        <v>0</v>
      </c>
      <c r="I694" s="1353"/>
      <c r="J694" s="1341"/>
      <c r="K694" s="1341"/>
      <c r="L694" s="1341"/>
    </row>
    <row r="695" spans="1:12" s="1352" customFormat="1" ht="20.100000000000001" customHeight="1">
      <c r="A695" s="1341"/>
      <c r="B695" s="1341"/>
      <c r="C695" s="1374"/>
      <c r="D695" s="1398" t="s">
        <v>1878</v>
      </c>
      <c r="E695" s="1397">
        <f>+E696</f>
        <v>300000000</v>
      </c>
      <c r="F695" s="1397">
        <f>+F696</f>
        <v>300000000</v>
      </c>
      <c r="G695" s="1355">
        <f t="shared" si="36"/>
        <v>100</v>
      </c>
      <c r="H695" s="1354">
        <f>+G695</f>
        <v>100</v>
      </c>
      <c r="I695" s="1353"/>
      <c r="J695" s="1341"/>
      <c r="K695" s="1341"/>
      <c r="L695" s="1341"/>
    </row>
    <row r="696" spans="1:12" s="1352" customFormat="1" ht="20.100000000000001" customHeight="1">
      <c r="A696" s="1341"/>
      <c r="B696" s="1341"/>
      <c r="C696" s="1374"/>
      <c r="D696" s="1396" t="s">
        <v>1728</v>
      </c>
      <c r="E696" s="1395">
        <v>300000000</v>
      </c>
      <c r="F696" s="1395">
        <v>300000000</v>
      </c>
      <c r="G696" s="1355">
        <f t="shared" si="36"/>
        <v>100</v>
      </c>
      <c r="H696" s="1354">
        <f>+G696</f>
        <v>100</v>
      </c>
      <c r="I696" s="1353"/>
      <c r="J696" s="1341"/>
      <c r="K696" s="1341"/>
      <c r="L696" s="1341"/>
    </row>
    <row r="697" spans="1:12" s="1352" customFormat="1" ht="20.100000000000001" customHeight="1">
      <c r="A697" s="1341"/>
      <c r="B697" s="1341"/>
      <c r="C697" s="1374"/>
      <c r="D697" s="1398" t="s">
        <v>483</v>
      </c>
      <c r="E697" s="1397">
        <f>+E698</f>
        <v>400000000</v>
      </c>
      <c r="F697" s="1399">
        <f>+F698</f>
        <v>399800000</v>
      </c>
      <c r="G697" s="1355">
        <f t="shared" si="36"/>
        <v>99.95</v>
      </c>
      <c r="H697" s="1354">
        <v>100</v>
      </c>
      <c r="I697" s="1353"/>
      <c r="J697" s="1341"/>
      <c r="K697" s="1341"/>
      <c r="L697" s="1341"/>
    </row>
    <row r="698" spans="1:12" s="1352" customFormat="1" ht="20.100000000000001" customHeight="1">
      <c r="A698" s="1341"/>
      <c r="B698" s="1341"/>
      <c r="C698" s="1374"/>
      <c r="D698" s="1396" t="s">
        <v>2213</v>
      </c>
      <c r="E698" s="1395">
        <v>400000000</v>
      </c>
      <c r="F698" s="1395">
        <v>399800000</v>
      </c>
      <c r="G698" s="1355">
        <f t="shared" si="36"/>
        <v>99.95</v>
      </c>
      <c r="H698" s="1354">
        <v>100</v>
      </c>
      <c r="I698" s="1353"/>
      <c r="J698" s="1341"/>
      <c r="K698" s="1341"/>
      <c r="L698" s="1341"/>
    </row>
    <row r="699" spans="1:12" s="1352" customFormat="1" ht="53.25" customHeight="1">
      <c r="A699" s="1341"/>
      <c r="B699" s="1341"/>
      <c r="C699" s="1374"/>
      <c r="D699" s="1398" t="s">
        <v>2216</v>
      </c>
      <c r="E699" s="1397">
        <f>+E700+E701+E702</f>
        <v>3501730400</v>
      </c>
      <c r="F699" s="1397">
        <f>+F700+F701+F702</f>
        <v>3429961000</v>
      </c>
      <c r="G699" s="1355">
        <f t="shared" si="36"/>
        <v>97.950459007352478</v>
      </c>
      <c r="H699" s="1354">
        <f>SUM((H700:H702))/3</f>
        <v>100</v>
      </c>
      <c r="I699" s="1353"/>
      <c r="J699" s="1341"/>
      <c r="K699" s="1341"/>
      <c r="L699" s="1341"/>
    </row>
    <row r="700" spans="1:12" s="1352" customFormat="1" ht="20.100000000000001" customHeight="1">
      <c r="A700" s="1341"/>
      <c r="B700" s="1341"/>
      <c r="C700" s="1374"/>
      <c r="D700" s="1396" t="s">
        <v>3037</v>
      </c>
      <c r="E700" s="1395">
        <v>2000000000</v>
      </c>
      <c r="F700" s="1395">
        <v>1947000000</v>
      </c>
      <c r="G700" s="1355">
        <f t="shared" si="36"/>
        <v>97.350000000000009</v>
      </c>
      <c r="H700" s="1354">
        <v>100</v>
      </c>
      <c r="I700" s="1353"/>
      <c r="J700" s="1341"/>
      <c r="K700" s="1341"/>
      <c r="L700" s="1341"/>
    </row>
    <row r="701" spans="1:12" s="1352" customFormat="1" ht="20.100000000000001" customHeight="1">
      <c r="A701" s="1341"/>
      <c r="B701" s="1341"/>
      <c r="C701" s="1374"/>
      <c r="D701" s="1396" t="s">
        <v>3036</v>
      </c>
      <c r="E701" s="1395">
        <v>1000000000</v>
      </c>
      <c r="F701" s="1395">
        <v>985000000</v>
      </c>
      <c r="G701" s="1355">
        <f t="shared" si="36"/>
        <v>98.5</v>
      </c>
      <c r="H701" s="1354">
        <v>100</v>
      </c>
      <c r="I701" s="1353"/>
      <c r="J701" s="1341"/>
      <c r="K701" s="1341"/>
      <c r="L701" s="1341"/>
    </row>
    <row r="702" spans="1:12" s="1352" customFormat="1" ht="20.100000000000001" customHeight="1">
      <c r="A702" s="1341"/>
      <c r="B702" s="1341"/>
      <c r="C702" s="1374"/>
      <c r="D702" s="1396" t="s">
        <v>3035</v>
      </c>
      <c r="E702" s="1395">
        <v>501730400</v>
      </c>
      <c r="F702" s="1395">
        <v>497961000</v>
      </c>
      <c r="G702" s="1355">
        <f t="shared" si="36"/>
        <v>99.248720029721142</v>
      </c>
      <c r="H702" s="1354">
        <v>100</v>
      </c>
      <c r="I702" s="1353"/>
      <c r="J702" s="1341"/>
      <c r="K702" s="1341"/>
      <c r="L702" s="1341"/>
    </row>
    <row r="703" spans="1:12" ht="15" customHeight="1">
      <c r="A703" s="1341"/>
      <c r="B703" s="1341"/>
      <c r="C703" s="1374"/>
      <c r="D703" s="1373"/>
      <c r="E703" s="1369">
        <v>0</v>
      </c>
      <c r="F703" s="1372"/>
      <c r="G703" s="1371"/>
      <c r="H703" s="1371"/>
      <c r="I703" s="1353"/>
      <c r="J703" s="1341"/>
      <c r="K703" s="1341"/>
      <c r="L703" s="1341"/>
    </row>
    <row r="704" spans="1:12" s="1359" customFormat="1" ht="20.100000000000001" customHeight="1">
      <c r="A704" s="1346"/>
      <c r="B704" s="1346"/>
      <c r="C704" s="1381" t="s">
        <v>2274</v>
      </c>
      <c r="D704" s="1370" t="s">
        <v>2275</v>
      </c>
      <c r="E704" s="1369">
        <f>+E705+E718</f>
        <v>13202395752</v>
      </c>
      <c r="F704" s="1369">
        <f>+F705+F718</f>
        <v>13106513837</v>
      </c>
      <c r="G704" s="1368">
        <f>+F704/E704*100</f>
        <v>99.273753667129128</v>
      </c>
      <c r="H704" s="1368">
        <f>(H705+H718)/2</f>
        <v>55.833333333333336</v>
      </c>
      <c r="I704" s="1360"/>
      <c r="J704" s="1346"/>
      <c r="K704" s="1346"/>
      <c r="L704" s="1346"/>
    </row>
    <row r="705" spans="1:12" s="1359" customFormat="1" ht="20.100000000000001" customHeight="1">
      <c r="A705" s="1346"/>
      <c r="B705" s="1346"/>
      <c r="C705" s="1381"/>
      <c r="D705" s="1393" t="s">
        <v>65</v>
      </c>
      <c r="E705" s="1392">
        <f>E706+E708+E711+E713+E715</f>
        <v>3328200000</v>
      </c>
      <c r="F705" s="1391">
        <f>F706+F708+F711+F713+F715</f>
        <v>3324473800</v>
      </c>
      <c r="G705" s="1390">
        <f t="shared" ref="G705:G716" si="37">F705/E705*100</f>
        <v>99.888041584039428</v>
      </c>
      <c r="H705" s="1385">
        <f>100/6</f>
        <v>16.666666666666668</v>
      </c>
      <c r="I705" s="1360"/>
      <c r="J705" s="1346"/>
      <c r="K705" s="1346"/>
      <c r="L705" s="1346"/>
    </row>
    <row r="706" spans="1:12" s="1359" customFormat="1" ht="20.100000000000001" customHeight="1">
      <c r="A706" s="1346"/>
      <c r="B706" s="1346"/>
      <c r="C706" s="1381"/>
      <c r="D706" s="1393" t="s">
        <v>162</v>
      </c>
      <c r="E706" s="1392">
        <f>SUM(E707)</f>
        <v>1454500000</v>
      </c>
      <c r="F706" s="1391">
        <f>SUM(F707)</f>
        <v>1450773800</v>
      </c>
      <c r="G706" s="1390">
        <f t="shared" si="37"/>
        <v>99.743815744241999</v>
      </c>
      <c r="H706" s="1385">
        <v>100</v>
      </c>
      <c r="I706" s="1360"/>
      <c r="J706" s="1346"/>
      <c r="K706" s="1346"/>
      <c r="L706" s="1346"/>
    </row>
    <row r="707" spans="1:12" s="1359" customFormat="1" ht="20.100000000000001" customHeight="1">
      <c r="A707" s="1346"/>
      <c r="B707" s="1346"/>
      <c r="C707" s="1381"/>
      <c r="D707" s="1389" t="s">
        <v>2966</v>
      </c>
      <c r="E707" s="1388">
        <v>1454500000</v>
      </c>
      <c r="F707" s="1387">
        <v>1450773800</v>
      </c>
      <c r="G707" s="1386">
        <f t="shared" si="37"/>
        <v>99.743815744241999</v>
      </c>
      <c r="H707" s="1385">
        <v>100</v>
      </c>
      <c r="I707" s="1360"/>
      <c r="J707" s="1346"/>
      <c r="K707" s="1346"/>
      <c r="L707" s="1346"/>
    </row>
    <row r="708" spans="1:12" s="1359" customFormat="1" ht="20.100000000000001" customHeight="1">
      <c r="A708" s="1346"/>
      <c r="B708" s="1346"/>
      <c r="C708" s="1381"/>
      <c r="D708" s="1393" t="s">
        <v>190</v>
      </c>
      <c r="E708" s="1392">
        <f>SUM(E709:E710)</f>
        <v>463550000</v>
      </c>
      <c r="F708" s="1391">
        <f>SUM(F709:F710)</f>
        <v>463550000</v>
      </c>
      <c r="G708" s="1390">
        <f t="shared" si="37"/>
        <v>100</v>
      </c>
      <c r="H708" s="1385">
        <f t="shared" ref="H708:H716" si="38">+G708</f>
        <v>100</v>
      </c>
      <c r="I708" s="1360"/>
      <c r="J708" s="1346"/>
      <c r="K708" s="1346"/>
      <c r="L708" s="1346"/>
    </row>
    <row r="709" spans="1:12" s="1359" customFormat="1" ht="20.100000000000001" customHeight="1">
      <c r="A709" s="1346"/>
      <c r="B709" s="1346"/>
      <c r="C709" s="1381"/>
      <c r="D709" s="1389" t="s">
        <v>2965</v>
      </c>
      <c r="E709" s="1388">
        <v>178550000</v>
      </c>
      <c r="F709" s="1387">
        <v>178550000</v>
      </c>
      <c r="G709" s="1386">
        <f t="shared" si="37"/>
        <v>100</v>
      </c>
      <c r="H709" s="1385">
        <f t="shared" si="38"/>
        <v>100</v>
      </c>
      <c r="I709" s="1360"/>
      <c r="J709" s="1346"/>
      <c r="K709" s="1346"/>
      <c r="L709" s="1346"/>
    </row>
    <row r="710" spans="1:12" s="1359" customFormat="1" ht="20.100000000000001" customHeight="1">
      <c r="A710" s="1346"/>
      <c r="B710" s="1346"/>
      <c r="C710" s="1381"/>
      <c r="D710" s="1389" t="s">
        <v>2964</v>
      </c>
      <c r="E710" s="1388">
        <v>285000000</v>
      </c>
      <c r="F710" s="1387">
        <v>285000000</v>
      </c>
      <c r="G710" s="1386">
        <f t="shared" si="37"/>
        <v>100</v>
      </c>
      <c r="H710" s="1385">
        <f t="shared" si="38"/>
        <v>100</v>
      </c>
      <c r="I710" s="1360"/>
      <c r="J710" s="1346"/>
      <c r="K710" s="1346"/>
      <c r="L710" s="1346"/>
    </row>
    <row r="711" spans="1:12" s="1359" customFormat="1" ht="20.100000000000001" customHeight="1">
      <c r="A711" s="1346"/>
      <c r="B711" s="1346"/>
      <c r="C711" s="1381"/>
      <c r="D711" s="1393" t="s">
        <v>196</v>
      </c>
      <c r="E711" s="1392">
        <f>SUM(E712)</f>
        <v>833150000</v>
      </c>
      <c r="F711" s="1391">
        <f>SUM(F712)</f>
        <v>833150000</v>
      </c>
      <c r="G711" s="1390">
        <f t="shared" si="37"/>
        <v>100</v>
      </c>
      <c r="H711" s="1385">
        <f t="shared" si="38"/>
        <v>100</v>
      </c>
      <c r="I711" s="1360"/>
      <c r="J711" s="1346"/>
      <c r="K711" s="1346"/>
      <c r="L711" s="1346"/>
    </row>
    <row r="712" spans="1:12" s="1359" customFormat="1" ht="20.100000000000001" customHeight="1">
      <c r="A712" s="1346"/>
      <c r="B712" s="1346"/>
      <c r="C712" s="1381"/>
      <c r="D712" s="1389" t="s">
        <v>2963</v>
      </c>
      <c r="E712" s="1388">
        <v>833150000</v>
      </c>
      <c r="F712" s="1387">
        <v>833150000</v>
      </c>
      <c r="G712" s="1386">
        <f t="shared" si="37"/>
        <v>100</v>
      </c>
      <c r="H712" s="1385">
        <f t="shared" si="38"/>
        <v>100</v>
      </c>
      <c r="I712" s="1360"/>
      <c r="J712" s="1346"/>
      <c r="K712" s="1346"/>
      <c r="L712" s="1346"/>
    </row>
    <row r="713" spans="1:12" s="1359" customFormat="1" ht="20.100000000000001" customHeight="1">
      <c r="A713" s="1346"/>
      <c r="B713" s="1346"/>
      <c r="C713" s="1381"/>
      <c r="D713" s="1393" t="s">
        <v>2962</v>
      </c>
      <c r="E713" s="1392">
        <f>SUM(E714)</f>
        <v>227000000</v>
      </c>
      <c r="F713" s="1391">
        <f>SUM(F714)</f>
        <v>227000000</v>
      </c>
      <c r="G713" s="1390">
        <f t="shared" si="37"/>
        <v>100</v>
      </c>
      <c r="H713" s="1385">
        <f t="shared" si="38"/>
        <v>100</v>
      </c>
      <c r="I713" s="1360"/>
      <c r="J713" s="1346"/>
      <c r="K713" s="1346"/>
      <c r="L713" s="1346"/>
    </row>
    <row r="714" spans="1:12" s="1359" customFormat="1" ht="20.100000000000001" customHeight="1">
      <c r="A714" s="1346"/>
      <c r="B714" s="1346"/>
      <c r="C714" s="1381"/>
      <c r="D714" s="1389" t="s">
        <v>2961</v>
      </c>
      <c r="E714" s="1388">
        <v>227000000</v>
      </c>
      <c r="F714" s="1387">
        <v>227000000</v>
      </c>
      <c r="G714" s="1386">
        <f t="shared" si="37"/>
        <v>100</v>
      </c>
      <c r="H714" s="1385">
        <f t="shared" si="38"/>
        <v>100</v>
      </c>
      <c r="I714" s="1360"/>
      <c r="J714" s="1346"/>
      <c r="K714" s="1346"/>
      <c r="L714" s="1346"/>
    </row>
    <row r="715" spans="1:12" s="1359" customFormat="1" ht="20.100000000000001" customHeight="1">
      <c r="A715" s="1346"/>
      <c r="B715" s="1346"/>
      <c r="C715" s="1381"/>
      <c r="D715" s="1393" t="s">
        <v>953</v>
      </c>
      <c r="E715" s="1392">
        <f>SUM(E716)</f>
        <v>350000000</v>
      </c>
      <c r="F715" s="1391">
        <f>SUM(F716)</f>
        <v>350000000</v>
      </c>
      <c r="G715" s="1390">
        <f t="shared" si="37"/>
        <v>100</v>
      </c>
      <c r="H715" s="1385">
        <f t="shared" si="38"/>
        <v>100</v>
      </c>
      <c r="I715" s="1360"/>
      <c r="J715" s="1346"/>
      <c r="K715" s="1346"/>
      <c r="L715" s="1346"/>
    </row>
    <row r="716" spans="1:12" s="1359" customFormat="1" ht="38.25" customHeight="1">
      <c r="A716" s="1346"/>
      <c r="B716" s="1346"/>
      <c r="C716" s="1381"/>
      <c r="D716" s="1389" t="s">
        <v>2960</v>
      </c>
      <c r="E716" s="1388">
        <v>350000000</v>
      </c>
      <c r="F716" s="1387">
        <v>350000000</v>
      </c>
      <c r="G716" s="1386">
        <f t="shared" si="37"/>
        <v>100</v>
      </c>
      <c r="H716" s="1385">
        <f t="shared" si="38"/>
        <v>100</v>
      </c>
      <c r="I716" s="1360"/>
      <c r="J716" s="1346"/>
      <c r="K716" s="1346"/>
      <c r="L716" s="1346"/>
    </row>
    <row r="717" spans="1:12" s="1359" customFormat="1" ht="15" customHeight="1">
      <c r="A717" s="1346"/>
      <c r="B717" s="1346"/>
      <c r="C717" s="1381"/>
      <c r="D717" s="1389"/>
      <c r="E717" s="1388"/>
      <c r="F717" s="1388"/>
      <c r="G717" s="1394"/>
      <c r="H717" s="1385"/>
      <c r="I717" s="1360"/>
      <c r="J717" s="1346"/>
      <c r="K717" s="1346"/>
      <c r="L717" s="1346"/>
    </row>
    <row r="718" spans="1:12" s="1352" customFormat="1" ht="20.100000000000001" customHeight="1">
      <c r="A718" s="1341"/>
      <c r="B718" s="1341"/>
      <c r="C718" s="1374"/>
      <c r="D718" s="1393" t="s">
        <v>2311</v>
      </c>
      <c r="E718" s="1392">
        <f>E719</f>
        <v>9874195752</v>
      </c>
      <c r="F718" s="1392">
        <f>F719</f>
        <v>9782040037</v>
      </c>
      <c r="G718" s="1390">
        <f>F718/E718*100</f>
        <v>99.066701559148925</v>
      </c>
      <c r="H718" s="1385">
        <f>H719</f>
        <v>95</v>
      </c>
      <c r="I718" s="1353"/>
      <c r="J718" s="1341"/>
      <c r="K718" s="1341"/>
      <c r="L718" s="1341"/>
    </row>
    <row r="719" spans="1:12" s="1352" customFormat="1" ht="20.100000000000001" customHeight="1">
      <c r="A719" s="1341"/>
      <c r="B719" s="1341"/>
      <c r="C719" s="1374"/>
      <c r="D719" s="1393" t="s">
        <v>2959</v>
      </c>
      <c r="E719" s="1392">
        <f>SUM(E720:E721)</f>
        <v>9874195752</v>
      </c>
      <c r="F719" s="1391">
        <f>SUM(F720:F721)</f>
        <v>9782040037</v>
      </c>
      <c r="G719" s="1390">
        <f>F719/E719*100</f>
        <v>99.066701559148925</v>
      </c>
      <c r="H719" s="1385">
        <f>190/2</f>
        <v>95</v>
      </c>
      <c r="I719" s="1353"/>
      <c r="J719" s="1341"/>
      <c r="K719" s="1341"/>
      <c r="L719" s="1341"/>
    </row>
    <row r="720" spans="1:12" s="1352" customFormat="1" ht="20.100000000000001" customHeight="1">
      <c r="A720" s="1341"/>
      <c r="B720" s="1341"/>
      <c r="C720" s="1374"/>
      <c r="D720" s="1389" t="s">
        <v>2958</v>
      </c>
      <c r="E720" s="1388">
        <v>7274910715</v>
      </c>
      <c r="F720" s="1387">
        <f>6495688755+778066245</f>
        <v>7273755000</v>
      </c>
      <c r="G720" s="1386">
        <f>F720/E720*100</f>
        <v>99.984113688191158</v>
      </c>
      <c r="H720" s="1385">
        <v>90</v>
      </c>
      <c r="I720" s="1353"/>
      <c r="J720" s="1341"/>
      <c r="K720" s="1341"/>
      <c r="L720" s="1341"/>
    </row>
    <row r="721" spans="1:12" s="1352" customFormat="1" ht="20.100000000000001" customHeight="1">
      <c r="A721" s="1341"/>
      <c r="B721" s="1341"/>
      <c r="C721" s="1374"/>
      <c r="D721" s="1389" t="s">
        <v>2957</v>
      </c>
      <c r="E721" s="1388">
        <v>2599285037</v>
      </c>
      <c r="F721" s="1387">
        <v>2508285037</v>
      </c>
      <c r="G721" s="1386">
        <f>F721/E721*100</f>
        <v>96.499037285074792</v>
      </c>
      <c r="H721" s="1385">
        <v>100</v>
      </c>
      <c r="I721" s="1353"/>
      <c r="J721" s="1341"/>
      <c r="K721" s="1341"/>
      <c r="L721" s="1341"/>
    </row>
    <row r="722" spans="1:12" ht="15" customHeight="1">
      <c r="A722" s="1341"/>
      <c r="B722" s="1341"/>
      <c r="C722" s="1374"/>
      <c r="D722" s="1373"/>
      <c r="E722" s="1369">
        <v>0</v>
      </c>
      <c r="F722" s="1372"/>
      <c r="G722" s="1371"/>
      <c r="H722" s="1371"/>
      <c r="I722" s="1353"/>
      <c r="J722" s="1341"/>
      <c r="K722" s="1341"/>
      <c r="L722" s="1341"/>
    </row>
    <row r="723" spans="1:12" s="1359" customFormat="1" ht="20.100000000000001" customHeight="1">
      <c r="A723" s="1346"/>
      <c r="B723" s="1346"/>
      <c r="C723" s="1381" t="s">
        <v>2344</v>
      </c>
      <c r="D723" s="1370" t="s">
        <v>2935</v>
      </c>
      <c r="E723" s="1369">
        <v>4370665000</v>
      </c>
      <c r="F723" s="1384">
        <f>F724+F735</f>
        <v>4164067800</v>
      </c>
      <c r="G723" s="1379">
        <f t="shared" ref="G723:G733" si="39">F723/E723*100</f>
        <v>95.27309459773285</v>
      </c>
      <c r="H723" s="1379">
        <f>(H724+H735)/2</f>
        <v>100</v>
      </c>
      <c r="I723" s="1360"/>
      <c r="J723" s="1346"/>
      <c r="K723" s="1346"/>
      <c r="L723" s="1346"/>
    </row>
    <row r="724" spans="1:12" s="1352" customFormat="1" ht="20.100000000000001" customHeight="1">
      <c r="A724" s="1341"/>
      <c r="B724" s="1341"/>
      <c r="C724" s="1374"/>
      <c r="D724" s="1370" t="s">
        <v>161</v>
      </c>
      <c r="E724" s="1380">
        <f>E725+E727+E729+E732</f>
        <v>3907915000</v>
      </c>
      <c r="F724" s="1380">
        <f>F725+F727+F729+F732</f>
        <v>3701317800</v>
      </c>
      <c r="G724" s="1383">
        <f t="shared" si="39"/>
        <v>94.713365055278842</v>
      </c>
      <c r="H724" s="1382">
        <f>(H725+H727+H729+H732)/4</f>
        <v>100</v>
      </c>
      <c r="I724" s="1353"/>
      <c r="J724" s="1341"/>
      <c r="K724" s="1341"/>
      <c r="L724" s="1341"/>
    </row>
    <row r="725" spans="1:12" s="1352" customFormat="1" ht="21.75" customHeight="1">
      <c r="A725" s="1341"/>
      <c r="B725" s="1341"/>
      <c r="C725" s="1374"/>
      <c r="D725" s="1373" t="s">
        <v>173</v>
      </c>
      <c r="E725" s="1377">
        <f>SUM(E726:E726)</f>
        <v>802665000</v>
      </c>
      <c r="F725" s="1377">
        <f>SUM(F726:F726)</f>
        <v>765632800</v>
      </c>
      <c r="G725" s="1376">
        <f t="shared" si="39"/>
        <v>95.386344240748016</v>
      </c>
      <c r="H725" s="1375">
        <f>H726</f>
        <v>100</v>
      </c>
      <c r="I725" s="1353"/>
      <c r="J725" s="1341"/>
      <c r="K725" s="1341"/>
      <c r="L725" s="1341"/>
    </row>
    <row r="726" spans="1:12" s="1352" customFormat="1" ht="35.1" customHeight="1">
      <c r="A726" s="1341"/>
      <c r="B726" s="1341"/>
      <c r="C726" s="1374"/>
      <c r="D726" s="1373" t="s">
        <v>2929</v>
      </c>
      <c r="E726" s="1377">
        <v>802665000</v>
      </c>
      <c r="F726" s="1377">
        <v>765632800</v>
      </c>
      <c r="G726" s="1376">
        <f t="shared" si="39"/>
        <v>95.386344240748016</v>
      </c>
      <c r="H726" s="1375">
        <v>100</v>
      </c>
      <c r="I726" s="1353"/>
      <c r="J726" s="1341"/>
      <c r="K726" s="1341"/>
      <c r="L726" s="1341"/>
    </row>
    <row r="727" spans="1:12" s="1352" customFormat="1" ht="21.75" customHeight="1">
      <c r="A727" s="1341"/>
      <c r="B727" s="1341"/>
      <c r="C727" s="1374"/>
      <c r="D727" s="1373" t="s">
        <v>953</v>
      </c>
      <c r="E727" s="1377">
        <f>SUM(E728:E728)</f>
        <v>1600000000</v>
      </c>
      <c r="F727" s="1377">
        <f>SUM(F728:F728)</f>
        <v>1592050000</v>
      </c>
      <c r="G727" s="1376">
        <f t="shared" si="39"/>
        <v>99.503124999999997</v>
      </c>
      <c r="H727" s="1375">
        <f>H728</f>
        <v>100</v>
      </c>
      <c r="I727" s="1353"/>
      <c r="J727" s="1341"/>
      <c r="K727" s="1341"/>
      <c r="L727" s="1341"/>
    </row>
    <row r="728" spans="1:12" s="1352" customFormat="1" ht="35.1" customHeight="1">
      <c r="A728" s="1341"/>
      <c r="B728" s="1341"/>
      <c r="C728" s="1374"/>
      <c r="D728" s="1373" t="s">
        <v>2928</v>
      </c>
      <c r="E728" s="1377">
        <v>1600000000</v>
      </c>
      <c r="F728" s="1377">
        <v>1592050000</v>
      </c>
      <c r="G728" s="1376">
        <f t="shared" si="39"/>
        <v>99.503124999999997</v>
      </c>
      <c r="H728" s="1375">
        <v>100</v>
      </c>
      <c r="I728" s="1353"/>
      <c r="J728" s="1341"/>
      <c r="K728" s="1341"/>
      <c r="L728" s="1341"/>
    </row>
    <row r="729" spans="1:12" s="1352" customFormat="1" ht="21.75" customHeight="1">
      <c r="A729" s="1341"/>
      <c r="B729" s="1341"/>
      <c r="C729" s="1374"/>
      <c r="D729" s="1373" t="s">
        <v>1501</v>
      </c>
      <c r="E729" s="1377">
        <f>SUM(E730:E731)</f>
        <v>856750000</v>
      </c>
      <c r="F729" s="1377">
        <f>SUM(F730:F731)</f>
        <v>705135000</v>
      </c>
      <c r="G729" s="1376">
        <f t="shared" si="39"/>
        <v>82.303472424861397</v>
      </c>
      <c r="H729" s="1375">
        <f>(H730+H731)/2</f>
        <v>100</v>
      </c>
      <c r="I729" s="1353"/>
      <c r="J729" s="1341"/>
      <c r="K729" s="1341"/>
      <c r="L729" s="1341"/>
    </row>
    <row r="730" spans="1:12" s="1352" customFormat="1" ht="21.75" customHeight="1">
      <c r="A730" s="1341"/>
      <c r="B730" s="1341"/>
      <c r="C730" s="1374"/>
      <c r="D730" s="1373" t="s">
        <v>2003</v>
      </c>
      <c r="E730" s="1377">
        <v>643700000</v>
      </c>
      <c r="F730" s="1377">
        <v>492085000</v>
      </c>
      <c r="G730" s="1376">
        <f t="shared" si="39"/>
        <v>76.446325928227438</v>
      </c>
      <c r="H730" s="1375">
        <v>100</v>
      </c>
      <c r="I730" s="1353"/>
      <c r="J730" s="1341"/>
      <c r="K730" s="1341"/>
      <c r="L730" s="1341"/>
    </row>
    <row r="731" spans="1:12" s="1352" customFormat="1" ht="70.5" customHeight="1">
      <c r="A731" s="1341"/>
      <c r="B731" s="1341"/>
      <c r="C731" s="1374"/>
      <c r="D731" s="1373" t="s">
        <v>2036</v>
      </c>
      <c r="E731" s="1377">
        <v>213050000</v>
      </c>
      <c r="F731" s="1377">
        <v>213050000</v>
      </c>
      <c r="G731" s="1376">
        <f t="shared" si="39"/>
        <v>100</v>
      </c>
      <c r="H731" s="1375">
        <v>100</v>
      </c>
      <c r="I731" s="1353"/>
      <c r="J731" s="1341"/>
      <c r="K731" s="1341"/>
      <c r="L731" s="1341"/>
    </row>
    <row r="732" spans="1:12" s="1352" customFormat="1" ht="21.75" customHeight="1">
      <c r="A732" s="1341"/>
      <c r="B732" s="1341"/>
      <c r="C732" s="1374"/>
      <c r="D732" s="1373" t="s">
        <v>221</v>
      </c>
      <c r="E732" s="1377">
        <v>648500000</v>
      </c>
      <c r="F732" s="1377">
        <f>SUM(F733:F733)</f>
        <v>638500000</v>
      </c>
      <c r="G732" s="1376">
        <f t="shared" si="39"/>
        <v>98.457979953739397</v>
      </c>
      <c r="H732" s="1375">
        <f>(H733)/1</f>
        <v>100</v>
      </c>
      <c r="I732" s="1353"/>
      <c r="J732" s="1341"/>
      <c r="K732" s="1341"/>
      <c r="L732" s="1341"/>
    </row>
    <row r="733" spans="1:12" s="1352" customFormat="1" ht="48" customHeight="1">
      <c r="A733" s="1341"/>
      <c r="B733" s="1341"/>
      <c r="C733" s="1374"/>
      <c r="D733" s="1373" t="s">
        <v>2927</v>
      </c>
      <c r="E733" s="1377">
        <v>648500000</v>
      </c>
      <c r="F733" s="1377">
        <v>638500000</v>
      </c>
      <c r="G733" s="1376">
        <f t="shared" si="39"/>
        <v>98.457979953739397</v>
      </c>
      <c r="H733" s="1375">
        <v>100</v>
      </c>
      <c r="I733" s="1353"/>
      <c r="J733" s="1341"/>
      <c r="K733" s="1341"/>
      <c r="L733" s="1341"/>
    </row>
    <row r="734" spans="1:12" s="1352" customFormat="1" ht="15" customHeight="1">
      <c r="A734" s="1341"/>
      <c r="B734" s="1341"/>
      <c r="C734" s="1374"/>
      <c r="D734" s="1373"/>
      <c r="E734" s="1369">
        <v>0</v>
      </c>
      <c r="F734" s="1372"/>
      <c r="G734" s="1371"/>
      <c r="H734" s="1371"/>
      <c r="I734" s="1353"/>
      <c r="J734" s="1341"/>
      <c r="K734" s="1341"/>
      <c r="L734" s="1341"/>
    </row>
    <row r="735" spans="1:12" s="1359" customFormat="1" ht="21.75" customHeight="1">
      <c r="A735" s="1346"/>
      <c r="B735" s="1346"/>
      <c r="C735" s="1381"/>
      <c r="D735" s="1370" t="s">
        <v>2374</v>
      </c>
      <c r="E735" s="1369">
        <v>462750000</v>
      </c>
      <c r="F735" s="1380">
        <f>F736</f>
        <v>462750000</v>
      </c>
      <c r="G735" s="1379">
        <f>F735/E735*100</f>
        <v>100</v>
      </c>
      <c r="H735" s="1378">
        <f>H736</f>
        <v>100</v>
      </c>
      <c r="I735" s="1360"/>
      <c r="J735" s="1346"/>
      <c r="K735" s="1346"/>
      <c r="L735" s="1346"/>
    </row>
    <row r="736" spans="1:12" s="1352" customFormat="1" ht="21.75" customHeight="1">
      <c r="A736" s="1341"/>
      <c r="B736" s="1341"/>
      <c r="C736" s="1374"/>
      <c r="D736" s="1373" t="s">
        <v>2912</v>
      </c>
      <c r="E736" s="1377">
        <v>462750000</v>
      </c>
      <c r="F736" s="1377">
        <v>462750000</v>
      </c>
      <c r="G736" s="1376">
        <f>F736/E736*100</f>
        <v>100</v>
      </c>
      <c r="H736" s="1375">
        <v>100</v>
      </c>
      <c r="I736" s="1353"/>
      <c r="J736" s="1341"/>
      <c r="K736" s="1341"/>
      <c r="L736" s="1341"/>
    </row>
    <row r="737" spans="1:12" ht="15" customHeight="1">
      <c r="A737" s="1341"/>
      <c r="B737" s="1341"/>
      <c r="C737" s="1374"/>
      <c r="D737" s="1373"/>
      <c r="E737" s="1369">
        <v>0</v>
      </c>
      <c r="F737" s="1372"/>
      <c r="G737" s="1371"/>
      <c r="H737" s="1371"/>
      <c r="I737" s="1353"/>
      <c r="J737" s="1341"/>
      <c r="K737" s="1341"/>
      <c r="L737" s="1341"/>
    </row>
    <row r="738" spans="1:12" s="1359" customFormat="1" ht="20.100000000000001" customHeight="1">
      <c r="A738" s="1346"/>
      <c r="B738" s="1346"/>
      <c r="C738" s="1361" t="s">
        <v>2377</v>
      </c>
      <c r="D738" s="1370" t="s">
        <v>63</v>
      </c>
      <c r="E738" s="1369">
        <f>+E739+E803+E789+E748</f>
        <v>708941000000</v>
      </c>
      <c r="F738" s="1369">
        <f>+F739+F803+F789+F748</f>
        <v>555976722610.96204</v>
      </c>
      <c r="G738" s="1368">
        <f t="shared" ref="G738:G746" si="40">+F738/E738*100</f>
        <v>78.423553245046065</v>
      </c>
      <c r="H738" s="1368">
        <f>(H739+H748+H789+H803)/4</f>
        <v>81.864564263749998</v>
      </c>
      <c r="I738" s="1360"/>
      <c r="J738" s="1346"/>
      <c r="K738" s="1346"/>
      <c r="L738" s="1346"/>
    </row>
    <row r="739" spans="1:12" s="1359" customFormat="1" ht="20.100000000000001" customHeight="1">
      <c r="A739" s="1346"/>
      <c r="B739" s="1346"/>
      <c r="C739" s="1361"/>
      <c r="D739" s="1365" t="s">
        <v>161</v>
      </c>
      <c r="E739" s="1362">
        <v>177991000000</v>
      </c>
      <c r="F739" s="1362">
        <v>123812930369.532</v>
      </c>
      <c r="G739" s="1355">
        <f t="shared" si="40"/>
        <v>69.56134319686501</v>
      </c>
      <c r="H739" s="1354">
        <f>(H740+H742+H744)/3</f>
        <v>71.666666666666671</v>
      </c>
      <c r="I739" s="1360"/>
      <c r="J739" s="1346"/>
      <c r="K739" s="1346"/>
      <c r="L739" s="1346"/>
    </row>
    <row r="740" spans="1:12" s="1359" customFormat="1" ht="20.100000000000001" customHeight="1">
      <c r="A740" s="1346"/>
      <c r="B740" s="1346"/>
      <c r="C740" s="1361"/>
      <c r="D740" s="1363" t="s">
        <v>173</v>
      </c>
      <c r="E740" s="1362">
        <v>19373761123</v>
      </c>
      <c r="F740" s="1362">
        <v>10940995726</v>
      </c>
      <c r="G740" s="1355">
        <f t="shared" si="40"/>
        <v>56.473266375784661</v>
      </c>
      <c r="H740" s="1354">
        <v>60</v>
      </c>
      <c r="I740" s="1360"/>
      <c r="J740" s="1346"/>
      <c r="K740" s="1346"/>
      <c r="L740" s="1346"/>
    </row>
    <row r="741" spans="1:12" s="1352" customFormat="1" ht="20.100000000000001" customHeight="1">
      <c r="A741" s="1341"/>
      <c r="B741" s="1341"/>
      <c r="C741" s="1358"/>
      <c r="D741" s="1357" t="s">
        <v>682</v>
      </c>
      <c r="E741" s="1356">
        <v>19373761123</v>
      </c>
      <c r="F741" s="1356">
        <v>10940995726</v>
      </c>
      <c r="G741" s="1355">
        <f t="shared" si="40"/>
        <v>56.473266375784661</v>
      </c>
      <c r="H741" s="1354">
        <v>60</v>
      </c>
      <c r="I741" s="1353"/>
      <c r="J741" s="1341"/>
      <c r="K741" s="1341"/>
      <c r="L741" s="1341"/>
    </row>
    <row r="742" spans="1:12" s="1359" customFormat="1" ht="20.100000000000001" customHeight="1">
      <c r="A742" s="1346"/>
      <c r="B742" s="1346"/>
      <c r="C742" s="1361"/>
      <c r="D742" s="1363" t="s">
        <v>219</v>
      </c>
      <c r="E742" s="1362">
        <v>60619450000</v>
      </c>
      <c r="F742" s="1362">
        <v>43968344112.972</v>
      </c>
      <c r="G742" s="1355">
        <f t="shared" si="40"/>
        <v>72.531743710924474</v>
      </c>
      <c r="H742" s="1354">
        <v>75</v>
      </c>
      <c r="I742" s="1360"/>
      <c r="J742" s="1346"/>
      <c r="K742" s="1346"/>
      <c r="L742" s="1346"/>
    </row>
    <row r="743" spans="1:12" s="1352" customFormat="1" ht="20.100000000000001" customHeight="1">
      <c r="A743" s="1341"/>
      <c r="B743" s="1341"/>
      <c r="C743" s="1358"/>
      <c r="D743" s="1357" t="s">
        <v>2382</v>
      </c>
      <c r="E743" s="1356">
        <v>60619450000</v>
      </c>
      <c r="F743" s="1356">
        <v>43968344112.972</v>
      </c>
      <c r="G743" s="1355">
        <f t="shared" si="40"/>
        <v>72.531743710924474</v>
      </c>
      <c r="H743" s="1354">
        <v>75</v>
      </c>
      <c r="I743" s="1353"/>
      <c r="J743" s="1341"/>
      <c r="K743" s="1341"/>
      <c r="L743" s="1341"/>
    </row>
    <row r="744" spans="1:12" s="1359" customFormat="1" ht="20.100000000000001" customHeight="1">
      <c r="A744" s="1346"/>
      <c r="B744" s="1346"/>
      <c r="C744" s="1361"/>
      <c r="D744" s="1363" t="s">
        <v>245</v>
      </c>
      <c r="E744" s="1362">
        <v>97997788877</v>
      </c>
      <c r="F744" s="1362">
        <v>68903590530.559998</v>
      </c>
      <c r="G744" s="1355">
        <f t="shared" si="40"/>
        <v>70.311372654584062</v>
      </c>
      <c r="H744" s="1354">
        <v>80</v>
      </c>
      <c r="I744" s="1360"/>
      <c r="J744" s="1346"/>
      <c r="K744" s="1346"/>
      <c r="L744" s="1346"/>
    </row>
    <row r="745" spans="1:12" s="1352" customFormat="1" ht="37.5" customHeight="1">
      <c r="A745" s="1341"/>
      <c r="B745" s="1341"/>
      <c r="C745" s="1358"/>
      <c r="D745" s="1364" t="s">
        <v>2383</v>
      </c>
      <c r="E745" s="1356">
        <v>84999876877</v>
      </c>
      <c r="F745" s="1356">
        <v>57269454100.559998</v>
      </c>
      <c r="G745" s="1355">
        <f t="shared" si="40"/>
        <v>67.375925948025056</v>
      </c>
      <c r="H745" s="1354">
        <v>70</v>
      </c>
      <c r="I745" s="1353"/>
      <c r="J745" s="1341"/>
      <c r="K745" s="1341"/>
      <c r="L745" s="1341"/>
    </row>
    <row r="746" spans="1:12" s="1359" customFormat="1" ht="20.100000000000001" customHeight="1">
      <c r="A746" s="1346"/>
      <c r="B746" s="1346"/>
      <c r="C746" s="1361"/>
      <c r="D746" s="1357" t="s">
        <v>2889</v>
      </c>
      <c r="E746" s="1356">
        <v>12997912000</v>
      </c>
      <c r="F746" s="1356">
        <v>11634136430</v>
      </c>
      <c r="G746" s="1355">
        <f t="shared" si="40"/>
        <v>89.507733472883956</v>
      </c>
      <c r="H746" s="1354">
        <v>90</v>
      </c>
      <c r="I746" s="1360"/>
      <c r="J746" s="1346"/>
      <c r="K746" s="1346"/>
      <c r="L746" s="1346"/>
    </row>
    <row r="747" spans="1:12" s="1352" customFormat="1" ht="15" customHeight="1">
      <c r="A747" s="1341"/>
      <c r="B747" s="1341"/>
      <c r="C747" s="1358"/>
      <c r="D747" s="1364"/>
      <c r="E747" s="1366"/>
      <c r="F747" s="1366"/>
      <c r="G747" s="1355"/>
      <c r="H747" s="1354"/>
      <c r="I747" s="1353"/>
      <c r="J747" s="1341"/>
      <c r="K747" s="1341"/>
      <c r="L747" s="1341"/>
    </row>
    <row r="748" spans="1:12" s="1359" customFormat="1" ht="20.100000000000001" customHeight="1">
      <c r="A748" s="1346"/>
      <c r="B748" s="1346"/>
      <c r="C748" s="1361"/>
      <c r="D748" s="1365" t="s">
        <v>2384</v>
      </c>
      <c r="E748" s="1362">
        <v>333000000000</v>
      </c>
      <c r="F748" s="1362">
        <v>268463105493.89999</v>
      </c>
      <c r="G748" s="1355">
        <f t="shared" ref="G748:G787" si="41">+F748/E748*100</f>
        <v>80.619551199369369</v>
      </c>
      <c r="H748" s="1354">
        <f>(H749+H754+H756+H759+H765+H761+H778+H781+H784+H786)/10</f>
        <v>79.208333333333329</v>
      </c>
      <c r="I748" s="1360"/>
      <c r="J748" s="1346"/>
      <c r="K748" s="1346"/>
      <c r="L748" s="1346"/>
    </row>
    <row r="749" spans="1:12" s="1359" customFormat="1" ht="20.100000000000001" customHeight="1">
      <c r="A749" s="1346"/>
      <c r="B749" s="1346"/>
      <c r="C749" s="1361"/>
      <c r="D749" s="1363" t="s">
        <v>887</v>
      </c>
      <c r="E749" s="1362">
        <v>16397004603</v>
      </c>
      <c r="F749" s="1362">
        <v>14542843117</v>
      </c>
      <c r="G749" s="1355">
        <f t="shared" si="41"/>
        <v>88.692071930864969</v>
      </c>
      <c r="H749" s="1354">
        <f>SUM((H750:H753))/4</f>
        <v>88.75</v>
      </c>
      <c r="I749" s="1360"/>
      <c r="J749" s="1346"/>
      <c r="K749" s="1346"/>
      <c r="L749" s="1346"/>
    </row>
    <row r="750" spans="1:12" s="1359" customFormat="1" ht="20.100000000000001" customHeight="1">
      <c r="A750" s="1346"/>
      <c r="B750" s="1346"/>
      <c r="C750" s="1361"/>
      <c r="D750" s="1357" t="s">
        <v>2385</v>
      </c>
      <c r="E750" s="1356">
        <v>5800717500</v>
      </c>
      <c r="F750" s="1356">
        <v>4649645329</v>
      </c>
      <c r="G750" s="1355">
        <f t="shared" si="41"/>
        <v>80.156382878497354</v>
      </c>
      <c r="H750" s="1354">
        <v>80</v>
      </c>
      <c r="I750" s="1360"/>
      <c r="J750" s="1346"/>
      <c r="K750" s="1346"/>
      <c r="L750" s="1346"/>
    </row>
    <row r="751" spans="1:12" s="1352" customFormat="1" ht="20.100000000000001" customHeight="1">
      <c r="A751" s="1341"/>
      <c r="B751" s="1341"/>
      <c r="C751" s="1358"/>
      <c r="D751" s="1357" t="s">
        <v>2409</v>
      </c>
      <c r="E751" s="1356">
        <v>8000000000</v>
      </c>
      <c r="F751" s="1356">
        <v>7876594405</v>
      </c>
      <c r="G751" s="1355">
        <f t="shared" si="41"/>
        <v>98.457430062499995</v>
      </c>
      <c r="H751" s="1354">
        <v>100</v>
      </c>
      <c r="I751" s="1353"/>
      <c r="J751" s="1341"/>
      <c r="K751" s="1341"/>
      <c r="L751" s="1341"/>
    </row>
    <row r="752" spans="1:12" s="1352" customFormat="1" ht="20.100000000000001" customHeight="1">
      <c r="A752" s="1341"/>
      <c r="B752" s="1341"/>
      <c r="C752" s="1358"/>
      <c r="D752" s="1357" t="s">
        <v>2530</v>
      </c>
      <c r="E752" s="1356">
        <v>250000000</v>
      </c>
      <c r="F752" s="1356">
        <v>249603383</v>
      </c>
      <c r="G752" s="1355">
        <f t="shared" si="41"/>
        <v>99.8413532</v>
      </c>
      <c r="H752" s="1354">
        <v>100</v>
      </c>
      <c r="I752" s="1353"/>
      <c r="J752" s="1341"/>
      <c r="K752" s="1341"/>
      <c r="L752" s="1341"/>
    </row>
    <row r="753" spans="1:12" s="1352" customFormat="1" ht="20.100000000000001" customHeight="1">
      <c r="A753" s="1341"/>
      <c r="B753" s="1341"/>
      <c r="C753" s="1358"/>
      <c r="D753" s="1357" t="s">
        <v>2797</v>
      </c>
      <c r="E753" s="1356">
        <v>2346287103</v>
      </c>
      <c r="F753" s="1356">
        <v>1767000000</v>
      </c>
      <c r="G753" s="1355">
        <f t="shared" si="41"/>
        <v>75.310476613909941</v>
      </c>
      <c r="H753" s="1354">
        <v>75</v>
      </c>
      <c r="I753" s="1353"/>
      <c r="J753" s="1341"/>
      <c r="K753" s="1341"/>
      <c r="L753" s="1341"/>
    </row>
    <row r="754" spans="1:12" s="1352" customFormat="1" ht="20.100000000000001" customHeight="1">
      <c r="A754" s="1341"/>
      <c r="B754" s="1341"/>
      <c r="C754" s="1358"/>
      <c r="D754" s="1363" t="s">
        <v>888</v>
      </c>
      <c r="E754" s="1362">
        <v>2777250000</v>
      </c>
      <c r="F754" s="1362">
        <v>2695275394</v>
      </c>
      <c r="G754" s="1355">
        <f t="shared" si="41"/>
        <v>97.048353371140522</v>
      </c>
      <c r="H754" s="1354">
        <v>100</v>
      </c>
      <c r="I754" s="1353"/>
      <c r="J754" s="1341"/>
      <c r="K754" s="1341"/>
      <c r="L754" s="1341"/>
    </row>
    <row r="755" spans="1:12" s="1359" customFormat="1" ht="20.100000000000001" customHeight="1">
      <c r="A755" s="1346"/>
      <c r="B755" s="1346"/>
      <c r="C755" s="1361"/>
      <c r="D755" s="1357" t="s">
        <v>2535</v>
      </c>
      <c r="E755" s="1356">
        <v>2777250000</v>
      </c>
      <c r="F755" s="1356">
        <v>2695275394</v>
      </c>
      <c r="G755" s="1355">
        <f t="shared" si="41"/>
        <v>97.048353371140522</v>
      </c>
      <c r="H755" s="1354">
        <v>100</v>
      </c>
      <c r="I755" s="1360"/>
      <c r="J755" s="1346"/>
      <c r="K755" s="1346"/>
      <c r="L755" s="1346"/>
    </row>
    <row r="756" spans="1:12" s="1352" customFormat="1" ht="20.100000000000001" customHeight="1">
      <c r="A756" s="1341"/>
      <c r="B756" s="1341"/>
      <c r="C756" s="1358"/>
      <c r="D756" s="1363" t="s">
        <v>173</v>
      </c>
      <c r="E756" s="1362">
        <v>20438000000</v>
      </c>
      <c r="F756" s="1362">
        <v>13924539100</v>
      </c>
      <c r="G756" s="1355">
        <f t="shared" si="41"/>
        <v>68.130634602211572</v>
      </c>
      <c r="H756" s="1354">
        <f>SUM((H757:H758))/2</f>
        <v>77.5</v>
      </c>
      <c r="I756" s="1353"/>
      <c r="J756" s="1341"/>
      <c r="K756" s="1341"/>
      <c r="L756" s="1341"/>
    </row>
    <row r="757" spans="1:12" s="1359" customFormat="1" ht="20.100000000000001" customHeight="1">
      <c r="A757" s="1346"/>
      <c r="B757" s="1346"/>
      <c r="C757" s="1361"/>
      <c r="D757" s="1357" t="s">
        <v>2387</v>
      </c>
      <c r="E757" s="1356">
        <v>20088000000</v>
      </c>
      <c r="F757" s="1356">
        <v>13625000000</v>
      </c>
      <c r="G757" s="1355">
        <f t="shared" si="41"/>
        <v>67.826563122262058</v>
      </c>
      <c r="H757" s="1354">
        <v>70</v>
      </c>
      <c r="I757" s="1360"/>
      <c r="J757" s="1346"/>
      <c r="K757" s="1346"/>
      <c r="L757" s="1346"/>
    </row>
    <row r="758" spans="1:12" s="1352" customFormat="1" ht="20.100000000000001" customHeight="1">
      <c r="A758" s="1341"/>
      <c r="B758" s="1341"/>
      <c r="C758" s="1358"/>
      <c r="D758" s="1357" t="s">
        <v>2388</v>
      </c>
      <c r="E758" s="1356">
        <v>350000000</v>
      </c>
      <c r="F758" s="1356">
        <v>299539100</v>
      </c>
      <c r="G758" s="1355">
        <f t="shared" si="41"/>
        <v>85.582599999999999</v>
      </c>
      <c r="H758" s="1354">
        <v>85</v>
      </c>
      <c r="I758" s="1353"/>
      <c r="J758" s="1341"/>
      <c r="K758" s="1341"/>
      <c r="L758" s="1341"/>
    </row>
    <row r="759" spans="1:12" s="1352" customFormat="1" ht="20.100000000000001" customHeight="1">
      <c r="A759" s="1341"/>
      <c r="B759" s="1341"/>
      <c r="C759" s="1358"/>
      <c r="D759" s="1363" t="s">
        <v>186</v>
      </c>
      <c r="E759" s="1362">
        <v>1050000000</v>
      </c>
      <c r="F759" s="1362">
        <v>1037831465</v>
      </c>
      <c r="G759" s="1355">
        <f t="shared" si="41"/>
        <v>98.841091904761896</v>
      </c>
      <c r="H759" s="1354">
        <v>100</v>
      </c>
      <c r="I759" s="1353"/>
      <c r="J759" s="1341"/>
      <c r="K759" s="1341"/>
      <c r="L759" s="1341"/>
    </row>
    <row r="760" spans="1:12" s="1359" customFormat="1" ht="20.100000000000001" customHeight="1">
      <c r="A760" s="1346"/>
      <c r="B760" s="1346"/>
      <c r="C760" s="1361"/>
      <c r="D760" s="1357" t="s">
        <v>2389</v>
      </c>
      <c r="E760" s="1356">
        <v>1050000000</v>
      </c>
      <c r="F760" s="1356">
        <v>1037831465</v>
      </c>
      <c r="G760" s="1355">
        <f t="shared" si="41"/>
        <v>98.841091904761896</v>
      </c>
      <c r="H760" s="1354">
        <v>100</v>
      </c>
      <c r="I760" s="1360"/>
      <c r="J760" s="1346"/>
      <c r="K760" s="1346"/>
      <c r="L760" s="1346"/>
    </row>
    <row r="761" spans="1:12" s="1352" customFormat="1" ht="20.100000000000001" customHeight="1">
      <c r="A761" s="1341"/>
      <c r="B761" s="1341"/>
      <c r="C761" s="1358"/>
      <c r="D761" s="1363" t="s">
        <v>2390</v>
      </c>
      <c r="E761" s="1362">
        <v>10934500000</v>
      </c>
      <c r="F761" s="1362">
        <v>8873963591</v>
      </c>
      <c r="G761" s="1355">
        <f t="shared" si="41"/>
        <v>81.15564123645342</v>
      </c>
      <c r="H761" s="1354">
        <f>SUM((H762:H764))/3</f>
        <v>80</v>
      </c>
      <c r="I761" s="1353"/>
      <c r="J761" s="1341"/>
      <c r="K761" s="1341"/>
      <c r="L761" s="1341"/>
    </row>
    <row r="762" spans="1:12" s="1359" customFormat="1" ht="20.100000000000001" customHeight="1">
      <c r="A762" s="1346"/>
      <c r="B762" s="1346"/>
      <c r="C762" s="1361"/>
      <c r="D762" s="1357" t="s">
        <v>2888</v>
      </c>
      <c r="E762" s="1356">
        <v>50000000</v>
      </c>
      <c r="F762" s="1356">
        <v>40000000</v>
      </c>
      <c r="G762" s="1355">
        <f t="shared" si="41"/>
        <v>80</v>
      </c>
      <c r="H762" s="1354">
        <f>+G762</f>
        <v>80</v>
      </c>
      <c r="I762" s="1360"/>
      <c r="J762" s="1346"/>
      <c r="K762" s="1346"/>
      <c r="L762" s="1346"/>
    </row>
    <row r="763" spans="1:12" s="1352" customFormat="1" ht="20.100000000000001" customHeight="1">
      <c r="A763" s="1341"/>
      <c r="B763" s="1341"/>
      <c r="C763" s="1358"/>
      <c r="D763" s="1357" t="s">
        <v>2887</v>
      </c>
      <c r="E763" s="1356">
        <v>2500000000</v>
      </c>
      <c r="F763" s="1356">
        <v>1887446200</v>
      </c>
      <c r="G763" s="1355">
        <f t="shared" si="41"/>
        <v>75.497848000000005</v>
      </c>
      <c r="H763" s="1354">
        <v>75</v>
      </c>
      <c r="I763" s="1353"/>
      <c r="J763" s="1341"/>
      <c r="K763" s="1341"/>
      <c r="L763" s="1341"/>
    </row>
    <row r="764" spans="1:12" s="1352" customFormat="1" ht="20.100000000000001" customHeight="1">
      <c r="A764" s="1341"/>
      <c r="B764" s="1341"/>
      <c r="C764" s="1358"/>
      <c r="D764" s="1357" t="s">
        <v>2391</v>
      </c>
      <c r="E764" s="1356">
        <v>8384500000</v>
      </c>
      <c r="F764" s="1356">
        <v>6946517391</v>
      </c>
      <c r="G764" s="1355">
        <f t="shared" si="41"/>
        <v>82.849512684119503</v>
      </c>
      <c r="H764" s="1354">
        <v>85</v>
      </c>
      <c r="I764" s="1353"/>
      <c r="J764" s="1341"/>
      <c r="K764" s="1341"/>
      <c r="L764" s="1341"/>
    </row>
    <row r="765" spans="1:12" s="1352" customFormat="1" ht="36" customHeight="1">
      <c r="A765" s="1341"/>
      <c r="B765" s="1341"/>
      <c r="C765" s="1358"/>
      <c r="D765" s="1363" t="s">
        <v>1414</v>
      </c>
      <c r="E765" s="1362">
        <v>193799014897</v>
      </c>
      <c r="F765" s="1362">
        <v>157062444760.89999</v>
      </c>
      <c r="G765" s="1355">
        <f t="shared" si="41"/>
        <v>81.043985101975508</v>
      </c>
      <c r="H765" s="1354">
        <f>SUM((H766:H777))/12</f>
        <v>80.833333333333329</v>
      </c>
      <c r="I765" s="1353"/>
      <c r="J765" s="1341"/>
      <c r="K765" s="1341"/>
      <c r="L765" s="1341"/>
    </row>
    <row r="766" spans="1:12" s="1359" customFormat="1" ht="20.100000000000001" customHeight="1">
      <c r="A766" s="1346"/>
      <c r="B766" s="1346"/>
      <c r="C766" s="1361"/>
      <c r="D766" s="1357" t="s">
        <v>2082</v>
      </c>
      <c r="E766" s="1356">
        <v>37553159000</v>
      </c>
      <c r="F766" s="1356">
        <v>32552051381.510002</v>
      </c>
      <c r="G766" s="1355">
        <f t="shared" si="41"/>
        <v>86.682591420631226</v>
      </c>
      <c r="H766" s="1354">
        <v>90</v>
      </c>
      <c r="I766" s="1360"/>
      <c r="J766" s="1346"/>
      <c r="K766" s="1346"/>
      <c r="L766" s="1346"/>
    </row>
    <row r="767" spans="1:12" s="1352" customFormat="1" ht="20.100000000000001" customHeight="1">
      <c r="A767" s="1341"/>
      <c r="B767" s="1341"/>
      <c r="C767" s="1358"/>
      <c r="D767" s="1357" t="s">
        <v>1417</v>
      </c>
      <c r="E767" s="1356">
        <v>50994463710</v>
      </c>
      <c r="F767" s="1356">
        <v>38488106599.32</v>
      </c>
      <c r="G767" s="1355">
        <f t="shared" si="41"/>
        <v>75.475068858842604</v>
      </c>
      <c r="H767" s="1354">
        <v>75</v>
      </c>
      <c r="I767" s="1353"/>
      <c r="J767" s="1341"/>
      <c r="K767" s="1341"/>
      <c r="L767" s="1341"/>
    </row>
    <row r="768" spans="1:12" s="1352" customFormat="1" ht="20.100000000000001" customHeight="1">
      <c r="A768" s="1341"/>
      <c r="B768" s="1341"/>
      <c r="C768" s="1358"/>
      <c r="D768" s="1357" t="s">
        <v>478</v>
      </c>
      <c r="E768" s="1356">
        <v>22000000000</v>
      </c>
      <c r="F768" s="1356">
        <v>19732588702</v>
      </c>
      <c r="G768" s="1355">
        <f t="shared" si="41"/>
        <v>89.69358500909091</v>
      </c>
      <c r="H768" s="1354">
        <v>90</v>
      </c>
      <c r="I768" s="1353"/>
      <c r="J768" s="1341"/>
      <c r="K768" s="1341"/>
      <c r="L768" s="1341"/>
    </row>
    <row r="769" spans="1:12" s="1352" customFormat="1" ht="20.100000000000001" customHeight="1">
      <c r="A769" s="1341"/>
      <c r="B769" s="1341"/>
      <c r="C769" s="1358"/>
      <c r="D769" s="1357" t="s">
        <v>2392</v>
      </c>
      <c r="E769" s="1356">
        <v>2810500000</v>
      </c>
      <c r="F769" s="1356">
        <v>2165614547</v>
      </c>
      <c r="G769" s="1355">
        <f t="shared" si="41"/>
        <v>77.054422593844507</v>
      </c>
      <c r="H769" s="1354">
        <v>80</v>
      </c>
      <c r="I769" s="1353"/>
      <c r="J769" s="1341"/>
      <c r="K769" s="1341"/>
      <c r="L769" s="1341"/>
    </row>
    <row r="770" spans="1:12" s="1352" customFormat="1" ht="30.75" customHeight="1">
      <c r="A770" s="1341"/>
      <c r="B770" s="1341"/>
      <c r="C770" s="1358"/>
      <c r="D770" s="1364" t="s">
        <v>2393</v>
      </c>
      <c r="E770" s="1356">
        <v>5965400000</v>
      </c>
      <c r="F770" s="1356">
        <v>4956740100</v>
      </c>
      <c r="G770" s="1355">
        <f t="shared" si="41"/>
        <v>83.091495960036212</v>
      </c>
      <c r="H770" s="1354">
        <v>85</v>
      </c>
      <c r="I770" s="1353"/>
      <c r="J770" s="1341"/>
      <c r="K770" s="1341"/>
      <c r="L770" s="1341"/>
    </row>
    <row r="771" spans="1:12" s="1352" customFormat="1" ht="20.100000000000001" customHeight="1">
      <c r="A771" s="1341"/>
      <c r="B771" s="1341"/>
      <c r="C771" s="1358"/>
      <c r="D771" s="1357" t="s">
        <v>486</v>
      </c>
      <c r="E771" s="1356">
        <v>6919600000</v>
      </c>
      <c r="F771" s="1356">
        <v>6477546670</v>
      </c>
      <c r="G771" s="1355">
        <f t="shared" si="41"/>
        <v>93.611576825250012</v>
      </c>
      <c r="H771" s="1354">
        <v>95</v>
      </c>
      <c r="I771" s="1353"/>
      <c r="J771" s="1341"/>
      <c r="K771" s="1341"/>
      <c r="L771" s="1341"/>
    </row>
    <row r="772" spans="1:12" s="1352" customFormat="1" ht="20.100000000000001" customHeight="1">
      <c r="A772" s="1341"/>
      <c r="B772" s="1341"/>
      <c r="C772" s="1358"/>
      <c r="D772" s="1357" t="s">
        <v>2394</v>
      </c>
      <c r="E772" s="1356">
        <v>3284000000</v>
      </c>
      <c r="F772" s="1356">
        <v>2814610450</v>
      </c>
      <c r="G772" s="1355">
        <f t="shared" si="41"/>
        <v>85.706773751522533</v>
      </c>
      <c r="H772" s="1354">
        <v>90</v>
      </c>
      <c r="I772" s="1353"/>
      <c r="J772" s="1341"/>
      <c r="K772" s="1341"/>
      <c r="L772" s="1341"/>
    </row>
    <row r="773" spans="1:12" s="1352" customFormat="1" ht="20.100000000000001" customHeight="1">
      <c r="A773" s="1341"/>
      <c r="B773" s="1341"/>
      <c r="C773" s="1358"/>
      <c r="D773" s="1357" t="s">
        <v>2395</v>
      </c>
      <c r="E773" s="1356">
        <v>9900447700</v>
      </c>
      <c r="F773" s="1356">
        <v>3916251497.25</v>
      </c>
      <c r="G773" s="1355">
        <f t="shared" si="41"/>
        <v>39.556307107707866</v>
      </c>
      <c r="H773" s="1354">
        <v>40</v>
      </c>
      <c r="I773" s="1353"/>
      <c r="J773" s="1341"/>
      <c r="K773" s="1341"/>
      <c r="L773" s="1341"/>
    </row>
    <row r="774" spans="1:12" s="1352" customFormat="1" ht="20.100000000000001" customHeight="1">
      <c r="A774" s="1341"/>
      <c r="B774" s="1341"/>
      <c r="C774" s="1358"/>
      <c r="D774" s="1357" t="s">
        <v>2396</v>
      </c>
      <c r="E774" s="1356">
        <v>6689146325</v>
      </c>
      <c r="F774" s="1356">
        <v>3399970595</v>
      </c>
      <c r="G774" s="1355">
        <f t="shared" si="41"/>
        <v>50.828168944263595</v>
      </c>
      <c r="H774" s="1354">
        <v>50</v>
      </c>
      <c r="I774" s="1353"/>
      <c r="J774" s="1341"/>
      <c r="K774" s="1341"/>
      <c r="L774" s="1341"/>
    </row>
    <row r="775" spans="1:12" s="1352" customFormat="1" ht="20.100000000000001" customHeight="1">
      <c r="A775" s="1341"/>
      <c r="B775" s="1341"/>
      <c r="C775" s="1358"/>
      <c r="D775" s="1357" t="s">
        <v>2397</v>
      </c>
      <c r="E775" s="1356">
        <v>35290000000</v>
      </c>
      <c r="F775" s="1356">
        <v>32291436311.82</v>
      </c>
      <c r="G775" s="1355">
        <f t="shared" si="41"/>
        <v>91.503078242618301</v>
      </c>
      <c r="H775" s="1354">
        <v>95</v>
      </c>
      <c r="I775" s="1353"/>
      <c r="J775" s="1341"/>
      <c r="K775" s="1341"/>
      <c r="L775" s="1341"/>
    </row>
    <row r="776" spans="1:12" s="1352" customFormat="1" ht="20.100000000000001" customHeight="1">
      <c r="A776" s="1341"/>
      <c r="B776" s="1341"/>
      <c r="C776" s="1358"/>
      <c r="D776" s="1357" t="s">
        <v>2398</v>
      </c>
      <c r="E776" s="1356">
        <v>9803332500</v>
      </c>
      <c r="F776" s="1356">
        <v>7696859245</v>
      </c>
      <c r="G776" s="1355">
        <f t="shared" si="41"/>
        <v>78.512681733481955</v>
      </c>
      <c r="H776" s="1354">
        <v>80</v>
      </c>
      <c r="I776" s="1353"/>
      <c r="J776" s="1341"/>
      <c r="K776" s="1341"/>
      <c r="L776" s="1341"/>
    </row>
    <row r="777" spans="1:12" s="1352" customFormat="1" ht="20.100000000000001" customHeight="1">
      <c r="A777" s="1341"/>
      <c r="B777" s="1341"/>
      <c r="C777" s="1358"/>
      <c r="D777" s="1357" t="s">
        <v>2886</v>
      </c>
      <c r="E777" s="1356">
        <v>2588965662</v>
      </c>
      <c r="F777" s="1356">
        <v>2570668662</v>
      </c>
      <c r="G777" s="1355">
        <f t="shared" si="41"/>
        <v>99.293269885014027</v>
      </c>
      <c r="H777" s="1354">
        <v>100</v>
      </c>
      <c r="I777" s="1353"/>
      <c r="J777" s="1341"/>
      <c r="K777" s="1341"/>
      <c r="L777" s="1341"/>
    </row>
    <row r="778" spans="1:12" s="1352" customFormat="1" ht="30.75" customHeight="1">
      <c r="A778" s="1341"/>
      <c r="B778" s="1341"/>
      <c r="C778" s="1358"/>
      <c r="D778" s="1363" t="s">
        <v>2399</v>
      </c>
      <c r="E778" s="1362">
        <v>25175830500</v>
      </c>
      <c r="F778" s="1362">
        <v>15657581689</v>
      </c>
      <c r="G778" s="1355">
        <f t="shared" si="41"/>
        <v>62.192910335172456</v>
      </c>
      <c r="H778" s="1354">
        <f>SUM((H779:H780))/2</f>
        <v>75</v>
      </c>
      <c r="I778" s="1353"/>
      <c r="J778" s="1341"/>
      <c r="K778" s="1341"/>
      <c r="L778" s="1341"/>
    </row>
    <row r="779" spans="1:12" s="1359" customFormat="1" ht="20.100000000000001" customHeight="1">
      <c r="A779" s="1346"/>
      <c r="B779" s="1346"/>
      <c r="C779" s="1361"/>
      <c r="D779" s="1357" t="s">
        <v>2400</v>
      </c>
      <c r="E779" s="1356">
        <v>19637830500</v>
      </c>
      <c r="F779" s="1356">
        <v>10805128063</v>
      </c>
      <c r="G779" s="1355">
        <f t="shared" si="41"/>
        <v>55.022004915461508</v>
      </c>
      <c r="H779" s="1354">
        <v>60</v>
      </c>
      <c r="I779" s="1360"/>
      <c r="J779" s="1346"/>
      <c r="K779" s="1346"/>
      <c r="L779" s="1346"/>
    </row>
    <row r="780" spans="1:12" s="1359" customFormat="1" ht="20.100000000000001" customHeight="1">
      <c r="A780" s="1346"/>
      <c r="B780" s="1346"/>
      <c r="C780" s="1361"/>
      <c r="D780" s="1357" t="s">
        <v>2401</v>
      </c>
      <c r="E780" s="1356">
        <v>5538000000</v>
      </c>
      <c r="F780" s="1356">
        <v>4852453626</v>
      </c>
      <c r="G780" s="1355">
        <f t="shared" si="41"/>
        <v>87.621047778981591</v>
      </c>
      <c r="H780" s="1354">
        <v>90</v>
      </c>
      <c r="I780" s="1360"/>
      <c r="J780" s="1346"/>
      <c r="K780" s="1346"/>
      <c r="L780" s="1346"/>
    </row>
    <row r="781" spans="1:12" s="1352" customFormat="1" ht="20.100000000000001" customHeight="1">
      <c r="A781" s="1341"/>
      <c r="B781" s="1341"/>
      <c r="C781" s="1358"/>
      <c r="D781" s="1363" t="s">
        <v>215</v>
      </c>
      <c r="E781" s="1362">
        <v>328400000</v>
      </c>
      <c r="F781" s="1362">
        <v>328400000</v>
      </c>
      <c r="G781" s="1355">
        <f t="shared" si="41"/>
        <v>100</v>
      </c>
      <c r="H781" s="1354">
        <f>SUM((H782:H783))/2</f>
        <v>100</v>
      </c>
      <c r="I781" s="1353"/>
      <c r="J781" s="1341"/>
      <c r="K781" s="1341"/>
      <c r="L781" s="1341"/>
    </row>
    <row r="782" spans="1:12" s="1359" customFormat="1" ht="20.100000000000001" customHeight="1">
      <c r="A782" s="1346"/>
      <c r="B782" s="1346"/>
      <c r="C782" s="1361"/>
      <c r="D782" s="1357" t="s">
        <v>216</v>
      </c>
      <c r="E782" s="1356">
        <v>164200000</v>
      </c>
      <c r="F782" s="1356">
        <v>164200000</v>
      </c>
      <c r="G782" s="1355">
        <f t="shared" si="41"/>
        <v>100</v>
      </c>
      <c r="H782" s="1354">
        <f>+G782</f>
        <v>100</v>
      </c>
      <c r="I782" s="1360"/>
      <c r="J782" s="1346"/>
      <c r="K782" s="1346"/>
      <c r="L782" s="1346"/>
    </row>
    <row r="783" spans="1:12" s="1352" customFormat="1" ht="20.100000000000001" customHeight="1">
      <c r="A783" s="1341"/>
      <c r="B783" s="1341"/>
      <c r="C783" s="1358"/>
      <c r="D783" s="1357" t="s">
        <v>2885</v>
      </c>
      <c r="E783" s="1356">
        <v>164200000</v>
      </c>
      <c r="F783" s="1356">
        <v>164200000</v>
      </c>
      <c r="G783" s="1355">
        <f t="shared" si="41"/>
        <v>100</v>
      </c>
      <c r="H783" s="1354">
        <f>+G783</f>
        <v>100</v>
      </c>
      <c r="I783" s="1353"/>
      <c r="J783" s="1341"/>
      <c r="K783" s="1341"/>
      <c r="L783" s="1341"/>
    </row>
    <row r="784" spans="1:12" s="1352" customFormat="1" ht="20.100000000000001" customHeight="1">
      <c r="A784" s="1341"/>
      <c r="B784" s="1341"/>
      <c r="C784" s="1358"/>
      <c r="D784" s="1363" t="s">
        <v>219</v>
      </c>
      <c r="E784" s="1362">
        <v>61700000000</v>
      </c>
      <c r="F784" s="1362">
        <v>54340226377</v>
      </c>
      <c r="G784" s="1355">
        <f t="shared" si="41"/>
        <v>88.071679703403561</v>
      </c>
      <c r="H784" s="1354">
        <v>90</v>
      </c>
      <c r="I784" s="1353"/>
      <c r="J784" s="1341"/>
      <c r="K784" s="1341"/>
      <c r="L784" s="1341"/>
    </row>
    <row r="785" spans="1:12" s="1359" customFormat="1" ht="20.100000000000001" customHeight="1">
      <c r="A785" s="1346"/>
      <c r="B785" s="1346"/>
      <c r="C785" s="1361"/>
      <c r="D785" s="1357" t="s">
        <v>2402</v>
      </c>
      <c r="E785" s="1356">
        <v>61700000000</v>
      </c>
      <c r="F785" s="1356">
        <v>54340226377</v>
      </c>
      <c r="G785" s="1355">
        <f t="shared" si="41"/>
        <v>88.071679703403561</v>
      </c>
      <c r="H785" s="1354">
        <v>90</v>
      </c>
      <c r="I785" s="1360"/>
      <c r="J785" s="1346"/>
      <c r="K785" s="1346"/>
      <c r="L785" s="1346"/>
    </row>
    <row r="786" spans="1:12" s="1352" customFormat="1" ht="20.100000000000001" customHeight="1">
      <c r="A786" s="1341"/>
      <c r="B786" s="1341"/>
      <c r="C786" s="1358"/>
      <c r="D786" s="1363" t="s">
        <v>221</v>
      </c>
      <c r="E786" s="1362">
        <v>400000000</v>
      </c>
      <c r="F786" s="1362">
        <v>0</v>
      </c>
      <c r="G786" s="1355">
        <f t="shared" si="41"/>
        <v>0</v>
      </c>
      <c r="H786" s="1354">
        <f>+G786</f>
        <v>0</v>
      </c>
      <c r="I786" s="1353"/>
      <c r="J786" s="1341"/>
      <c r="K786" s="1341"/>
      <c r="L786" s="1341"/>
    </row>
    <row r="787" spans="1:12" s="1359" customFormat="1" ht="20.100000000000001" customHeight="1">
      <c r="A787" s="1346"/>
      <c r="B787" s="1346"/>
      <c r="C787" s="1361"/>
      <c r="D787" s="1357" t="s">
        <v>2403</v>
      </c>
      <c r="E787" s="1356">
        <v>400000000</v>
      </c>
      <c r="F787" s="1356">
        <v>0</v>
      </c>
      <c r="G787" s="1355">
        <f t="shared" si="41"/>
        <v>0</v>
      </c>
      <c r="H787" s="1354">
        <f>+G787</f>
        <v>0</v>
      </c>
      <c r="I787" s="1360"/>
      <c r="J787" s="1346"/>
      <c r="K787" s="1346"/>
      <c r="L787" s="1346"/>
    </row>
    <row r="788" spans="1:12" s="1352" customFormat="1" ht="15" customHeight="1">
      <c r="A788" s="1341"/>
      <c r="B788" s="1341"/>
      <c r="C788" s="1358"/>
      <c r="D788" s="1367"/>
      <c r="E788" s="1356"/>
      <c r="F788" s="1356"/>
      <c r="G788" s="1355"/>
      <c r="H788" s="1354"/>
      <c r="I788" s="1353"/>
      <c r="J788" s="1341"/>
      <c r="K788" s="1341"/>
      <c r="L788" s="1341"/>
    </row>
    <row r="789" spans="1:12" s="1359" customFormat="1" ht="33" customHeight="1">
      <c r="A789" s="1346"/>
      <c r="B789" s="1346"/>
      <c r="C789" s="1361"/>
      <c r="D789" s="1365" t="s">
        <v>2404</v>
      </c>
      <c r="E789" s="1362">
        <v>141700000000</v>
      </c>
      <c r="F789" s="1362">
        <v>111034380283.53</v>
      </c>
      <c r="G789" s="1355">
        <f t="shared" ref="G789:G801" si="42">+F789/E789*100</f>
        <v>78.358772253726187</v>
      </c>
      <c r="H789" s="1354">
        <f>(H790+H793+H799)/3</f>
        <v>85.333257055000004</v>
      </c>
      <c r="I789" s="1360"/>
      <c r="J789" s="1346"/>
      <c r="K789" s="1346"/>
      <c r="L789" s="1346"/>
    </row>
    <row r="790" spans="1:12" s="1359" customFormat="1" ht="20.100000000000001" customHeight="1">
      <c r="A790" s="1346"/>
      <c r="B790" s="1346"/>
      <c r="C790" s="1361"/>
      <c r="D790" s="1363" t="s">
        <v>173</v>
      </c>
      <c r="E790" s="1362">
        <v>73500000000</v>
      </c>
      <c r="F790" s="1362">
        <v>64276306275.25</v>
      </c>
      <c r="G790" s="1355">
        <f t="shared" si="42"/>
        <v>87.450756837074834</v>
      </c>
      <c r="H790" s="1354">
        <f>SUM((H791:H792))/2</f>
        <v>85</v>
      </c>
      <c r="I790" s="1360"/>
      <c r="J790" s="1346"/>
      <c r="K790" s="1346"/>
      <c r="L790" s="1346"/>
    </row>
    <row r="791" spans="1:12" s="1359" customFormat="1" ht="20.100000000000001" customHeight="1">
      <c r="A791" s="1346"/>
      <c r="B791" s="1346"/>
      <c r="C791" s="1361"/>
      <c r="D791" s="1357" t="s">
        <v>682</v>
      </c>
      <c r="E791" s="1356">
        <v>20000000000</v>
      </c>
      <c r="F791" s="1356">
        <v>14138491452.25</v>
      </c>
      <c r="G791" s="1355">
        <f t="shared" si="42"/>
        <v>70.692457261249999</v>
      </c>
      <c r="H791" s="1354">
        <v>75</v>
      </c>
      <c r="I791" s="1360"/>
      <c r="J791" s="1346"/>
      <c r="K791" s="1346"/>
      <c r="L791" s="1346"/>
    </row>
    <row r="792" spans="1:12" s="1352" customFormat="1" ht="20.100000000000001" customHeight="1">
      <c r="A792" s="1341"/>
      <c r="B792" s="1341"/>
      <c r="C792" s="1358"/>
      <c r="D792" s="1357" t="s">
        <v>2405</v>
      </c>
      <c r="E792" s="1356">
        <v>53500000000</v>
      </c>
      <c r="F792" s="1356">
        <v>50137814823</v>
      </c>
      <c r="G792" s="1355">
        <f t="shared" si="42"/>
        <v>93.715541725233635</v>
      </c>
      <c r="H792" s="1354">
        <v>95</v>
      </c>
      <c r="I792" s="1353"/>
      <c r="J792" s="1341"/>
      <c r="K792" s="1341"/>
      <c r="L792" s="1341"/>
    </row>
    <row r="793" spans="1:12" s="1352" customFormat="1" ht="30.75" customHeight="1">
      <c r="A793" s="1341"/>
      <c r="B793" s="1341"/>
      <c r="C793" s="1358"/>
      <c r="D793" s="1363" t="s">
        <v>1414</v>
      </c>
      <c r="E793" s="1362">
        <v>62259338000</v>
      </c>
      <c r="F793" s="1362">
        <v>40997631550</v>
      </c>
      <c r="G793" s="1355">
        <f t="shared" si="42"/>
        <v>65.849771081729131</v>
      </c>
      <c r="H793" s="1354">
        <f>SUM((H794:H798))/5</f>
        <v>70.999771164999999</v>
      </c>
      <c r="I793" s="1353"/>
      <c r="J793" s="1341"/>
      <c r="K793" s="1341"/>
      <c r="L793" s="1341"/>
    </row>
    <row r="794" spans="1:12" s="1359" customFormat="1" ht="20.100000000000001" customHeight="1">
      <c r="A794" s="1346"/>
      <c r="B794" s="1346"/>
      <c r="C794" s="1361"/>
      <c r="D794" s="1357" t="s">
        <v>2082</v>
      </c>
      <c r="E794" s="1356">
        <v>18207500000</v>
      </c>
      <c r="F794" s="1356">
        <v>1732891650</v>
      </c>
      <c r="G794" s="1355">
        <f t="shared" si="42"/>
        <v>9.5174606618151856</v>
      </c>
      <c r="H794" s="1354">
        <v>10</v>
      </c>
      <c r="I794" s="1360"/>
      <c r="J794" s="1346"/>
      <c r="K794" s="1346"/>
      <c r="L794" s="1346"/>
    </row>
    <row r="795" spans="1:12" s="1352" customFormat="1" ht="20.100000000000001" customHeight="1">
      <c r="A795" s="1341"/>
      <c r="B795" s="1341"/>
      <c r="C795" s="1358"/>
      <c r="D795" s="1357" t="s">
        <v>1417</v>
      </c>
      <c r="E795" s="1356">
        <v>26690000500</v>
      </c>
      <c r="F795" s="1356">
        <v>24161971009</v>
      </c>
      <c r="G795" s="1355">
        <f t="shared" si="42"/>
        <v>90.528177431094463</v>
      </c>
      <c r="H795" s="1354">
        <v>95</v>
      </c>
      <c r="I795" s="1353"/>
      <c r="J795" s="1341"/>
      <c r="K795" s="1341"/>
      <c r="L795" s="1341"/>
    </row>
    <row r="796" spans="1:12" s="1352" customFormat="1" ht="20.100000000000001" customHeight="1">
      <c r="A796" s="1341"/>
      <c r="B796" s="1341"/>
      <c r="C796" s="1358"/>
      <c r="D796" s="1357" t="s">
        <v>478</v>
      </c>
      <c r="E796" s="1356">
        <v>8000000000</v>
      </c>
      <c r="F796" s="1356">
        <v>7954208027</v>
      </c>
      <c r="G796" s="1355">
        <f t="shared" si="42"/>
        <v>99.427600337499996</v>
      </c>
      <c r="H796" s="1354">
        <v>100</v>
      </c>
      <c r="I796" s="1353"/>
      <c r="J796" s="1341"/>
      <c r="K796" s="1341"/>
      <c r="L796" s="1341"/>
    </row>
    <row r="797" spans="1:12" s="1352" customFormat="1" ht="26.25" customHeight="1">
      <c r="A797" s="1341"/>
      <c r="B797" s="1341"/>
      <c r="C797" s="1358"/>
      <c r="D797" s="1364" t="s">
        <v>2393</v>
      </c>
      <c r="E797" s="1356">
        <v>5361837500</v>
      </c>
      <c r="F797" s="1356">
        <v>5148606631</v>
      </c>
      <c r="G797" s="1355">
        <f t="shared" si="42"/>
        <v>96.023175469230466</v>
      </c>
      <c r="H797" s="1354">
        <v>100</v>
      </c>
      <c r="I797" s="1353"/>
      <c r="J797" s="1341"/>
      <c r="K797" s="1341"/>
      <c r="L797" s="1341"/>
    </row>
    <row r="798" spans="1:12" s="1352" customFormat="1" ht="20.100000000000001" customHeight="1">
      <c r="A798" s="1341"/>
      <c r="B798" s="1341"/>
      <c r="C798" s="1358"/>
      <c r="D798" s="1357" t="s">
        <v>2396</v>
      </c>
      <c r="E798" s="1356">
        <v>4000000000</v>
      </c>
      <c r="F798" s="1356">
        <v>1999954233</v>
      </c>
      <c r="G798" s="1355">
        <f t="shared" si="42"/>
        <v>49.998855825</v>
      </c>
      <c r="H798" s="1354">
        <f>+G798</f>
        <v>49.998855825</v>
      </c>
      <c r="I798" s="1353"/>
      <c r="J798" s="1341"/>
      <c r="K798" s="1341"/>
      <c r="L798" s="1341"/>
    </row>
    <row r="799" spans="1:12" s="1352" customFormat="1" ht="27.75" customHeight="1">
      <c r="A799" s="1341"/>
      <c r="B799" s="1341"/>
      <c r="C799" s="1358"/>
      <c r="D799" s="1363" t="s">
        <v>2399</v>
      </c>
      <c r="E799" s="1362">
        <v>5940662000</v>
      </c>
      <c r="F799" s="1362">
        <v>5760442458.2799997</v>
      </c>
      <c r="G799" s="1355">
        <f t="shared" si="42"/>
        <v>96.96633907601543</v>
      </c>
      <c r="H799" s="1354">
        <f>SUM((H800:H801))/2</f>
        <v>100</v>
      </c>
      <c r="I799" s="1353"/>
      <c r="J799" s="1341"/>
      <c r="K799" s="1341"/>
      <c r="L799" s="1341"/>
    </row>
    <row r="800" spans="1:12" s="1359" customFormat="1" ht="20.100000000000001" customHeight="1">
      <c r="A800" s="1346"/>
      <c r="B800" s="1346"/>
      <c r="C800" s="1361"/>
      <c r="D800" s="1364" t="s">
        <v>2406</v>
      </c>
      <c r="E800" s="1356">
        <v>5440662000</v>
      </c>
      <c r="F800" s="1356">
        <v>5273951755.2799997</v>
      </c>
      <c r="G800" s="1355">
        <f t="shared" si="42"/>
        <v>96.935846323112884</v>
      </c>
      <c r="H800" s="1354">
        <v>100</v>
      </c>
      <c r="I800" s="1360"/>
      <c r="J800" s="1346"/>
      <c r="K800" s="1346"/>
      <c r="L800" s="1346"/>
    </row>
    <row r="801" spans="1:12" s="1352" customFormat="1" ht="20.100000000000001" customHeight="1">
      <c r="A801" s="1341"/>
      <c r="B801" s="1341"/>
      <c r="C801" s="1358"/>
      <c r="D801" s="1357" t="s">
        <v>2407</v>
      </c>
      <c r="E801" s="1356">
        <v>500000000</v>
      </c>
      <c r="F801" s="1356">
        <v>486490703</v>
      </c>
      <c r="G801" s="1355">
        <f t="shared" si="42"/>
        <v>97.298140600000011</v>
      </c>
      <c r="H801" s="1354">
        <v>100</v>
      </c>
      <c r="I801" s="1353"/>
      <c r="J801" s="1341"/>
      <c r="K801" s="1341"/>
      <c r="L801" s="1341"/>
    </row>
    <row r="802" spans="1:12" s="1352" customFormat="1" ht="15" customHeight="1">
      <c r="A802" s="1341"/>
      <c r="B802" s="1341"/>
      <c r="C802" s="1358"/>
      <c r="D802" s="1364"/>
      <c r="E802" s="1366"/>
      <c r="F802" s="1366"/>
      <c r="G802" s="1355"/>
      <c r="H802" s="1354"/>
      <c r="I802" s="1353"/>
      <c r="J802" s="1341"/>
      <c r="K802" s="1341"/>
      <c r="L802" s="1341"/>
    </row>
    <row r="803" spans="1:12" s="1359" customFormat="1" ht="23.25" customHeight="1">
      <c r="A803" s="1346"/>
      <c r="B803" s="1346"/>
      <c r="C803" s="1361"/>
      <c r="D803" s="1365" t="s">
        <v>2408</v>
      </c>
      <c r="E803" s="1362">
        <v>56250000000</v>
      </c>
      <c r="F803" s="1362">
        <v>52666306464</v>
      </c>
      <c r="G803" s="1355">
        <f t="shared" ref="G803:G830" si="43">+F803/E803*100</f>
        <v>93.628989269333331</v>
      </c>
      <c r="H803" s="1354">
        <f>(H804+H807+H809+H821+H823+H825)/6</f>
        <v>91.25</v>
      </c>
      <c r="I803" s="1360"/>
      <c r="J803" s="1346"/>
      <c r="K803" s="1346"/>
      <c r="L803" s="1346"/>
    </row>
    <row r="804" spans="1:12" s="1359" customFormat="1" ht="20.100000000000001" customHeight="1">
      <c r="A804" s="1346"/>
      <c r="B804" s="1346"/>
      <c r="C804" s="1361"/>
      <c r="D804" s="1363" t="s">
        <v>887</v>
      </c>
      <c r="E804" s="1362">
        <v>3198020000</v>
      </c>
      <c r="F804" s="1362">
        <v>3076806330</v>
      </c>
      <c r="G804" s="1355">
        <f t="shared" si="43"/>
        <v>96.209727581441015</v>
      </c>
      <c r="H804" s="1354">
        <f>SUM((H805:H806))/2</f>
        <v>92.5</v>
      </c>
      <c r="I804" s="1360"/>
      <c r="J804" s="1346"/>
      <c r="K804" s="1346"/>
      <c r="L804" s="1346"/>
    </row>
    <row r="805" spans="1:12" s="1359" customFormat="1" ht="20.100000000000001" customHeight="1">
      <c r="A805" s="1346"/>
      <c r="B805" s="1346"/>
      <c r="C805" s="1361"/>
      <c r="D805" s="1357" t="s">
        <v>2385</v>
      </c>
      <c r="E805" s="1356">
        <v>664020000</v>
      </c>
      <c r="F805" s="1356">
        <v>548765247</v>
      </c>
      <c r="G805" s="1355">
        <f t="shared" si="43"/>
        <v>82.642879280744552</v>
      </c>
      <c r="H805" s="1354">
        <v>85</v>
      </c>
      <c r="I805" s="1360"/>
      <c r="J805" s="1346"/>
      <c r="K805" s="1346"/>
      <c r="L805" s="1346"/>
    </row>
    <row r="806" spans="1:12" s="1352" customFormat="1" ht="20.100000000000001" customHeight="1">
      <c r="A806" s="1341"/>
      <c r="B806" s="1341"/>
      <c r="C806" s="1358"/>
      <c r="D806" s="1357" t="s">
        <v>2409</v>
      </c>
      <c r="E806" s="1356">
        <v>2534000000</v>
      </c>
      <c r="F806" s="1356">
        <v>2528041083</v>
      </c>
      <c r="G806" s="1355">
        <f t="shared" si="43"/>
        <v>99.764841475927398</v>
      </c>
      <c r="H806" s="1354">
        <v>100</v>
      </c>
      <c r="I806" s="1353"/>
      <c r="J806" s="1341"/>
      <c r="K806" s="1341"/>
      <c r="L806" s="1341"/>
    </row>
    <row r="807" spans="1:12" s="1352" customFormat="1" ht="20.100000000000001" customHeight="1">
      <c r="A807" s="1341"/>
      <c r="B807" s="1341"/>
      <c r="C807" s="1358"/>
      <c r="D807" s="1363" t="s">
        <v>1507</v>
      </c>
      <c r="E807" s="1362">
        <v>72000000</v>
      </c>
      <c r="F807" s="1362">
        <v>70476600</v>
      </c>
      <c r="G807" s="1355">
        <f t="shared" si="43"/>
        <v>97.884166666666673</v>
      </c>
      <c r="H807" s="1354">
        <v>100</v>
      </c>
      <c r="I807" s="1353"/>
      <c r="J807" s="1341"/>
      <c r="K807" s="1341"/>
      <c r="L807" s="1341"/>
    </row>
    <row r="808" spans="1:12" s="1359" customFormat="1" ht="20.100000000000001" customHeight="1">
      <c r="A808" s="1346"/>
      <c r="B808" s="1346"/>
      <c r="C808" s="1361"/>
      <c r="D808" s="1357" t="s">
        <v>2410</v>
      </c>
      <c r="E808" s="1356">
        <v>72000000</v>
      </c>
      <c r="F808" s="1356">
        <v>70476600</v>
      </c>
      <c r="G808" s="1355">
        <f t="shared" si="43"/>
        <v>97.884166666666673</v>
      </c>
      <c r="H808" s="1354">
        <v>100</v>
      </c>
      <c r="I808" s="1360"/>
      <c r="J808" s="1346"/>
      <c r="K808" s="1346"/>
      <c r="L808" s="1346"/>
    </row>
    <row r="809" spans="1:12" s="1352" customFormat="1" ht="30" customHeight="1">
      <c r="A809" s="1341"/>
      <c r="B809" s="1341"/>
      <c r="C809" s="1358"/>
      <c r="D809" s="1363" t="s">
        <v>1414</v>
      </c>
      <c r="E809" s="1362">
        <v>32264352000</v>
      </c>
      <c r="F809" s="1362">
        <v>31072638986</v>
      </c>
      <c r="G809" s="1355">
        <f t="shared" si="43"/>
        <v>96.306409581695618</v>
      </c>
      <c r="H809" s="1354">
        <f>SUM((H810:H820))/11</f>
        <v>100</v>
      </c>
      <c r="I809" s="1353"/>
      <c r="J809" s="1341"/>
      <c r="K809" s="1341"/>
      <c r="L809" s="1341"/>
    </row>
    <row r="810" spans="1:12" s="1359" customFormat="1" ht="20.100000000000001" customHeight="1">
      <c r="A810" s="1346"/>
      <c r="B810" s="1346"/>
      <c r="C810" s="1361"/>
      <c r="D810" s="1357" t="s">
        <v>2411</v>
      </c>
      <c r="E810" s="1356">
        <v>9140540000</v>
      </c>
      <c r="F810" s="1356">
        <v>9083682838</v>
      </c>
      <c r="G810" s="1355">
        <f t="shared" si="43"/>
        <v>99.377967144173098</v>
      </c>
      <c r="H810" s="1354">
        <v>100</v>
      </c>
      <c r="I810" s="1360"/>
      <c r="J810" s="1346"/>
      <c r="K810" s="1346"/>
      <c r="L810" s="1346"/>
    </row>
    <row r="811" spans="1:12" s="1352" customFormat="1" ht="20.100000000000001" customHeight="1">
      <c r="A811" s="1341"/>
      <c r="B811" s="1341"/>
      <c r="C811" s="1358"/>
      <c r="D811" s="1357" t="s">
        <v>1417</v>
      </c>
      <c r="E811" s="1356">
        <v>5733283000</v>
      </c>
      <c r="F811" s="1356">
        <v>5658252507</v>
      </c>
      <c r="G811" s="1355">
        <f t="shared" si="43"/>
        <v>98.691317121446815</v>
      </c>
      <c r="H811" s="1354">
        <v>100</v>
      </c>
      <c r="I811" s="1353"/>
      <c r="J811" s="1341"/>
      <c r="K811" s="1341"/>
      <c r="L811" s="1341"/>
    </row>
    <row r="812" spans="1:12" s="1352" customFormat="1" ht="30" customHeight="1">
      <c r="A812" s="1341"/>
      <c r="B812" s="1341"/>
      <c r="C812" s="1358"/>
      <c r="D812" s="1364" t="s">
        <v>2393</v>
      </c>
      <c r="E812" s="1356">
        <v>4613719000</v>
      </c>
      <c r="F812" s="1356">
        <v>4593277848</v>
      </c>
      <c r="G812" s="1355">
        <f t="shared" si="43"/>
        <v>99.556948483425188</v>
      </c>
      <c r="H812" s="1354">
        <v>100</v>
      </c>
      <c r="I812" s="1353"/>
      <c r="J812" s="1341"/>
      <c r="K812" s="1341"/>
      <c r="L812" s="1341"/>
    </row>
    <row r="813" spans="1:12" s="1352" customFormat="1" ht="20.100000000000001" customHeight="1">
      <c r="A813" s="1341"/>
      <c r="B813" s="1341"/>
      <c r="C813" s="1358"/>
      <c r="D813" s="1357" t="s">
        <v>486</v>
      </c>
      <c r="E813" s="1356">
        <v>218000000</v>
      </c>
      <c r="F813" s="1356">
        <v>216826500</v>
      </c>
      <c r="G813" s="1355">
        <f t="shared" si="43"/>
        <v>99.461697247706425</v>
      </c>
      <c r="H813" s="1354">
        <v>100</v>
      </c>
      <c r="I813" s="1353"/>
      <c r="J813" s="1341"/>
      <c r="K813" s="1341"/>
      <c r="L813" s="1341"/>
    </row>
    <row r="814" spans="1:12" s="1352" customFormat="1" ht="20.100000000000001" customHeight="1">
      <c r="A814" s="1341"/>
      <c r="B814" s="1341"/>
      <c r="C814" s="1358"/>
      <c r="D814" s="1357" t="s">
        <v>2396</v>
      </c>
      <c r="E814" s="1356">
        <v>3504000000</v>
      </c>
      <c r="F814" s="1356">
        <v>3487425907</v>
      </c>
      <c r="G814" s="1355">
        <f t="shared" si="43"/>
        <v>99.526995062785389</v>
      </c>
      <c r="H814" s="1354">
        <v>100</v>
      </c>
      <c r="I814" s="1353"/>
      <c r="J814" s="1341"/>
      <c r="K814" s="1341"/>
      <c r="L814" s="1341"/>
    </row>
    <row r="815" spans="1:12" s="1352" customFormat="1" ht="20.100000000000001" customHeight="1">
      <c r="A815" s="1341"/>
      <c r="B815" s="1341"/>
      <c r="C815" s="1358"/>
      <c r="D815" s="1357" t="s">
        <v>2884</v>
      </c>
      <c r="E815" s="1356">
        <v>6341320000</v>
      </c>
      <c r="F815" s="1356">
        <v>5344843286</v>
      </c>
      <c r="G815" s="1355">
        <f t="shared" si="43"/>
        <v>84.285973362012953</v>
      </c>
      <c r="H815" s="1354">
        <v>100</v>
      </c>
      <c r="I815" s="1353"/>
      <c r="J815" s="1341"/>
      <c r="K815" s="1341"/>
      <c r="L815" s="1341"/>
    </row>
    <row r="816" spans="1:12" s="1352" customFormat="1" ht="20.100000000000001" customHeight="1">
      <c r="A816" s="1341"/>
      <c r="B816" s="1341"/>
      <c r="C816" s="1358"/>
      <c r="D816" s="1357" t="s">
        <v>2883</v>
      </c>
      <c r="E816" s="1356">
        <v>500000000</v>
      </c>
      <c r="F816" s="1356">
        <v>492493000</v>
      </c>
      <c r="G816" s="1355">
        <f t="shared" si="43"/>
        <v>98.498599999999996</v>
      </c>
      <c r="H816" s="1354">
        <v>100</v>
      </c>
      <c r="I816" s="1353"/>
      <c r="J816" s="1341"/>
      <c r="K816" s="1341"/>
      <c r="L816" s="1341"/>
    </row>
    <row r="817" spans="1:12" s="1352" customFormat="1" ht="20.100000000000001" customHeight="1">
      <c r="A817" s="1341"/>
      <c r="B817" s="1341"/>
      <c r="C817" s="1358"/>
      <c r="D817" s="1357" t="s">
        <v>2882</v>
      </c>
      <c r="E817" s="1356">
        <v>500000000</v>
      </c>
      <c r="F817" s="1356">
        <v>494991000</v>
      </c>
      <c r="G817" s="1355">
        <f t="shared" si="43"/>
        <v>98.998199999999997</v>
      </c>
      <c r="H817" s="1354">
        <v>100</v>
      </c>
      <c r="I817" s="1353"/>
      <c r="J817" s="1341"/>
      <c r="K817" s="1341"/>
      <c r="L817" s="1341"/>
    </row>
    <row r="818" spans="1:12" s="1352" customFormat="1" ht="20.100000000000001" customHeight="1">
      <c r="A818" s="1341"/>
      <c r="B818" s="1341"/>
      <c r="C818" s="1358"/>
      <c r="D818" s="1357" t="s">
        <v>2881</v>
      </c>
      <c r="E818" s="1356">
        <v>500000000</v>
      </c>
      <c r="F818" s="1356">
        <v>497490000</v>
      </c>
      <c r="G818" s="1355">
        <f t="shared" si="43"/>
        <v>99.49799999999999</v>
      </c>
      <c r="H818" s="1354">
        <v>100</v>
      </c>
      <c r="I818" s="1353"/>
      <c r="J818" s="1341"/>
      <c r="K818" s="1341"/>
      <c r="L818" s="1341"/>
    </row>
    <row r="819" spans="1:12" s="1352" customFormat="1" ht="20.100000000000001" customHeight="1">
      <c r="A819" s="1341"/>
      <c r="B819" s="1341"/>
      <c r="C819" s="1358"/>
      <c r="D819" s="1357" t="s">
        <v>2880</v>
      </c>
      <c r="E819" s="1356">
        <v>1095000000</v>
      </c>
      <c r="F819" s="1356">
        <v>1086155000</v>
      </c>
      <c r="G819" s="1355">
        <f t="shared" si="43"/>
        <v>99.192237442922377</v>
      </c>
      <c r="H819" s="1354">
        <v>100</v>
      </c>
      <c r="I819" s="1353"/>
      <c r="J819" s="1341"/>
      <c r="K819" s="1341"/>
      <c r="L819" s="1341"/>
    </row>
    <row r="820" spans="1:12" s="1352" customFormat="1" ht="20.100000000000001" customHeight="1">
      <c r="A820" s="1341"/>
      <c r="B820" s="1341"/>
      <c r="C820" s="1358"/>
      <c r="D820" s="1357" t="s">
        <v>2879</v>
      </c>
      <c r="E820" s="1356">
        <v>118490000</v>
      </c>
      <c r="F820" s="1356">
        <v>117201100</v>
      </c>
      <c r="G820" s="1355">
        <f t="shared" si="43"/>
        <v>98.912228880074267</v>
      </c>
      <c r="H820" s="1354">
        <v>100</v>
      </c>
      <c r="I820" s="1353"/>
      <c r="J820" s="1341"/>
      <c r="K820" s="1341"/>
      <c r="L820" s="1341"/>
    </row>
    <row r="821" spans="1:12" s="1352" customFormat="1" ht="30.75" customHeight="1">
      <c r="A821" s="1341"/>
      <c r="B821" s="1341"/>
      <c r="C821" s="1358"/>
      <c r="D821" s="1363" t="s">
        <v>2399</v>
      </c>
      <c r="E821" s="1362">
        <v>75000000</v>
      </c>
      <c r="F821" s="1362">
        <v>74378027</v>
      </c>
      <c r="G821" s="1355">
        <f t="shared" si="43"/>
        <v>99.170702666666671</v>
      </c>
      <c r="H821" s="1354">
        <v>100</v>
      </c>
      <c r="I821" s="1353"/>
      <c r="J821" s="1341"/>
      <c r="K821" s="1341"/>
      <c r="L821" s="1341"/>
    </row>
    <row r="822" spans="1:12" s="1352" customFormat="1" ht="20.100000000000001" customHeight="1">
      <c r="A822" s="1341"/>
      <c r="B822" s="1341"/>
      <c r="C822" s="1358"/>
      <c r="D822" s="1357" t="s">
        <v>2412</v>
      </c>
      <c r="E822" s="1356">
        <v>75000000</v>
      </c>
      <c r="F822" s="1356">
        <v>74378027</v>
      </c>
      <c r="G822" s="1355">
        <f t="shared" si="43"/>
        <v>99.170702666666671</v>
      </c>
      <c r="H822" s="1354">
        <v>100</v>
      </c>
      <c r="I822" s="1353"/>
      <c r="J822" s="1341"/>
      <c r="K822" s="1341"/>
      <c r="L822" s="1341"/>
    </row>
    <row r="823" spans="1:12" s="1359" customFormat="1" ht="20.100000000000001" customHeight="1">
      <c r="A823" s="1346"/>
      <c r="B823" s="1346"/>
      <c r="C823" s="1361"/>
      <c r="D823" s="1363" t="s">
        <v>219</v>
      </c>
      <c r="E823" s="1362">
        <v>8383500000</v>
      </c>
      <c r="F823" s="1362">
        <v>7713926023</v>
      </c>
      <c r="G823" s="1355">
        <f t="shared" si="43"/>
        <v>92.013192855012832</v>
      </c>
      <c r="H823" s="1354">
        <v>95</v>
      </c>
      <c r="I823" s="1360"/>
      <c r="J823" s="1346"/>
      <c r="K823" s="1346"/>
      <c r="L823" s="1346"/>
    </row>
    <row r="824" spans="1:12" s="1352" customFormat="1" ht="20.100000000000001" customHeight="1">
      <c r="A824" s="1341"/>
      <c r="B824" s="1341"/>
      <c r="C824" s="1358"/>
      <c r="D824" s="1357" t="s">
        <v>2381</v>
      </c>
      <c r="E824" s="1356">
        <v>8383500000</v>
      </c>
      <c r="F824" s="1356">
        <v>7713926023</v>
      </c>
      <c r="G824" s="1355">
        <f t="shared" si="43"/>
        <v>92.013192855012832</v>
      </c>
      <c r="H824" s="1354">
        <v>95</v>
      </c>
      <c r="I824" s="1353"/>
      <c r="J824" s="1341"/>
      <c r="K824" s="1341"/>
      <c r="L824" s="1341"/>
    </row>
    <row r="825" spans="1:12" s="1359" customFormat="1" ht="20.100000000000001" customHeight="1">
      <c r="A825" s="1346"/>
      <c r="B825" s="1346"/>
      <c r="C825" s="1361"/>
      <c r="D825" s="1363" t="s">
        <v>243</v>
      </c>
      <c r="E825" s="1362">
        <v>12257128000</v>
      </c>
      <c r="F825" s="1362">
        <v>10658080498</v>
      </c>
      <c r="G825" s="1355">
        <f t="shared" si="43"/>
        <v>86.954142095929811</v>
      </c>
      <c r="H825" s="1354">
        <f>SUM((H826:H830))/5</f>
        <v>60</v>
      </c>
      <c r="I825" s="1360"/>
      <c r="J825" s="1346"/>
      <c r="K825" s="1346"/>
      <c r="L825" s="1346"/>
    </row>
    <row r="826" spans="1:12" s="1352" customFormat="1" ht="20.100000000000001" customHeight="1">
      <c r="A826" s="1341"/>
      <c r="B826" s="1341"/>
      <c r="C826" s="1358"/>
      <c r="D826" s="1357" t="s">
        <v>244</v>
      </c>
      <c r="E826" s="1356">
        <v>680500000</v>
      </c>
      <c r="F826" s="1356">
        <v>87865000</v>
      </c>
      <c r="G826" s="1355">
        <f t="shared" si="43"/>
        <v>12.911829537105069</v>
      </c>
      <c r="H826" s="1354">
        <v>15</v>
      </c>
      <c r="I826" s="1353"/>
      <c r="J826" s="1341"/>
      <c r="K826" s="1341"/>
      <c r="L826" s="1341"/>
    </row>
    <row r="827" spans="1:12" s="1359" customFormat="1" ht="20.100000000000001" customHeight="1">
      <c r="A827" s="1346"/>
      <c r="B827" s="1346"/>
      <c r="C827" s="1361"/>
      <c r="D827" s="1357" t="s">
        <v>2413</v>
      </c>
      <c r="E827" s="1356">
        <v>4488150000</v>
      </c>
      <c r="F827" s="1356">
        <v>3944490000</v>
      </c>
      <c r="G827" s="1355">
        <f t="shared" si="43"/>
        <v>87.886768490357952</v>
      </c>
      <c r="H827" s="1354">
        <v>90</v>
      </c>
      <c r="I827" s="1360"/>
      <c r="J827" s="1346"/>
      <c r="K827" s="1346"/>
      <c r="L827" s="1346"/>
    </row>
    <row r="828" spans="1:12" s="1352" customFormat="1" ht="20.100000000000001" customHeight="1">
      <c r="A828" s="1341"/>
      <c r="B828" s="1341"/>
      <c r="C828" s="1358"/>
      <c r="D828" s="1357" t="s">
        <v>2414</v>
      </c>
      <c r="E828" s="1356">
        <v>100950000</v>
      </c>
      <c r="F828" s="1356">
        <v>10820100</v>
      </c>
      <c r="G828" s="1355">
        <f t="shared" si="43"/>
        <v>10.718276374442794</v>
      </c>
      <c r="H828" s="1354">
        <v>15</v>
      </c>
      <c r="I828" s="1353"/>
      <c r="J828" s="1341"/>
      <c r="K828" s="1341"/>
      <c r="L828" s="1341"/>
    </row>
    <row r="829" spans="1:12" s="1352" customFormat="1" ht="20.100000000000001" customHeight="1">
      <c r="A829" s="1341"/>
      <c r="B829" s="1341"/>
      <c r="C829" s="1358"/>
      <c r="D829" s="1357" t="s">
        <v>2415</v>
      </c>
      <c r="E829" s="1356">
        <v>1361656000</v>
      </c>
      <c r="F829" s="1356">
        <v>1039329131</v>
      </c>
      <c r="G829" s="1355">
        <f t="shared" si="43"/>
        <v>76.328318679607776</v>
      </c>
      <c r="H829" s="1354">
        <v>80</v>
      </c>
      <c r="I829" s="1353"/>
      <c r="J829" s="1341"/>
      <c r="K829" s="1341"/>
      <c r="L829" s="1341"/>
    </row>
    <row r="830" spans="1:12" s="1352" customFormat="1" ht="20.100000000000001" customHeight="1">
      <c r="A830" s="1341"/>
      <c r="B830" s="1341"/>
      <c r="C830" s="1358"/>
      <c r="D830" s="1357" t="s">
        <v>2416</v>
      </c>
      <c r="E830" s="1356">
        <v>5625872000</v>
      </c>
      <c r="F830" s="1356">
        <v>5575576267</v>
      </c>
      <c r="G830" s="1355">
        <f t="shared" si="43"/>
        <v>99.105992226627265</v>
      </c>
      <c r="H830" s="1354">
        <v>100</v>
      </c>
      <c r="I830" s="1353"/>
      <c r="J830" s="1341"/>
      <c r="K830" s="1341"/>
      <c r="L830" s="1341"/>
    </row>
    <row r="831" spans="1:12" s="44" customFormat="1" ht="20.100000000000001" customHeight="1">
      <c r="C831" s="844"/>
      <c r="D831" s="1351" t="s">
        <v>76</v>
      </c>
      <c r="E831" s="1350">
        <f>+E738+E103+E13</f>
        <v>1088930543160.36</v>
      </c>
      <c r="F831" s="1349">
        <f>+F738+F103+F13</f>
        <v>876081389426.01196</v>
      </c>
      <c r="G831" s="1348">
        <f>F81:F831/E831*100</f>
        <v>80.453376473709298</v>
      </c>
      <c r="H831" s="1348">
        <f>(H738+H103+H13)/3</f>
        <v>81.991511017047969</v>
      </c>
      <c r="I831" s="1347"/>
      <c r="J831" s="1346"/>
      <c r="K831" s="1346"/>
      <c r="L831" s="1346"/>
    </row>
    <row r="832" spans="1:12">
      <c r="D832" s="1345"/>
      <c r="E832" s="1344"/>
      <c r="F832" s="1343"/>
      <c r="G832" s="1342"/>
      <c r="H832" s="1342"/>
      <c r="I832" s="1341"/>
      <c r="J832" s="1341"/>
      <c r="K832" s="1341"/>
      <c r="L832" s="1341"/>
    </row>
    <row r="835" spans="1:16138" ht="29.25" customHeight="1">
      <c r="D835" s="1340"/>
    </row>
    <row r="837" spans="1:16138">
      <c r="D837" s="1339"/>
    </row>
    <row r="838" spans="1:16138" s="1336" customFormat="1">
      <c r="A838" s="802"/>
      <c r="B838" s="802"/>
      <c r="C838" s="803"/>
      <c r="D838" s="1335"/>
      <c r="E838" s="1334"/>
      <c r="F838" s="1334"/>
      <c r="G838" s="1333"/>
      <c r="H838" s="1333"/>
      <c r="I838" s="802"/>
      <c r="J838" s="802"/>
      <c r="K838" s="802"/>
      <c r="L838" s="802"/>
      <c r="M838" s="802"/>
      <c r="N838" s="802"/>
      <c r="O838" s="802"/>
      <c r="P838" s="802"/>
      <c r="Q838" s="802"/>
      <c r="R838" s="802"/>
      <c r="S838" s="802"/>
      <c r="T838" s="802"/>
      <c r="U838" s="802"/>
      <c r="V838" s="802"/>
      <c r="W838" s="802"/>
      <c r="X838" s="802"/>
      <c r="Y838" s="802"/>
      <c r="Z838" s="802"/>
      <c r="AA838" s="802"/>
      <c r="AB838" s="802"/>
      <c r="AC838" s="802"/>
      <c r="AD838" s="802"/>
      <c r="AE838" s="802"/>
      <c r="AF838" s="802"/>
      <c r="AG838" s="802"/>
      <c r="AH838" s="802"/>
      <c r="AI838" s="802"/>
      <c r="AJ838" s="802"/>
      <c r="AK838" s="802"/>
      <c r="AL838" s="802"/>
      <c r="AM838" s="802"/>
      <c r="AN838" s="802"/>
      <c r="AO838" s="802"/>
      <c r="AP838" s="802"/>
      <c r="AQ838" s="802"/>
      <c r="AR838" s="802"/>
      <c r="AS838" s="802"/>
      <c r="AT838" s="802"/>
      <c r="AU838" s="802"/>
      <c r="AV838" s="802"/>
      <c r="AW838" s="802"/>
      <c r="AX838" s="802"/>
      <c r="AY838" s="802"/>
      <c r="AZ838" s="802"/>
      <c r="BA838" s="802"/>
      <c r="BB838" s="802"/>
      <c r="BC838" s="802"/>
      <c r="BD838" s="802"/>
      <c r="BE838" s="802"/>
      <c r="BF838" s="802"/>
      <c r="BG838" s="802"/>
      <c r="BH838" s="802"/>
      <c r="BI838" s="802"/>
      <c r="BJ838" s="802"/>
      <c r="BK838" s="802"/>
      <c r="BL838" s="802"/>
      <c r="BM838" s="802"/>
      <c r="BN838" s="802"/>
      <c r="BO838" s="802"/>
      <c r="BP838" s="802"/>
      <c r="BQ838" s="802"/>
      <c r="BR838" s="802"/>
      <c r="BS838" s="802"/>
      <c r="BT838" s="802"/>
      <c r="BU838" s="802"/>
      <c r="BV838" s="802"/>
      <c r="BW838" s="802"/>
      <c r="BX838" s="802"/>
      <c r="BY838" s="802"/>
      <c r="BZ838" s="802"/>
      <c r="CA838" s="802"/>
      <c r="CB838" s="802"/>
      <c r="CC838" s="802"/>
      <c r="CD838" s="802"/>
      <c r="CE838" s="802"/>
      <c r="CF838" s="802"/>
      <c r="CG838" s="802"/>
      <c r="CH838" s="802"/>
      <c r="CI838" s="802"/>
      <c r="CJ838" s="802"/>
      <c r="CK838" s="802"/>
      <c r="CL838" s="802"/>
      <c r="CM838" s="802"/>
      <c r="CN838" s="802"/>
      <c r="CO838" s="802"/>
      <c r="CP838" s="802"/>
      <c r="CQ838" s="802"/>
      <c r="CR838" s="802"/>
      <c r="CS838" s="802"/>
      <c r="CT838" s="802"/>
      <c r="CU838" s="802"/>
      <c r="CV838" s="802"/>
      <c r="CW838" s="802"/>
      <c r="CX838" s="802"/>
      <c r="CY838" s="802"/>
      <c r="CZ838" s="802"/>
      <c r="DA838" s="802"/>
      <c r="DB838" s="802"/>
      <c r="DC838" s="802"/>
      <c r="DD838" s="802"/>
      <c r="DE838" s="802"/>
      <c r="DF838" s="802"/>
      <c r="DG838" s="802"/>
      <c r="DH838" s="802"/>
      <c r="DI838" s="802"/>
      <c r="DJ838" s="802"/>
      <c r="DK838" s="802"/>
      <c r="DL838" s="802"/>
      <c r="DM838" s="802"/>
      <c r="DN838" s="802"/>
      <c r="DO838" s="802"/>
      <c r="DP838" s="802"/>
      <c r="DQ838" s="802"/>
      <c r="DR838" s="802"/>
      <c r="DS838" s="802"/>
      <c r="DT838" s="802"/>
      <c r="DU838" s="802"/>
      <c r="DV838" s="802"/>
      <c r="DW838" s="802"/>
      <c r="DX838" s="802"/>
      <c r="DY838" s="802"/>
      <c r="DZ838" s="802"/>
      <c r="EA838" s="802"/>
      <c r="EB838" s="802"/>
      <c r="EC838" s="802"/>
      <c r="ED838" s="802"/>
      <c r="EE838" s="802"/>
      <c r="EF838" s="802"/>
      <c r="EG838" s="802"/>
      <c r="EH838" s="802"/>
      <c r="EI838" s="802"/>
      <c r="EJ838" s="802"/>
      <c r="EK838" s="802"/>
      <c r="EL838" s="802"/>
      <c r="EM838" s="802"/>
      <c r="EN838" s="802"/>
      <c r="EO838" s="802"/>
      <c r="EP838" s="802"/>
      <c r="EQ838" s="802"/>
      <c r="ER838" s="802"/>
      <c r="ES838" s="802"/>
      <c r="ET838" s="802"/>
      <c r="EU838" s="802"/>
      <c r="EV838" s="802"/>
      <c r="EW838" s="802"/>
      <c r="EX838" s="802"/>
      <c r="EY838" s="802"/>
      <c r="EZ838" s="802"/>
      <c r="FA838" s="802"/>
      <c r="FB838" s="802"/>
      <c r="FC838" s="802"/>
      <c r="FD838" s="802"/>
      <c r="FE838" s="802"/>
      <c r="FF838" s="802"/>
      <c r="FG838" s="802"/>
      <c r="FH838" s="802"/>
      <c r="FI838" s="802"/>
      <c r="FJ838" s="802"/>
      <c r="FK838" s="802"/>
      <c r="FL838" s="802"/>
      <c r="FM838" s="802"/>
      <c r="FN838" s="802"/>
      <c r="FO838" s="802"/>
      <c r="FP838" s="802"/>
      <c r="FQ838" s="802"/>
      <c r="FR838" s="802"/>
      <c r="FS838" s="802"/>
      <c r="FT838" s="802"/>
      <c r="FU838" s="802"/>
      <c r="FV838" s="802"/>
      <c r="FW838" s="802"/>
      <c r="FX838" s="802"/>
      <c r="FY838" s="802"/>
      <c r="FZ838" s="802"/>
      <c r="GA838" s="802"/>
      <c r="GB838" s="802"/>
      <c r="GC838" s="802"/>
      <c r="GD838" s="802"/>
      <c r="GE838" s="802"/>
      <c r="GF838" s="802"/>
      <c r="GG838" s="802"/>
      <c r="GH838" s="802"/>
      <c r="GI838" s="802"/>
      <c r="GJ838" s="802"/>
      <c r="GK838" s="802"/>
      <c r="GL838" s="802"/>
      <c r="GM838" s="802"/>
      <c r="GN838" s="802"/>
      <c r="GO838" s="802"/>
      <c r="GP838" s="802"/>
      <c r="GQ838" s="802"/>
      <c r="GR838" s="802"/>
      <c r="GS838" s="802"/>
      <c r="GT838" s="802"/>
      <c r="GU838" s="802"/>
      <c r="GV838" s="802"/>
      <c r="GW838" s="802"/>
      <c r="GX838" s="802"/>
      <c r="GY838" s="802"/>
      <c r="GZ838" s="802"/>
      <c r="HA838" s="802"/>
      <c r="HB838" s="802"/>
      <c r="HC838" s="802"/>
      <c r="HD838" s="802"/>
      <c r="HE838" s="802"/>
      <c r="HF838" s="802"/>
      <c r="HG838" s="802"/>
      <c r="HH838" s="802"/>
      <c r="HI838" s="802"/>
      <c r="HJ838" s="802"/>
      <c r="HK838" s="802"/>
      <c r="HL838" s="802"/>
      <c r="HM838" s="802"/>
      <c r="HN838" s="802"/>
      <c r="HO838" s="802"/>
      <c r="HP838" s="802"/>
      <c r="HQ838" s="802"/>
      <c r="HR838" s="802"/>
      <c r="HS838" s="802"/>
      <c r="HT838" s="802"/>
      <c r="HU838" s="802"/>
      <c r="HV838" s="802"/>
      <c r="HW838" s="802"/>
      <c r="HX838" s="802"/>
      <c r="HY838" s="802"/>
      <c r="HZ838" s="802"/>
      <c r="IA838" s="802"/>
      <c r="IB838" s="802"/>
      <c r="IC838" s="802"/>
      <c r="ID838" s="802"/>
      <c r="IE838" s="802"/>
      <c r="IF838" s="802"/>
      <c r="IG838" s="802"/>
      <c r="IH838" s="802"/>
      <c r="II838" s="802"/>
      <c r="IJ838" s="802"/>
      <c r="IK838" s="802"/>
      <c r="IL838" s="802"/>
      <c r="IM838" s="802"/>
      <c r="IN838" s="802"/>
      <c r="IO838" s="802"/>
      <c r="IP838" s="802"/>
      <c r="IQ838" s="802"/>
      <c r="IR838" s="802"/>
      <c r="IS838" s="802"/>
      <c r="IT838" s="802"/>
      <c r="IU838" s="802"/>
      <c r="IV838" s="802"/>
      <c r="IW838" s="802"/>
      <c r="IX838" s="802"/>
      <c r="IY838" s="802"/>
      <c r="IZ838" s="802"/>
      <c r="JA838" s="802"/>
      <c r="JB838" s="802"/>
      <c r="JC838" s="802"/>
      <c r="JD838" s="802"/>
      <c r="JE838" s="802"/>
      <c r="JF838" s="802"/>
      <c r="JG838" s="802"/>
      <c r="JH838" s="802"/>
      <c r="JI838" s="802"/>
      <c r="JJ838" s="802"/>
      <c r="JK838" s="802"/>
      <c r="JL838" s="802"/>
      <c r="JM838" s="802"/>
      <c r="JN838" s="802"/>
      <c r="JO838" s="802"/>
      <c r="JP838" s="802"/>
      <c r="JQ838" s="802"/>
      <c r="JR838" s="802"/>
      <c r="JS838" s="802"/>
      <c r="JT838" s="802"/>
      <c r="JU838" s="802"/>
      <c r="JV838" s="802"/>
      <c r="JW838" s="802"/>
      <c r="JX838" s="802"/>
      <c r="JY838" s="802"/>
      <c r="JZ838" s="802"/>
      <c r="KA838" s="802"/>
      <c r="KB838" s="802"/>
      <c r="KC838" s="802"/>
      <c r="KD838" s="802"/>
      <c r="KE838" s="802"/>
      <c r="KF838" s="802"/>
      <c r="KG838" s="802"/>
      <c r="KH838" s="802"/>
      <c r="KI838" s="802"/>
      <c r="KJ838" s="802"/>
      <c r="KK838" s="802"/>
      <c r="KL838" s="802"/>
      <c r="KM838" s="802"/>
      <c r="KN838" s="802"/>
      <c r="KO838" s="802"/>
      <c r="KP838" s="802"/>
      <c r="KQ838" s="802"/>
      <c r="KR838" s="802"/>
      <c r="KS838" s="802"/>
      <c r="KT838" s="802"/>
      <c r="KU838" s="802"/>
      <c r="KV838" s="802"/>
      <c r="KW838" s="802"/>
      <c r="KX838" s="802"/>
      <c r="KY838" s="802"/>
      <c r="KZ838" s="802"/>
      <c r="LA838" s="802"/>
      <c r="LB838" s="802"/>
      <c r="LC838" s="802"/>
      <c r="LD838" s="802"/>
      <c r="LE838" s="802"/>
      <c r="LF838" s="802"/>
      <c r="LG838" s="802"/>
      <c r="LH838" s="802"/>
      <c r="LI838" s="802"/>
      <c r="LJ838" s="802"/>
      <c r="LK838" s="802"/>
      <c r="LL838" s="802"/>
      <c r="LM838" s="802"/>
      <c r="LN838" s="802"/>
      <c r="LO838" s="802"/>
      <c r="LP838" s="802"/>
      <c r="LQ838" s="802"/>
      <c r="LR838" s="802"/>
      <c r="LS838" s="802"/>
      <c r="LT838" s="802"/>
      <c r="LU838" s="802"/>
      <c r="LV838" s="802"/>
      <c r="LW838" s="802"/>
      <c r="LX838" s="802"/>
      <c r="LY838" s="802"/>
      <c r="LZ838" s="802"/>
      <c r="MA838" s="802"/>
      <c r="MB838" s="802"/>
      <c r="MC838" s="802"/>
      <c r="MD838" s="802"/>
      <c r="ME838" s="802"/>
      <c r="MF838" s="802"/>
      <c r="MG838" s="802"/>
      <c r="MH838" s="802"/>
      <c r="MI838" s="802"/>
      <c r="MJ838" s="802"/>
      <c r="MK838" s="802"/>
      <c r="ML838" s="802"/>
      <c r="MM838" s="802"/>
      <c r="MN838" s="802"/>
      <c r="MO838" s="802"/>
      <c r="MP838" s="802"/>
      <c r="MQ838" s="802"/>
      <c r="MR838" s="802"/>
      <c r="MS838" s="802"/>
      <c r="MT838" s="802"/>
      <c r="MU838" s="802"/>
      <c r="MV838" s="802"/>
      <c r="MW838" s="802"/>
      <c r="MX838" s="802"/>
      <c r="MY838" s="802"/>
      <c r="MZ838" s="802"/>
      <c r="NA838" s="802"/>
      <c r="NB838" s="802"/>
      <c r="NC838" s="802"/>
      <c r="ND838" s="802"/>
      <c r="NE838" s="802"/>
      <c r="NF838" s="802"/>
      <c r="NG838" s="802"/>
      <c r="NH838" s="802"/>
      <c r="NI838" s="802"/>
      <c r="NJ838" s="802"/>
      <c r="NK838" s="802"/>
      <c r="NL838" s="802"/>
      <c r="NM838" s="802"/>
      <c r="NN838" s="802"/>
      <c r="NO838" s="802"/>
      <c r="NP838" s="802"/>
      <c r="NQ838" s="802"/>
      <c r="NR838" s="802"/>
      <c r="NS838" s="802"/>
      <c r="NT838" s="802"/>
      <c r="NU838" s="802"/>
      <c r="NV838" s="802"/>
      <c r="NW838" s="802"/>
      <c r="NX838" s="802"/>
      <c r="NY838" s="802"/>
      <c r="NZ838" s="802"/>
      <c r="OA838" s="802"/>
      <c r="OB838" s="802"/>
      <c r="OC838" s="802"/>
      <c r="OD838" s="802"/>
      <c r="OE838" s="802"/>
      <c r="OF838" s="802"/>
      <c r="OG838" s="802"/>
      <c r="OH838" s="802"/>
      <c r="OI838" s="802"/>
      <c r="OJ838" s="802"/>
      <c r="OK838" s="802"/>
      <c r="OL838" s="802"/>
      <c r="OM838" s="802"/>
      <c r="ON838" s="802"/>
      <c r="OO838" s="802"/>
      <c r="OP838" s="802"/>
      <c r="OQ838" s="802"/>
      <c r="OR838" s="802"/>
      <c r="OS838" s="802"/>
      <c r="OT838" s="802"/>
      <c r="OU838" s="802"/>
      <c r="OV838" s="802"/>
      <c r="OW838" s="802"/>
      <c r="OX838" s="802"/>
      <c r="OY838" s="802"/>
      <c r="OZ838" s="802"/>
      <c r="PA838" s="802"/>
      <c r="PB838" s="802"/>
      <c r="PC838" s="802"/>
      <c r="PD838" s="802"/>
      <c r="PE838" s="802"/>
      <c r="PF838" s="802"/>
      <c r="PG838" s="802"/>
      <c r="PH838" s="802"/>
      <c r="PI838" s="802"/>
      <c r="PJ838" s="802"/>
      <c r="PK838" s="802"/>
      <c r="PL838" s="802"/>
      <c r="PM838" s="802"/>
      <c r="PN838" s="802"/>
      <c r="PO838" s="802"/>
      <c r="PP838" s="802"/>
      <c r="PQ838" s="802"/>
      <c r="PR838" s="802"/>
      <c r="PS838" s="802"/>
      <c r="PT838" s="802"/>
      <c r="PU838" s="802"/>
      <c r="PV838" s="802"/>
      <c r="PW838" s="802"/>
      <c r="PX838" s="802"/>
      <c r="PY838" s="802"/>
      <c r="PZ838" s="802"/>
      <c r="QA838" s="802"/>
      <c r="QB838" s="802"/>
      <c r="QC838" s="802"/>
      <c r="QD838" s="802"/>
      <c r="QE838" s="802"/>
      <c r="QF838" s="802"/>
      <c r="QG838" s="802"/>
      <c r="QH838" s="802"/>
      <c r="QI838" s="802"/>
      <c r="QJ838" s="802"/>
      <c r="QK838" s="802"/>
      <c r="QL838" s="802"/>
      <c r="QM838" s="802"/>
      <c r="QN838" s="802"/>
      <c r="QO838" s="802"/>
      <c r="QP838" s="802"/>
      <c r="QQ838" s="802"/>
      <c r="QR838" s="802"/>
      <c r="QS838" s="802"/>
      <c r="QT838" s="802"/>
      <c r="QU838" s="802"/>
      <c r="QV838" s="802"/>
      <c r="QW838" s="802"/>
      <c r="QX838" s="802"/>
      <c r="QY838" s="802"/>
      <c r="QZ838" s="802"/>
      <c r="RA838" s="802"/>
      <c r="RB838" s="802"/>
      <c r="RC838" s="802"/>
      <c r="RD838" s="802"/>
      <c r="RE838" s="802"/>
      <c r="RF838" s="802"/>
      <c r="RG838" s="802"/>
      <c r="RH838" s="802"/>
      <c r="RI838" s="802"/>
      <c r="RJ838" s="802"/>
      <c r="RK838" s="802"/>
      <c r="RL838" s="802"/>
      <c r="RM838" s="802"/>
      <c r="RN838" s="802"/>
      <c r="RO838" s="802"/>
      <c r="RP838" s="802"/>
      <c r="RQ838" s="802"/>
      <c r="RR838" s="802"/>
      <c r="RS838" s="802"/>
      <c r="RT838" s="802"/>
      <c r="RU838" s="802"/>
      <c r="RV838" s="802"/>
      <c r="RW838" s="802"/>
      <c r="RX838" s="802"/>
      <c r="RY838" s="802"/>
      <c r="RZ838" s="802"/>
      <c r="SA838" s="802"/>
      <c r="SB838" s="802"/>
      <c r="SC838" s="802"/>
      <c r="SD838" s="802"/>
      <c r="SE838" s="802"/>
      <c r="SF838" s="802"/>
      <c r="SG838" s="802"/>
      <c r="SH838" s="802"/>
      <c r="SI838" s="802"/>
      <c r="SJ838" s="802"/>
      <c r="SK838" s="802"/>
      <c r="SL838" s="802"/>
      <c r="SM838" s="802"/>
      <c r="SN838" s="802"/>
      <c r="SO838" s="802"/>
      <c r="SP838" s="802"/>
      <c r="SQ838" s="802"/>
      <c r="SR838" s="802"/>
      <c r="SS838" s="802"/>
      <c r="ST838" s="802"/>
      <c r="SU838" s="802"/>
      <c r="SV838" s="802"/>
      <c r="SW838" s="802"/>
      <c r="SX838" s="802"/>
      <c r="SY838" s="802"/>
      <c r="SZ838" s="802"/>
      <c r="TA838" s="802"/>
      <c r="TB838" s="802"/>
      <c r="TC838" s="802"/>
      <c r="TD838" s="802"/>
      <c r="TE838" s="802"/>
      <c r="TF838" s="802"/>
      <c r="TG838" s="802"/>
      <c r="TH838" s="802"/>
      <c r="TI838" s="802"/>
      <c r="TJ838" s="802"/>
      <c r="TK838" s="802"/>
      <c r="TL838" s="802"/>
      <c r="TM838" s="802"/>
      <c r="TN838" s="802"/>
      <c r="TO838" s="802"/>
      <c r="TP838" s="802"/>
      <c r="TQ838" s="802"/>
      <c r="TR838" s="802"/>
      <c r="TS838" s="802"/>
      <c r="TT838" s="802"/>
      <c r="TU838" s="802"/>
      <c r="TV838" s="802"/>
      <c r="TW838" s="802"/>
      <c r="TX838" s="802"/>
      <c r="TY838" s="802"/>
      <c r="TZ838" s="802"/>
      <c r="UA838" s="802"/>
      <c r="UB838" s="802"/>
      <c r="UC838" s="802"/>
      <c r="UD838" s="802"/>
      <c r="UE838" s="802"/>
      <c r="UF838" s="802"/>
      <c r="UG838" s="802"/>
      <c r="UH838" s="802"/>
      <c r="UI838" s="802"/>
      <c r="UJ838" s="802"/>
      <c r="UK838" s="802"/>
      <c r="UL838" s="802"/>
      <c r="UM838" s="802"/>
      <c r="UN838" s="802"/>
      <c r="UO838" s="802"/>
      <c r="UP838" s="802"/>
      <c r="UQ838" s="802"/>
      <c r="UR838" s="802"/>
      <c r="US838" s="802"/>
      <c r="UT838" s="802"/>
      <c r="UU838" s="802"/>
      <c r="UV838" s="802"/>
      <c r="UW838" s="802"/>
      <c r="UX838" s="802"/>
      <c r="UY838" s="802"/>
      <c r="UZ838" s="802"/>
      <c r="VA838" s="802"/>
      <c r="VB838" s="802"/>
      <c r="VC838" s="802"/>
      <c r="VD838" s="802"/>
      <c r="VE838" s="802"/>
      <c r="VF838" s="802"/>
      <c r="VG838" s="802"/>
      <c r="VH838" s="802"/>
      <c r="VI838" s="802"/>
      <c r="VJ838" s="802"/>
      <c r="VK838" s="802"/>
      <c r="VL838" s="802"/>
      <c r="VM838" s="802"/>
      <c r="VN838" s="802"/>
      <c r="VO838" s="802"/>
      <c r="VP838" s="802"/>
      <c r="VQ838" s="802"/>
      <c r="VR838" s="802"/>
      <c r="VS838" s="802"/>
      <c r="VT838" s="802"/>
      <c r="VU838" s="802"/>
      <c r="VV838" s="802"/>
      <c r="VW838" s="802"/>
      <c r="VX838" s="802"/>
      <c r="VY838" s="802"/>
      <c r="VZ838" s="802"/>
      <c r="WA838" s="802"/>
      <c r="WB838" s="802"/>
      <c r="WC838" s="802"/>
      <c r="WD838" s="802"/>
      <c r="WE838" s="802"/>
      <c r="WF838" s="802"/>
      <c r="WG838" s="802"/>
      <c r="WH838" s="802"/>
      <c r="WI838" s="802"/>
      <c r="WJ838" s="802"/>
      <c r="WK838" s="802"/>
      <c r="WL838" s="802"/>
      <c r="WM838" s="802"/>
      <c r="WN838" s="802"/>
      <c r="WO838" s="802"/>
      <c r="WP838" s="802"/>
      <c r="WQ838" s="802"/>
      <c r="WR838" s="802"/>
      <c r="WS838" s="802"/>
      <c r="WT838" s="802"/>
      <c r="WU838" s="802"/>
      <c r="WV838" s="802"/>
      <c r="WW838" s="802"/>
      <c r="WX838" s="802"/>
      <c r="WY838" s="802"/>
      <c r="WZ838" s="802"/>
      <c r="XA838" s="802"/>
      <c r="XB838" s="802"/>
      <c r="XC838" s="802"/>
      <c r="XD838" s="802"/>
      <c r="XE838" s="802"/>
      <c r="XF838" s="802"/>
      <c r="XG838" s="802"/>
      <c r="XH838" s="802"/>
      <c r="XI838" s="802"/>
      <c r="XJ838" s="802"/>
      <c r="XK838" s="802"/>
      <c r="XL838" s="802"/>
      <c r="XM838" s="802"/>
      <c r="XN838" s="802"/>
      <c r="XO838" s="802"/>
      <c r="XP838" s="802"/>
      <c r="XQ838" s="802"/>
      <c r="XR838" s="802"/>
      <c r="XS838" s="802"/>
      <c r="XT838" s="802"/>
      <c r="XU838" s="802"/>
      <c r="XV838" s="802"/>
      <c r="XW838" s="802"/>
      <c r="XX838" s="802"/>
      <c r="XY838" s="802"/>
      <c r="XZ838" s="802"/>
      <c r="YA838" s="802"/>
      <c r="YB838" s="802"/>
      <c r="YC838" s="802"/>
      <c r="YD838" s="802"/>
      <c r="YE838" s="802"/>
      <c r="YF838" s="802"/>
      <c r="YG838" s="802"/>
      <c r="YH838" s="802"/>
      <c r="YI838" s="802"/>
      <c r="YJ838" s="802"/>
      <c r="YK838" s="802"/>
      <c r="YL838" s="802"/>
      <c r="YM838" s="802"/>
      <c r="YN838" s="802"/>
      <c r="YO838" s="802"/>
      <c r="YP838" s="802"/>
      <c r="YQ838" s="802"/>
      <c r="YR838" s="802"/>
      <c r="YS838" s="802"/>
      <c r="YT838" s="802"/>
      <c r="YU838" s="802"/>
      <c r="YV838" s="802"/>
      <c r="YW838" s="802"/>
      <c r="YX838" s="802"/>
      <c r="YY838" s="802"/>
      <c r="YZ838" s="802"/>
      <c r="ZA838" s="802"/>
      <c r="ZB838" s="802"/>
      <c r="ZC838" s="802"/>
      <c r="ZD838" s="802"/>
      <c r="ZE838" s="802"/>
      <c r="ZF838" s="802"/>
      <c r="ZG838" s="802"/>
      <c r="ZH838" s="802"/>
      <c r="ZI838" s="802"/>
      <c r="ZJ838" s="802"/>
      <c r="ZK838" s="802"/>
      <c r="ZL838" s="802"/>
      <c r="ZM838" s="802"/>
      <c r="ZN838" s="802"/>
      <c r="ZO838" s="802"/>
      <c r="ZP838" s="802"/>
      <c r="ZQ838" s="802"/>
      <c r="ZR838" s="802"/>
      <c r="ZS838" s="802"/>
      <c r="ZT838" s="802"/>
      <c r="ZU838" s="802"/>
      <c r="ZV838" s="802"/>
      <c r="ZW838" s="802"/>
      <c r="ZX838" s="802"/>
      <c r="ZY838" s="802"/>
      <c r="ZZ838" s="802"/>
      <c r="AAA838" s="802"/>
      <c r="AAB838" s="802"/>
      <c r="AAC838" s="802"/>
      <c r="AAD838" s="802"/>
      <c r="AAE838" s="802"/>
      <c r="AAF838" s="802"/>
      <c r="AAG838" s="802"/>
      <c r="AAH838" s="802"/>
      <c r="AAI838" s="802"/>
      <c r="AAJ838" s="802"/>
      <c r="AAK838" s="802"/>
      <c r="AAL838" s="802"/>
      <c r="AAM838" s="802"/>
      <c r="AAN838" s="802"/>
      <c r="AAO838" s="802"/>
      <c r="AAP838" s="802"/>
      <c r="AAQ838" s="802"/>
      <c r="AAR838" s="802"/>
      <c r="AAS838" s="802"/>
      <c r="AAT838" s="802"/>
      <c r="AAU838" s="802"/>
      <c r="AAV838" s="802"/>
      <c r="AAW838" s="802"/>
      <c r="AAX838" s="802"/>
      <c r="AAY838" s="802"/>
      <c r="AAZ838" s="802"/>
      <c r="ABA838" s="802"/>
      <c r="ABB838" s="802"/>
      <c r="ABC838" s="802"/>
      <c r="ABD838" s="802"/>
      <c r="ABE838" s="802"/>
      <c r="ABF838" s="802"/>
      <c r="ABG838" s="802"/>
      <c r="ABH838" s="802"/>
      <c r="ABI838" s="802"/>
      <c r="ABJ838" s="802"/>
      <c r="ABK838" s="802"/>
      <c r="ABL838" s="802"/>
      <c r="ABM838" s="802"/>
      <c r="ABN838" s="802"/>
      <c r="ABO838" s="802"/>
      <c r="ABP838" s="802"/>
      <c r="ABQ838" s="802"/>
      <c r="ABR838" s="802"/>
      <c r="ABS838" s="802"/>
      <c r="ABT838" s="802"/>
      <c r="ABU838" s="802"/>
      <c r="ABV838" s="802"/>
      <c r="ABW838" s="802"/>
      <c r="ABX838" s="802"/>
      <c r="ABY838" s="802"/>
      <c r="ABZ838" s="802"/>
      <c r="ACA838" s="802"/>
      <c r="ACB838" s="802"/>
      <c r="ACC838" s="802"/>
      <c r="ACD838" s="802"/>
      <c r="ACE838" s="802"/>
      <c r="ACF838" s="802"/>
      <c r="ACG838" s="802"/>
      <c r="ACH838" s="802"/>
      <c r="ACI838" s="802"/>
      <c r="ACJ838" s="802"/>
      <c r="ACK838" s="802"/>
      <c r="ACL838" s="802"/>
      <c r="ACM838" s="802"/>
      <c r="ACN838" s="802"/>
      <c r="ACO838" s="802"/>
      <c r="ACP838" s="802"/>
      <c r="ACQ838" s="802"/>
      <c r="ACR838" s="802"/>
      <c r="ACS838" s="802"/>
      <c r="ACT838" s="802"/>
      <c r="ACU838" s="802"/>
      <c r="ACV838" s="802"/>
      <c r="ACW838" s="802"/>
      <c r="ACX838" s="802"/>
      <c r="ACY838" s="802"/>
      <c r="ACZ838" s="802"/>
      <c r="ADA838" s="802"/>
      <c r="ADB838" s="802"/>
      <c r="ADC838" s="802"/>
      <c r="ADD838" s="802"/>
      <c r="ADE838" s="802"/>
      <c r="ADF838" s="802"/>
      <c r="ADG838" s="802"/>
      <c r="ADH838" s="802"/>
      <c r="ADI838" s="802"/>
      <c r="ADJ838" s="802"/>
      <c r="ADK838" s="802"/>
      <c r="ADL838" s="802"/>
      <c r="ADM838" s="802"/>
      <c r="ADN838" s="802"/>
      <c r="ADO838" s="802"/>
      <c r="ADP838" s="802"/>
      <c r="ADQ838" s="802"/>
      <c r="ADR838" s="802"/>
      <c r="ADS838" s="802"/>
      <c r="ADT838" s="802"/>
      <c r="ADU838" s="802"/>
      <c r="ADV838" s="802"/>
      <c r="ADW838" s="802"/>
      <c r="ADX838" s="802"/>
      <c r="ADY838" s="802"/>
      <c r="ADZ838" s="802"/>
      <c r="AEA838" s="802"/>
      <c r="AEB838" s="802"/>
      <c r="AEC838" s="802"/>
      <c r="AED838" s="802"/>
      <c r="AEE838" s="802"/>
      <c r="AEF838" s="802"/>
      <c r="AEG838" s="802"/>
      <c r="AEH838" s="802"/>
      <c r="AEI838" s="802"/>
      <c r="AEJ838" s="802"/>
      <c r="AEK838" s="802"/>
      <c r="AEL838" s="802"/>
      <c r="AEM838" s="802"/>
      <c r="AEN838" s="802"/>
      <c r="AEO838" s="802"/>
      <c r="AEP838" s="802"/>
      <c r="AEQ838" s="802"/>
      <c r="AER838" s="802"/>
      <c r="AES838" s="802"/>
      <c r="AET838" s="802"/>
      <c r="AEU838" s="802"/>
      <c r="AEV838" s="802"/>
      <c r="AEW838" s="802"/>
      <c r="AEX838" s="802"/>
      <c r="AEY838" s="802"/>
      <c r="AEZ838" s="802"/>
      <c r="AFA838" s="802"/>
      <c r="AFB838" s="802"/>
      <c r="AFC838" s="802"/>
      <c r="AFD838" s="802"/>
      <c r="AFE838" s="802"/>
      <c r="AFF838" s="802"/>
      <c r="AFG838" s="802"/>
      <c r="AFH838" s="802"/>
      <c r="AFI838" s="802"/>
      <c r="AFJ838" s="802"/>
      <c r="AFK838" s="802"/>
      <c r="AFL838" s="802"/>
      <c r="AFM838" s="802"/>
      <c r="AFN838" s="802"/>
      <c r="AFO838" s="802"/>
      <c r="AFP838" s="802"/>
      <c r="AFQ838" s="802"/>
      <c r="AFR838" s="802"/>
      <c r="AFS838" s="802"/>
      <c r="AFT838" s="802"/>
      <c r="AFU838" s="802"/>
      <c r="AFV838" s="802"/>
      <c r="AFW838" s="802"/>
      <c r="AFX838" s="802"/>
      <c r="AFY838" s="802"/>
      <c r="AFZ838" s="802"/>
      <c r="AGA838" s="802"/>
      <c r="AGB838" s="802"/>
      <c r="AGC838" s="802"/>
      <c r="AGD838" s="802"/>
      <c r="AGE838" s="802"/>
      <c r="AGF838" s="802"/>
      <c r="AGG838" s="802"/>
      <c r="AGH838" s="802"/>
      <c r="AGI838" s="802"/>
      <c r="AGJ838" s="802"/>
      <c r="AGK838" s="802"/>
      <c r="AGL838" s="802"/>
      <c r="AGM838" s="802"/>
      <c r="AGN838" s="802"/>
      <c r="AGO838" s="802"/>
      <c r="AGP838" s="802"/>
      <c r="AGQ838" s="802"/>
      <c r="AGR838" s="802"/>
      <c r="AGS838" s="802"/>
      <c r="AGT838" s="802"/>
      <c r="AGU838" s="802"/>
      <c r="AGV838" s="802"/>
      <c r="AGW838" s="802"/>
      <c r="AGX838" s="802"/>
      <c r="AGY838" s="802"/>
      <c r="AGZ838" s="802"/>
      <c r="AHA838" s="802"/>
      <c r="AHB838" s="802"/>
      <c r="AHC838" s="802"/>
      <c r="AHD838" s="802"/>
      <c r="AHE838" s="802"/>
      <c r="AHF838" s="802"/>
      <c r="AHG838" s="802"/>
      <c r="AHH838" s="802"/>
      <c r="AHI838" s="802"/>
      <c r="AHJ838" s="802"/>
      <c r="AHK838" s="802"/>
      <c r="AHL838" s="802"/>
      <c r="AHM838" s="802"/>
      <c r="AHN838" s="802"/>
      <c r="AHO838" s="802"/>
      <c r="AHP838" s="802"/>
      <c r="AHQ838" s="802"/>
      <c r="AHR838" s="802"/>
      <c r="AHS838" s="802"/>
      <c r="AHT838" s="802"/>
      <c r="AHU838" s="802"/>
      <c r="AHV838" s="802"/>
      <c r="AHW838" s="802"/>
      <c r="AHX838" s="802"/>
      <c r="AHY838" s="802"/>
      <c r="AHZ838" s="802"/>
      <c r="AIA838" s="802"/>
      <c r="AIB838" s="802"/>
      <c r="AIC838" s="802"/>
      <c r="AID838" s="802"/>
      <c r="AIE838" s="802"/>
      <c r="AIF838" s="802"/>
      <c r="AIG838" s="802"/>
      <c r="AIH838" s="802"/>
      <c r="AII838" s="802"/>
      <c r="AIJ838" s="802"/>
      <c r="AIK838" s="802"/>
      <c r="AIL838" s="802"/>
      <c r="AIM838" s="802"/>
      <c r="AIN838" s="802"/>
      <c r="AIO838" s="802"/>
      <c r="AIP838" s="802"/>
      <c r="AIQ838" s="802"/>
      <c r="AIR838" s="802"/>
      <c r="AIS838" s="802"/>
      <c r="AIT838" s="802"/>
      <c r="AIU838" s="802"/>
      <c r="AIV838" s="802"/>
      <c r="AIW838" s="802"/>
      <c r="AIX838" s="802"/>
      <c r="AIY838" s="802"/>
      <c r="AIZ838" s="802"/>
      <c r="AJA838" s="802"/>
      <c r="AJB838" s="802"/>
      <c r="AJC838" s="802"/>
      <c r="AJD838" s="802"/>
      <c r="AJE838" s="802"/>
      <c r="AJF838" s="802"/>
      <c r="AJG838" s="802"/>
      <c r="AJH838" s="802"/>
      <c r="AJI838" s="802"/>
      <c r="AJJ838" s="802"/>
      <c r="AJK838" s="802"/>
      <c r="AJL838" s="802"/>
      <c r="AJM838" s="802"/>
      <c r="AJN838" s="802"/>
      <c r="AJO838" s="802"/>
      <c r="AJP838" s="802"/>
      <c r="AJQ838" s="802"/>
      <c r="AJR838" s="802"/>
      <c r="AJS838" s="802"/>
      <c r="AJT838" s="802"/>
      <c r="AJU838" s="802"/>
      <c r="AJV838" s="802"/>
      <c r="AJW838" s="802"/>
      <c r="AJX838" s="802"/>
      <c r="AJY838" s="802"/>
      <c r="AJZ838" s="802"/>
      <c r="AKA838" s="802"/>
      <c r="AKB838" s="802"/>
      <c r="AKC838" s="802"/>
      <c r="AKD838" s="802"/>
      <c r="AKE838" s="802"/>
      <c r="AKF838" s="802"/>
      <c r="AKG838" s="802"/>
      <c r="AKH838" s="802"/>
      <c r="AKI838" s="802"/>
      <c r="AKJ838" s="802"/>
      <c r="AKK838" s="802"/>
      <c r="AKL838" s="802"/>
      <c r="AKM838" s="802"/>
      <c r="AKN838" s="802"/>
      <c r="AKO838" s="802"/>
      <c r="AKP838" s="802"/>
      <c r="AKQ838" s="802"/>
      <c r="AKR838" s="802"/>
      <c r="AKS838" s="802"/>
      <c r="AKT838" s="802"/>
      <c r="AKU838" s="802"/>
      <c r="AKV838" s="802"/>
      <c r="AKW838" s="802"/>
      <c r="AKX838" s="802"/>
      <c r="AKY838" s="802"/>
      <c r="AKZ838" s="802"/>
      <c r="ALA838" s="802"/>
      <c r="ALB838" s="802"/>
      <c r="ALC838" s="802"/>
      <c r="ALD838" s="802"/>
      <c r="ALE838" s="802"/>
      <c r="ALF838" s="802"/>
      <c r="ALG838" s="802"/>
      <c r="ALH838" s="802"/>
      <c r="ALI838" s="802"/>
      <c r="ALJ838" s="802"/>
      <c r="ALK838" s="802"/>
      <c r="ALL838" s="802"/>
      <c r="ALM838" s="802"/>
      <c r="ALN838" s="802"/>
      <c r="ALO838" s="802"/>
      <c r="ALP838" s="802"/>
      <c r="ALQ838" s="802"/>
      <c r="ALR838" s="802"/>
      <c r="ALS838" s="802"/>
      <c r="ALT838" s="802"/>
      <c r="ALU838" s="802"/>
      <c r="ALV838" s="802"/>
      <c r="ALW838" s="802"/>
      <c r="ALX838" s="802"/>
      <c r="ALY838" s="802"/>
      <c r="ALZ838" s="802"/>
      <c r="AMA838" s="802"/>
      <c r="AMB838" s="802"/>
      <c r="AMC838" s="802"/>
      <c r="AMD838" s="802"/>
      <c r="AME838" s="802"/>
      <c r="AMF838" s="802"/>
      <c r="AMG838" s="802"/>
      <c r="AMH838" s="802"/>
      <c r="AMI838" s="802"/>
      <c r="AMJ838" s="802"/>
      <c r="AMK838" s="802"/>
      <c r="AML838" s="802"/>
      <c r="AMM838" s="802"/>
      <c r="AMN838" s="802"/>
      <c r="AMO838" s="802"/>
      <c r="AMP838" s="802"/>
      <c r="AMQ838" s="802"/>
      <c r="AMR838" s="802"/>
      <c r="AMS838" s="802"/>
      <c r="AMT838" s="802"/>
      <c r="AMU838" s="802"/>
      <c r="AMV838" s="802"/>
      <c r="AMW838" s="802"/>
      <c r="AMX838" s="802"/>
      <c r="AMY838" s="802"/>
      <c r="AMZ838" s="802"/>
      <c r="ANA838" s="802"/>
      <c r="ANB838" s="802"/>
      <c r="ANC838" s="802"/>
      <c r="AND838" s="802"/>
      <c r="ANE838" s="802"/>
      <c r="ANF838" s="802"/>
      <c r="ANG838" s="802"/>
      <c r="ANH838" s="802"/>
      <c r="ANI838" s="802"/>
      <c r="ANJ838" s="802"/>
      <c r="ANK838" s="802"/>
      <c r="ANL838" s="802"/>
      <c r="ANM838" s="802"/>
      <c r="ANN838" s="802"/>
      <c r="ANO838" s="802"/>
      <c r="ANP838" s="802"/>
      <c r="ANQ838" s="802"/>
      <c r="ANR838" s="802"/>
      <c r="ANS838" s="802"/>
      <c r="ANT838" s="802"/>
      <c r="ANU838" s="802"/>
      <c r="ANV838" s="802"/>
      <c r="ANW838" s="802"/>
      <c r="ANX838" s="802"/>
      <c r="ANY838" s="802"/>
      <c r="ANZ838" s="802"/>
      <c r="AOA838" s="802"/>
      <c r="AOB838" s="802"/>
      <c r="AOC838" s="802"/>
      <c r="AOD838" s="802"/>
      <c r="AOE838" s="802"/>
      <c r="AOF838" s="802"/>
      <c r="AOG838" s="802"/>
      <c r="AOH838" s="802"/>
      <c r="AOI838" s="802"/>
      <c r="AOJ838" s="802"/>
      <c r="AOK838" s="802"/>
      <c r="AOL838" s="802"/>
      <c r="AOM838" s="802"/>
      <c r="AON838" s="802"/>
      <c r="AOO838" s="802"/>
      <c r="AOP838" s="802"/>
      <c r="AOQ838" s="802"/>
      <c r="AOR838" s="802"/>
      <c r="AOS838" s="802"/>
      <c r="AOT838" s="802"/>
      <c r="AOU838" s="802"/>
      <c r="AOV838" s="802"/>
      <c r="AOW838" s="802"/>
      <c r="AOX838" s="802"/>
      <c r="AOY838" s="802"/>
      <c r="AOZ838" s="802"/>
      <c r="APA838" s="802"/>
      <c r="APB838" s="802"/>
      <c r="APC838" s="802"/>
      <c r="APD838" s="802"/>
      <c r="APE838" s="802"/>
      <c r="APF838" s="802"/>
      <c r="APG838" s="802"/>
      <c r="APH838" s="802"/>
      <c r="API838" s="802"/>
      <c r="APJ838" s="802"/>
      <c r="APK838" s="802"/>
      <c r="APL838" s="802"/>
      <c r="APM838" s="802"/>
      <c r="APN838" s="802"/>
      <c r="APO838" s="802"/>
      <c r="APP838" s="802"/>
      <c r="APQ838" s="802"/>
      <c r="APR838" s="802"/>
      <c r="APS838" s="802"/>
      <c r="APT838" s="802"/>
      <c r="APU838" s="802"/>
      <c r="APV838" s="802"/>
      <c r="APW838" s="802"/>
      <c r="APX838" s="802"/>
      <c r="APY838" s="802"/>
      <c r="APZ838" s="802"/>
      <c r="AQA838" s="802"/>
      <c r="AQB838" s="802"/>
      <c r="AQC838" s="802"/>
      <c r="AQD838" s="802"/>
      <c r="AQE838" s="802"/>
      <c r="AQF838" s="802"/>
      <c r="AQG838" s="802"/>
      <c r="AQH838" s="802"/>
      <c r="AQI838" s="802"/>
      <c r="AQJ838" s="802"/>
      <c r="AQK838" s="802"/>
      <c r="AQL838" s="802"/>
      <c r="AQM838" s="802"/>
      <c r="AQN838" s="802"/>
      <c r="AQO838" s="802"/>
      <c r="AQP838" s="802"/>
      <c r="AQQ838" s="802"/>
      <c r="AQR838" s="802"/>
      <c r="AQS838" s="802"/>
      <c r="AQT838" s="802"/>
      <c r="AQU838" s="802"/>
      <c r="AQV838" s="802"/>
      <c r="AQW838" s="802"/>
      <c r="AQX838" s="802"/>
      <c r="AQY838" s="802"/>
      <c r="AQZ838" s="802"/>
      <c r="ARA838" s="802"/>
      <c r="ARB838" s="802"/>
      <c r="ARC838" s="802"/>
      <c r="ARD838" s="802"/>
      <c r="ARE838" s="802"/>
      <c r="ARF838" s="802"/>
      <c r="ARG838" s="802"/>
      <c r="ARH838" s="802"/>
      <c r="ARI838" s="802"/>
      <c r="ARJ838" s="802"/>
      <c r="ARK838" s="802"/>
      <c r="ARL838" s="802"/>
      <c r="ARM838" s="802"/>
      <c r="ARN838" s="802"/>
      <c r="ARO838" s="802"/>
      <c r="ARP838" s="802"/>
      <c r="ARQ838" s="802"/>
      <c r="ARR838" s="802"/>
      <c r="ARS838" s="802"/>
      <c r="ART838" s="802"/>
      <c r="ARU838" s="802"/>
      <c r="ARV838" s="802"/>
      <c r="ARW838" s="802"/>
      <c r="ARX838" s="802"/>
      <c r="ARY838" s="802"/>
      <c r="ARZ838" s="802"/>
      <c r="ASA838" s="802"/>
      <c r="ASB838" s="802"/>
      <c r="ASC838" s="802"/>
      <c r="ASD838" s="802"/>
      <c r="ASE838" s="802"/>
      <c r="ASF838" s="802"/>
      <c r="ASG838" s="802"/>
      <c r="ASH838" s="802"/>
      <c r="ASI838" s="802"/>
      <c r="ASJ838" s="802"/>
      <c r="ASK838" s="802"/>
      <c r="ASL838" s="802"/>
      <c r="ASM838" s="802"/>
      <c r="ASN838" s="802"/>
      <c r="ASO838" s="802"/>
      <c r="ASP838" s="802"/>
      <c r="ASQ838" s="802"/>
      <c r="ASR838" s="802"/>
      <c r="ASS838" s="802"/>
      <c r="AST838" s="802"/>
      <c r="ASU838" s="802"/>
      <c r="ASV838" s="802"/>
      <c r="ASW838" s="802"/>
      <c r="ASX838" s="802"/>
      <c r="ASY838" s="802"/>
      <c r="ASZ838" s="802"/>
      <c r="ATA838" s="802"/>
      <c r="ATB838" s="802"/>
      <c r="ATC838" s="802"/>
      <c r="ATD838" s="802"/>
      <c r="ATE838" s="802"/>
      <c r="ATF838" s="802"/>
      <c r="ATG838" s="802"/>
      <c r="ATH838" s="802"/>
      <c r="ATI838" s="802"/>
      <c r="ATJ838" s="802"/>
      <c r="ATK838" s="802"/>
      <c r="ATL838" s="802"/>
      <c r="ATM838" s="802"/>
      <c r="ATN838" s="802"/>
      <c r="ATO838" s="802"/>
      <c r="ATP838" s="802"/>
      <c r="ATQ838" s="802"/>
      <c r="ATR838" s="802"/>
      <c r="ATS838" s="802"/>
      <c r="ATT838" s="802"/>
      <c r="ATU838" s="802"/>
      <c r="ATV838" s="802"/>
      <c r="ATW838" s="802"/>
      <c r="ATX838" s="802"/>
      <c r="ATY838" s="802"/>
      <c r="ATZ838" s="802"/>
      <c r="AUA838" s="802"/>
      <c r="AUB838" s="802"/>
      <c r="AUC838" s="802"/>
      <c r="AUD838" s="802"/>
      <c r="AUE838" s="802"/>
      <c r="AUF838" s="802"/>
      <c r="AUG838" s="802"/>
      <c r="AUH838" s="802"/>
      <c r="AUI838" s="802"/>
      <c r="AUJ838" s="802"/>
      <c r="AUK838" s="802"/>
      <c r="AUL838" s="802"/>
      <c r="AUM838" s="802"/>
      <c r="AUN838" s="802"/>
      <c r="AUO838" s="802"/>
      <c r="AUP838" s="802"/>
      <c r="AUQ838" s="802"/>
      <c r="AUR838" s="802"/>
      <c r="AUS838" s="802"/>
      <c r="AUT838" s="802"/>
      <c r="AUU838" s="802"/>
      <c r="AUV838" s="802"/>
      <c r="AUW838" s="802"/>
      <c r="AUX838" s="802"/>
      <c r="AUY838" s="802"/>
      <c r="AUZ838" s="802"/>
      <c r="AVA838" s="802"/>
      <c r="AVB838" s="802"/>
      <c r="AVC838" s="802"/>
      <c r="AVD838" s="802"/>
      <c r="AVE838" s="802"/>
      <c r="AVF838" s="802"/>
      <c r="AVG838" s="802"/>
      <c r="AVH838" s="802"/>
      <c r="AVI838" s="802"/>
      <c r="AVJ838" s="802"/>
      <c r="AVK838" s="802"/>
      <c r="AVL838" s="802"/>
      <c r="AVM838" s="802"/>
      <c r="AVN838" s="802"/>
      <c r="AVO838" s="802"/>
      <c r="AVP838" s="802"/>
      <c r="AVQ838" s="802"/>
      <c r="AVR838" s="802"/>
      <c r="AVS838" s="802"/>
      <c r="AVT838" s="802"/>
      <c r="AVU838" s="802"/>
      <c r="AVV838" s="802"/>
      <c r="AVW838" s="802"/>
      <c r="AVX838" s="802"/>
      <c r="AVY838" s="802"/>
      <c r="AVZ838" s="802"/>
      <c r="AWA838" s="802"/>
      <c r="AWB838" s="802"/>
      <c r="AWC838" s="802"/>
      <c r="AWD838" s="802"/>
      <c r="AWE838" s="802"/>
      <c r="AWF838" s="802"/>
      <c r="AWG838" s="802"/>
      <c r="AWH838" s="802"/>
      <c r="AWI838" s="802"/>
      <c r="AWJ838" s="802"/>
      <c r="AWK838" s="802"/>
      <c r="AWL838" s="802"/>
      <c r="AWM838" s="802"/>
      <c r="AWN838" s="802"/>
      <c r="AWO838" s="802"/>
      <c r="AWP838" s="802"/>
      <c r="AWQ838" s="802"/>
      <c r="AWR838" s="802"/>
      <c r="AWS838" s="802"/>
      <c r="AWT838" s="802"/>
      <c r="AWU838" s="802"/>
      <c r="AWV838" s="802"/>
      <c r="AWW838" s="802"/>
      <c r="AWX838" s="802"/>
      <c r="AWY838" s="802"/>
      <c r="AWZ838" s="802"/>
      <c r="AXA838" s="802"/>
      <c r="AXB838" s="802"/>
      <c r="AXC838" s="802"/>
      <c r="AXD838" s="802"/>
      <c r="AXE838" s="802"/>
      <c r="AXF838" s="802"/>
      <c r="AXG838" s="802"/>
      <c r="AXH838" s="802"/>
      <c r="AXI838" s="802"/>
      <c r="AXJ838" s="802"/>
      <c r="AXK838" s="802"/>
      <c r="AXL838" s="802"/>
      <c r="AXM838" s="802"/>
      <c r="AXN838" s="802"/>
      <c r="AXO838" s="802"/>
      <c r="AXP838" s="802"/>
      <c r="AXQ838" s="802"/>
      <c r="AXR838" s="802"/>
      <c r="AXS838" s="802"/>
      <c r="AXT838" s="802"/>
      <c r="AXU838" s="802"/>
      <c r="AXV838" s="802"/>
      <c r="AXW838" s="802"/>
      <c r="AXX838" s="802"/>
      <c r="AXY838" s="802"/>
      <c r="AXZ838" s="802"/>
      <c r="AYA838" s="802"/>
      <c r="AYB838" s="802"/>
      <c r="AYC838" s="802"/>
      <c r="AYD838" s="802"/>
      <c r="AYE838" s="802"/>
      <c r="AYF838" s="802"/>
      <c r="AYG838" s="802"/>
      <c r="AYH838" s="802"/>
      <c r="AYI838" s="802"/>
      <c r="AYJ838" s="802"/>
      <c r="AYK838" s="802"/>
      <c r="AYL838" s="802"/>
      <c r="AYM838" s="802"/>
      <c r="AYN838" s="802"/>
      <c r="AYO838" s="802"/>
      <c r="AYP838" s="802"/>
      <c r="AYQ838" s="802"/>
      <c r="AYR838" s="802"/>
      <c r="AYS838" s="802"/>
      <c r="AYT838" s="802"/>
      <c r="AYU838" s="802"/>
      <c r="AYV838" s="802"/>
      <c r="AYW838" s="802"/>
      <c r="AYX838" s="802"/>
      <c r="AYY838" s="802"/>
      <c r="AYZ838" s="802"/>
      <c r="AZA838" s="802"/>
      <c r="AZB838" s="802"/>
      <c r="AZC838" s="802"/>
      <c r="AZD838" s="802"/>
      <c r="AZE838" s="802"/>
      <c r="AZF838" s="802"/>
      <c r="AZG838" s="802"/>
      <c r="AZH838" s="802"/>
      <c r="AZI838" s="802"/>
      <c r="AZJ838" s="802"/>
      <c r="AZK838" s="802"/>
      <c r="AZL838" s="802"/>
      <c r="AZM838" s="802"/>
      <c r="AZN838" s="802"/>
      <c r="AZO838" s="802"/>
      <c r="AZP838" s="802"/>
      <c r="AZQ838" s="802"/>
      <c r="AZR838" s="802"/>
      <c r="AZS838" s="802"/>
      <c r="AZT838" s="802"/>
      <c r="AZU838" s="802"/>
      <c r="AZV838" s="802"/>
      <c r="AZW838" s="802"/>
      <c r="AZX838" s="802"/>
      <c r="AZY838" s="802"/>
      <c r="AZZ838" s="802"/>
      <c r="BAA838" s="802"/>
      <c r="BAB838" s="802"/>
      <c r="BAC838" s="802"/>
      <c r="BAD838" s="802"/>
      <c r="BAE838" s="802"/>
      <c r="BAF838" s="802"/>
      <c r="BAG838" s="802"/>
      <c r="BAH838" s="802"/>
      <c r="BAI838" s="802"/>
      <c r="BAJ838" s="802"/>
      <c r="BAK838" s="802"/>
      <c r="BAL838" s="802"/>
      <c r="BAM838" s="802"/>
      <c r="BAN838" s="802"/>
      <c r="BAO838" s="802"/>
      <c r="BAP838" s="802"/>
      <c r="BAQ838" s="802"/>
      <c r="BAR838" s="802"/>
      <c r="BAS838" s="802"/>
      <c r="BAT838" s="802"/>
      <c r="BAU838" s="802"/>
      <c r="BAV838" s="802"/>
      <c r="BAW838" s="802"/>
      <c r="BAX838" s="802"/>
      <c r="BAY838" s="802"/>
      <c r="BAZ838" s="802"/>
      <c r="BBA838" s="802"/>
      <c r="BBB838" s="802"/>
      <c r="BBC838" s="802"/>
      <c r="BBD838" s="802"/>
      <c r="BBE838" s="802"/>
      <c r="BBF838" s="802"/>
      <c r="BBG838" s="802"/>
      <c r="BBH838" s="802"/>
      <c r="BBI838" s="802"/>
      <c r="BBJ838" s="802"/>
      <c r="BBK838" s="802"/>
      <c r="BBL838" s="802"/>
      <c r="BBM838" s="802"/>
      <c r="BBN838" s="802"/>
      <c r="BBO838" s="802"/>
      <c r="BBP838" s="802"/>
      <c r="BBQ838" s="802"/>
      <c r="BBR838" s="802"/>
      <c r="BBS838" s="802"/>
      <c r="BBT838" s="802"/>
      <c r="BBU838" s="802"/>
      <c r="BBV838" s="802"/>
      <c r="BBW838" s="802"/>
      <c r="BBX838" s="802"/>
      <c r="BBY838" s="802"/>
      <c r="BBZ838" s="802"/>
      <c r="BCA838" s="802"/>
      <c r="BCB838" s="802"/>
      <c r="BCC838" s="802"/>
      <c r="BCD838" s="802"/>
      <c r="BCE838" s="802"/>
      <c r="BCF838" s="802"/>
      <c r="BCG838" s="802"/>
      <c r="BCH838" s="802"/>
      <c r="BCI838" s="802"/>
      <c r="BCJ838" s="802"/>
      <c r="BCK838" s="802"/>
      <c r="BCL838" s="802"/>
      <c r="BCM838" s="802"/>
      <c r="BCN838" s="802"/>
      <c r="BCO838" s="802"/>
      <c r="BCP838" s="802"/>
      <c r="BCQ838" s="802"/>
      <c r="BCR838" s="802"/>
      <c r="BCS838" s="802"/>
      <c r="BCT838" s="802"/>
      <c r="BCU838" s="802"/>
      <c r="BCV838" s="802"/>
      <c r="BCW838" s="802"/>
      <c r="BCX838" s="802"/>
      <c r="BCY838" s="802"/>
      <c r="BCZ838" s="802"/>
      <c r="BDA838" s="802"/>
      <c r="BDB838" s="802"/>
      <c r="BDC838" s="802"/>
      <c r="BDD838" s="802"/>
      <c r="BDE838" s="802"/>
      <c r="BDF838" s="802"/>
      <c r="BDG838" s="802"/>
      <c r="BDH838" s="802"/>
      <c r="BDI838" s="802"/>
      <c r="BDJ838" s="802"/>
      <c r="BDK838" s="802"/>
      <c r="BDL838" s="802"/>
      <c r="BDM838" s="802"/>
      <c r="BDN838" s="802"/>
      <c r="BDO838" s="802"/>
      <c r="BDP838" s="802"/>
      <c r="BDQ838" s="802"/>
      <c r="BDR838" s="802"/>
      <c r="BDS838" s="802"/>
      <c r="BDT838" s="802"/>
      <c r="BDU838" s="802"/>
      <c r="BDV838" s="802"/>
      <c r="BDW838" s="802"/>
      <c r="BDX838" s="802"/>
      <c r="BDY838" s="802"/>
      <c r="BDZ838" s="802"/>
      <c r="BEA838" s="802"/>
      <c r="BEB838" s="802"/>
      <c r="BEC838" s="802"/>
      <c r="BED838" s="802"/>
      <c r="BEE838" s="802"/>
      <c r="BEF838" s="802"/>
      <c r="BEG838" s="802"/>
      <c r="BEH838" s="802"/>
      <c r="BEI838" s="802"/>
      <c r="BEJ838" s="802"/>
      <c r="BEK838" s="802"/>
      <c r="BEL838" s="802"/>
      <c r="BEM838" s="802"/>
      <c r="BEN838" s="802"/>
      <c r="BEO838" s="802"/>
      <c r="BEP838" s="802"/>
      <c r="BEQ838" s="802"/>
      <c r="BER838" s="802"/>
      <c r="BES838" s="802"/>
      <c r="BET838" s="802"/>
      <c r="BEU838" s="802"/>
      <c r="BEV838" s="802"/>
      <c r="BEW838" s="802"/>
      <c r="BEX838" s="802"/>
      <c r="BEY838" s="802"/>
      <c r="BEZ838" s="802"/>
      <c r="BFA838" s="802"/>
      <c r="BFB838" s="802"/>
      <c r="BFC838" s="802"/>
      <c r="BFD838" s="802"/>
      <c r="BFE838" s="802"/>
      <c r="BFF838" s="802"/>
      <c r="BFG838" s="802"/>
      <c r="BFH838" s="802"/>
      <c r="BFI838" s="802"/>
      <c r="BFJ838" s="802"/>
      <c r="BFK838" s="802"/>
      <c r="BFL838" s="802"/>
      <c r="BFM838" s="802"/>
      <c r="BFN838" s="802"/>
      <c r="BFO838" s="802"/>
      <c r="BFP838" s="802"/>
      <c r="BFQ838" s="802"/>
      <c r="BFR838" s="802"/>
      <c r="BFS838" s="802"/>
      <c r="BFT838" s="802"/>
      <c r="BFU838" s="802"/>
      <c r="BFV838" s="802"/>
      <c r="BFW838" s="802"/>
      <c r="BFX838" s="802"/>
      <c r="BFY838" s="802"/>
      <c r="BFZ838" s="802"/>
      <c r="BGA838" s="802"/>
      <c r="BGB838" s="802"/>
      <c r="BGC838" s="802"/>
      <c r="BGD838" s="802"/>
      <c r="BGE838" s="802"/>
      <c r="BGF838" s="802"/>
      <c r="BGG838" s="802"/>
      <c r="BGH838" s="802"/>
      <c r="BGI838" s="802"/>
      <c r="BGJ838" s="802"/>
      <c r="BGK838" s="802"/>
      <c r="BGL838" s="802"/>
      <c r="BGM838" s="802"/>
      <c r="BGN838" s="802"/>
      <c r="BGO838" s="802"/>
      <c r="BGP838" s="802"/>
      <c r="BGQ838" s="802"/>
      <c r="BGR838" s="802"/>
      <c r="BGS838" s="802"/>
      <c r="BGT838" s="802"/>
      <c r="BGU838" s="802"/>
      <c r="BGV838" s="802"/>
      <c r="BGW838" s="802"/>
      <c r="BGX838" s="802"/>
      <c r="BGY838" s="802"/>
      <c r="BGZ838" s="802"/>
      <c r="BHA838" s="802"/>
      <c r="BHB838" s="802"/>
      <c r="BHC838" s="802"/>
      <c r="BHD838" s="802"/>
      <c r="BHE838" s="802"/>
      <c r="BHF838" s="802"/>
      <c r="BHG838" s="802"/>
      <c r="BHH838" s="802"/>
      <c r="BHI838" s="802"/>
      <c r="BHJ838" s="802"/>
      <c r="BHK838" s="802"/>
      <c r="BHL838" s="802"/>
      <c r="BHM838" s="802"/>
      <c r="BHN838" s="802"/>
      <c r="BHO838" s="802"/>
      <c r="BHP838" s="802"/>
      <c r="BHQ838" s="802"/>
      <c r="BHR838" s="802"/>
      <c r="BHS838" s="802"/>
      <c r="BHT838" s="802"/>
      <c r="BHU838" s="802"/>
      <c r="BHV838" s="802"/>
      <c r="BHW838" s="802"/>
      <c r="BHX838" s="802"/>
      <c r="BHY838" s="802"/>
      <c r="BHZ838" s="802"/>
      <c r="BIA838" s="802"/>
      <c r="BIB838" s="802"/>
      <c r="BIC838" s="802"/>
      <c r="BID838" s="802"/>
      <c r="BIE838" s="802"/>
      <c r="BIF838" s="802"/>
      <c r="BIG838" s="802"/>
      <c r="BIH838" s="802"/>
      <c r="BII838" s="802"/>
      <c r="BIJ838" s="802"/>
      <c r="BIK838" s="802"/>
      <c r="BIL838" s="802"/>
      <c r="BIM838" s="802"/>
      <c r="BIN838" s="802"/>
      <c r="BIO838" s="802"/>
      <c r="BIP838" s="802"/>
      <c r="BIQ838" s="802"/>
      <c r="BIR838" s="802"/>
      <c r="BIS838" s="802"/>
      <c r="BIT838" s="802"/>
      <c r="BIU838" s="802"/>
      <c r="BIV838" s="802"/>
      <c r="BIW838" s="802"/>
      <c r="BIX838" s="802"/>
      <c r="BIY838" s="802"/>
      <c r="BIZ838" s="802"/>
      <c r="BJA838" s="802"/>
      <c r="BJB838" s="802"/>
      <c r="BJC838" s="802"/>
      <c r="BJD838" s="802"/>
      <c r="BJE838" s="802"/>
      <c r="BJF838" s="802"/>
      <c r="BJG838" s="802"/>
      <c r="BJH838" s="802"/>
      <c r="BJI838" s="802"/>
      <c r="BJJ838" s="802"/>
      <c r="BJK838" s="802"/>
      <c r="BJL838" s="802"/>
      <c r="BJM838" s="802"/>
      <c r="BJN838" s="802"/>
      <c r="BJO838" s="802"/>
      <c r="BJP838" s="802"/>
      <c r="BJQ838" s="802"/>
      <c r="BJR838" s="802"/>
      <c r="BJS838" s="802"/>
      <c r="BJT838" s="802"/>
      <c r="BJU838" s="802"/>
      <c r="BJV838" s="802"/>
      <c r="BJW838" s="802"/>
      <c r="BJX838" s="802"/>
      <c r="BJY838" s="802"/>
      <c r="BJZ838" s="802"/>
      <c r="BKA838" s="802"/>
      <c r="BKB838" s="802"/>
      <c r="BKC838" s="802"/>
      <c r="BKD838" s="802"/>
      <c r="BKE838" s="802"/>
      <c r="BKF838" s="802"/>
      <c r="BKG838" s="802"/>
      <c r="BKH838" s="802"/>
      <c r="BKI838" s="802"/>
      <c r="BKJ838" s="802"/>
      <c r="BKK838" s="802"/>
      <c r="BKL838" s="802"/>
      <c r="BKM838" s="802"/>
      <c r="BKN838" s="802"/>
      <c r="BKO838" s="802"/>
      <c r="BKP838" s="802"/>
      <c r="BKQ838" s="802"/>
      <c r="BKR838" s="802"/>
      <c r="BKS838" s="802"/>
      <c r="BKT838" s="802"/>
      <c r="BKU838" s="802"/>
      <c r="BKV838" s="802"/>
      <c r="BKW838" s="802"/>
      <c r="BKX838" s="802"/>
      <c r="BKY838" s="802"/>
      <c r="BKZ838" s="802"/>
      <c r="BLA838" s="802"/>
      <c r="BLB838" s="802"/>
      <c r="BLC838" s="802"/>
      <c r="BLD838" s="802"/>
      <c r="BLE838" s="802"/>
      <c r="BLF838" s="802"/>
      <c r="BLG838" s="802"/>
      <c r="BLH838" s="802"/>
      <c r="BLI838" s="802"/>
      <c r="BLJ838" s="802"/>
      <c r="BLK838" s="802"/>
      <c r="BLL838" s="802"/>
      <c r="BLM838" s="802"/>
      <c r="BLN838" s="802"/>
      <c r="BLO838" s="802"/>
      <c r="BLP838" s="802"/>
      <c r="BLQ838" s="802"/>
      <c r="BLR838" s="802"/>
      <c r="BLS838" s="802"/>
      <c r="BLT838" s="802"/>
      <c r="BLU838" s="802"/>
      <c r="BLV838" s="802"/>
      <c r="BLW838" s="802"/>
      <c r="BLX838" s="802"/>
      <c r="BLY838" s="802"/>
      <c r="BLZ838" s="802"/>
      <c r="BMA838" s="802"/>
      <c r="BMB838" s="802"/>
      <c r="BMC838" s="802"/>
      <c r="BMD838" s="802"/>
      <c r="BME838" s="802"/>
      <c r="BMF838" s="802"/>
      <c r="BMG838" s="802"/>
      <c r="BMH838" s="802"/>
      <c r="BMI838" s="802"/>
      <c r="BMJ838" s="802"/>
      <c r="BMK838" s="802"/>
      <c r="BML838" s="802"/>
      <c r="BMM838" s="802"/>
      <c r="BMN838" s="802"/>
      <c r="BMO838" s="802"/>
      <c r="BMP838" s="802"/>
      <c r="BMQ838" s="802"/>
      <c r="BMR838" s="802"/>
      <c r="BMS838" s="802"/>
      <c r="BMT838" s="802"/>
      <c r="BMU838" s="802"/>
      <c r="BMV838" s="802"/>
      <c r="BMW838" s="802"/>
      <c r="BMX838" s="802"/>
      <c r="BMY838" s="802"/>
      <c r="BMZ838" s="802"/>
      <c r="BNA838" s="802"/>
      <c r="BNB838" s="802"/>
      <c r="BNC838" s="802"/>
      <c r="BND838" s="802"/>
      <c r="BNE838" s="802"/>
      <c r="BNF838" s="802"/>
      <c r="BNG838" s="802"/>
      <c r="BNH838" s="802"/>
      <c r="BNI838" s="802"/>
      <c r="BNJ838" s="802"/>
      <c r="BNK838" s="802"/>
      <c r="BNL838" s="802"/>
      <c r="BNM838" s="802"/>
      <c r="BNN838" s="802"/>
      <c r="BNO838" s="802"/>
      <c r="BNP838" s="802"/>
      <c r="BNQ838" s="802"/>
      <c r="BNR838" s="802"/>
      <c r="BNS838" s="802"/>
      <c r="BNT838" s="802"/>
      <c r="BNU838" s="802"/>
      <c r="BNV838" s="802"/>
      <c r="BNW838" s="802"/>
      <c r="BNX838" s="802"/>
      <c r="BNY838" s="802"/>
      <c r="BNZ838" s="802"/>
      <c r="BOA838" s="802"/>
      <c r="BOB838" s="802"/>
      <c r="BOC838" s="802"/>
      <c r="BOD838" s="802"/>
      <c r="BOE838" s="802"/>
      <c r="BOF838" s="802"/>
      <c r="BOG838" s="802"/>
      <c r="BOH838" s="802"/>
      <c r="BOI838" s="802"/>
      <c r="BOJ838" s="802"/>
      <c r="BOK838" s="802"/>
      <c r="BOL838" s="802"/>
      <c r="BOM838" s="802"/>
      <c r="BON838" s="802"/>
      <c r="BOO838" s="802"/>
      <c r="BOP838" s="802"/>
      <c r="BOQ838" s="802"/>
      <c r="BOR838" s="802"/>
      <c r="BOS838" s="802"/>
      <c r="BOT838" s="802"/>
      <c r="BOU838" s="802"/>
      <c r="BOV838" s="802"/>
      <c r="BOW838" s="802"/>
      <c r="BOX838" s="802"/>
      <c r="BOY838" s="802"/>
      <c r="BOZ838" s="802"/>
      <c r="BPA838" s="802"/>
      <c r="BPB838" s="802"/>
      <c r="BPC838" s="802"/>
      <c r="BPD838" s="802"/>
      <c r="BPE838" s="802"/>
      <c r="BPF838" s="802"/>
      <c r="BPG838" s="802"/>
      <c r="BPH838" s="802"/>
      <c r="BPI838" s="802"/>
      <c r="BPJ838" s="802"/>
      <c r="BPK838" s="802"/>
      <c r="BPL838" s="802"/>
      <c r="BPM838" s="802"/>
      <c r="BPN838" s="802"/>
      <c r="BPO838" s="802"/>
      <c r="BPP838" s="802"/>
      <c r="BPQ838" s="802"/>
      <c r="BPR838" s="802"/>
      <c r="BPS838" s="802"/>
      <c r="BPT838" s="802"/>
      <c r="BPU838" s="802"/>
      <c r="BPV838" s="802"/>
      <c r="BPW838" s="802"/>
      <c r="BPX838" s="802"/>
      <c r="BPY838" s="802"/>
      <c r="BPZ838" s="802"/>
      <c r="BQA838" s="802"/>
      <c r="BQB838" s="802"/>
      <c r="BQC838" s="802"/>
      <c r="BQD838" s="802"/>
      <c r="BQE838" s="802"/>
      <c r="BQF838" s="802"/>
      <c r="BQG838" s="802"/>
      <c r="BQH838" s="802"/>
      <c r="BQI838" s="802"/>
      <c r="BQJ838" s="802"/>
      <c r="BQK838" s="802"/>
      <c r="BQL838" s="802"/>
      <c r="BQM838" s="802"/>
      <c r="BQN838" s="802"/>
      <c r="BQO838" s="802"/>
      <c r="BQP838" s="802"/>
      <c r="BQQ838" s="802"/>
      <c r="BQR838" s="802"/>
      <c r="BQS838" s="802"/>
      <c r="BQT838" s="802"/>
      <c r="BQU838" s="802"/>
      <c r="BQV838" s="802"/>
      <c r="BQW838" s="802"/>
      <c r="BQX838" s="802"/>
      <c r="BQY838" s="802"/>
      <c r="BQZ838" s="802"/>
      <c r="BRA838" s="802"/>
      <c r="BRB838" s="802"/>
      <c r="BRC838" s="802"/>
      <c r="BRD838" s="802"/>
      <c r="BRE838" s="802"/>
      <c r="BRF838" s="802"/>
      <c r="BRG838" s="802"/>
      <c r="BRH838" s="802"/>
      <c r="BRI838" s="802"/>
      <c r="BRJ838" s="802"/>
      <c r="BRK838" s="802"/>
      <c r="BRL838" s="802"/>
      <c r="BRM838" s="802"/>
      <c r="BRN838" s="802"/>
      <c r="BRO838" s="802"/>
      <c r="BRP838" s="802"/>
      <c r="BRQ838" s="802"/>
      <c r="BRR838" s="802"/>
      <c r="BRS838" s="802"/>
      <c r="BRT838" s="802"/>
      <c r="BRU838" s="802"/>
      <c r="BRV838" s="802"/>
      <c r="BRW838" s="802"/>
      <c r="BRX838" s="802"/>
      <c r="BRY838" s="802"/>
      <c r="BRZ838" s="802"/>
      <c r="BSA838" s="802"/>
      <c r="BSB838" s="802"/>
      <c r="BSC838" s="802"/>
      <c r="BSD838" s="802"/>
      <c r="BSE838" s="802"/>
      <c r="BSF838" s="802"/>
      <c r="BSG838" s="802"/>
      <c r="BSH838" s="802"/>
      <c r="BSI838" s="802"/>
      <c r="BSJ838" s="802"/>
      <c r="BSK838" s="802"/>
      <c r="BSL838" s="802"/>
      <c r="BSM838" s="802"/>
      <c r="BSN838" s="802"/>
      <c r="BSO838" s="802"/>
      <c r="BSP838" s="802"/>
      <c r="BSQ838" s="802"/>
      <c r="BSR838" s="802"/>
      <c r="BSS838" s="802"/>
      <c r="BST838" s="802"/>
      <c r="BSU838" s="802"/>
      <c r="BSV838" s="802"/>
      <c r="BSW838" s="802"/>
      <c r="BSX838" s="802"/>
      <c r="BSY838" s="802"/>
      <c r="BSZ838" s="802"/>
      <c r="BTA838" s="802"/>
      <c r="BTB838" s="802"/>
      <c r="BTC838" s="802"/>
      <c r="BTD838" s="802"/>
      <c r="BTE838" s="802"/>
      <c r="BTF838" s="802"/>
      <c r="BTG838" s="802"/>
      <c r="BTH838" s="802"/>
      <c r="BTI838" s="802"/>
      <c r="BTJ838" s="802"/>
      <c r="BTK838" s="802"/>
      <c r="BTL838" s="802"/>
      <c r="BTM838" s="802"/>
      <c r="BTN838" s="802"/>
      <c r="BTO838" s="802"/>
      <c r="BTP838" s="802"/>
      <c r="BTQ838" s="802"/>
      <c r="BTR838" s="802"/>
      <c r="BTS838" s="802"/>
      <c r="BTT838" s="802"/>
      <c r="BTU838" s="802"/>
      <c r="BTV838" s="802"/>
      <c r="BTW838" s="802"/>
      <c r="BTX838" s="802"/>
      <c r="BTY838" s="802"/>
      <c r="BTZ838" s="802"/>
      <c r="BUA838" s="802"/>
      <c r="BUB838" s="802"/>
      <c r="BUC838" s="802"/>
      <c r="BUD838" s="802"/>
      <c r="BUE838" s="802"/>
      <c r="BUF838" s="802"/>
      <c r="BUG838" s="802"/>
      <c r="BUH838" s="802"/>
      <c r="BUI838" s="802"/>
      <c r="BUJ838" s="802"/>
      <c r="BUK838" s="802"/>
      <c r="BUL838" s="802"/>
      <c r="BUM838" s="802"/>
      <c r="BUN838" s="802"/>
      <c r="BUO838" s="802"/>
      <c r="BUP838" s="802"/>
      <c r="BUQ838" s="802"/>
      <c r="BUR838" s="802"/>
      <c r="BUS838" s="802"/>
      <c r="BUT838" s="802"/>
      <c r="BUU838" s="802"/>
      <c r="BUV838" s="802"/>
      <c r="BUW838" s="802"/>
      <c r="BUX838" s="802"/>
      <c r="BUY838" s="802"/>
      <c r="BUZ838" s="802"/>
      <c r="BVA838" s="802"/>
      <c r="BVB838" s="802"/>
      <c r="BVC838" s="802"/>
      <c r="BVD838" s="802"/>
      <c r="BVE838" s="802"/>
      <c r="BVF838" s="802"/>
      <c r="BVG838" s="802"/>
      <c r="BVH838" s="802"/>
      <c r="BVI838" s="802"/>
      <c r="BVJ838" s="802"/>
      <c r="BVK838" s="802"/>
      <c r="BVL838" s="802"/>
      <c r="BVM838" s="802"/>
      <c r="BVN838" s="802"/>
      <c r="BVO838" s="802"/>
      <c r="BVP838" s="802"/>
      <c r="BVQ838" s="802"/>
      <c r="BVR838" s="802"/>
      <c r="BVS838" s="802"/>
      <c r="BVT838" s="802"/>
      <c r="BVU838" s="802"/>
      <c r="BVV838" s="802"/>
      <c r="BVW838" s="802"/>
      <c r="BVX838" s="802"/>
      <c r="BVY838" s="802"/>
      <c r="BVZ838" s="802"/>
      <c r="BWA838" s="802"/>
      <c r="BWB838" s="802"/>
      <c r="BWC838" s="802"/>
      <c r="BWD838" s="802"/>
      <c r="BWE838" s="802"/>
      <c r="BWF838" s="802"/>
      <c r="BWG838" s="802"/>
      <c r="BWH838" s="802"/>
      <c r="BWI838" s="802"/>
      <c r="BWJ838" s="802"/>
      <c r="BWK838" s="802"/>
      <c r="BWL838" s="802"/>
      <c r="BWM838" s="802"/>
      <c r="BWN838" s="802"/>
      <c r="BWO838" s="802"/>
      <c r="BWP838" s="802"/>
      <c r="BWQ838" s="802"/>
      <c r="BWR838" s="802"/>
      <c r="BWS838" s="802"/>
      <c r="BWT838" s="802"/>
      <c r="BWU838" s="802"/>
      <c r="BWV838" s="802"/>
      <c r="BWW838" s="802"/>
      <c r="BWX838" s="802"/>
      <c r="BWY838" s="802"/>
      <c r="BWZ838" s="802"/>
      <c r="BXA838" s="802"/>
      <c r="BXB838" s="802"/>
      <c r="BXC838" s="802"/>
      <c r="BXD838" s="802"/>
      <c r="BXE838" s="802"/>
      <c r="BXF838" s="802"/>
      <c r="BXG838" s="802"/>
      <c r="BXH838" s="802"/>
      <c r="BXI838" s="802"/>
      <c r="BXJ838" s="802"/>
      <c r="BXK838" s="802"/>
      <c r="BXL838" s="802"/>
      <c r="BXM838" s="802"/>
      <c r="BXN838" s="802"/>
      <c r="BXO838" s="802"/>
      <c r="BXP838" s="802"/>
      <c r="BXQ838" s="802"/>
      <c r="BXR838" s="802"/>
      <c r="BXS838" s="802"/>
      <c r="BXT838" s="802"/>
      <c r="BXU838" s="802"/>
      <c r="BXV838" s="802"/>
      <c r="BXW838" s="802"/>
      <c r="BXX838" s="802"/>
      <c r="BXY838" s="802"/>
      <c r="BXZ838" s="802"/>
      <c r="BYA838" s="802"/>
      <c r="BYB838" s="802"/>
      <c r="BYC838" s="802"/>
      <c r="BYD838" s="802"/>
      <c r="BYE838" s="802"/>
      <c r="BYF838" s="802"/>
      <c r="BYG838" s="802"/>
      <c r="BYH838" s="802"/>
      <c r="BYI838" s="802"/>
      <c r="BYJ838" s="802"/>
      <c r="BYK838" s="802"/>
      <c r="BYL838" s="802"/>
      <c r="BYM838" s="802"/>
      <c r="BYN838" s="802"/>
      <c r="BYO838" s="802"/>
      <c r="BYP838" s="802"/>
      <c r="BYQ838" s="802"/>
      <c r="BYR838" s="802"/>
      <c r="BYS838" s="802"/>
      <c r="BYT838" s="802"/>
      <c r="BYU838" s="802"/>
      <c r="BYV838" s="802"/>
      <c r="BYW838" s="802"/>
      <c r="BYX838" s="802"/>
      <c r="BYY838" s="802"/>
      <c r="BYZ838" s="802"/>
      <c r="BZA838" s="802"/>
      <c r="BZB838" s="802"/>
      <c r="BZC838" s="802"/>
      <c r="BZD838" s="802"/>
      <c r="BZE838" s="802"/>
      <c r="BZF838" s="802"/>
      <c r="BZG838" s="802"/>
      <c r="BZH838" s="802"/>
      <c r="BZI838" s="802"/>
      <c r="BZJ838" s="802"/>
      <c r="BZK838" s="802"/>
      <c r="BZL838" s="802"/>
      <c r="BZM838" s="802"/>
      <c r="BZN838" s="802"/>
      <c r="BZO838" s="802"/>
      <c r="BZP838" s="802"/>
      <c r="BZQ838" s="802"/>
      <c r="BZR838" s="802"/>
      <c r="BZS838" s="802"/>
      <c r="BZT838" s="802"/>
      <c r="BZU838" s="802"/>
      <c r="BZV838" s="802"/>
      <c r="BZW838" s="802"/>
      <c r="BZX838" s="802"/>
      <c r="BZY838" s="802"/>
      <c r="BZZ838" s="802"/>
      <c r="CAA838" s="802"/>
      <c r="CAB838" s="802"/>
      <c r="CAC838" s="802"/>
      <c r="CAD838" s="802"/>
      <c r="CAE838" s="802"/>
      <c r="CAF838" s="802"/>
      <c r="CAG838" s="802"/>
      <c r="CAH838" s="802"/>
      <c r="CAI838" s="802"/>
      <c r="CAJ838" s="802"/>
      <c r="CAK838" s="802"/>
      <c r="CAL838" s="802"/>
      <c r="CAM838" s="802"/>
      <c r="CAN838" s="802"/>
      <c r="CAO838" s="802"/>
      <c r="CAP838" s="802"/>
      <c r="CAQ838" s="802"/>
      <c r="CAR838" s="802"/>
      <c r="CAS838" s="802"/>
      <c r="CAT838" s="802"/>
      <c r="CAU838" s="802"/>
      <c r="CAV838" s="802"/>
      <c r="CAW838" s="802"/>
      <c r="CAX838" s="802"/>
      <c r="CAY838" s="802"/>
      <c r="CAZ838" s="802"/>
      <c r="CBA838" s="802"/>
      <c r="CBB838" s="802"/>
      <c r="CBC838" s="802"/>
      <c r="CBD838" s="802"/>
      <c r="CBE838" s="802"/>
      <c r="CBF838" s="802"/>
      <c r="CBG838" s="802"/>
      <c r="CBH838" s="802"/>
      <c r="CBI838" s="802"/>
      <c r="CBJ838" s="802"/>
      <c r="CBK838" s="802"/>
      <c r="CBL838" s="802"/>
      <c r="CBM838" s="802"/>
      <c r="CBN838" s="802"/>
      <c r="CBO838" s="802"/>
      <c r="CBP838" s="802"/>
      <c r="CBQ838" s="802"/>
      <c r="CBR838" s="802"/>
      <c r="CBS838" s="802"/>
      <c r="CBT838" s="802"/>
      <c r="CBU838" s="802"/>
      <c r="CBV838" s="802"/>
      <c r="CBW838" s="802"/>
      <c r="CBX838" s="802"/>
      <c r="CBY838" s="802"/>
      <c r="CBZ838" s="802"/>
      <c r="CCA838" s="802"/>
      <c r="CCB838" s="802"/>
      <c r="CCC838" s="802"/>
      <c r="CCD838" s="802"/>
      <c r="CCE838" s="802"/>
      <c r="CCF838" s="802"/>
      <c r="CCG838" s="802"/>
      <c r="CCH838" s="802"/>
      <c r="CCI838" s="802"/>
      <c r="CCJ838" s="802"/>
      <c r="CCK838" s="802"/>
      <c r="CCL838" s="802"/>
      <c r="CCM838" s="802"/>
      <c r="CCN838" s="802"/>
      <c r="CCO838" s="802"/>
      <c r="CCP838" s="802"/>
      <c r="CCQ838" s="802"/>
      <c r="CCR838" s="802"/>
      <c r="CCS838" s="802"/>
      <c r="CCT838" s="802"/>
      <c r="CCU838" s="802"/>
      <c r="CCV838" s="802"/>
      <c r="CCW838" s="802"/>
      <c r="CCX838" s="802"/>
      <c r="CCY838" s="802"/>
      <c r="CCZ838" s="802"/>
      <c r="CDA838" s="802"/>
      <c r="CDB838" s="802"/>
      <c r="CDC838" s="802"/>
      <c r="CDD838" s="802"/>
      <c r="CDE838" s="802"/>
      <c r="CDF838" s="802"/>
      <c r="CDG838" s="802"/>
      <c r="CDH838" s="802"/>
      <c r="CDI838" s="802"/>
      <c r="CDJ838" s="802"/>
      <c r="CDK838" s="802"/>
      <c r="CDL838" s="802"/>
      <c r="CDM838" s="802"/>
      <c r="CDN838" s="802"/>
      <c r="CDO838" s="802"/>
      <c r="CDP838" s="802"/>
      <c r="CDQ838" s="802"/>
      <c r="CDR838" s="802"/>
      <c r="CDS838" s="802"/>
      <c r="CDT838" s="802"/>
      <c r="CDU838" s="802"/>
      <c r="CDV838" s="802"/>
      <c r="CDW838" s="802"/>
      <c r="CDX838" s="802"/>
      <c r="CDY838" s="802"/>
      <c r="CDZ838" s="802"/>
      <c r="CEA838" s="802"/>
      <c r="CEB838" s="802"/>
      <c r="CEC838" s="802"/>
      <c r="CED838" s="802"/>
      <c r="CEE838" s="802"/>
      <c r="CEF838" s="802"/>
      <c r="CEG838" s="802"/>
      <c r="CEH838" s="802"/>
      <c r="CEI838" s="802"/>
      <c r="CEJ838" s="802"/>
      <c r="CEK838" s="802"/>
      <c r="CEL838" s="802"/>
      <c r="CEM838" s="802"/>
      <c r="CEN838" s="802"/>
      <c r="CEO838" s="802"/>
      <c r="CEP838" s="802"/>
      <c r="CEQ838" s="802"/>
      <c r="CER838" s="802"/>
      <c r="CES838" s="802"/>
      <c r="CET838" s="802"/>
      <c r="CEU838" s="802"/>
      <c r="CEV838" s="802"/>
      <c r="CEW838" s="802"/>
      <c r="CEX838" s="802"/>
      <c r="CEY838" s="802"/>
      <c r="CEZ838" s="802"/>
      <c r="CFA838" s="802"/>
      <c r="CFB838" s="802"/>
      <c r="CFC838" s="802"/>
      <c r="CFD838" s="802"/>
      <c r="CFE838" s="802"/>
      <c r="CFF838" s="802"/>
      <c r="CFG838" s="802"/>
      <c r="CFH838" s="802"/>
      <c r="CFI838" s="802"/>
      <c r="CFJ838" s="802"/>
      <c r="CFK838" s="802"/>
      <c r="CFL838" s="802"/>
      <c r="CFM838" s="802"/>
      <c r="CFN838" s="802"/>
      <c r="CFO838" s="802"/>
      <c r="CFP838" s="802"/>
      <c r="CFQ838" s="802"/>
      <c r="CFR838" s="802"/>
      <c r="CFS838" s="802"/>
      <c r="CFT838" s="802"/>
      <c r="CFU838" s="802"/>
      <c r="CFV838" s="802"/>
      <c r="CFW838" s="802"/>
      <c r="CFX838" s="802"/>
      <c r="CFY838" s="802"/>
      <c r="CFZ838" s="802"/>
      <c r="CGA838" s="802"/>
      <c r="CGB838" s="802"/>
      <c r="CGC838" s="802"/>
      <c r="CGD838" s="802"/>
      <c r="CGE838" s="802"/>
      <c r="CGF838" s="802"/>
      <c r="CGG838" s="802"/>
      <c r="CGH838" s="802"/>
      <c r="CGI838" s="802"/>
      <c r="CGJ838" s="802"/>
      <c r="CGK838" s="802"/>
      <c r="CGL838" s="802"/>
      <c r="CGM838" s="802"/>
      <c r="CGN838" s="802"/>
      <c r="CGO838" s="802"/>
      <c r="CGP838" s="802"/>
      <c r="CGQ838" s="802"/>
      <c r="CGR838" s="802"/>
      <c r="CGS838" s="802"/>
      <c r="CGT838" s="802"/>
      <c r="CGU838" s="802"/>
      <c r="CGV838" s="802"/>
      <c r="CGW838" s="802"/>
      <c r="CGX838" s="802"/>
      <c r="CGY838" s="802"/>
      <c r="CGZ838" s="802"/>
      <c r="CHA838" s="802"/>
      <c r="CHB838" s="802"/>
      <c r="CHC838" s="802"/>
      <c r="CHD838" s="802"/>
      <c r="CHE838" s="802"/>
      <c r="CHF838" s="802"/>
      <c r="CHG838" s="802"/>
      <c r="CHH838" s="802"/>
      <c r="CHI838" s="802"/>
      <c r="CHJ838" s="802"/>
      <c r="CHK838" s="802"/>
      <c r="CHL838" s="802"/>
      <c r="CHM838" s="802"/>
      <c r="CHN838" s="802"/>
      <c r="CHO838" s="802"/>
      <c r="CHP838" s="802"/>
      <c r="CHQ838" s="802"/>
      <c r="CHR838" s="802"/>
      <c r="CHS838" s="802"/>
      <c r="CHT838" s="802"/>
      <c r="CHU838" s="802"/>
      <c r="CHV838" s="802"/>
      <c r="CHW838" s="802"/>
      <c r="CHX838" s="802"/>
      <c r="CHY838" s="802"/>
      <c r="CHZ838" s="802"/>
      <c r="CIA838" s="802"/>
      <c r="CIB838" s="802"/>
      <c r="CIC838" s="802"/>
      <c r="CID838" s="802"/>
      <c r="CIE838" s="802"/>
      <c r="CIF838" s="802"/>
      <c r="CIG838" s="802"/>
      <c r="CIH838" s="802"/>
      <c r="CII838" s="802"/>
      <c r="CIJ838" s="802"/>
      <c r="CIK838" s="802"/>
      <c r="CIL838" s="802"/>
      <c r="CIM838" s="802"/>
      <c r="CIN838" s="802"/>
      <c r="CIO838" s="802"/>
      <c r="CIP838" s="802"/>
      <c r="CIQ838" s="802"/>
      <c r="CIR838" s="802"/>
      <c r="CIS838" s="802"/>
      <c r="CIT838" s="802"/>
      <c r="CIU838" s="802"/>
      <c r="CIV838" s="802"/>
      <c r="CIW838" s="802"/>
      <c r="CIX838" s="802"/>
      <c r="CIY838" s="802"/>
      <c r="CIZ838" s="802"/>
      <c r="CJA838" s="802"/>
      <c r="CJB838" s="802"/>
      <c r="CJC838" s="802"/>
      <c r="CJD838" s="802"/>
      <c r="CJE838" s="802"/>
      <c r="CJF838" s="802"/>
      <c r="CJG838" s="802"/>
      <c r="CJH838" s="802"/>
      <c r="CJI838" s="802"/>
      <c r="CJJ838" s="802"/>
      <c r="CJK838" s="802"/>
      <c r="CJL838" s="802"/>
      <c r="CJM838" s="802"/>
      <c r="CJN838" s="802"/>
      <c r="CJO838" s="802"/>
      <c r="CJP838" s="802"/>
      <c r="CJQ838" s="802"/>
      <c r="CJR838" s="802"/>
      <c r="CJS838" s="802"/>
      <c r="CJT838" s="802"/>
      <c r="CJU838" s="802"/>
      <c r="CJV838" s="802"/>
      <c r="CJW838" s="802"/>
      <c r="CJX838" s="802"/>
      <c r="CJY838" s="802"/>
      <c r="CJZ838" s="802"/>
      <c r="CKA838" s="802"/>
      <c r="CKB838" s="802"/>
      <c r="CKC838" s="802"/>
      <c r="CKD838" s="802"/>
      <c r="CKE838" s="802"/>
      <c r="CKF838" s="802"/>
      <c r="CKG838" s="802"/>
      <c r="CKH838" s="802"/>
      <c r="CKI838" s="802"/>
      <c r="CKJ838" s="802"/>
      <c r="CKK838" s="802"/>
      <c r="CKL838" s="802"/>
      <c r="CKM838" s="802"/>
      <c r="CKN838" s="802"/>
      <c r="CKO838" s="802"/>
      <c r="CKP838" s="802"/>
      <c r="CKQ838" s="802"/>
      <c r="CKR838" s="802"/>
      <c r="CKS838" s="802"/>
      <c r="CKT838" s="802"/>
      <c r="CKU838" s="802"/>
      <c r="CKV838" s="802"/>
      <c r="CKW838" s="802"/>
      <c r="CKX838" s="802"/>
      <c r="CKY838" s="802"/>
      <c r="CKZ838" s="802"/>
      <c r="CLA838" s="802"/>
      <c r="CLB838" s="802"/>
      <c r="CLC838" s="802"/>
      <c r="CLD838" s="802"/>
      <c r="CLE838" s="802"/>
      <c r="CLF838" s="802"/>
      <c r="CLG838" s="802"/>
      <c r="CLH838" s="802"/>
      <c r="CLI838" s="802"/>
      <c r="CLJ838" s="802"/>
      <c r="CLK838" s="802"/>
      <c r="CLL838" s="802"/>
      <c r="CLM838" s="802"/>
      <c r="CLN838" s="802"/>
      <c r="CLO838" s="802"/>
      <c r="CLP838" s="802"/>
      <c r="CLQ838" s="802"/>
      <c r="CLR838" s="802"/>
      <c r="CLS838" s="802"/>
      <c r="CLT838" s="802"/>
      <c r="CLU838" s="802"/>
      <c r="CLV838" s="802"/>
      <c r="CLW838" s="802"/>
      <c r="CLX838" s="802"/>
      <c r="CLY838" s="802"/>
      <c r="CLZ838" s="802"/>
      <c r="CMA838" s="802"/>
      <c r="CMB838" s="802"/>
      <c r="CMC838" s="802"/>
      <c r="CMD838" s="802"/>
      <c r="CME838" s="802"/>
      <c r="CMF838" s="802"/>
      <c r="CMG838" s="802"/>
      <c r="CMH838" s="802"/>
      <c r="CMI838" s="802"/>
      <c r="CMJ838" s="802"/>
      <c r="CMK838" s="802"/>
      <c r="CML838" s="802"/>
      <c r="CMM838" s="802"/>
      <c r="CMN838" s="802"/>
      <c r="CMO838" s="802"/>
      <c r="CMP838" s="802"/>
      <c r="CMQ838" s="802"/>
      <c r="CMR838" s="802"/>
      <c r="CMS838" s="802"/>
      <c r="CMT838" s="802"/>
      <c r="CMU838" s="802"/>
      <c r="CMV838" s="802"/>
      <c r="CMW838" s="802"/>
      <c r="CMX838" s="802"/>
      <c r="CMY838" s="802"/>
      <c r="CMZ838" s="802"/>
      <c r="CNA838" s="802"/>
      <c r="CNB838" s="802"/>
      <c r="CNC838" s="802"/>
      <c r="CND838" s="802"/>
      <c r="CNE838" s="802"/>
      <c r="CNF838" s="802"/>
      <c r="CNG838" s="802"/>
      <c r="CNH838" s="802"/>
      <c r="CNI838" s="802"/>
      <c r="CNJ838" s="802"/>
      <c r="CNK838" s="802"/>
      <c r="CNL838" s="802"/>
      <c r="CNM838" s="802"/>
      <c r="CNN838" s="802"/>
      <c r="CNO838" s="802"/>
      <c r="CNP838" s="802"/>
      <c r="CNQ838" s="802"/>
      <c r="CNR838" s="802"/>
      <c r="CNS838" s="802"/>
      <c r="CNT838" s="802"/>
      <c r="CNU838" s="802"/>
      <c r="CNV838" s="802"/>
      <c r="CNW838" s="802"/>
      <c r="CNX838" s="802"/>
      <c r="CNY838" s="802"/>
      <c r="CNZ838" s="802"/>
      <c r="COA838" s="802"/>
      <c r="COB838" s="802"/>
      <c r="COC838" s="802"/>
      <c r="COD838" s="802"/>
      <c r="COE838" s="802"/>
      <c r="COF838" s="802"/>
      <c r="COG838" s="802"/>
      <c r="COH838" s="802"/>
      <c r="COI838" s="802"/>
      <c r="COJ838" s="802"/>
      <c r="COK838" s="802"/>
      <c r="COL838" s="802"/>
      <c r="COM838" s="802"/>
      <c r="CON838" s="802"/>
      <c r="COO838" s="802"/>
      <c r="COP838" s="802"/>
      <c r="COQ838" s="802"/>
      <c r="COR838" s="802"/>
      <c r="COS838" s="802"/>
      <c r="COT838" s="802"/>
      <c r="COU838" s="802"/>
      <c r="COV838" s="802"/>
      <c r="COW838" s="802"/>
      <c r="COX838" s="802"/>
      <c r="COY838" s="802"/>
      <c r="COZ838" s="802"/>
      <c r="CPA838" s="802"/>
      <c r="CPB838" s="802"/>
      <c r="CPC838" s="802"/>
      <c r="CPD838" s="802"/>
      <c r="CPE838" s="802"/>
      <c r="CPF838" s="802"/>
      <c r="CPG838" s="802"/>
      <c r="CPH838" s="802"/>
      <c r="CPI838" s="802"/>
      <c r="CPJ838" s="802"/>
      <c r="CPK838" s="802"/>
      <c r="CPL838" s="802"/>
      <c r="CPM838" s="802"/>
      <c r="CPN838" s="802"/>
      <c r="CPO838" s="802"/>
      <c r="CPP838" s="802"/>
      <c r="CPQ838" s="802"/>
      <c r="CPR838" s="802"/>
      <c r="CPS838" s="802"/>
      <c r="CPT838" s="802"/>
      <c r="CPU838" s="802"/>
      <c r="CPV838" s="802"/>
      <c r="CPW838" s="802"/>
      <c r="CPX838" s="802"/>
      <c r="CPY838" s="802"/>
      <c r="CPZ838" s="802"/>
      <c r="CQA838" s="802"/>
      <c r="CQB838" s="802"/>
      <c r="CQC838" s="802"/>
      <c r="CQD838" s="802"/>
      <c r="CQE838" s="802"/>
      <c r="CQF838" s="802"/>
      <c r="CQG838" s="802"/>
      <c r="CQH838" s="802"/>
      <c r="CQI838" s="802"/>
      <c r="CQJ838" s="802"/>
      <c r="CQK838" s="802"/>
      <c r="CQL838" s="802"/>
      <c r="CQM838" s="802"/>
      <c r="CQN838" s="802"/>
      <c r="CQO838" s="802"/>
      <c r="CQP838" s="802"/>
      <c r="CQQ838" s="802"/>
      <c r="CQR838" s="802"/>
      <c r="CQS838" s="802"/>
      <c r="CQT838" s="802"/>
      <c r="CQU838" s="802"/>
      <c r="CQV838" s="802"/>
      <c r="CQW838" s="802"/>
      <c r="CQX838" s="802"/>
      <c r="CQY838" s="802"/>
      <c r="CQZ838" s="802"/>
      <c r="CRA838" s="802"/>
      <c r="CRB838" s="802"/>
      <c r="CRC838" s="802"/>
      <c r="CRD838" s="802"/>
      <c r="CRE838" s="802"/>
      <c r="CRF838" s="802"/>
      <c r="CRG838" s="802"/>
      <c r="CRH838" s="802"/>
      <c r="CRI838" s="802"/>
      <c r="CRJ838" s="802"/>
      <c r="CRK838" s="802"/>
      <c r="CRL838" s="802"/>
      <c r="CRM838" s="802"/>
      <c r="CRN838" s="802"/>
      <c r="CRO838" s="802"/>
      <c r="CRP838" s="802"/>
      <c r="CRQ838" s="802"/>
      <c r="CRR838" s="802"/>
      <c r="CRS838" s="802"/>
      <c r="CRT838" s="802"/>
      <c r="CRU838" s="802"/>
      <c r="CRV838" s="802"/>
      <c r="CRW838" s="802"/>
      <c r="CRX838" s="802"/>
      <c r="CRY838" s="802"/>
      <c r="CRZ838" s="802"/>
      <c r="CSA838" s="802"/>
      <c r="CSB838" s="802"/>
      <c r="CSC838" s="802"/>
      <c r="CSD838" s="802"/>
      <c r="CSE838" s="802"/>
      <c r="CSF838" s="802"/>
      <c r="CSG838" s="802"/>
      <c r="CSH838" s="802"/>
      <c r="CSI838" s="802"/>
      <c r="CSJ838" s="802"/>
      <c r="CSK838" s="802"/>
      <c r="CSL838" s="802"/>
      <c r="CSM838" s="802"/>
      <c r="CSN838" s="802"/>
      <c r="CSO838" s="802"/>
      <c r="CSP838" s="802"/>
      <c r="CSQ838" s="802"/>
      <c r="CSR838" s="802"/>
      <c r="CSS838" s="802"/>
      <c r="CST838" s="802"/>
      <c r="CSU838" s="802"/>
      <c r="CSV838" s="802"/>
      <c r="CSW838" s="802"/>
      <c r="CSX838" s="802"/>
      <c r="CSY838" s="802"/>
      <c r="CSZ838" s="802"/>
      <c r="CTA838" s="802"/>
      <c r="CTB838" s="802"/>
      <c r="CTC838" s="802"/>
      <c r="CTD838" s="802"/>
      <c r="CTE838" s="802"/>
      <c r="CTF838" s="802"/>
      <c r="CTG838" s="802"/>
      <c r="CTH838" s="802"/>
      <c r="CTI838" s="802"/>
      <c r="CTJ838" s="802"/>
      <c r="CTK838" s="802"/>
      <c r="CTL838" s="802"/>
      <c r="CTM838" s="802"/>
      <c r="CTN838" s="802"/>
      <c r="CTO838" s="802"/>
      <c r="CTP838" s="802"/>
      <c r="CTQ838" s="802"/>
      <c r="CTR838" s="802"/>
      <c r="CTS838" s="802"/>
      <c r="CTT838" s="802"/>
      <c r="CTU838" s="802"/>
      <c r="CTV838" s="802"/>
      <c r="CTW838" s="802"/>
      <c r="CTX838" s="802"/>
      <c r="CTY838" s="802"/>
      <c r="CTZ838" s="802"/>
      <c r="CUA838" s="802"/>
      <c r="CUB838" s="802"/>
      <c r="CUC838" s="802"/>
      <c r="CUD838" s="802"/>
      <c r="CUE838" s="802"/>
      <c r="CUF838" s="802"/>
      <c r="CUG838" s="802"/>
      <c r="CUH838" s="802"/>
      <c r="CUI838" s="802"/>
      <c r="CUJ838" s="802"/>
      <c r="CUK838" s="802"/>
      <c r="CUL838" s="802"/>
      <c r="CUM838" s="802"/>
      <c r="CUN838" s="802"/>
      <c r="CUO838" s="802"/>
      <c r="CUP838" s="802"/>
      <c r="CUQ838" s="802"/>
      <c r="CUR838" s="802"/>
      <c r="CUS838" s="802"/>
      <c r="CUT838" s="802"/>
      <c r="CUU838" s="802"/>
      <c r="CUV838" s="802"/>
      <c r="CUW838" s="802"/>
      <c r="CUX838" s="802"/>
      <c r="CUY838" s="802"/>
      <c r="CUZ838" s="802"/>
      <c r="CVA838" s="802"/>
      <c r="CVB838" s="802"/>
      <c r="CVC838" s="802"/>
      <c r="CVD838" s="802"/>
      <c r="CVE838" s="802"/>
      <c r="CVF838" s="802"/>
      <c r="CVG838" s="802"/>
      <c r="CVH838" s="802"/>
      <c r="CVI838" s="802"/>
      <c r="CVJ838" s="802"/>
      <c r="CVK838" s="802"/>
      <c r="CVL838" s="802"/>
      <c r="CVM838" s="802"/>
      <c r="CVN838" s="802"/>
      <c r="CVO838" s="802"/>
      <c r="CVP838" s="802"/>
      <c r="CVQ838" s="802"/>
      <c r="CVR838" s="802"/>
      <c r="CVS838" s="802"/>
      <c r="CVT838" s="802"/>
      <c r="CVU838" s="802"/>
      <c r="CVV838" s="802"/>
      <c r="CVW838" s="802"/>
      <c r="CVX838" s="802"/>
      <c r="CVY838" s="802"/>
      <c r="CVZ838" s="802"/>
      <c r="CWA838" s="802"/>
      <c r="CWB838" s="802"/>
      <c r="CWC838" s="802"/>
      <c r="CWD838" s="802"/>
      <c r="CWE838" s="802"/>
      <c r="CWF838" s="802"/>
      <c r="CWG838" s="802"/>
      <c r="CWH838" s="802"/>
      <c r="CWI838" s="802"/>
      <c r="CWJ838" s="802"/>
      <c r="CWK838" s="802"/>
      <c r="CWL838" s="802"/>
      <c r="CWM838" s="802"/>
      <c r="CWN838" s="802"/>
      <c r="CWO838" s="802"/>
      <c r="CWP838" s="802"/>
      <c r="CWQ838" s="802"/>
      <c r="CWR838" s="802"/>
      <c r="CWS838" s="802"/>
      <c r="CWT838" s="802"/>
      <c r="CWU838" s="802"/>
      <c r="CWV838" s="802"/>
      <c r="CWW838" s="802"/>
      <c r="CWX838" s="802"/>
      <c r="CWY838" s="802"/>
      <c r="CWZ838" s="802"/>
      <c r="CXA838" s="802"/>
      <c r="CXB838" s="802"/>
      <c r="CXC838" s="802"/>
      <c r="CXD838" s="802"/>
      <c r="CXE838" s="802"/>
      <c r="CXF838" s="802"/>
      <c r="CXG838" s="802"/>
      <c r="CXH838" s="802"/>
      <c r="CXI838" s="802"/>
      <c r="CXJ838" s="802"/>
      <c r="CXK838" s="802"/>
      <c r="CXL838" s="802"/>
      <c r="CXM838" s="802"/>
      <c r="CXN838" s="802"/>
      <c r="CXO838" s="802"/>
      <c r="CXP838" s="802"/>
      <c r="CXQ838" s="802"/>
      <c r="CXR838" s="802"/>
      <c r="CXS838" s="802"/>
      <c r="CXT838" s="802"/>
      <c r="CXU838" s="802"/>
      <c r="CXV838" s="802"/>
      <c r="CXW838" s="802"/>
      <c r="CXX838" s="802"/>
      <c r="CXY838" s="802"/>
      <c r="CXZ838" s="802"/>
      <c r="CYA838" s="802"/>
      <c r="CYB838" s="802"/>
      <c r="CYC838" s="802"/>
      <c r="CYD838" s="802"/>
      <c r="CYE838" s="802"/>
      <c r="CYF838" s="802"/>
      <c r="CYG838" s="802"/>
      <c r="CYH838" s="802"/>
      <c r="CYI838" s="802"/>
      <c r="CYJ838" s="802"/>
      <c r="CYK838" s="802"/>
      <c r="CYL838" s="802"/>
      <c r="CYM838" s="802"/>
      <c r="CYN838" s="802"/>
      <c r="CYO838" s="802"/>
      <c r="CYP838" s="802"/>
      <c r="CYQ838" s="802"/>
      <c r="CYR838" s="802"/>
      <c r="CYS838" s="802"/>
      <c r="CYT838" s="802"/>
      <c r="CYU838" s="802"/>
      <c r="CYV838" s="802"/>
      <c r="CYW838" s="802"/>
      <c r="CYX838" s="802"/>
      <c r="CYY838" s="802"/>
      <c r="CYZ838" s="802"/>
      <c r="CZA838" s="802"/>
      <c r="CZB838" s="802"/>
      <c r="CZC838" s="802"/>
      <c r="CZD838" s="802"/>
      <c r="CZE838" s="802"/>
      <c r="CZF838" s="802"/>
      <c r="CZG838" s="802"/>
      <c r="CZH838" s="802"/>
      <c r="CZI838" s="802"/>
      <c r="CZJ838" s="802"/>
      <c r="CZK838" s="802"/>
      <c r="CZL838" s="802"/>
      <c r="CZM838" s="802"/>
      <c r="CZN838" s="802"/>
      <c r="CZO838" s="802"/>
      <c r="CZP838" s="802"/>
      <c r="CZQ838" s="802"/>
      <c r="CZR838" s="802"/>
      <c r="CZS838" s="802"/>
      <c r="CZT838" s="802"/>
      <c r="CZU838" s="802"/>
      <c r="CZV838" s="802"/>
      <c r="CZW838" s="802"/>
      <c r="CZX838" s="802"/>
      <c r="CZY838" s="802"/>
      <c r="CZZ838" s="802"/>
      <c r="DAA838" s="802"/>
      <c r="DAB838" s="802"/>
      <c r="DAC838" s="802"/>
      <c r="DAD838" s="802"/>
      <c r="DAE838" s="802"/>
      <c r="DAF838" s="802"/>
      <c r="DAG838" s="802"/>
      <c r="DAH838" s="802"/>
      <c r="DAI838" s="802"/>
      <c r="DAJ838" s="802"/>
      <c r="DAK838" s="802"/>
      <c r="DAL838" s="802"/>
      <c r="DAM838" s="802"/>
      <c r="DAN838" s="802"/>
      <c r="DAO838" s="802"/>
      <c r="DAP838" s="802"/>
      <c r="DAQ838" s="802"/>
      <c r="DAR838" s="802"/>
      <c r="DAS838" s="802"/>
      <c r="DAT838" s="802"/>
      <c r="DAU838" s="802"/>
      <c r="DAV838" s="802"/>
      <c r="DAW838" s="802"/>
      <c r="DAX838" s="802"/>
      <c r="DAY838" s="802"/>
      <c r="DAZ838" s="802"/>
      <c r="DBA838" s="802"/>
      <c r="DBB838" s="802"/>
      <c r="DBC838" s="802"/>
      <c r="DBD838" s="802"/>
      <c r="DBE838" s="802"/>
      <c r="DBF838" s="802"/>
      <c r="DBG838" s="802"/>
      <c r="DBH838" s="802"/>
      <c r="DBI838" s="802"/>
      <c r="DBJ838" s="802"/>
      <c r="DBK838" s="802"/>
      <c r="DBL838" s="802"/>
      <c r="DBM838" s="802"/>
      <c r="DBN838" s="802"/>
      <c r="DBO838" s="802"/>
      <c r="DBP838" s="802"/>
      <c r="DBQ838" s="802"/>
      <c r="DBR838" s="802"/>
      <c r="DBS838" s="802"/>
      <c r="DBT838" s="802"/>
      <c r="DBU838" s="802"/>
      <c r="DBV838" s="802"/>
      <c r="DBW838" s="802"/>
      <c r="DBX838" s="802"/>
      <c r="DBY838" s="802"/>
      <c r="DBZ838" s="802"/>
      <c r="DCA838" s="802"/>
      <c r="DCB838" s="802"/>
      <c r="DCC838" s="802"/>
      <c r="DCD838" s="802"/>
      <c r="DCE838" s="802"/>
      <c r="DCF838" s="802"/>
      <c r="DCG838" s="802"/>
      <c r="DCH838" s="802"/>
      <c r="DCI838" s="802"/>
      <c r="DCJ838" s="802"/>
      <c r="DCK838" s="802"/>
      <c r="DCL838" s="802"/>
      <c r="DCM838" s="802"/>
      <c r="DCN838" s="802"/>
      <c r="DCO838" s="802"/>
      <c r="DCP838" s="802"/>
      <c r="DCQ838" s="802"/>
      <c r="DCR838" s="802"/>
      <c r="DCS838" s="802"/>
      <c r="DCT838" s="802"/>
      <c r="DCU838" s="802"/>
      <c r="DCV838" s="802"/>
      <c r="DCW838" s="802"/>
      <c r="DCX838" s="802"/>
      <c r="DCY838" s="802"/>
      <c r="DCZ838" s="802"/>
      <c r="DDA838" s="802"/>
      <c r="DDB838" s="802"/>
      <c r="DDC838" s="802"/>
      <c r="DDD838" s="802"/>
      <c r="DDE838" s="802"/>
      <c r="DDF838" s="802"/>
      <c r="DDG838" s="802"/>
      <c r="DDH838" s="802"/>
      <c r="DDI838" s="802"/>
      <c r="DDJ838" s="802"/>
      <c r="DDK838" s="802"/>
      <c r="DDL838" s="802"/>
      <c r="DDM838" s="802"/>
      <c r="DDN838" s="802"/>
      <c r="DDO838" s="802"/>
      <c r="DDP838" s="802"/>
      <c r="DDQ838" s="802"/>
      <c r="DDR838" s="802"/>
      <c r="DDS838" s="802"/>
      <c r="DDT838" s="802"/>
      <c r="DDU838" s="802"/>
      <c r="DDV838" s="802"/>
      <c r="DDW838" s="802"/>
      <c r="DDX838" s="802"/>
      <c r="DDY838" s="802"/>
      <c r="DDZ838" s="802"/>
      <c r="DEA838" s="802"/>
      <c r="DEB838" s="802"/>
      <c r="DEC838" s="802"/>
      <c r="DED838" s="802"/>
      <c r="DEE838" s="802"/>
      <c r="DEF838" s="802"/>
      <c r="DEG838" s="802"/>
      <c r="DEH838" s="802"/>
      <c r="DEI838" s="802"/>
      <c r="DEJ838" s="802"/>
      <c r="DEK838" s="802"/>
      <c r="DEL838" s="802"/>
      <c r="DEM838" s="802"/>
      <c r="DEN838" s="802"/>
      <c r="DEO838" s="802"/>
      <c r="DEP838" s="802"/>
      <c r="DEQ838" s="802"/>
      <c r="DER838" s="802"/>
      <c r="DES838" s="802"/>
      <c r="DET838" s="802"/>
      <c r="DEU838" s="802"/>
      <c r="DEV838" s="802"/>
      <c r="DEW838" s="802"/>
      <c r="DEX838" s="802"/>
      <c r="DEY838" s="802"/>
      <c r="DEZ838" s="802"/>
      <c r="DFA838" s="802"/>
      <c r="DFB838" s="802"/>
      <c r="DFC838" s="802"/>
      <c r="DFD838" s="802"/>
      <c r="DFE838" s="802"/>
      <c r="DFF838" s="802"/>
      <c r="DFG838" s="802"/>
      <c r="DFH838" s="802"/>
      <c r="DFI838" s="802"/>
      <c r="DFJ838" s="802"/>
      <c r="DFK838" s="802"/>
      <c r="DFL838" s="802"/>
      <c r="DFM838" s="802"/>
      <c r="DFN838" s="802"/>
      <c r="DFO838" s="802"/>
      <c r="DFP838" s="802"/>
      <c r="DFQ838" s="802"/>
      <c r="DFR838" s="802"/>
      <c r="DFS838" s="802"/>
      <c r="DFT838" s="802"/>
      <c r="DFU838" s="802"/>
      <c r="DFV838" s="802"/>
      <c r="DFW838" s="802"/>
      <c r="DFX838" s="802"/>
      <c r="DFY838" s="802"/>
      <c r="DFZ838" s="802"/>
      <c r="DGA838" s="802"/>
      <c r="DGB838" s="802"/>
      <c r="DGC838" s="802"/>
      <c r="DGD838" s="802"/>
      <c r="DGE838" s="802"/>
      <c r="DGF838" s="802"/>
      <c r="DGG838" s="802"/>
      <c r="DGH838" s="802"/>
      <c r="DGI838" s="802"/>
      <c r="DGJ838" s="802"/>
      <c r="DGK838" s="802"/>
      <c r="DGL838" s="802"/>
      <c r="DGM838" s="802"/>
      <c r="DGN838" s="802"/>
      <c r="DGO838" s="802"/>
      <c r="DGP838" s="802"/>
      <c r="DGQ838" s="802"/>
      <c r="DGR838" s="802"/>
      <c r="DGS838" s="802"/>
      <c r="DGT838" s="802"/>
      <c r="DGU838" s="802"/>
      <c r="DGV838" s="802"/>
      <c r="DGW838" s="802"/>
      <c r="DGX838" s="802"/>
      <c r="DGY838" s="802"/>
      <c r="DGZ838" s="802"/>
      <c r="DHA838" s="802"/>
      <c r="DHB838" s="802"/>
      <c r="DHC838" s="802"/>
      <c r="DHD838" s="802"/>
      <c r="DHE838" s="802"/>
      <c r="DHF838" s="802"/>
      <c r="DHG838" s="802"/>
      <c r="DHH838" s="802"/>
      <c r="DHI838" s="802"/>
      <c r="DHJ838" s="802"/>
      <c r="DHK838" s="802"/>
      <c r="DHL838" s="802"/>
      <c r="DHM838" s="802"/>
      <c r="DHN838" s="802"/>
      <c r="DHO838" s="802"/>
      <c r="DHP838" s="802"/>
      <c r="DHQ838" s="802"/>
      <c r="DHR838" s="802"/>
      <c r="DHS838" s="802"/>
      <c r="DHT838" s="802"/>
      <c r="DHU838" s="802"/>
      <c r="DHV838" s="802"/>
      <c r="DHW838" s="802"/>
      <c r="DHX838" s="802"/>
      <c r="DHY838" s="802"/>
      <c r="DHZ838" s="802"/>
      <c r="DIA838" s="802"/>
      <c r="DIB838" s="802"/>
      <c r="DIC838" s="802"/>
      <c r="DID838" s="802"/>
      <c r="DIE838" s="802"/>
      <c r="DIF838" s="802"/>
      <c r="DIG838" s="802"/>
      <c r="DIH838" s="802"/>
      <c r="DII838" s="802"/>
      <c r="DIJ838" s="802"/>
      <c r="DIK838" s="802"/>
      <c r="DIL838" s="802"/>
      <c r="DIM838" s="802"/>
      <c r="DIN838" s="802"/>
      <c r="DIO838" s="802"/>
      <c r="DIP838" s="802"/>
      <c r="DIQ838" s="802"/>
      <c r="DIR838" s="802"/>
      <c r="DIS838" s="802"/>
      <c r="DIT838" s="802"/>
      <c r="DIU838" s="802"/>
      <c r="DIV838" s="802"/>
      <c r="DIW838" s="802"/>
      <c r="DIX838" s="802"/>
      <c r="DIY838" s="802"/>
      <c r="DIZ838" s="802"/>
      <c r="DJA838" s="802"/>
      <c r="DJB838" s="802"/>
      <c r="DJC838" s="802"/>
      <c r="DJD838" s="802"/>
      <c r="DJE838" s="802"/>
      <c r="DJF838" s="802"/>
      <c r="DJG838" s="802"/>
      <c r="DJH838" s="802"/>
      <c r="DJI838" s="802"/>
      <c r="DJJ838" s="802"/>
      <c r="DJK838" s="802"/>
      <c r="DJL838" s="802"/>
      <c r="DJM838" s="802"/>
      <c r="DJN838" s="802"/>
      <c r="DJO838" s="802"/>
      <c r="DJP838" s="802"/>
      <c r="DJQ838" s="802"/>
      <c r="DJR838" s="802"/>
      <c r="DJS838" s="802"/>
      <c r="DJT838" s="802"/>
      <c r="DJU838" s="802"/>
      <c r="DJV838" s="802"/>
      <c r="DJW838" s="802"/>
      <c r="DJX838" s="802"/>
      <c r="DJY838" s="802"/>
      <c r="DJZ838" s="802"/>
      <c r="DKA838" s="802"/>
      <c r="DKB838" s="802"/>
      <c r="DKC838" s="802"/>
      <c r="DKD838" s="802"/>
      <c r="DKE838" s="802"/>
      <c r="DKF838" s="802"/>
      <c r="DKG838" s="802"/>
      <c r="DKH838" s="802"/>
      <c r="DKI838" s="802"/>
      <c r="DKJ838" s="802"/>
      <c r="DKK838" s="802"/>
      <c r="DKL838" s="802"/>
      <c r="DKM838" s="802"/>
      <c r="DKN838" s="802"/>
      <c r="DKO838" s="802"/>
      <c r="DKP838" s="802"/>
      <c r="DKQ838" s="802"/>
      <c r="DKR838" s="802"/>
      <c r="DKS838" s="802"/>
      <c r="DKT838" s="802"/>
      <c r="DKU838" s="802"/>
      <c r="DKV838" s="802"/>
      <c r="DKW838" s="802"/>
      <c r="DKX838" s="802"/>
      <c r="DKY838" s="802"/>
      <c r="DKZ838" s="802"/>
      <c r="DLA838" s="802"/>
      <c r="DLB838" s="802"/>
      <c r="DLC838" s="802"/>
      <c r="DLD838" s="802"/>
      <c r="DLE838" s="802"/>
      <c r="DLF838" s="802"/>
      <c r="DLG838" s="802"/>
      <c r="DLH838" s="802"/>
      <c r="DLI838" s="802"/>
      <c r="DLJ838" s="802"/>
      <c r="DLK838" s="802"/>
      <c r="DLL838" s="802"/>
      <c r="DLM838" s="802"/>
      <c r="DLN838" s="802"/>
      <c r="DLO838" s="802"/>
      <c r="DLP838" s="802"/>
      <c r="DLQ838" s="802"/>
      <c r="DLR838" s="802"/>
      <c r="DLS838" s="802"/>
      <c r="DLT838" s="802"/>
      <c r="DLU838" s="802"/>
      <c r="DLV838" s="802"/>
      <c r="DLW838" s="802"/>
      <c r="DLX838" s="802"/>
      <c r="DLY838" s="802"/>
      <c r="DLZ838" s="802"/>
      <c r="DMA838" s="802"/>
      <c r="DMB838" s="802"/>
      <c r="DMC838" s="802"/>
      <c r="DMD838" s="802"/>
      <c r="DME838" s="802"/>
      <c r="DMF838" s="802"/>
      <c r="DMG838" s="802"/>
      <c r="DMH838" s="802"/>
      <c r="DMI838" s="802"/>
      <c r="DMJ838" s="802"/>
      <c r="DMK838" s="802"/>
      <c r="DML838" s="802"/>
      <c r="DMM838" s="802"/>
      <c r="DMN838" s="802"/>
      <c r="DMO838" s="802"/>
      <c r="DMP838" s="802"/>
      <c r="DMQ838" s="802"/>
      <c r="DMR838" s="802"/>
      <c r="DMS838" s="802"/>
      <c r="DMT838" s="802"/>
      <c r="DMU838" s="802"/>
      <c r="DMV838" s="802"/>
      <c r="DMW838" s="802"/>
      <c r="DMX838" s="802"/>
      <c r="DMY838" s="802"/>
      <c r="DMZ838" s="802"/>
      <c r="DNA838" s="802"/>
      <c r="DNB838" s="802"/>
      <c r="DNC838" s="802"/>
      <c r="DND838" s="802"/>
      <c r="DNE838" s="802"/>
      <c r="DNF838" s="802"/>
      <c r="DNG838" s="802"/>
      <c r="DNH838" s="802"/>
      <c r="DNI838" s="802"/>
      <c r="DNJ838" s="802"/>
      <c r="DNK838" s="802"/>
      <c r="DNL838" s="802"/>
      <c r="DNM838" s="802"/>
      <c r="DNN838" s="802"/>
      <c r="DNO838" s="802"/>
      <c r="DNP838" s="802"/>
      <c r="DNQ838" s="802"/>
      <c r="DNR838" s="802"/>
      <c r="DNS838" s="802"/>
      <c r="DNT838" s="802"/>
      <c r="DNU838" s="802"/>
      <c r="DNV838" s="802"/>
      <c r="DNW838" s="802"/>
      <c r="DNX838" s="802"/>
      <c r="DNY838" s="802"/>
      <c r="DNZ838" s="802"/>
      <c r="DOA838" s="802"/>
      <c r="DOB838" s="802"/>
      <c r="DOC838" s="802"/>
      <c r="DOD838" s="802"/>
      <c r="DOE838" s="802"/>
      <c r="DOF838" s="802"/>
      <c r="DOG838" s="802"/>
      <c r="DOH838" s="802"/>
      <c r="DOI838" s="802"/>
      <c r="DOJ838" s="802"/>
      <c r="DOK838" s="802"/>
      <c r="DOL838" s="802"/>
      <c r="DOM838" s="802"/>
      <c r="DON838" s="802"/>
      <c r="DOO838" s="802"/>
      <c r="DOP838" s="802"/>
      <c r="DOQ838" s="802"/>
      <c r="DOR838" s="802"/>
      <c r="DOS838" s="802"/>
      <c r="DOT838" s="802"/>
      <c r="DOU838" s="802"/>
      <c r="DOV838" s="802"/>
      <c r="DOW838" s="802"/>
      <c r="DOX838" s="802"/>
      <c r="DOY838" s="802"/>
      <c r="DOZ838" s="802"/>
      <c r="DPA838" s="802"/>
      <c r="DPB838" s="802"/>
      <c r="DPC838" s="802"/>
      <c r="DPD838" s="802"/>
      <c r="DPE838" s="802"/>
      <c r="DPF838" s="802"/>
      <c r="DPG838" s="802"/>
      <c r="DPH838" s="802"/>
      <c r="DPI838" s="802"/>
      <c r="DPJ838" s="802"/>
      <c r="DPK838" s="802"/>
      <c r="DPL838" s="802"/>
      <c r="DPM838" s="802"/>
      <c r="DPN838" s="802"/>
      <c r="DPO838" s="802"/>
      <c r="DPP838" s="802"/>
      <c r="DPQ838" s="802"/>
      <c r="DPR838" s="802"/>
      <c r="DPS838" s="802"/>
      <c r="DPT838" s="802"/>
      <c r="DPU838" s="802"/>
      <c r="DPV838" s="802"/>
      <c r="DPW838" s="802"/>
      <c r="DPX838" s="802"/>
      <c r="DPY838" s="802"/>
      <c r="DPZ838" s="802"/>
      <c r="DQA838" s="802"/>
      <c r="DQB838" s="802"/>
      <c r="DQC838" s="802"/>
      <c r="DQD838" s="802"/>
      <c r="DQE838" s="802"/>
      <c r="DQF838" s="802"/>
      <c r="DQG838" s="802"/>
      <c r="DQH838" s="802"/>
      <c r="DQI838" s="802"/>
      <c r="DQJ838" s="802"/>
      <c r="DQK838" s="802"/>
      <c r="DQL838" s="802"/>
      <c r="DQM838" s="802"/>
      <c r="DQN838" s="802"/>
      <c r="DQO838" s="802"/>
      <c r="DQP838" s="802"/>
      <c r="DQQ838" s="802"/>
      <c r="DQR838" s="802"/>
      <c r="DQS838" s="802"/>
      <c r="DQT838" s="802"/>
      <c r="DQU838" s="802"/>
      <c r="DQV838" s="802"/>
      <c r="DQW838" s="802"/>
      <c r="DQX838" s="802"/>
      <c r="DQY838" s="802"/>
      <c r="DQZ838" s="802"/>
      <c r="DRA838" s="802"/>
      <c r="DRB838" s="802"/>
      <c r="DRC838" s="802"/>
      <c r="DRD838" s="802"/>
      <c r="DRE838" s="802"/>
      <c r="DRF838" s="802"/>
      <c r="DRG838" s="802"/>
      <c r="DRH838" s="802"/>
      <c r="DRI838" s="802"/>
      <c r="DRJ838" s="802"/>
      <c r="DRK838" s="802"/>
      <c r="DRL838" s="802"/>
      <c r="DRM838" s="802"/>
      <c r="DRN838" s="802"/>
      <c r="DRO838" s="802"/>
      <c r="DRP838" s="802"/>
      <c r="DRQ838" s="802"/>
      <c r="DRR838" s="802"/>
      <c r="DRS838" s="802"/>
      <c r="DRT838" s="802"/>
      <c r="DRU838" s="802"/>
      <c r="DRV838" s="802"/>
      <c r="DRW838" s="802"/>
      <c r="DRX838" s="802"/>
      <c r="DRY838" s="802"/>
      <c r="DRZ838" s="802"/>
      <c r="DSA838" s="802"/>
      <c r="DSB838" s="802"/>
      <c r="DSC838" s="802"/>
      <c r="DSD838" s="802"/>
      <c r="DSE838" s="802"/>
      <c r="DSF838" s="802"/>
      <c r="DSG838" s="802"/>
      <c r="DSH838" s="802"/>
      <c r="DSI838" s="802"/>
      <c r="DSJ838" s="802"/>
      <c r="DSK838" s="802"/>
      <c r="DSL838" s="802"/>
      <c r="DSM838" s="802"/>
      <c r="DSN838" s="802"/>
      <c r="DSO838" s="802"/>
      <c r="DSP838" s="802"/>
      <c r="DSQ838" s="802"/>
      <c r="DSR838" s="802"/>
      <c r="DSS838" s="802"/>
      <c r="DST838" s="802"/>
      <c r="DSU838" s="802"/>
      <c r="DSV838" s="802"/>
      <c r="DSW838" s="802"/>
      <c r="DSX838" s="802"/>
      <c r="DSY838" s="802"/>
      <c r="DSZ838" s="802"/>
      <c r="DTA838" s="802"/>
      <c r="DTB838" s="802"/>
      <c r="DTC838" s="802"/>
      <c r="DTD838" s="802"/>
      <c r="DTE838" s="802"/>
      <c r="DTF838" s="802"/>
      <c r="DTG838" s="802"/>
      <c r="DTH838" s="802"/>
      <c r="DTI838" s="802"/>
      <c r="DTJ838" s="802"/>
      <c r="DTK838" s="802"/>
      <c r="DTL838" s="802"/>
      <c r="DTM838" s="802"/>
      <c r="DTN838" s="802"/>
      <c r="DTO838" s="802"/>
      <c r="DTP838" s="802"/>
      <c r="DTQ838" s="802"/>
      <c r="DTR838" s="802"/>
      <c r="DTS838" s="802"/>
      <c r="DTT838" s="802"/>
      <c r="DTU838" s="802"/>
      <c r="DTV838" s="802"/>
      <c r="DTW838" s="802"/>
      <c r="DTX838" s="802"/>
      <c r="DTY838" s="802"/>
      <c r="DTZ838" s="802"/>
      <c r="DUA838" s="802"/>
      <c r="DUB838" s="802"/>
      <c r="DUC838" s="802"/>
      <c r="DUD838" s="802"/>
      <c r="DUE838" s="802"/>
      <c r="DUF838" s="802"/>
      <c r="DUG838" s="802"/>
      <c r="DUH838" s="802"/>
      <c r="DUI838" s="802"/>
      <c r="DUJ838" s="802"/>
      <c r="DUK838" s="802"/>
      <c r="DUL838" s="802"/>
      <c r="DUM838" s="802"/>
      <c r="DUN838" s="802"/>
      <c r="DUO838" s="802"/>
      <c r="DUP838" s="802"/>
      <c r="DUQ838" s="802"/>
      <c r="DUR838" s="802"/>
      <c r="DUS838" s="802"/>
      <c r="DUT838" s="802"/>
      <c r="DUU838" s="802"/>
      <c r="DUV838" s="802"/>
      <c r="DUW838" s="802"/>
      <c r="DUX838" s="802"/>
      <c r="DUY838" s="802"/>
      <c r="DUZ838" s="802"/>
      <c r="DVA838" s="802"/>
      <c r="DVB838" s="802"/>
      <c r="DVC838" s="802"/>
      <c r="DVD838" s="802"/>
      <c r="DVE838" s="802"/>
      <c r="DVF838" s="802"/>
      <c r="DVG838" s="802"/>
      <c r="DVH838" s="802"/>
      <c r="DVI838" s="802"/>
      <c r="DVJ838" s="802"/>
      <c r="DVK838" s="802"/>
      <c r="DVL838" s="802"/>
      <c r="DVM838" s="802"/>
      <c r="DVN838" s="802"/>
      <c r="DVO838" s="802"/>
      <c r="DVP838" s="802"/>
      <c r="DVQ838" s="802"/>
      <c r="DVR838" s="802"/>
      <c r="DVS838" s="802"/>
      <c r="DVT838" s="802"/>
      <c r="DVU838" s="802"/>
      <c r="DVV838" s="802"/>
      <c r="DVW838" s="802"/>
      <c r="DVX838" s="802"/>
      <c r="DVY838" s="802"/>
      <c r="DVZ838" s="802"/>
      <c r="DWA838" s="802"/>
      <c r="DWB838" s="802"/>
      <c r="DWC838" s="802"/>
      <c r="DWD838" s="802"/>
      <c r="DWE838" s="802"/>
      <c r="DWF838" s="802"/>
      <c r="DWG838" s="802"/>
      <c r="DWH838" s="802"/>
      <c r="DWI838" s="802"/>
      <c r="DWJ838" s="802"/>
      <c r="DWK838" s="802"/>
      <c r="DWL838" s="802"/>
      <c r="DWM838" s="802"/>
      <c r="DWN838" s="802"/>
      <c r="DWO838" s="802"/>
      <c r="DWP838" s="802"/>
      <c r="DWQ838" s="802"/>
      <c r="DWR838" s="802"/>
      <c r="DWS838" s="802"/>
      <c r="DWT838" s="802"/>
      <c r="DWU838" s="802"/>
      <c r="DWV838" s="802"/>
      <c r="DWW838" s="802"/>
      <c r="DWX838" s="802"/>
      <c r="DWY838" s="802"/>
      <c r="DWZ838" s="802"/>
      <c r="DXA838" s="802"/>
      <c r="DXB838" s="802"/>
      <c r="DXC838" s="802"/>
      <c r="DXD838" s="802"/>
      <c r="DXE838" s="802"/>
      <c r="DXF838" s="802"/>
      <c r="DXG838" s="802"/>
      <c r="DXH838" s="802"/>
      <c r="DXI838" s="802"/>
      <c r="DXJ838" s="802"/>
      <c r="DXK838" s="802"/>
      <c r="DXL838" s="802"/>
      <c r="DXM838" s="802"/>
      <c r="DXN838" s="802"/>
      <c r="DXO838" s="802"/>
      <c r="DXP838" s="802"/>
      <c r="DXQ838" s="802"/>
      <c r="DXR838" s="802"/>
      <c r="DXS838" s="802"/>
      <c r="DXT838" s="802"/>
      <c r="DXU838" s="802"/>
      <c r="DXV838" s="802"/>
      <c r="DXW838" s="802"/>
      <c r="DXX838" s="802"/>
      <c r="DXY838" s="802"/>
      <c r="DXZ838" s="802"/>
      <c r="DYA838" s="802"/>
      <c r="DYB838" s="802"/>
      <c r="DYC838" s="802"/>
      <c r="DYD838" s="802"/>
      <c r="DYE838" s="802"/>
      <c r="DYF838" s="802"/>
      <c r="DYG838" s="802"/>
      <c r="DYH838" s="802"/>
      <c r="DYI838" s="802"/>
      <c r="DYJ838" s="802"/>
      <c r="DYK838" s="802"/>
      <c r="DYL838" s="802"/>
      <c r="DYM838" s="802"/>
      <c r="DYN838" s="802"/>
      <c r="DYO838" s="802"/>
      <c r="DYP838" s="802"/>
      <c r="DYQ838" s="802"/>
      <c r="DYR838" s="802"/>
      <c r="DYS838" s="802"/>
      <c r="DYT838" s="802"/>
      <c r="DYU838" s="802"/>
      <c r="DYV838" s="802"/>
      <c r="DYW838" s="802"/>
      <c r="DYX838" s="802"/>
      <c r="DYY838" s="802"/>
      <c r="DYZ838" s="802"/>
      <c r="DZA838" s="802"/>
      <c r="DZB838" s="802"/>
      <c r="DZC838" s="802"/>
      <c r="DZD838" s="802"/>
      <c r="DZE838" s="802"/>
      <c r="DZF838" s="802"/>
      <c r="DZG838" s="802"/>
      <c r="DZH838" s="802"/>
      <c r="DZI838" s="802"/>
      <c r="DZJ838" s="802"/>
      <c r="DZK838" s="802"/>
      <c r="DZL838" s="802"/>
      <c r="DZM838" s="802"/>
      <c r="DZN838" s="802"/>
      <c r="DZO838" s="802"/>
      <c r="DZP838" s="802"/>
      <c r="DZQ838" s="802"/>
      <c r="DZR838" s="802"/>
      <c r="DZS838" s="802"/>
      <c r="DZT838" s="802"/>
      <c r="DZU838" s="802"/>
      <c r="DZV838" s="802"/>
      <c r="DZW838" s="802"/>
      <c r="DZX838" s="802"/>
      <c r="DZY838" s="802"/>
      <c r="DZZ838" s="802"/>
      <c r="EAA838" s="802"/>
      <c r="EAB838" s="802"/>
      <c r="EAC838" s="802"/>
      <c r="EAD838" s="802"/>
      <c r="EAE838" s="802"/>
      <c r="EAF838" s="802"/>
      <c r="EAG838" s="802"/>
      <c r="EAH838" s="802"/>
      <c r="EAI838" s="802"/>
      <c r="EAJ838" s="802"/>
      <c r="EAK838" s="802"/>
      <c r="EAL838" s="802"/>
      <c r="EAM838" s="802"/>
      <c r="EAN838" s="802"/>
      <c r="EAO838" s="802"/>
      <c r="EAP838" s="802"/>
      <c r="EAQ838" s="802"/>
      <c r="EAR838" s="802"/>
      <c r="EAS838" s="802"/>
      <c r="EAT838" s="802"/>
      <c r="EAU838" s="802"/>
      <c r="EAV838" s="802"/>
      <c r="EAW838" s="802"/>
      <c r="EAX838" s="802"/>
      <c r="EAY838" s="802"/>
      <c r="EAZ838" s="802"/>
      <c r="EBA838" s="802"/>
      <c r="EBB838" s="802"/>
      <c r="EBC838" s="802"/>
      <c r="EBD838" s="802"/>
      <c r="EBE838" s="802"/>
      <c r="EBF838" s="802"/>
      <c r="EBG838" s="802"/>
      <c r="EBH838" s="802"/>
      <c r="EBI838" s="802"/>
      <c r="EBJ838" s="802"/>
      <c r="EBK838" s="802"/>
      <c r="EBL838" s="802"/>
      <c r="EBM838" s="802"/>
      <c r="EBN838" s="802"/>
      <c r="EBO838" s="802"/>
      <c r="EBP838" s="802"/>
      <c r="EBQ838" s="802"/>
      <c r="EBR838" s="802"/>
      <c r="EBS838" s="802"/>
      <c r="EBT838" s="802"/>
      <c r="EBU838" s="802"/>
      <c r="EBV838" s="802"/>
      <c r="EBW838" s="802"/>
      <c r="EBX838" s="802"/>
      <c r="EBY838" s="802"/>
      <c r="EBZ838" s="802"/>
      <c r="ECA838" s="802"/>
      <c r="ECB838" s="802"/>
      <c r="ECC838" s="802"/>
      <c r="ECD838" s="802"/>
      <c r="ECE838" s="802"/>
      <c r="ECF838" s="802"/>
      <c r="ECG838" s="802"/>
      <c r="ECH838" s="802"/>
      <c r="ECI838" s="802"/>
      <c r="ECJ838" s="802"/>
      <c r="ECK838" s="802"/>
      <c r="ECL838" s="802"/>
      <c r="ECM838" s="802"/>
      <c r="ECN838" s="802"/>
      <c r="ECO838" s="802"/>
      <c r="ECP838" s="802"/>
      <c r="ECQ838" s="802"/>
      <c r="ECR838" s="802"/>
      <c r="ECS838" s="802"/>
      <c r="ECT838" s="802"/>
      <c r="ECU838" s="802"/>
      <c r="ECV838" s="802"/>
      <c r="ECW838" s="802"/>
      <c r="ECX838" s="802"/>
      <c r="ECY838" s="802"/>
      <c r="ECZ838" s="802"/>
      <c r="EDA838" s="802"/>
      <c r="EDB838" s="802"/>
      <c r="EDC838" s="802"/>
      <c r="EDD838" s="802"/>
      <c r="EDE838" s="802"/>
      <c r="EDF838" s="802"/>
      <c r="EDG838" s="802"/>
      <c r="EDH838" s="802"/>
      <c r="EDI838" s="802"/>
      <c r="EDJ838" s="802"/>
      <c r="EDK838" s="802"/>
      <c r="EDL838" s="802"/>
      <c r="EDM838" s="802"/>
      <c r="EDN838" s="802"/>
      <c r="EDO838" s="802"/>
      <c r="EDP838" s="802"/>
      <c r="EDQ838" s="802"/>
      <c r="EDR838" s="802"/>
      <c r="EDS838" s="802"/>
      <c r="EDT838" s="802"/>
      <c r="EDU838" s="802"/>
      <c r="EDV838" s="802"/>
      <c r="EDW838" s="802"/>
      <c r="EDX838" s="802"/>
      <c r="EDY838" s="802"/>
      <c r="EDZ838" s="802"/>
      <c r="EEA838" s="802"/>
      <c r="EEB838" s="802"/>
      <c r="EEC838" s="802"/>
      <c r="EED838" s="802"/>
      <c r="EEE838" s="802"/>
      <c r="EEF838" s="802"/>
      <c r="EEG838" s="802"/>
      <c r="EEH838" s="802"/>
      <c r="EEI838" s="802"/>
      <c r="EEJ838" s="802"/>
      <c r="EEK838" s="802"/>
      <c r="EEL838" s="802"/>
      <c r="EEM838" s="802"/>
      <c r="EEN838" s="802"/>
      <c r="EEO838" s="802"/>
      <c r="EEP838" s="802"/>
      <c r="EEQ838" s="802"/>
      <c r="EER838" s="802"/>
      <c r="EES838" s="802"/>
      <c r="EET838" s="802"/>
      <c r="EEU838" s="802"/>
      <c r="EEV838" s="802"/>
      <c r="EEW838" s="802"/>
      <c r="EEX838" s="802"/>
      <c r="EEY838" s="802"/>
      <c r="EEZ838" s="802"/>
      <c r="EFA838" s="802"/>
      <c r="EFB838" s="802"/>
      <c r="EFC838" s="802"/>
      <c r="EFD838" s="802"/>
      <c r="EFE838" s="802"/>
      <c r="EFF838" s="802"/>
      <c r="EFG838" s="802"/>
      <c r="EFH838" s="802"/>
      <c r="EFI838" s="802"/>
      <c r="EFJ838" s="802"/>
      <c r="EFK838" s="802"/>
      <c r="EFL838" s="802"/>
      <c r="EFM838" s="802"/>
      <c r="EFN838" s="802"/>
      <c r="EFO838" s="802"/>
      <c r="EFP838" s="802"/>
      <c r="EFQ838" s="802"/>
      <c r="EFR838" s="802"/>
      <c r="EFS838" s="802"/>
      <c r="EFT838" s="802"/>
      <c r="EFU838" s="802"/>
      <c r="EFV838" s="802"/>
      <c r="EFW838" s="802"/>
      <c r="EFX838" s="802"/>
      <c r="EFY838" s="802"/>
      <c r="EFZ838" s="802"/>
      <c r="EGA838" s="802"/>
      <c r="EGB838" s="802"/>
      <c r="EGC838" s="802"/>
      <c r="EGD838" s="802"/>
      <c r="EGE838" s="802"/>
      <c r="EGF838" s="802"/>
      <c r="EGG838" s="802"/>
      <c r="EGH838" s="802"/>
      <c r="EGI838" s="802"/>
      <c r="EGJ838" s="802"/>
      <c r="EGK838" s="802"/>
      <c r="EGL838" s="802"/>
      <c r="EGM838" s="802"/>
      <c r="EGN838" s="802"/>
      <c r="EGO838" s="802"/>
      <c r="EGP838" s="802"/>
      <c r="EGQ838" s="802"/>
      <c r="EGR838" s="802"/>
      <c r="EGS838" s="802"/>
      <c r="EGT838" s="802"/>
      <c r="EGU838" s="802"/>
      <c r="EGV838" s="802"/>
      <c r="EGW838" s="802"/>
      <c r="EGX838" s="802"/>
      <c r="EGY838" s="802"/>
      <c r="EGZ838" s="802"/>
      <c r="EHA838" s="802"/>
      <c r="EHB838" s="802"/>
      <c r="EHC838" s="802"/>
      <c r="EHD838" s="802"/>
      <c r="EHE838" s="802"/>
      <c r="EHF838" s="802"/>
      <c r="EHG838" s="802"/>
      <c r="EHH838" s="802"/>
      <c r="EHI838" s="802"/>
      <c r="EHJ838" s="802"/>
      <c r="EHK838" s="802"/>
      <c r="EHL838" s="802"/>
      <c r="EHM838" s="802"/>
      <c r="EHN838" s="802"/>
      <c r="EHO838" s="802"/>
      <c r="EHP838" s="802"/>
      <c r="EHQ838" s="802"/>
      <c r="EHR838" s="802"/>
      <c r="EHS838" s="802"/>
      <c r="EHT838" s="802"/>
      <c r="EHU838" s="802"/>
      <c r="EHV838" s="802"/>
      <c r="EHW838" s="802"/>
      <c r="EHX838" s="802"/>
      <c r="EHY838" s="802"/>
      <c r="EHZ838" s="802"/>
      <c r="EIA838" s="802"/>
      <c r="EIB838" s="802"/>
      <c r="EIC838" s="802"/>
      <c r="EID838" s="802"/>
      <c r="EIE838" s="802"/>
      <c r="EIF838" s="802"/>
      <c r="EIG838" s="802"/>
      <c r="EIH838" s="802"/>
      <c r="EII838" s="802"/>
      <c r="EIJ838" s="802"/>
      <c r="EIK838" s="802"/>
      <c r="EIL838" s="802"/>
      <c r="EIM838" s="802"/>
      <c r="EIN838" s="802"/>
      <c r="EIO838" s="802"/>
      <c r="EIP838" s="802"/>
      <c r="EIQ838" s="802"/>
      <c r="EIR838" s="802"/>
      <c r="EIS838" s="802"/>
      <c r="EIT838" s="802"/>
      <c r="EIU838" s="802"/>
      <c r="EIV838" s="802"/>
      <c r="EIW838" s="802"/>
      <c r="EIX838" s="802"/>
      <c r="EIY838" s="802"/>
      <c r="EIZ838" s="802"/>
      <c r="EJA838" s="802"/>
      <c r="EJB838" s="802"/>
      <c r="EJC838" s="802"/>
      <c r="EJD838" s="802"/>
      <c r="EJE838" s="802"/>
      <c r="EJF838" s="802"/>
      <c r="EJG838" s="802"/>
      <c r="EJH838" s="802"/>
      <c r="EJI838" s="802"/>
      <c r="EJJ838" s="802"/>
      <c r="EJK838" s="802"/>
      <c r="EJL838" s="802"/>
      <c r="EJM838" s="802"/>
      <c r="EJN838" s="802"/>
      <c r="EJO838" s="802"/>
      <c r="EJP838" s="802"/>
      <c r="EJQ838" s="802"/>
      <c r="EJR838" s="802"/>
      <c r="EJS838" s="802"/>
      <c r="EJT838" s="802"/>
      <c r="EJU838" s="802"/>
      <c r="EJV838" s="802"/>
      <c r="EJW838" s="802"/>
      <c r="EJX838" s="802"/>
      <c r="EJY838" s="802"/>
      <c r="EJZ838" s="802"/>
      <c r="EKA838" s="802"/>
      <c r="EKB838" s="802"/>
      <c r="EKC838" s="802"/>
      <c r="EKD838" s="802"/>
      <c r="EKE838" s="802"/>
      <c r="EKF838" s="802"/>
      <c r="EKG838" s="802"/>
      <c r="EKH838" s="802"/>
      <c r="EKI838" s="802"/>
      <c r="EKJ838" s="802"/>
      <c r="EKK838" s="802"/>
      <c r="EKL838" s="802"/>
      <c r="EKM838" s="802"/>
      <c r="EKN838" s="802"/>
      <c r="EKO838" s="802"/>
      <c r="EKP838" s="802"/>
      <c r="EKQ838" s="802"/>
      <c r="EKR838" s="802"/>
      <c r="EKS838" s="802"/>
      <c r="EKT838" s="802"/>
      <c r="EKU838" s="802"/>
      <c r="EKV838" s="802"/>
      <c r="EKW838" s="802"/>
      <c r="EKX838" s="802"/>
      <c r="EKY838" s="802"/>
      <c r="EKZ838" s="802"/>
      <c r="ELA838" s="802"/>
      <c r="ELB838" s="802"/>
      <c r="ELC838" s="802"/>
      <c r="ELD838" s="802"/>
      <c r="ELE838" s="802"/>
      <c r="ELF838" s="802"/>
      <c r="ELG838" s="802"/>
      <c r="ELH838" s="802"/>
      <c r="ELI838" s="802"/>
      <c r="ELJ838" s="802"/>
      <c r="ELK838" s="802"/>
      <c r="ELL838" s="802"/>
      <c r="ELM838" s="802"/>
      <c r="ELN838" s="802"/>
      <c r="ELO838" s="802"/>
      <c r="ELP838" s="802"/>
      <c r="ELQ838" s="802"/>
      <c r="ELR838" s="802"/>
      <c r="ELS838" s="802"/>
      <c r="ELT838" s="802"/>
      <c r="ELU838" s="802"/>
      <c r="ELV838" s="802"/>
      <c r="ELW838" s="802"/>
      <c r="ELX838" s="802"/>
      <c r="ELY838" s="802"/>
      <c r="ELZ838" s="802"/>
      <c r="EMA838" s="802"/>
      <c r="EMB838" s="802"/>
      <c r="EMC838" s="802"/>
      <c r="EMD838" s="802"/>
      <c r="EME838" s="802"/>
      <c r="EMF838" s="802"/>
      <c r="EMG838" s="802"/>
      <c r="EMH838" s="802"/>
      <c r="EMI838" s="802"/>
      <c r="EMJ838" s="802"/>
      <c r="EMK838" s="802"/>
      <c r="EML838" s="802"/>
      <c r="EMM838" s="802"/>
      <c r="EMN838" s="802"/>
      <c r="EMO838" s="802"/>
      <c r="EMP838" s="802"/>
      <c r="EMQ838" s="802"/>
      <c r="EMR838" s="802"/>
      <c r="EMS838" s="802"/>
      <c r="EMT838" s="802"/>
      <c r="EMU838" s="802"/>
      <c r="EMV838" s="802"/>
      <c r="EMW838" s="802"/>
      <c r="EMX838" s="802"/>
      <c r="EMY838" s="802"/>
      <c r="EMZ838" s="802"/>
      <c r="ENA838" s="802"/>
      <c r="ENB838" s="802"/>
      <c r="ENC838" s="802"/>
      <c r="END838" s="802"/>
      <c r="ENE838" s="802"/>
      <c r="ENF838" s="802"/>
      <c r="ENG838" s="802"/>
      <c r="ENH838" s="802"/>
      <c r="ENI838" s="802"/>
      <c r="ENJ838" s="802"/>
      <c r="ENK838" s="802"/>
      <c r="ENL838" s="802"/>
      <c r="ENM838" s="802"/>
      <c r="ENN838" s="802"/>
      <c r="ENO838" s="802"/>
      <c r="ENP838" s="802"/>
      <c r="ENQ838" s="802"/>
      <c r="ENR838" s="802"/>
      <c r="ENS838" s="802"/>
      <c r="ENT838" s="802"/>
      <c r="ENU838" s="802"/>
      <c r="ENV838" s="802"/>
      <c r="ENW838" s="802"/>
      <c r="ENX838" s="802"/>
      <c r="ENY838" s="802"/>
      <c r="ENZ838" s="802"/>
      <c r="EOA838" s="802"/>
      <c r="EOB838" s="802"/>
      <c r="EOC838" s="802"/>
      <c r="EOD838" s="802"/>
      <c r="EOE838" s="802"/>
      <c r="EOF838" s="802"/>
      <c r="EOG838" s="802"/>
      <c r="EOH838" s="802"/>
      <c r="EOI838" s="802"/>
      <c r="EOJ838" s="802"/>
      <c r="EOK838" s="802"/>
      <c r="EOL838" s="802"/>
      <c r="EOM838" s="802"/>
      <c r="EON838" s="802"/>
      <c r="EOO838" s="802"/>
      <c r="EOP838" s="802"/>
      <c r="EOQ838" s="802"/>
      <c r="EOR838" s="802"/>
      <c r="EOS838" s="802"/>
      <c r="EOT838" s="802"/>
      <c r="EOU838" s="802"/>
      <c r="EOV838" s="802"/>
      <c r="EOW838" s="802"/>
      <c r="EOX838" s="802"/>
      <c r="EOY838" s="802"/>
      <c r="EOZ838" s="802"/>
      <c r="EPA838" s="802"/>
      <c r="EPB838" s="802"/>
      <c r="EPC838" s="802"/>
      <c r="EPD838" s="802"/>
      <c r="EPE838" s="802"/>
      <c r="EPF838" s="802"/>
      <c r="EPG838" s="802"/>
      <c r="EPH838" s="802"/>
      <c r="EPI838" s="802"/>
      <c r="EPJ838" s="802"/>
      <c r="EPK838" s="802"/>
      <c r="EPL838" s="802"/>
      <c r="EPM838" s="802"/>
      <c r="EPN838" s="802"/>
      <c r="EPO838" s="802"/>
      <c r="EPP838" s="802"/>
      <c r="EPQ838" s="802"/>
      <c r="EPR838" s="802"/>
      <c r="EPS838" s="802"/>
      <c r="EPT838" s="802"/>
      <c r="EPU838" s="802"/>
      <c r="EPV838" s="802"/>
      <c r="EPW838" s="802"/>
      <c r="EPX838" s="802"/>
      <c r="EPY838" s="802"/>
      <c r="EPZ838" s="802"/>
      <c r="EQA838" s="802"/>
      <c r="EQB838" s="802"/>
      <c r="EQC838" s="802"/>
      <c r="EQD838" s="802"/>
      <c r="EQE838" s="802"/>
      <c r="EQF838" s="802"/>
      <c r="EQG838" s="802"/>
      <c r="EQH838" s="802"/>
      <c r="EQI838" s="802"/>
      <c r="EQJ838" s="802"/>
      <c r="EQK838" s="802"/>
      <c r="EQL838" s="802"/>
      <c r="EQM838" s="802"/>
      <c r="EQN838" s="802"/>
      <c r="EQO838" s="802"/>
      <c r="EQP838" s="802"/>
      <c r="EQQ838" s="802"/>
      <c r="EQR838" s="802"/>
      <c r="EQS838" s="802"/>
      <c r="EQT838" s="802"/>
      <c r="EQU838" s="802"/>
      <c r="EQV838" s="802"/>
      <c r="EQW838" s="802"/>
      <c r="EQX838" s="802"/>
      <c r="EQY838" s="802"/>
      <c r="EQZ838" s="802"/>
      <c r="ERA838" s="802"/>
      <c r="ERB838" s="802"/>
      <c r="ERC838" s="802"/>
      <c r="ERD838" s="802"/>
      <c r="ERE838" s="802"/>
      <c r="ERF838" s="802"/>
      <c r="ERG838" s="802"/>
      <c r="ERH838" s="802"/>
      <c r="ERI838" s="802"/>
      <c r="ERJ838" s="802"/>
      <c r="ERK838" s="802"/>
      <c r="ERL838" s="802"/>
      <c r="ERM838" s="802"/>
      <c r="ERN838" s="802"/>
      <c r="ERO838" s="802"/>
      <c r="ERP838" s="802"/>
      <c r="ERQ838" s="802"/>
      <c r="ERR838" s="802"/>
      <c r="ERS838" s="802"/>
      <c r="ERT838" s="802"/>
      <c r="ERU838" s="802"/>
      <c r="ERV838" s="802"/>
      <c r="ERW838" s="802"/>
      <c r="ERX838" s="802"/>
      <c r="ERY838" s="802"/>
      <c r="ERZ838" s="802"/>
      <c r="ESA838" s="802"/>
      <c r="ESB838" s="802"/>
      <c r="ESC838" s="802"/>
      <c r="ESD838" s="802"/>
      <c r="ESE838" s="802"/>
      <c r="ESF838" s="802"/>
      <c r="ESG838" s="802"/>
      <c r="ESH838" s="802"/>
      <c r="ESI838" s="802"/>
      <c r="ESJ838" s="802"/>
      <c r="ESK838" s="802"/>
      <c r="ESL838" s="802"/>
      <c r="ESM838" s="802"/>
      <c r="ESN838" s="802"/>
      <c r="ESO838" s="802"/>
      <c r="ESP838" s="802"/>
      <c r="ESQ838" s="802"/>
      <c r="ESR838" s="802"/>
      <c r="ESS838" s="802"/>
      <c r="EST838" s="802"/>
      <c r="ESU838" s="802"/>
      <c r="ESV838" s="802"/>
      <c r="ESW838" s="802"/>
      <c r="ESX838" s="802"/>
      <c r="ESY838" s="802"/>
      <c r="ESZ838" s="802"/>
      <c r="ETA838" s="802"/>
      <c r="ETB838" s="802"/>
      <c r="ETC838" s="802"/>
      <c r="ETD838" s="802"/>
      <c r="ETE838" s="802"/>
      <c r="ETF838" s="802"/>
      <c r="ETG838" s="802"/>
      <c r="ETH838" s="802"/>
      <c r="ETI838" s="802"/>
      <c r="ETJ838" s="802"/>
      <c r="ETK838" s="802"/>
      <c r="ETL838" s="802"/>
      <c r="ETM838" s="802"/>
      <c r="ETN838" s="802"/>
      <c r="ETO838" s="802"/>
      <c r="ETP838" s="802"/>
      <c r="ETQ838" s="802"/>
      <c r="ETR838" s="802"/>
      <c r="ETS838" s="802"/>
      <c r="ETT838" s="802"/>
      <c r="ETU838" s="802"/>
      <c r="ETV838" s="802"/>
      <c r="ETW838" s="802"/>
      <c r="ETX838" s="802"/>
      <c r="ETY838" s="802"/>
      <c r="ETZ838" s="802"/>
      <c r="EUA838" s="802"/>
      <c r="EUB838" s="802"/>
      <c r="EUC838" s="802"/>
      <c r="EUD838" s="802"/>
      <c r="EUE838" s="802"/>
      <c r="EUF838" s="802"/>
      <c r="EUG838" s="802"/>
      <c r="EUH838" s="802"/>
      <c r="EUI838" s="802"/>
      <c r="EUJ838" s="802"/>
      <c r="EUK838" s="802"/>
      <c r="EUL838" s="802"/>
      <c r="EUM838" s="802"/>
      <c r="EUN838" s="802"/>
      <c r="EUO838" s="802"/>
      <c r="EUP838" s="802"/>
      <c r="EUQ838" s="802"/>
      <c r="EUR838" s="802"/>
      <c r="EUS838" s="802"/>
      <c r="EUT838" s="802"/>
      <c r="EUU838" s="802"/>
      <c r="EUV838" s="802"/>
      <c r="EUW838" s="802"/>
      <c r="EUX838" s="802"/>
      <c r="EUY838" s="802"/>
      <c r="EUZ838" s="802"/>
      <c r="EVA838" s="802"/>
      <c r="EVB838" s="802"/>
      <c r="EVC838" s="802"/>
      <c r="EVD838" s="802"/>
      <c r="EVE838" s="802"/>
      <c r="EVF838" s="802"/>
      <c r="EVG838" s="802"/>
      <c r="EVH838" s="802"/>
      <c r="EVI838" s="802"/>
      <c r="EVJ838" s="802"/>
      <c r="EVK838" s="802"/>
      <c r="EVL838" s="802"/>
      <c r="EVM838" s="802"/>
      <c r="EVN838" s="802"/>
      <c r="EVO838" s="802"/>
      <c r="EVP838" s="802"/>
      <c r="EVQ838" s="802"/>
      <c r="EVR838" s="802"/>
      <c r="EVS838" s="802"/>
      <c r="EVT838" s="802"/>
      <c r="EVU838" s="802"/>
      <c r="EVV838" s="802"/>
      <c r="EVW838" s="802"/>
      <c r="EVX838" s="802"/>
      <c r="EVY838" s="802"/>
      <c r="EVZ838" s="802"/>
      <c r="EWA838" s="802"/>
      <c r="EWB838" s="802"/>
      <c r="EWC838" s="802"/>
      <c r="EWD838" s="802"/>
      <c r="EWE838" s="802"/>
      <c r="EWF838" s="802"/>
      <c r="EWG838" s="802"/>
      <c r="EWH838" s="802"/>
      <c r="EWI838" s="802"/>
      <c r="EWJ838" s="802"/>
      <c r="EWK838" s="802"/>
      <c r="EWL838" s="802"/>
      <c r="EWM838" s="802"/>
      <c r="EWN838" s="802"/>
      <c r="EWO838" s="802"/>
      <c r="EWP838" s="802"/>
      <c r="EWQ838" s="802"/>
      <c r="EWR838" s="802"/>
      <c r="EWS838" s="802"/>
      <c r="EWT838" s="802"/>
      <c r="EWU838" s="802"/>
      <c r="EWV838" s="802"/>
      <c r="EWW838" s="802"/>
      <c r="EWX838" s="802"/>
      <c r="EWY838" s="802"/>
      <c r="EWZ838" s="802"/>
      <c r="EXA838" s="802"/>
      <c r="EXB838" s="802"/>
      <c r="EXC838" s="802"/>
      <c r="EXD838" s="802"/>
      <c r="EXE838" s="802"/>
      <c r="EXF838" s="802"/>
      <c r="EXG838" s="802"/>
      <c r="EXH838" s="802"/>
      <c r="EXI838" s="802"/>
      <c r="EXJ838" s="802"/>
      <c r="EXK838" s="802"/>
      <c r="EXL838" s="802"/>
      <c r="EXM838" s="802"/>
      <c r="EXN838" s="802"/>
      <c r="EXO838" s="802"/>
      <c r="EXP838" s="802"/>
      <c r="EXQ838" s="802"/>
      <c r="EXR838" s="802"/>
      <c r="EXS838" s="802"/>
      <c r="EXT838" s="802"/>
      <c r="EXU838" s="802"/>
      <c r="EXV838" s="802"/>
      <c r="EXW838" s="802"/>
      <c r="EXX838" s="802"/>
      <c r="EXY838" s="802"/>
      <c r="EXZ838" s="802"/>
      <c r="EYA838" s="802"/>
      <c r="EYB838" s="802"/>
      <c r="EYC838" s="802"/>
      <c r="EYD838" s="802"/>
      <c r="EYE838" s="802"/>
      <c r="EYF838" s="802"/>
      <c r="EYG838" s="802"/>
      <c r="EYH838" s="802"/>
      <c r="EYI838" s="802"/>
      <c r="EYJ838" s="802"/>
      <c r="EYK838" s="802"/>
      <c r="EYL838" s="802"/>
      <c r="EYM838" s="802"/>
      <c r="EYN838" s="802"/>
      <c r="EYO838" s="802"/>
      <c r="EYP838" s="802"/>
      <c r="EYQ838" s="802"/>
      <c r="EYR838" s="802"/>
      <c r="EYS838" s="802"/>
      <c r="EYT838" s="802"/>
      <c r="EYU838" s="802"/>
      <c r="EYV838" s="802"/>
      <c r="EYW838" s="802"/>
      <c r="EYX838" s="802"/>
      <c r="EYY838" s="802"/>
      <c r="EYZ838" s="802"/>
      <c r="EZA838" s="802"/>
      <c r="EZB838" s="802"/>
      <c r="EZC838" s="802"/>
      <c r="EZD838" s="802"/>
      <c r="EZE838" s="802"/>
      <c r="EZF838" s="802"/>
      <c r="EZG838" s="802"/>
      <c r="EZH838" s="802"/>
      <c r="EZI838" s="802"/>
      <c r="EZJ838" s="802"/>
      <c r="EZK838" s="802"/>
      <c r="EZL838" s="802"/>
      <c r="EZM838" s="802"/>
      <c r="EZN838" s="802"/>
      <c r="EZO838" s="802"/>
      <c r="EZP838" s="802"/>
      <c r="EZQ838" s="802"/>
      <c r="EZR838" s="802"/>
      <c r="EZS838" s="802"/>
      <c r="EZT838" s="802"/>
      <c r="EZU838" s="802"/>
      <c r="EZV838" s="802"/>
      <c r="EZW838" s="802"/>
      <c r="EZX838" s="802"/>
      <c r="EZY838" s="802"/>
      <c r="EZZ838" s="802"/>
      <c r="FAA838" s="802"/>
      <c r="FAB838" s="802"/>
      <c r="FAC838" s="802"/>
      <c r="FAD838" s="802"/>
      <c r="FAE838" s="802"/>
      <c r="FAF838" s="802"/>
      <c r="FAG838" s="802"/>
      <c r="FAH838" s="802"/>
      <c r="FAI838" s="802"/>
      <c r="FAJ838" s="802"/>
      <c r="FAK838" s="802"/>
      <c r="FAL838" s="802"/>
      <c r="FAM838" s="802"/>
      <c r="FAN838" s="802"/>
      <c r="FAO838" s="802"/>
      <c r="FAP838" s="802"/>
      <c r="FAQ838" s="802"/>
      <c r="FAR838" s="802"/>
      <c r="FAS838" s="802"/>
      <c r="FAT838" s="802"/>
      <c r="FAU838" s="802"/>
      <c r="FAV838" s="802"/>
      <c r="FAW838" s="802"/>
      <c r="FAX838" s="802"/>
      <c r="FAY838" s="802"/>
      <c r="FAZ838" s="802"/>
      <c r="FBA838" s="802"/>
      <c r="FBB838" s="802"/>
      <c r="FBC838" s="802"/>
      <c r="FBD838" s="802"/>
      <c r="FBE838" s="802"/>
      <c r="FBF838" s="802"/>
      <c r="FBG838" s="802"/>
      <c r="FBH838" s="802"/>
      <c r="FBI838" s="802"/>
      <c r="FBJ838" s="802"/>
      <c r="FBK838" s="802"/>
      <c r="FBL838" s="802"/>
      <c r="FBM838" s="802"/>
      <c r="FBN838" s="802"/>
      <c r="FBO838" s="802"/>
      <c r="FBP838" s="802"/>
      <c r="FBQ838" s="802"/>
      <c r="FBR838" s="802"/>
      <c r="FBS838" s="802"/>
      <c r="FBT838" s="802"/>
      <c r="FBU838" s="802"/>
      <c r="FBV838" s="802"/>
      <c r="FBW838" s="802"/>
      <c r="FBX838" s="802"/>
      <c r="FBY838" s="802"/>
      <c r="FBZ838" s="802"/>
      <c r="FCA838" s="802"/>
      <c r="FCB838" s="802"/>
      <c r="FCC838" s="802"/>
      <c r="FCD838" s="802"/>
      <c r="FCE838" s="802"/>
      <c r="FCF838" s="802"/>
      <c r="FCG838" s="802"/>
      <c r="FCH838" s="802"/>
      <c r="FCI838" s="802"/>
      <c r="FCJ838" s="802"/>
      <c r="FCK838" s="802"/>
      <c r="FCL838" s="802"/>
      <c r="FCM838" s="802"/>
      <c r="FCN838" s="802"/>
      <c r="FCO838" s="802"/>
      <c r="FCP838" s="802"/>
      <c r="FCQ838" s="802"/>
      <c r="FCR838" s="802"/>
      <c r="FCS838" s="802"/>
      <c r="FCT838" s="802"/>
      <c r="FCU838" s="802"/>
      <c r="FCV838" s="802"/>
      <c r="FCW838" s="802"/>
      <c r="FCX838" s="802"/>
      <c r="FCY838" s="802"/>
      <c r="FCZ838" s="802"/>
      <c r="FDA838" s="802"/>
      <c r="FDB838" s="802"/>
      <c r="FDC838" s="802"/>
      <c r="FDD838" s="802"/>
      <c r="FDE838" s="802"/>
      <c r="FDF838" s="802"/>
      <c r="FDG838" s="802"/>
      <c r="FDH838" s="802"/>
      <c r="FDI838" s="802"/>
      <c r="FDJ838" s="802"/>
      <c r="FDK838" s="802"/>
      <c r="FDL838" s="802"/>
      <c r="FDM838" s="802"/>
      <c r="FDN838" s="802"/>
      <c r="FDO838" s="802"/>
      <c r="FDP838" s="802"/>
      <c r="FDQ838" s="802"/>
      <c r="FDR838" s="802"/>
      <c r="FDS838" s="802"/>
      <c r="FDT838" s="802"/>
      <c r="FDU838" s="802"/>
      <c r="FDV838" s="802"/>
      <c r="FDW838" s="802"/>
      <c r="FDX838" s="802"/>
      <c r="FDY838" s="802"/>
      <c r="FDZ838" s="802"/>
      <c r="FEA838" s="802"/>
      <c r="FEB838" s="802"/>
      <c r="FEC838" s="802"/>
      <c r="FED838" s="802"/>
      <c r="FEE838" s="802"/>
      <c r="FEF838" s="802"/>
      <c r="FEG838" s="802"/>
      <c r="FEH838" s="802"/>
      <c r="FEI838" s="802"/>
      <c r="FEJ838" s="802"/>
      <c r="FEK838" s="802"/>
      <c r="FEL838" s="802"/>
      <c r="FEM838" s="802"/>
      <c r="FEN838" s="802"/>
      <c r="FEO838" s="802"/>
      <c r="FEP838" s="802"/>
      <c r="FEQ838" s="802"/>
      <c r="FER838" s="802"/>
      <c r="FES838" s="802"/>
      <c r="FET838" s="802"/>
      <c r="FEU838" s="802"/>
      <c r="FEV838" s="802"/>
      <c r="FEW838" s="802"/>
      <c r="FEX838" s="802"/>
      <c r="FEY838" s="802"/>
      <c r="FEZ838" s="802"/>
      <c r="FFA838" s="802"/>
      <c r="FFB838" s="802"/>
      <c r="FFC838" s="802"/>
      <c r="FFD838" s="802"/>
      <c r="FFE838" s="802"/>
      <c r="FFF838" s="802"/>
      <c r="FFG838" s="802"/>
      <c r="FFH838" s="802"/>
      <c r="FFI838" s="802"/>
      <c r="FFJ838" s="802"/>
      <c r="FFK838" s="802"/>
      <c r="FFL838" s="802"/>
      <c r="FFM838" s="802"/>
      <c r="FFN838" s="802"/>
      <c r="FFO838" s="802"/>
      <c r="FFP838" s="802"/>
      <c r="FFQ838" s="802"/>
      <c r="FFR838" s="802"/>
      <c r="FFS838" s="802"/>
      <c r="FFT838" s="802"/>
      <c r="FFU838" s="802"/>
      <c r="FFV838" s="802"/>
      <c r="FFW838" s="802"/>
      <c r="FFX838" s="802"/>
      <c r="FFY838" s="802"/>
      <c r="FFZ838" s="802"/>
      <c r="FGA838" s="802"/>
      <c r="FGB838" s="802"/>
      <c r="FGC838" s="802"/>
      <c r="FGD838" s="802"/>
      <c r="FGE838" s="802"/>
      <c r="FGF838" s="802"/>
      <c r="FGG838" s="802"/>
      <c r="FGH838" s="802"/>
      <c r="FGI838" s="802"/>
      <c r="FGJ838" s="802"/>
      <c r="FGK838" s="802"/>
      <c r="FGL838" s="802"/>
      <c r="FGM838" s="802"/>
      <c r="FGN838" s="802"/>
      <c r="FGO838" s="802"/>
      <c r="FGP838" s="802"/>
      <c r="FGQ838" s="802"/>
      <c r="FGR838" s="802"/>
      <c r="FGS838" s="802"/>
      <c r="FGT838" s="802"/>
      <c r="FGU838" s="802"/>
      <c r="FGV838" s="802"/>
      <c r="FGW838" s="802"/>
      <c r="FGX838" s="802"/>
      <c r="FGY838" s="802"/>
      <c r="FGZ838" s="802"/>
      <c r="FHA838" s="802"/>
      <c r="FHB838" s="802"/>
      <c r="FHC838" s="802"/>
      <c r="FHD838" s="802"/>
      <c r="FHE838" s="802"/>
      <c r="FHF838" s="802"/>
      <c r="FHG838" s="802"/>
      <c r="FHH838" s="802"/>
      <c r="FHI838" s="802"/>
      <c r="FHJ838" s="802"/>
      <c r="FHK838" s="802"/>
      <c r="FHL838" s="802"/>
      <c r="FHM838" s="802"/>
      <c r="FHN838" s="802"/>
      <c r="FHO838" s="802"/>
      <c r="FHP838" s="802"/>
      <c r="FHQ838" s="802"/>
      <c r="FHR838" s="802"/>
      <c r="FHS838" s="802"/>
      <c r="FHT838" s="802"/>
      <c r="FHU838" s="802"/>
      <c r="FHV838" s="802"/>
      <c r="FHW838" s="802"/>
      <c r="FHX838" s="802"/>
      <c r="FHY838" s="802"/>
      <c r="FHZ838" s="802"/>
      <c r="FIA838" s="802"/>
      <c r="FIB838" s="802"/>
      <c r="FIC838" s="802"/>
      <c r="FID838" s="802"/>
      <c r="FIE838" s="802"/>
      <c r="FIF838" s="802"/>
      <c r="FIG838" s="802"/>
      <c r="FIH838" s="802"/>
      <c r="FII838" s="802"/>
      <c r="FIJ838" s="802"/>
      <c r="FIK838" s="802"/>
      <c r="FIL838" s="802"/>
      <c r="FIM838" s="802"/>
      <c r="FIN838" s="802"/>
      <c r="FIO838" s="802"/>
      <c r="FIP838" s="802"/>
      <c r="FIQ838" s="802"/>
      <c r="FIR838" s="802"/>
      <c r="FIS838" s="802"/>
      <c r="FIT838" s="802"/>
      <c r="FIU838" s="802"/>
      <c r="FIV838" s="802"/>
      <c r="FIW838" s="802"/>
      <c r="FIX838" s="802"/>
      <c r="FIY838" s="802"/>
      <c r="FIZ838" s="802"/>
      <c r="FJA838" s="802"/>
      <c r="FJB838" s="802"/>
      <c r="FJC838" s="802"/>
      <c r="FJD838" s="802"/>
      <c r="FJE838" s="802"/>
      <c r="FJF838" s="802"/>
      <c r="FJG838" s="802"/>
      <c r="FJH838" s="802"/>
      <c r="FJI838" s="802"/>
      <c r="FJJ838" s="802"/>
      <c r="FJK838" s="802"/>
      <c r="FJL838" s="802"/>
      <c r="FJM838" s="802"/>
      <c r="FJN838" s="802"/>
      <c r="FJO838" s="802"/>
      <c r="FJP838" s="802"/>
      <c r="FJQ838" s="802"/>
      <c r="FJR838" s="802"/>
      <c r="FJS838" s="802"/>
      <c r="FJT838" s="802"/>
      <c r="FJU838" s="802"/>
      <c r="FJV838" s="802"/>
      <c r="FJW838" s="802"/>
      <c r="FJX838" s="802"/>
      <c r="FJY838" s="802"/>
      <c r="FJZ838" s="802"/>
      <c r="FKA838" s="802"/>
      <c r="FKB838" s="802"/>
      <c r="FKC838" s="802"/>
      <c r="FKD838" s="802"/>
      <c r="FKE838" s="802"/>
      <c r="FKF838" s="802"/>
      <c r="FKG838" s="802"/>
      <c r="FKH838" s="802"/>
      <c r="FKI838" s="802"/>
      <c r="FKJ838" s="802"/>
      <c r="FKK838" s="802"/>
      <c r="FKL838" s="802"/>
      <c r="FKM838" s="802"/>
      <c r="FKN838" s="802"/>
      <c r="FKO838" s="802"/>
      <c r="FKP838" s="802"/>
      <c r="FKQ838" s="802"/>
      <c r="FKR838" s="802"/>
      <c r="FKS838" s="802"/>
      <c r="FKT838" s="802"/>
      <c r="FKU838" s="802"/>
      <c r="FKV838" s="802"/>
      <c r="FKW838" s="802"/>
      <c r="FKX838" s="802"/>
      <c r="FKY838" s="802"/>
      <c r="FKZ838" s="802"/>
      <c r="FLA838" s="802"/>
      <c r="FLB838" s="802"/>
      <c r="FLC838" s="802"/>
      <c r="FLD838" s="802"/>
      <c r="FLE838" s="802"/>
      <c r="FLF838" s="802"/>
      <c r="FLG838" s="802"/>
      <c r="FLH838" s="802"/>
      <c r="FLI838" s="802"/>
      <c r="FLJ838" s="802"/>
      <c r="FLK838" s="802"/>
      <c r="FLL838" s="802"/>
      <c r="FLM838" s="802"/>
      <c r="FLN838" s="802"/>
      <c r="FLO838" s="802"/>
      <c r="FLP838" s="802"/>
      <c r="FLQ838" s="802"/>
      <c r="FLR838" s="802"/>
      <c r="FLS838" s="802"/>
      <c r="FLT838" s="802"/>
      <c r="FLU838" s="802"/>
      <c r="FLV838" s="802"/>
      <c r="FLW838" s="802"/>
      <c r="FLX838" s="802"/>
      <c r="FLY838" s="802"/>
      <c r="FLZ838" s="802"/>
      <c r="FMA838" s="802"/>
      <c r="FMB838" s="802"/>
      <c r="FMC838" s="802"/>
      <c r="FMD838" s="802"/>
      <c r="FME838" s="802"/>
      <c r="FMF838" s="802"/>
      <c r="FMG838" s="802"/>
      <c r="FMH838" s="802"/>
      <c r="FMI838" s="802"/>
      <c r="FMJ838" s="802"/>
      <c r="FMK838" s="802"/>
      <c r="FML838" s="802"/>
      <c r="FMM838" s="802"/>
      <c r="FMN838" s="802"/>
      <c r="FMO838" s="802"/>
      <c r="FMP838" s="802"/>
      <c r="FMQ838" s="802"/>
      <c r="FMR838" s="802"/>
      <c r="FMS838" s="802"/>
      <c r="FMT838" s="802"/>
      <c r="FMU838" s="802"/>
      <c r="FMV838" s="802"/>
      <c r="FMW838" s="802"/>
      <c r="FMX838" s="802"/>
      <c r="FMY838" s="802"/>
      <c r="FMZ838" s="802"/>
      <c r="FNA838" s="802"/>
      <c r="FNB838" s="802"/>
      <c r="FNC838" s="802"/>
      <c r="FND838" s="802"/>
      <c r="FNE838" s="802"/>
      <c r="FNF838" s="802"/>
      <c r="FNG838" s="802"/>
      <c r="FNH838" s="802"/>
      <c r="FNI838" s="802"/>
      <c r="FNJ838" s="802"/>
      <c r="FNK838" s="802"/>
      <c r="FNL838" s="802"/>
      <c r="FNM838" s="802"/>
      <c r="FNN838" s="802"/>
      <c r="FNO838" s="802"/>
      <c r="FNP838" s="802"/>
      <c r="FNQ838" s="802"/>
      <c r="FNR838" s="802"/>
      <c r="FNS838" s="802"/>
      <c r="FNT838" s="802"/>
      <c r="FNU838" s="802"/>
      <c r="FNV838" s="802"/>
      <c r="FNW838" s="802"/>
      <c r="FNX838" s="802"/>
      <c r="FNY838" s="802"/>
      <c r="FNZ838" s="802"/>
      <c r="FOA838" s="802"/>
      <c r="FOB838" s="802"/>
      <c r="FOC838" s="802"/>
      <c r="FOD838" s="802"/>
      <c r="FOE838" s="802"/>
      <c r="FOF838" s="802"/>
      <c r="FOG838" s="802"/>
      <c r="FOH838" s="802"/>
      <c r="FOI838" s="802"/>
      <c r="FOJ838" s="802"/>
      <c r="FOK838" s="802"/>
      <c r="FOL838" s="802"/>
      <c r="FOM838" s="802"/>
      <c r="FON838" s="802"/>
      <c r="FOO838" s="802"/>
      <c r="FOP838" s="802"/>
      <c r="FOQ838" s="802"/>
      <c r="FOR838" s="802"/>
      <c r="FOS838" s="802"/>
      <c r="FOT838" s="802"/>
      <c r="FOU838" s="802"/>
      <c r="FOV838" s="802"/>
      <c r="FOW838" s="802"/>
      <c r="FOX838" s="802"/>
      <c r="FOY838" s="802"/>
      <c r="FOZ838" s="802"/>
      <c r="FPA838" s="802"/>
      <c r="FPB838" s="802"/>
      <c r="FPC838" s="802"/>
      <c r="FPD838" s="802"/>
      <c r="FPE838" s="802"/>
      <c r="FPF838" s="802"/>
      <c r="FPG838" s="802"/>
      <c r="FPH838" s="802"/>
      <c r="FPI838" s="802"/>
      <c r="FPJ838" s="802"/>
      <c r="FPK838" s="802"/>
      <c r="FPL838" s="802"/>
      <c r="FPM838" s="802"/>
      <c r="FPN838" s="802"/>
      <c r="FPO838" s="802"/>
      <c r="FPP838" s="802"/>
      <c r="FPQ838" s="802"/>
      <c r="FPR838" s="802"/>
      <c r="FPS838" s="802"/>
      <c r="FPT838" s="802"/>
      <c r="FPU838" s="802"/>
      <c r="FPV838" s="802"/>
      <c r="FPW838" s="802"/>
      <c r="FPX838" s="802"/>
      <c r="FPY838" s="802"/>
      <c r="FPZ838" s="802"/>
      <c r="FQA838" s="802"/>
      <c r="FQB838" s="802"/>
      <c r="FQC838" s="802"/>
      <c r="FQD838" s="802"/>
      <c r="FQE838" s="802"/>
      <c r="FQF838" s="802"/>
      <c r="FQG838" s="802"/>
      <c r="FQH838" s="802"/>
      <c r="FQI838" s="802"/>
      <c r="FQJ838" s="802"/>
      <c r="FQK838" s="802"/>
      <c r="FQL838" s="802"/>
      <c r="FQM838" s="802"/>
      <c r="FQN838" s="802"/>
      <c r="FQO838" s="802"/>
      <c r="FQP838" s="802"/>
      <c r="FQQ838" s="802"/>
      <c r="FQR838" s="802"/>
      <c r="FQS838" s="802"/>
      <c r="FQT838" s="802"/>
      <c r="FQU838" s="802"/>
      <c r="FQV838" s="802"/>
      <c r="FQW838" s="802"/>
      <c r="FQX838" s="802"/>
      <c r="FQY838" s="802"/>
      <c r="FQZ838" s="802"/>
      <c r="FRA838" s="802"/>
      <c r="FRB838" s="802"/>
      <c r="FRC838" s="802"/>
      <c r="FRD838" s="802"/>
      <c r="FRE838" s="802"/>
      <c r="FRF838" s="802"/>
      <c r="FRG838" s="802"/>
      <c r="FRH838" s="802"/>
      <c r="FRI838" s="802"/>
      <c r="FRJ838" s="802"/>
      <c r="FRK838" s="802"/>
      <c r="FRL838" s="802"/>
      <c r="FRM838" s="802"/>
      <c r="FRN838" s="802"/>
      <c r="FRO838" s="802"/>
      <c r="FRP838" s="802"/>
      <c r="FRQ838" s="802"/>
      <c r="FRR838" s="802"/>
      <c r="FRS838" s="802"/>
      <c r="FRT838" s="802"/>
      <c r="FRU838" s="802"/>
      <c r="FRV838" s="802"/>
      <c r="FRW838" s="802"/>
      <c r="FRX838" s="802"/>
      <c r="FRY838" s="802"/>
      <c r="FRZ838" s="802"/>
      <c r="FSA838" s="802"/>
      <c r="FSB838" s="802"/>
      <c r="FSC838" s="802"/>
      <c r="FSD838" s="802"/>
      <c r="FSE838" s="802"/>
      <c r="FSF838" s="802"/>
      <c r="FSG838" s="802"/>
      <c r="FSH838" s="802"/>
      <c r="FSI838" s="802"/>
      <c r="FSJ838" s="802"/>
      <c r="FSK838" s="802"/>
      <c r="FSL838" s="802"/>
      <c r="FSM838" s="802"/>
      <c r="FSN838" s="802"/>
      <c r="FSO838" s="802"/>
      <c r="FSP838" s="802"/>
      <c r="FSQ838" s="802"/>
      <c r="FSR838" s="802"/>
      <c r="FSS838" s="802"/>
      <c r="FST838" s="802"/>
      <c r="FSU838" s="802"/>
      <c r="FSV838" s="802"/>
      <c r="FSW838" s="802"/>
      <c r="FSX838" s="802"/>
      <c r="FSY838" s="802"/>
      <c r="FSZ838" s="802"/>
      <c r="FTA838" s="802"/>
      <c r="FTB838" s="802"/>
      <c r="FTC838" s="802"/>
      <c r="FTD838" s="802"/>
      <c r="FTE838" s="802"/>
      <c r="FTF838" s="802"/>
      <c r="FTG838" s="802"/>
      <c r="FTH838" s="802"/>
      <c r="FTI838" s="802"/>
      <c r="FTJ838" s="802"/>
      <c r="FTK838" s="802"/>
      <c r="FTL838" s="802"/>
      <c r="FTM838" s="802"/>
      <c r="FTN838" s="802"/>
      <c r="FTO838" s="802"/>
      <c r="FTP838" s="802"/>
      <c r="FTQ838" s="802"/>
      <c r="FTR838" s="802"/>
      <c r="FTS838" s="802"/>
      <c r="FTT838" s="802"/>
      <c r="FTU838" s="802"/>
      <c r="FTV838" s="802"/>
      <c r="FTW838" s="802"/>
      <c r="FTX838" s="802"/>
      <c r="FTY838" s="802"/>
      <c r="FTZ838" s="802"/>
      <c r="FUA838" s="802"/>
      <c r="FUB838" s="802"/>
      <c r="FUC838" s="802"/>
      <c r="FUD838" s="802"/>
      <c r="FUE838" s="802"/>
      <c r="FUF838" s="802"/>
      <c r="FUG838" s="802"/>
      <c r="FUH838" s="802"/>
      <c r="FUI838" s="802"/>
      <c r="FUJ838" s="802"/>
      <c r="FUK838" s="802"/>
      <c r="FUL838" s="802"/>
      <c r="FUM838" s="802"/>
      <c r="FUN838" s="802"/>
      <c r="FUO838" s="802"/>
      <c r="FUP838" s="802"/>
      <c r="FUQ838" s="802"/>
      <c r="FUR838" s="802"/>
      <c r="FUS838" s="802"/>
      <c r="FUT838" s="802"/>
      <c r="FUU838" s="802"/>
      <c r="FUV838" s="802"/>
      <c r="FUW838" s="802"/>
      <c r="FUX838" s="802"/>
      <c r="FUY838" s="802"/>
      <c r="FUZ838" s="802"/>
      <c r="FVA838" s="802"/>
      <c r="FVB838" s="802"/>
      <c r="FVC838" s="802"/>
      <c r="FVD838" s="802"/>
      <c r="FVE838" s="802"/>
      <c r="FVF838" s="802"/>
      <c r="FVG838" s="802"/>
      <c r="FVH838" s="802"/>
      <c r="FVI838" s="802"/>
      <c r="FVJ838" s="802"/>
      <c r="FVK838" s="802"/>
      <c r="FVL838" s="802"/>
      <c r="FVM838" s="802"/>
      <c r="FVN838" s="802"/>
      <c r="FVO838" s="802"/>
      <c r="FVP838" s="802"/>
      <c r="FVQ838" s="802"/>
      <c r="FVR838" s="802"/>
      <c r="FVS838" s="802"/>
      <c r="FVT838" s="802"/>
      <c r="FVU838" s="802"/>
      <c r="FVV838" s="802"/>
      <c r="FVW838" s="802"/>
      <c r="FVX838" s="802"/>
      <c r="FVY838" s="802"/>
      <c r="FVZ838" s="802"/>
      <c r="FWA838" s="802"/>
      <c r="FWB838" s="802"/>
      <c r="FWC838" s="802"/>
      <c r="FWD838" s="802"/>
      <c r="FWE838" s="802"/>
      <c r="FWF838" s="802"/>
      <c r="FWG838" s="802"/>
      <c r="FWH838" s="802"/>
      <c r="FWI838" s="802"/>
      <c r="FWJ838" s="802"/>
      <c r="FWK838" s="802"/>
      <c r="FWL838" s="802"/>
      <c r="FWM838" s="802"/>
      <c r="FWN838" s="802"/>
      <c r="FWO838" s="802"/>
      <c r="FWP838" s="802"/>
      <c r="FWQ838" s="802"/>
      <c r="FWR838" s="802"/>
      <c r="FWS838" s="802"/>
      <c r="FWT838" s="802"/>
      <c r="FWU838" s="802"/>
      <c r="FWV838" s="802"/>
      <c r="FWW838" s="802"/>
      <c r="FWX838" s="802"/>
      <c r="FWY838" s="802"/>
      <c r="FWZ838" s="802"/>
      <c r="FXA838" s="802"/>
      <c r="FXB838" s="802"/>
      <c r="FXC838" s="802"/>
      <c r="FXD838" s="802"/>
      <c r="FXE838" s="802"/>
      <c r="FXF838" s="802"/>
      <c r="FXG838" s="802"/>
      <c r="FXH838" s="802"/>
      <c r="FXI838" s="802"/>
      <c r="FXJ838" s="802"/>
      <c r="FXK838" s="802"/>
      <c r="FXL838" s="802"/>
      <c r="FXM838" s="802"/>
      <c r="FXN838" s="802"/>
      <c r="FXO838" s="802"/>
      <c r="FXP838" s="802"/>
      <c r="FXQ838" s="802"/>
      <c r="FXR838" s="802"/>
      <c r="FXS838" s="802"/>
      <c r="FXT838" s="802"/>
      <c r="FXU838" s="802"/>
      <c r="FXV838" s="802"/>
      <c r="FXW838" s="802"/>
      <c r="FXX838" s="802"/>
      <c r="FXY838" s="802"/>
      <c r="FXZ838" s="802"/>
      <c r="FYA838" s="802"/>
      <c r="FYB838" s="802"/>
      <c r="FYC838" s="802"/>
      <c r="FYD838" s="802"/>
      <c r="FYE838" s="802"/>
      <c r="FYF838" s="802"/>
      <c r="FYG838" s="802"/>
      <c r="FYH838" s="802"/>
      <c r="FYI838" s="802"/>
      <c r="FYJ838" s="802"/>
      <c r="FYK838" s="802"/>
      <c r="FYL838" s="802"/>
      <c r="FYM838" s="802"/>
      <c r="FYN838" s="802"/>
      <c r="FYO838" s="802"/>
      <c r="FYP838" s="802"/>
      <c r="FYQ838" s="802"/>
      <c r="FYR838" s="802"/>
      <c r="FYS838" s="802"/>
      <c r="FYT838" s="802"/>
      <c r="FYU838" s="802"/>
      <c r="FYV838" s="802"/>
      <c r="FYW838" s="802"/>
      <c r="FYX838" s="802"/>
      <c r="FYY838" s="802"/>
      <c r="FYZ838" s="802"/>
      <c r="FZA838" s="802"/>
      <c r="FZB838" s="802"/>
      <c r="FZC838" s="802"/>
      <c r="FZD838" s="802"/>
      <c r="FZE838" s="802"/>
      <c r="FZF838" s="802"/>
      <c r="FZG838" s="802"/>
      <c r="FZH838" s="802"/>
      <c r="FZI838" s="802"/>
      <c r="FZJ838" s="802"/>
      <c r="FZK838" s="802"/>
      <c r="FZL838" s="802"/>
      <c r="FZM838" s="802"/>
      <c r="FZN838" s="802"/>
      <c r="FZO838" s="802"/>
      <c r="FZP838" s="802"/>
      <c r="FZQ838" s="802"/>
      <c r="FZR838" s="802"/>
      <c r="FZS838" s="802"/>
      <c r="FZT838" s="802"/>
      <c r="FZU838" s="802"/>
      <c r="FZV838" s="802"/>
      <c r="FZW838" s="802"/>
      <c r="FZX838" s="802"/>
      <c r="FZY838" s="802"/>
      <c r="FZZ838" s="802"/>
      <c r="GAA838" s="802"/>
      <c r="GAB838" s="802"/>
      <c r="GAC838" s="802"/>
      <c r="GAD838" s="802"/>
      <c r="GAE838" s="802"/>
      <c r="GAF838" s="802"/>
      <c r="GAG838" s="802"/>
      <c r="GAH838" s="802"/>
      <c r="GAI838" s="802"/>
      <c r="GAJ838" s="802"/>
      <c r="GAK838" s="802"/>
      <c r="GAL838" s="802"/>
      <c r="GAM838" s="802"/>
      <c r="GAN838" s="802"/>
      <c r="GAO838" s="802"/>
      <c r="GAP838" s="802"/>
      <c r="GAQ838" s="802"/>
      <c r="GAR838" s="802"/>
      <c r="GAS838" s="802"/>
      <c r="GAT838" s="802"/>
      <c r="GAU838" s="802"/>
      <c r="GAV838" s="802"/>
      <c r="GAW838" s="802"/>
      <c r="GAX838" s="802"/>
      <c r="GAY838" s="802"/>
      <c r="GAZ838" s="802"/>
      <c r="GBA838" s="802"/>
      <c r="GBB838" s="802"/>
      <c r="GBC838" s="802"/>
      <c r="GBD838" s="802"/>
      <c r="GBE838" s="802"/>
      <c r="GBF838" s="802"/>
      <c r="GBG838" s="802"/>
      <c r="GBH838" s="802"/>
      <c r="GBI838" s="802"/>
      <c r="GBJ838" s="802"/>
      <c r="GBK838" s="802"/>
      <c r="GBL838" s="802"/>
      <c r="GBM838" s="802"/>
      <c r="GBN838" s="802"/>
      <c r="GBO838" s="802"/>
      <c r="GBP838" s="802"/>
      <c r="GBQ838" s="802"/>
      <c r="GBR838" s="802"/>
      <c r="GBS838" s="802"/>
      <c r="GBT838" s="802"/>
      <c r="GBU838" s="802"/>
      <c r="GBV838" s="802"/>
      <c r="GBW838" s="802"/>
      <c r="GBX838" s="802"/>
      <c r="GBY838" s="802"/>
      <c r="GBZ838" s="802"/>
      <c r="GCA838" s="802"/>
      <c r="GCB838" s="802"/>
      <c r="GCC838" s="802"/>
      <c r="GCD838" s="802"/>
      <c r="GCE838" s="802"/>
      <c r="GCF838" s="802"/>
      <c r="GCG838" s="802"/>
      <c r="GCH838" s="802"/>
      <c r="GCI838" s="802"/>
      <c r="GCJ838" s="802"/>
      <c r="GCK838" s="802"/>
      <c r="GCL838" s="802"/>
      <c r="GCM838" s="802"/>
      <c r="GCN838" s="802"/>
      <c r="GCO838" s="802"/>
      <c r="GCP838" s="802"/>
      <c r="GCQ838" s="802"/>
      <c r="GCR838" s="802"/>
      <c r="GCS838" s="802"/>
      <c r="GCT838" s="802"/>
      <c r="GCU838" s="802"/>
      <c r="GCV838" s="802"/>
      <c r="GCW838" s="802"/>
      <c r="GCX838" s="802"/>
      <c r="GCY838" s="802"/>
      <c r="GCZ838" s="802"/>
      <c r="GDA838" s="802"/>
      <c r="GDB838" s="802"/>
      <c r="GDC838" s="802"/>
      <c r="GDD838" s="802"/>
      <c r="GDE838" s="802"/>
      <c r="GDF838" s="802"/>
      <c r="GDG838" s="802"/>
      <c r="GDH838" s="802"/>
      <c r="GDI838" s="802"/>
      <c r="GDJ838" s="802"/>
      <c r="GDK838" s="802"/>
      <c r="GDL838" s="802"/>
      <c r="GDM838" s="802"/>
      <c r="GDN838" s="802"/>
      <c r="GDO838" s="802"/>
      <c r="GDP838" s="802"/>
      <c r="GDQ838" s="802"/>
      <c r="GDR838" s="802"/>
      <c r="GDS838" s="802"/>
      <c r="GDT838" s="802"/>
      <c r="GDU838" s="802"/>
      <c r="GDV838" s="802"/>
      <c r="GDW838" s="802"/>
      <c r="GDX838" s="802"/>
      <c r="GDY838" s="802"/>
      <c r="GDZ838" s="802"/>
      <c r="GEA838" s="802"/>
      <c r="GEB838" s="802"/>
      <c r="GEC838" s="802"/>
      <c r="GED838" s="802"/>
      <c r="GEE838" s="802"/>
      <c r="GEF838" s="802"/>
      <c r="GEG838" s="802"/>
      <c r="GEH838" s="802"/>
      <c r="GEI838" s="802"/>
      <c r="GEJ838" s="802"/>
      <c r="GEK838" s="802"/>
      <c r="GEL838" s="802"/>
      <c r="GEM838" s="802"/>
      <c r="GEN838" s="802"/>
      <c r="GEO838" s="802"/>
      <c r="GEP838" s="802"/>
      <c r="GEQ838" s="802"/>
      <c r="GER838" s="802"/>
      <c r="GES838" s="802"/>
      <c r="GET838" s="802"/>
      <c r="GEU838" s="802"/>
      <c r="GEV838" s="802"/>
      <c r="GEW838" s="802"/>
      <c r="GEX838" s="802"/>
      <c r="GEY838" s="802"/>
      <c r="GEZ838" s="802"/>
      <c r="GFA838" s="802"/>
      <c r="GFB838" s="802"/>
      <c r="GFC838" s="802"/>
      <c r="GFD838" s="802"/>
      <c r="GFE838" s="802"/>
      <c r="GFF838" s="802"/>
      <c r="GFG838" s="802"/>
      <c r="GFH838" s="802"/>
      <c r="GFI838" s="802"/>
      <c r="GFJ838" s="802"/>
      <c r="GFK838" s="802"/>
      <c r="GFL838" s="802"/>
      <c r="GFM838" s="802"/>
      <c r="GFN838" s="802"/>
      <c r="GFO838" s="802"/>
      <c r="GFP838" s="802"/>
      <c r="GFQ838" s="802"/>
      <c r="GFR838" s="802"/>
      <c r="GFS838" s="802"/>
      <c r="GFT838" s="802"/>
      <c r="GFU838" s="802"/>
      <c r="GFV838" s="802"/>
      <c r="GFW838" s="802"/>
      <c r="GFX838" s="802"/>
      <c r="GFY838" s="802"/>
      <c r="GFZ838" s="802"/>
      <c r="GGA838" s="802"/>
      <c r="GGB838" s="802"/>
      <c r="GGC838" s="802"/>
      <c r="GGD838" s="802"/>
      <c r="GGE838" s="802"/>
      <c r="GGF838" s="802"/>
      <c r="GGG838" s="802"/>
      <c r="GGH838" s="802"/>
      <c r="GGI838" s="802"/>
      <c r="GGJ838" s="802"/>
      <c r="GGK838" s="802"/>
      <c r="GGL838" s="802"/>
      <c r="GGM838" s="802"/>
      <c r="GGN838" s="802"/>
      <c r="GGO838" s="802"/>
      <c r="GGP838" s="802"/>
      <c r="GGQ838" s="802"/>
      <c r="GGR838" s="802"/>
      <c r="GGS838" s="802"/>
      <c r="GGT838" s="802"/>
      <c r="GGU838" s="802"/>
      <c r="GGV838" s="802"/>
      <c r="GGW838" s="802"/>
      <c r="GGX838" s="802"/>
      <c r="GGY838" s="802"/>
      <c r="GGZ838" s="802"/>
      <c r="GHA838" s="802"/>
      <c r="GHB838" s="802"/>
      <c r="GHC838" s="802"/>
      <c r="GHD838" s="802"/>
      <c r="GHE838" s="802"/>
      <c r="GHF838" s="802"/>
      <c r="GHG838" s="802"/>
      <c r="GHH838" s="802"/>
      <c r="GHI838" s="802"/>
      <c r="GHJ838" s="802"/>
      <c r="GHK838" s="802"/>
      <c r="GHL838" s="802"/>
      <c r="GHM838" s="802"/>
      <c r="GHN838" s="802"/>
      <c r="GHO838" s="802"/>
      <c r="GHP838" s="802"/>
      <c r="GHQ838" s="802"/>
      <c r="GHR838" s="802"/>
      <c r="GHS838" s="802"/>
      <c r="GHT838" s="802"/>
      <c r="GHU838" s="802"/>
      <c r="GHV838" s="802"/>
      <c r="GHW838" s="802"/>
      <c r="GHX838" s="802"/>
      <c r="GHY838" s="802"/>
      <c r="GHZ838" s="802"/>
      <c r="GIA838" s="802"/>
      <c r="GIB838" s="802"/>
      <c r="GIC838" s="802"/>
      <c r="GID838" s="802"/>
      <c r="GIE838" s="802"/>
      <c r="GIF838" s="802"/>
      <c r="GIG838" s="802"/>
      <c r="GIH838" s="802"/>
      <c r="GII838" s="802"/>
      <c r="GIJ838" s="802"/>
      <c r="GIK838" s="802"/>
      <c r="GIL838" s="802"/>
      <c r="GIM838" s="802"/>
      <c r="GIN838" s="802"/>
      <c r="GIO838" s="802"/>
      <c r="GIP838" s="802"/>
      <c r="GIQ838" s="802"/>
      <c r="GIR838" s="802"/>
      <c r="GIS838" s="802"/>
      <c r="GIT838" s="802"/>
      <c r="GIU838" s="802"/>
      <c r="GIV838" s="802"/>
      <c r="GIW838" s="802"/>
      <c r="GIX838" s="802"/>
      <c r="GIY838" s="802"/>
      <c r="GIZ838" s="802"/>
      <c r="GJA838" s="802"/>
      <c r="GJB838" s="802"/>
      <c r="GJC838" s="802"/>
      <c r="GJD838" s="802"/>
      <c r="GJE838" s="802"/>
      <c r="GJF838" s="802"/>
      <c r="GJG838" s="802"/>
      <c r="GJH838" s="802"/>
      <c r="GJI838" s="802"/>
      <c r="GJJ838" s="802"/>
      <c r="GJK838" s="802"/>
      <c r="GJL838" s="802"/>
      <c r="GJM838" s="802"/>
      <c r="GJN838" s="802"/>
      <c r="GJO838" s="802"/>
      <c r="GJP838" s="802"/>
      <c r="GJQ838" s="802"/>
      <c r="GJR838" s="802"/>
      <c r="GJS838" s="802"/>
      <c r="GJT838" s="802"/>
      <c r="GJU838" s="802"/>
      <c r="GJV838" s="802"/>
      <c r="GJW838" s="802"/>
      <c r="GJX838" s="802"/>
      <c r="GJY838" s="802"/>
      <c r="GJZ838" s="802"/>
      <c r="GKA838" s="802"/>
      <c r="GKB838" s="802"/>
      <c r="GKC838" s="802"/>
      <c r="GKD838" s="802"/>
      <c r="GKE838" s="802"/>
      <c r="GKF838" s="802"/>
      <c r="GKG838" s="802"/>
      <c r="GKH838" s="802"/>
      <c r="GKI838" s="802"/>
      <c r="GKJ838" s="802"/>
      <c r="GKK838" s="802"/>
      <c r="GKL838" s="802"/>
      <c r="GKM838" s="802"/>
      <c r="GKN838" s="802"/>
      <c r="GKO838" s="802"/>
      <c r="GKP838" s="802"/>
      <c r="GKQ838" s="802"/>
      <c r="GKR838" s="802"/>
      <c r="GKS838" s="802"/>
      <c r="GKT838" s="802"/>
      <c r="GKU838" s="802"/>
      <c r="GKV838" s="802"/>
      <c r="GKW838" s="802"/>
      <c r="GKX838" s="802"/>
      <c r="GKY838" s="802"/>
      <c r="GKZ838" s="802"/>
      <c r="GLA838" s="802"/>
      <c r="GLB838" s="802"/>
      <c r="GLC838" s="802"/>
      <c r="GLD838" s="802"/>
      <c r="GLE838" s="802"/>
      <c r="GLF838" s="802"/>
      <c r="GLG838" s="802"/>
      <c r="GLH838" s="802"/>
      <c r="GLI838" s="802"/>
      <c r="GLJ838" s="802"/>
      <c r="GLK838" s="802"/>
      <c r="GLL838" s="802"/>
      <c r="GLM838" s="802"/>
      <c r="GLN838" s="802"/>
      <c r="GLO838" s="802"/>
      <c r="GLP838" s="802"/>
      <c r="GLQ838" s="802"/>
      <c r="GLR838" s="802"/>
      <c r="GLS838" s="802"/>
      <c r="GLT838" s="802"/>
      <c r="GLU838" s="802"/>
      <c r="GLV838" s="802"/>
      <c r="GLW838" s="802"/>
      <c r="GLX838" s="802"/>
      <c r="GLY838" s="802"/>
      <c r="GLZ838" s="802"/>
      <c r="GMA838" s="802"/>
      <c r="GMB838" s="802"/>
      <c r="GMC838" s="802"/>
      <c r="GMD838" s="802"/>
      <c r="GME838" s="802"/>
      <c r="GMF838" s="802"/>
      <c r="GMG838" s="802"/>
      <c r="GMH838" s="802"/>
      <c r="GMI838" s="802"/>
      <c r="GMJ838" s="802"/>
      <c r="GMK838" s="802"/>
      <c r="GML838" s="802"/>
      <c r="GMM838" s="802"/>
      <c r="GMN838" s="802"/>
      <c r="GMO838" s="802"/>
      <c r="GMP838" s="802"/>
      <c r="GMQ838" s="802"/>
      <c r="GMR838" s="802"/>
      <c r="GMS838" s="802"/>
      <c r="GMT838" s="802"/>
      <c r="GMU838" s="802"/>
      <c r="GMV838" s="802"/>
      <c r="GMW838" s="802"/>
      <c r="GMX838" s="802"/>
      <c r="GMY838" s="802"/>
      <c r="GMZ838" s="802"/>
      <c r="GNA838" s="802"/>
      <c r="GNB838" s="802"/>
      <c r="GNC838" s="802"/>
      <c r="GND838" s="802"/>
      <c r="GNE838" s="802"/>
      <c r="GNF838" s="802"/>
      <c r="GNG838" s="802"/>
      <c r="GNH838" s="802"/>
      <c r="GNI838" s="802"/>
      <c r="GNJ838" s="802"/>
      <c r="GNK838" s="802"/>
      <c r="GNL838" s="802"/>
      <c r="GNM838" s="802"/>
      <c r="GNN838" s="802"/>
      <c r="GNO838" s="802"/>
      <c r="GNP838" s="802"/>
      <c r="GNQ838" s="802"/>
      <c r="GNR838" s="802"/>
      <c r="GNS838" s="802"/>
      <c r="GNT838" s="802"/>
      <c r="GNU838" s="802"/>
      <c r="GNV838" s="802"/>
      <c r="GNW838" s="802"/>
      <c r="GNX838" s="802"/>
      <c r="GNY838" s="802"/>
      <c r="GNZ838" s="802"/>
      <c r="GOA838" s="802"/>
      <c r="GOB838" s="802"/>
      <c r="GOC838" s="802"/>
      <c r="GOD838" s="802"/>
      <c r="GOE838" s="802"/>
      <c r="GOF838" s="802"/>
      <c r="GOG838" s="802"/>
      <c r="GOH838" s="802"/>
      <c r="GOI838" s="802"/>
      <c r="GOJ838" s="802"/>
      <c r="GOK838" s="802"/>
      <c r="GOL838" s="802"/>
      <c r="GOM838" s="802"/>
      <c r="GON838" s="802"/>
      <c r="GOO838" s="802"/>
      <c r="GOP838" s="802"/>
      <c r="GOQ838" s="802"/>
      <c r="GOR838" s="802"/>
      <c r="GOS838" s="802"/>
      <c r="GOT838" s="802"/>
      <c r="GOU838" s="802"/>
      <c r="GOV838" s="802"/>
      <c r="GOW838" s="802"/>
      <c r="GOX838" s="802"/>
      <c r="GOY838" s="802"/>
      <c r="GOZ838" s="802"/>
      <c r="GPA838" s="802"/>
      <c r="GPB838" s="802"/>
      <c r="GPC838" s="802"/>
      <c r="GPD838" s="802"/>
      <c r="GPE838" s="802"/>
      <c r="GPF838" s="802"/>
      <c r="GPG838" s="802"/>
      <c r="GPH838" s="802"/>
      <c r="GPI838" s="802"/>
      <c r="GPJ838" s="802"/>
      <c r="GPK838" s="802"/>
      <c r="GPL838" s="802"/>
      <c r="GPM838" s="802"/>
      <c r="GPN838" s="802"/>
      <c r="GPO838" s="802"/>
      <c r="GPP838" s="802"/>
      <c r="GPQ838" s="802"/>
      <c r="GPR838" s="802"/>
      <c r="GPS838" s="802"/>
      <c r="GPT838" s="802"/>
      <c r="GPU838" s="802"/>
      <c r="GPV838" s="802"/>
      <c r="GPW838" s="802"/>
      <c r="GPX838" s="802"/>
      <c r="GPY838" s="802"/>
      <c r="GPZ838" s="802"/>
      <c r="GQA838" s="802"/>
      <c r="GQB838" s="802"/>
      <c r="GQC838" s="802"/>
      <c r="GQD838" s="802"/>
      <c r="GQE838" s="802"/>
      <c r="GQF838" s="802"/>
      <c r="GQG838" s="802"/>
      <c r="GQH838" s="802"/>
      <c r="GQI838" s="802"/>
      <c r="GQJ838" s="802"/>
      <c r="GQK838" s="802"/>
      <c r="GQL838" s="802"/>
      <c r="GQM838" s="802"/>
      <c r="GQN838" s="802"/>
      <c r="GQO838" s="802"/>
      <c r="GQP838" s="802"/>
      <c r="GQQ838" s="802"/>
      <c r="GQR838" s="802"/>
      <c r="GQS838" s="802"/>
      <c r="GQT838" s="802"/>
      <c r="GQU838" s="802"/>
      <c r="GQV838" s="802"/>
      <c r="GQW838" s="802"/>
      <c r="GQX838" s="802"/>
      <c r="GQY838" s="802"/>
      <c r="GQZ838" s="802"/>
      <c r="GRA838" s="802"/>
      <c r="GRB838" s="802"/>
      <c r="GRC838" s="802"/>
      <c r="GRD838" s="802"/>
      <c r="GRE838" s="802"/>
      <c r="GRF838" s="802"/>
      <c r="GRG838" s="802"/>
      <c r="GRH838" s="802"/>
      <c r="GRI838" s="802"/>
      <c r="GRJ838" s="802"/>
      <c r="GRK838" s="802"/>
      <c r="GRL838" s="802"/>
      <c r="GRM838" s="802"/>
      <c r="GRN838" s="802"/>
      <c r="GRO838" s="802"/>
      <c r="GRP838" s="802"/>
      <c r="GRQ838" s="802"/>
      <c r="GRR838" s="802"/>
      <c r="GRS838" s="802"/>
      <c r="GRT838" s="802"/>
      <c r="GRU838" s="802"/>
      <c r="GRV838" s="802"/>
      <c r="GRW838" s="802"/>
      <c r="GRX838" s="802"/>
      <c r="GRY838" s="802"/>
      <c r="GRZ838" s="802"/>
      <c r="GSA838" s="802"/>
      <c r="GSB838" s="802"/>
      <c r="GSC838" s="802"/>
      <c r="GSD838" s="802"/>
      <c r="GSE838" s="802"/>
      <c r="GSF838" s="802"/>
      <c r="GSG838" s="802"/>
      <c r="GSH838" s="802"/>
      <c r="GSI838" s="802"/>
      <c r="GSJ838" s="802"/>
      <c r="GSK838" s="802"/>
      <c r="GSL838" s="802"/>
      <c r="GSM838" s="802"/>
      <c r="GSN838" s="802"/>
      <c r="GSO838" s="802"/>
      <c r="GSP838" s="802"/>
      <c r="GSQ838" s="802"/>
      <c r="GSR838" s="802"/>
      <c r="GSS838" s="802"/>
      <c r="GST838" s="802"/>
      <c r="GSU838" s="802"/>
      <c r="GSV838" s="802"/>
      <c r="GSW838" s="802"/>
      <c r="GSX838" s="802"/>
      <c r="GSY838" s="802"/>
      <c r="GSZ838" s="802"/>
      <c r="GTA838" s="802"/>
      <c r="GTB838" s="802"/>
      <c r="GTC838" s="802"/>
      <c r="GTD838" s="802"/>
      <c r="GTE838" s="802"/>
      <c r="GTF838" s="802"/>
      <c r="GTG838" s="802"/>
      <c r="GTH838" s="802"/>
      <c r="GTI838" s="802"/>
      <c r="GTJ838" s="802"/>
      <c r="GTK838" s="802"/>
      <c r="GTL838" s="802"/>
      <c r="GTM838" s="802"/>
      <c r="GTN838" s="802"/>
      <c r="GTO838" s="802"/>
      <c r="GTP838" s="802"/>
      <c r="GTQ838" s="802"/>
      <c r="GTR838" s="802"/>
      <c r="GTS838" s="802"/>
      <c r="GTT838" s="802"/>
      <c r="GTU838" s="802"/>
      <c r="GTV838" s="802"/>
      <c r="GTW838" s="802"/>
      <c r="GTX838" s="802"/>
      <c r="GTY838" s="802"/>
      <c r="GTZ838" s="802"/>
      <c r="GUA838" s="802"/>
      <c r="GUB838" s="802"/>
      <c r="GUC838" s="802"/>
      <c r="GUD838" s="802"/>
      <c r="GUE838" s="802"/>
      <c r="GUF838" s="802"/>
      <c r="GUG838" s="802"/>
      <c r="GUH838" s="802"/>
      <c r="GUI838" s="802"/>
      <c r="GUJ838" s="802"/>
      <c r="GUK838" s="802"/>
      <c r="GUL838" s="802"/>
      <c r="GUM838" s="802"/>
      <c r="GUN838" s="802"/>
      <c r="GUO838" s="802"/>
      <c r="GUP838" s="802"/>
      <c r="GUQ838" s="802"/>
      <c r="GUR838" s="802"/>
      <c r="GUS838" s="802"/>
      <c r="GUT838" s="802"/>
      <c r="GUU838" s="802"/>
      <c r="GUV838" s="802"/>
      <c r="GUW838" s="802"/>
      <c r="GUX838" s="802"/>
      <c r="GUY838" s="802"/>
      <c r="GUZ838" s="802"/>
      <c r="GVA838" s="802"/>
      <c r="GVB838" s="802"/>
      <c r="GVC838" s="802"/>
      <c r="GVD838" s="802"/>
      <c r="GVE838" s="802"/>
      <c r="GVF838" s="802"/>
      <c r="GVG838" s="802"/>
      <c r="GVH838" s="802"/>
      <c r="GVI838" s="802"/>
      <c r="GVJ838" s="802"/>
      <c r="GVK838" s="802"/>
      <c r="GVL838" s="802"/>
      <c r="GVM838" s="802"/>
      <c r="GVN838" s="802"/>
      <c r="GVO838" s="802"/>
      <c r="GVP838" s="802"/>
      <c r="GVQ838" s="802"/>
      <c r="GVR838" s="802"/>
      <c r="GVS838" s="802"/>
      <c r="GVT838" s="802"/>
      <c r="GVU838" s="802"/>
      <c r="GVV838" s="802"/>
      <c r="GVW838" s="802"/>
      <c r="GVX838" s="802"/>
      <c r="GVY838" s="802"/>
      <c r="GVZ838" s="802"/>
      <c r="GWA838" s="802"/>
      <c r="GWB838" s="802"/>
      <c r="GWC838" s="802"/>
      <c r="GWD838" s="802"/>
      <c r="GWE838" s="802"/>
      <c r="GWF838" s="802"/>
      <c r="GWG838" s="802"/>
      <c r="GWH838" s="802"/>
      <c r="GWI838" s="802"/>
      <c r="GWJ838" s="802"/>
      <c r="GWK838" s="802"/>
      <c r="GWL838" s="802"/>
      <c r="GWM838" s="802"/>
      <c r="GWN838" s="802"/>
      <c r="GWO838" s="802"/>
      <c r="GWP838" s="802"/>
      <c r="GWQ838" s="802"/>
      <c r="GWR838" s="802"/>
      <c r="GWS838" s="802"/>
      <c r="GWT838" s="802"/>
      <c r="GWU838" s="802"/>
      <c r="GWV838" s="802"/>
      <c r="GWW838" s="802"/>
      <c r="GWX838" s="802"/>
      <c r="GWY838" s="802"/>
      <c r="GWZ838" s="802"/>
      <c r="GXA838" s="802"/>
      <c r="GXB838" s="802"/>
      <c r="GXC838" s="802"/>
      <c r="GXD838" s="802"/>
      <c r="GXE838" s="802"/>
      <c r="GXF838" s="802"/>
      <c r="GXG838" s="802"/>
      <c r="GXH838" s="802"/>
      <c r="GXI838" s="802"/>
      <c r="GXJ838" s="802"/>
      <c r="GXK838" s="802"/>
      <c r="GXL838" s="802"/>
      <c r="GXM838" s="802"/>
      <c r="GXN838" s="802"/>
      <c r="GXO838" s="802"/>
      <c r="GXP838" s="802"/>
      <c r="GXQ838" s="802"/>
      <c r="GXR838" s="802"/>
      <c r="GXS838" s="802"/>
      <c r="GXT838" s="802"/>
      <c r="GXU838" s="802"/>
      <c r="GXV838" s="802"/>
      <c r="GXW838" s="802"/>
      <c r="GXX838" s="802"/>
      <c r="GXY838" s="802"/>
      <c r="GXZ838" s="802"/>
      <c r="GYA838" s="802"/>
      <c r="GYB838" s="802"/>
      <c r="GYC838" s="802"/>
      <c r="GYD838" s="802"/>
      <c r="GYE838" s="802"/>
      <c r="GYF838" s="802"/>
      <c r="GYG838" s="802"/>
      <c r="GYH838" s="802"/>
      <c r="GYI838" s="802"/>
      <c r="GYJ838" s="802"/>
      <c r="GYK838" s="802"/>
      <c r="GYL838" s="802"/>
      <c r="GYM838" s="802"/>
      <c r="GYN838" s="802"/>
      <c r="GYO838" s="802"/>
      <c r="GYP838" s="802"/>
      <c r="GYQ838" s="802"/>
      <c r="GYR838" s="802"/>
      <c r="GYS838" s="802"/>
      <c r="GYT838" s="802"/>
      <c r="GYU838" s="802"/>
      <c r="GYV838" s="802"/>
      <c r="GYW838" s="802"/>
      <c r="GYX838" s="802"/>
      <c r="GYY838" s="802"/>
      <c r="GYZ838" s="802"/>
      <c r="GZA838" s="802"/>
      <c r="GZB838" s="802"/>
      <c r="GZC838" s="802"/>
      <c r="GZD838" s="802"/>
      <c r="GZE838" s="802"/>
      <c r="GZF838" s="802"/>
      <c r="GZG838" s="802"/>
      <c r="GZH838" s="802"/>
      <c r="GZI838" s="802"/>
      <c r="GZJ838" s="802"/>
      <c r="GZK838" s="802"/>
      <c r="GZL838" s="802"/>
      <c r="GZM838" s="802"/>
      <c r="GZN838" s="802"/>
      <c r="GZO838" s="802"/>
      <c r="GZP838" s="802"/>
      <c r="GZQ838" s="802"/>
      <c r="GZR838" s="802"/>
      <c r="GZS838" s="802"/>
      <c r="GZT838" s="802"/>
      <c r="GZU838" s="802"/>
      <c r="GZV838" s="802"/>
      <c r="GZW838" s="802"/>
      <c r="GZX838" s="802"/>
      <c r="GZY838" s="802"/>
      <c r="GZZ838" s="802"/>
      <c r="HAA838" s="802"/>
      <c r="HAB838" s="802"/>
      <c r="HAC838" s="802"/>
      <c r="HAD838" s="802"/>
      <c r="HAE838" s="802"/>
      <c r="HAF838" s="802"/>
      <c r="HAG838" s="802"/>
      <c r="HAH838" s="802"/>
      <c r="HAI838" s="802"/>
      <c r="HAJ838" s="802"/>
      <c r="HAK838" s="802"/>
      <c r="HAL838" s="802"/>
      <c r="HAM838" s="802"/>
      <c r="HAN838" s="802"/>
      <c r="HAO838" s="802"/>
      <c r="HAP838" s="802"/>
      <c r="HAQ838" s="802"/>
      <c r="HAR838" s="802"/>
      <c r="HAS838" s="802"/>
      <c r="HAT838" s="802"/>
      <c r="HAU838" s="802"/>
      <c r="HAV838" s="802"/>
      <c r="HAW838" s="802"/>
      <c r="HAX838" s="802"/>
      <c r="HAY838" s="802"/>
      <c r="HAZ838" s="802"/>
      <c r="HBA838" s="802"/>
      <c r="HBB838" s="802"/>
      <c r="HBC838" s="802"/>
      <c r="HBD838" s="802"/>
      <c r="HBE838" s="802"/>
      <c r="HBF838" s="802"/>
      <c r="HBG838" s="802"/>
      <c r="HBH838" s="802"/>
      <c r="HBI838" s="802"/>
      <c r="HBJ838" s="802"/>
      <c r="HBK838" s="802"/>
      <c r="HBL838" s="802"/>
      <c r="HBM838" s="802"/>
      <c r="HBN838" s="802"/>
      <c r="HBO838" s="802"/>
      <c r="HBP838" s="802"/>
      <c r="HBQ838" s="802"/>
      <c r="HBR838" s="802"/>
      <c r="HBS838" s="802"/>
      <c r="HBT838" s="802"/>
      <c r="HBU838" s="802"/>
      <c r="HBV838" s="802"/>
      <c r="HBW838" s="802"/>
      <c r="HBX838" s="802"/>
      <c r="HBY838" s="802"/>
      <c r="HBZ838" s="802"/>
      <c r="HCA838" s="802"/>
      <c r="HCB838" s="802"/>
      <c r="HCC838" s="802"/>
      <c r="HCD838" s="802"/>
      <c r="HCE838" s="802"/>
      <c r="HCF838" s="802"/>
      <c r="HCG838" s="802"/>
      <c r="HCH838" s="802"/>
      <c r="HCI838" s="802"/>
      <c r="HCJ838" s="802"/>
      <c r="HCK838" s="802"/>
      <c r="HCL838" s="802"/>
      <c r="HCM838" s="802"/>
      <c r="HCN838" s="802"/>
      <c r="HCO838" s="802"/>
      <c r="HCP838" s="802"/>
      <c r="HCQ838" s="802"/>
      <c r="HCR838" s="802"/>
      <c r="HCS838" s="802"/>
      <c r="HCT838" s="802"/>
      <c r="HCU838" s="802"/>
      <c r="HCV838" s="802"/>
      <c r="HCW838" s="802"/>
      <c r="HCX838" s="802"/>
      <c r="HCY838" s="802"/>
      <c r="HCZ838" s="802"/>
      <c r="HDA838" s="802"/>
      <c r="HDB838" s="802"/>
      <c r="HDC838" s="802"/>
      <c r="HDD838" s="802"/>
      <c r="HDE838" s="802"/>
      <c r="HDF838" s="802"/>
      <c r="HDG838" s="802"/>
      <c r="HDH838" s="802"/>
      <c r="HDI838" s="802"/>
      <c r="HDJ838" s="802"/>
      <c r="HDK838" s="802"/>
      <c r="HDL838" s="802"/>
      <c r="HDM838" s="802"/>
      <c r="HDN838" s="802"/>
      <c r="HDO838" s="802"/>
      <c r="HDP838" s="802"/>
      <c r="HDQ838" s="802"/>
      <c r="HDR838" s="802"/>
      <c r="HDS838" s="802"/>
      <c r="HDT838" s="802"/>
      <c r="HDU838" s="802"/>
      <c r="HDV838" s="802"/>
      <c r="HDW838" s="802"/>
      <c r="HDX838" s="802"/>
      <c r="HDY838" s="802"/>
      <c r="HDZ838" s="802"/>
      <c r="HEA838" s="802"/>
      <c r="HEB838" s="802"/>
      <c r="HEC838" s="802"/>
      <c r="HED838" s="802"/>
      <c r="HEE838" s="802"/>
      <c r="HEF838" s="802"/>
      <c r="HEG838" s="802"/>
      <c r="HEH838" s="802"/>
      <c r="HEI838" s="802"/>
      <c r="HEJ838" s="802"/>
      <c r="HEK838" s="802"/>
      <c r="HEL838" s="802"/>
      <c r="HEM838" s="802"/>
      <c r="HEN838" s="802"/>
      <c r="HEO838" s="802"/>
      <c r="HEP838" s="802"/>
      <c r="HEQ838" s="802"/>
      <c r="HER838" s="802"/>
      <c r="HES838" s="802"/>
      <c r="HET838" s="802"/>
      <c r="HEU838" s="802"/>
      <c r="HEV838" s="802"/>
      <c r="HEW838" s="802"/>
      <c r="HEX838" s="802"/>
      <c r="HEY838" s="802"/>
      <c r="HEZ838" s="802"/>
      <c r="HFA838" s="802"/>
      <c r="HFB838" s="802"/>
      <c r="HFC838" s="802"/>
      <c r="HFD838" s="802"/>
      <c r="HFE838" s="802"/>
      <c r="HFF838" s="802"/>
      <c r="HFG838" s="802"/>
      <c r="HFH838" s="802"/>
      <c r="HFI838" s="802"/>
      <c r="HFJ838" s="802"/>
      <c r="HFK838" s="802"/>
      <c r="HFL838" s="802"/>
      <c r="HFM838" s="802"/>
      <c r="HFN838" s="802"/>
      <c r="HFO838" s="802"/>
      <c r="HFP838" s="802"/>
      <c r="HFQ838" s="802"/>
      <c r="HFR838" s="802"/>
      <c r="HFS838" s="802"/>
      <c r="HFT838" s="802"/>
      <c r="HFU838" s="802"/>
      <c r="HFV838" s="802"/>
      <c r="HFW838" s="802"/>
      <c r="HFX838" s="802"/>
      <c r="HFY838" s="802"/>
      <c r="HFZ838" s="802"/>
      <c r="HGA838" s="802"/>
      <c r="HGB838" s="802"/>
      <c r="HGC838" s="802"/>
      <c r="HGD838" s="802"/>
      <c r="HGE838" s="802"/>
      <c r="HGF838" s="802"/>
      <c r="HGG838" s="802"/>
      <c r="HGH838" s="802"/>
      <c r="HGI838" s="802"/>
      <c r="HGJ838" s="802"/>
      <c r="HGK838" s="802"/>
      <c r="HGL838" s="802"/>
      <c r="HGM838" s="802"/>
      <c r="HGN838" s="802"/>
      <c r="HGO838" s="802"/>
      <c r="HGP838" s="802"/>
      <c r="HGQ838" s="802"/>
      <c r="HGR838" s="802"/>
      <c r="HGS838" s="802"/>
      <c r="HGT838" s="802"/>
      <c r="HGU838" s="802"/>
      <c r="HGV838" s="802"/>
      <c r="HGW838" s="802"/>
      <c r="HGX838" s="802"/>
      <c r="HGY838" s="802"/>
      <c r="HGZ838" s="802"/>
      <c r="HHA838" s="802"/>
      <c r="HHB838" s="802"/>
      <c r="HHC838" s="802"/>
      <c r="HHD838" s="802"/>
      <c r="HHE838" s="802"/>
      <c r="HHF838" s="802"/>
      <c r="HHG838" s="802"/>
      <c r="HHH838" s="802"/>
      <c r="HHI838" s="802"/>
      <c r="HHJ838" s="802"/>
      <c r="HHK838" s="802"/>
      <c r="HHL838" s="802"/>
      <c r="HHM838" s="802"/>
      <c r="HHN838" s="802"/>
      <c r="HHO838" s="802"/>
      <c r="HHP838" s="802"/>
      <c r="HHQ838" s="802"/>
      <c r="HHR838" s="802"/>
      <c r="HHS838" s="802"/>
      <c r="HHT838" s="802"/>
      <c r="HHU838" s="802"/>
      <c r="HHV838" s="802"/>
      <c r="HHW838" s="802"/>
      <c r="HHX838" s="802"/>
      <c r="HHY838" s="802"/>
      <c r="HHZ838" s="802"/>
      <c r="HIA838" s="802"/>
      <c r="HIB838" s="802"/>
      <c r="HIC838" s="802"/>
      <c r="HID838" s="802"/>
      <c r="HIE838" s="802"/>
      <c r="HIF838" s="802"/>
      <c r="HIG838" s="802"/>
      <c r="HIH838" s="802"/>
      <c r="HII838" s="802"/>
      <c r="HIJ838" s="802"/>
      <c r="HIK838" s="802"/>
      <c r="HIL838" s="802"/>
      <c r="HIM838" s="802"/>
      <c r="HIN838" s="802"/>
      <c r="HIO838" s="802"/>
      <c r="HIP838" s="802"/>
      <c r="HIQ838" s="802"/>
      <c r="HIR838" s="802"/>
      <c r="HIS838" s="802"/>
      <c r="HIT838" s="802"/>
      <c r="HIU838" s="802"/>
      <c r="HIV838" s="802"/>
      <c r="HIW838" s="802"/>
      <c r="HIX838" s="802"/>
      <c r="HIY838" s="802"/>
      <c r="HIZ838" s="802"/>
      <c r="HJA838" s="802"/>
      <c r="HJB838" s="802"/>
      <c r="HJC838" s="802"/>
      <c r="HJD838" s="802"/>
      <c r="HJE838" s="802"/>
      <c r="HJF838" s="802"/>
      <c r="HJG838" s="802"/>
      <c r="HJH838" s="802"/>
      <c r="HJI838" s="802"/>
      <c r="HJJ838" s="802"/>
      <c r="HJK838" s="802"/>
      <c r="HJL838" s="802"/>
      <c r="HJM838" s="802"/>
      <c r="HJN838" s="802"/>
      <c r="HJO838" s="802"/>
      <c r="HJP838" s="802"/>
      <c r="HJQ838" s="802"/>
      <c r="HJR838" s="802"/>
      <c r="HJS838" s="802"/>
      <c r="HJT838" s="802"/>
      <c r="HJU838" s="802"/>
      <c r="HJV838" s="802"/>
      <c r="HJW838" s="802"/>
      <c r="HJX838" s="802"/>
      <c r="HJY838" s="802"/>
      <c r="HJZ838" s="802"/>
      <c r="HKA838" s="802"/>
      <c r="HKB838" s="802"/>
      <c r="HKC838" s="802"/>
      <c r="HKD838" s="802"/>
      <c r="HKE838" s="802"/>
      <c r="HKF838" s="802"/>
      <c r="HKG838" s="802"/>
      <c r="HKH838" s="802"/>
      <c r="HKI838" s="802"/>
      <c r="HKJ838" s="802"/>
      <c r="HKK838" s="802"/>
      <c r="HKL838" s="802"/>
      <c r="HKM838" s="802"/>
      <c r="HKN838" s="802"/>
      <c r="HKO838" s="802"/>
      <c r="HKP838" s="802"/>
      <c r="HKQ838" s="802"/>
      <c r="HKR838" s="802"/>
      <c r="HKS838" s="802"/>
      <c r="HKT838" s="802"/>
      <c r="HKU838" s="802"/>
      <c r="HKV838" s="802"/>
      <c r="HKW838" s="802"/>
      <c r="HKX838" s="802"/>
      <c r="HKY838" s="802"/>
      <c r="HKZ838" s="802"/>
      <c r="HLA838" s="802"/>
      <c r="HLB838" s="802"/>
      <c r="HLC838" s="802"/>
      <c r="HLD838" s="802"/>
      <c r="HLE838" s="802"/>
      <c r="HLF838" s="802"/>
      <c r="HLG838" s="802"/>
      <c r="HLH838" s="802"/>
      <c r="HLI838" s="802"/>
      <c r="HLJ838" s="802"/>
      <c r="HLK838" s="802"/>
      <c r="HLL838" s="802"/>
      <c r="HLM838" s="802"/>
      <c r="HLN838" s="802"/>
      <c r="HLO838" s="802"/>
      <c r="HLP838" s="802"/>
      <c r="HLQ838" s="802"/>
      <c r="HLR838" s="802"/>
      <c r="HLS838" s="802"/>
      <c r="HLT838" s="802"/>
      <c r="HLU838" s="802"/>
      <c r="HLV838" s="802"/>
      <c r="HLW838" s="802"/>
      <c r="HLX838" s="802"/>
      <c r="HLY838" s="802"/>
      <c r="HLZ838" s="802"/>
      <c r="HMA838" s="802"/>
      <c r="HMB838" s="802"/>
      <c r="HMC838" s="802"/>
      <c r="HMD838" s="802"/>
      <c r="HME838" s="802"/>
      <c r="HMF838" s="802"/>
      <c r="HMG838" s="802"/>
      <c r="HMH838" s="802"/>
      <c r="HMI838" s="802"/>
      <c r="HMJ838" s="802"/>
      <c r="HMK838" s="802"/>
      <c r="HML838" s="802"/>
      <c r="HMM838" s="802"/>
      <c r="HMN838" s="802"/>
      <c r="HMO838" s="802"/>
      <c r="HMP838" s="802"/>
      <c r="HMQ838" s="802"/>
      <c r="HMR838" s="802"/>
      <c r="HMS838" s="802"/>
      <c r="HMT838" s="802"/>
      <c r="HMU838" s="802"/>
      <c r="HMV838" s="802"/>
      <c r="HMW838" s="802"/>
      <c r="HMX838" s="802"/>
      <c r="HMY838" s="802"/>
      <c r="HMZ838" s="802"/>
      <c r="HNA838" s="802"/>
      <c r="HNB838" s="802"/>
      <c r="HNC838" s="802"/>
      <c r="HND838" s="802"/>
      <c r="HNE838" s="802"/>
      <c r="HNF838" s="802"/>
      <c r="HNG838" s="802"/>
      <c r="HNH838" s="802"/>
      <c r="HNI838" s="802"/>
      <c r="HNJ838" s="802"/>
      <c r="HNK838" s="802"/>
      <c r="HNL838" s="802"/>
      <c r="HNM838" s="802"/>
      <c r="HNN838" s="802"/>
      <c r="HNO838" s="802"/>
      <c r="HNP838" s="802"/>
      <c r="HNQ838" s="802"/>
      <c r="HNR838" s="802"/>
      <c r="HNS838" s="802"/>
      <c r="HNT838" s="802"/>
      <c r="HNU838" s="802"/>
      <c r="HNV838" s="802"/>
      <c r="HNW838" s="802"/>
      <c r="HNX838" s="802"/>
      <c r="HNY838" s="802"/>
      <c r="HNZ838" s="802"/>
      <c r="HOA838" s="802"/>
      <c r="HOB838" s="802"/>
      <c r="HOC838" s="802"/>
      <c r="HOD838" s="802"/>
      <c r="HOE838" s="802"/>
      <c r="HOF838" s="802"/>
      <c r="HOG838" s="802"/>
      <c r="HOH838" s="802"/>
      <c r="HOI838" s="802"/>
      <c r="HOJ838" s="802"/>
      <c r="HOK838" s="802"/>
      <c r="HOL838" s="802"/>
      <c r="HOM838" s="802"/>
      <c r="HON838" s="802"/>
      <c r="HOO838" s="802"/>
      <c r="HOP838" s="802"/>
      <c r="HOQ838" s="802"/>
      <c r="HOR838" s="802"/>
      <c r="HOS838" s="802"/>
      <c r="HOT838" s="802"/>
      <c r="HOU838" s="802"/>
      <c r="HOV838" s="802"/>
      <c r="HOW838" s="802"/>
      <c r="HOX838" s="802"/>
      <c r="HOY838" s="802"/>
      <c r="HOZ838" s="802"/>
      <c r="HPA838" s="802"/>
      <c r="HPB838" s="802"/>
      <c r="HPC838" s="802"/>
      <c r="HPD838" s="802"/>
      <c r="HPE838" s="802"/>
      <c r="HPF838" s="802"/>
      <c r="HPG838" s="802"/>
      <c r="HPH838" s="802"/>
      <c r="HPI838" s="802"/>
      <c r="HPJ838" s="802"/>
      <c r="HPK838" s="802"/>
      <c r="HPL838" s="802"/>
      <c r="HPM838" s="802"/>
      <c r="HPN838" s="802"/>
      <c r="HPO838" s="802"/>
      <c r="HPP838" s="802"/>
      <c r="HPQ838" s="802"/>
      <c r="HPR838" s="802"/>
      <c r="HPS838" s="802"/>
      <c r="HPT838" s="802"/>
      <c r="HPU838" s="802"/>
      <c r="HPV838" s="802"/>
      <c r="HPW838" s="802"/>
      <c r="HPX838" s="802"/>
      <c r="HPY838" s="802"/>
      <c r="HPZ838" s="802"/>
      <c r="HQA838" s="802"/>
      <c r="HQB838" s="802"/>
      <c r="HQC838" s="802"/>
      <c r="HQD838" s="802"/>
      <c r="HQE838" s="802"/>
      <c r="HQF838" s="802"/>
      <c r="HQG838" s="802"/>
      <c r="HQH838" s="802"/>
      <c r="HQI838" s="802"/>
      <c r="HQJ838" s="802"/>
      <c r="HQK838" s="802"/>
      <c r="HQL838" s="802"/>
      <c r="HQM838" s="802"/>
      <c r="HQN838" s="802"/>
      <c r="HQO838" s="802"/>
      <c r="HQP838" s="802"/>
      <c r="HQQ838" s="802"/>
      <c r="HQR838" s="802"/>
      <c r="HQS838" s="802"/>
      <c r="HQT838" s="802"/>
      <c r="HQU838" s="802"/>
      <c r="HQV838" s="802"/>
      <c r="HQW838" s="802"/>
      <c r="HQX838" s="802"/>
      <c r="HQY838" s="802"/>
      <c r="HQZ838" s="802"/>
      <c r="HRA838" s="802"/>
      <c r="HRB838" s="802"/>
      <c r="HRC838" s="802"/>
      <c r="HRD838" s="802"/>
      <c r="HRE838" s="802"/>
      <c r="HRF838" s="802"/>
      <c r="HRG838" s="802"/>
      <c r="HRH838" s="802"/>
      <c r="HRI838" s="802"/>
      <c r="HRJ838" s="802"/>
      <c r="HRK838" s="802"/>
      <c r="HRL838" s="802"/>
      <c r="HRM838" s="802"/>
      <c r="HRN838" s="802"/>
      <c r="HRO838" s="802"/>
      <c r="HRP838" s="802"/>
      <c r="HRQ838" s="802"/>
      <c r="HRR838" s="802"/>
      <c r="HRS838" s="802"/>
      <c r="HRT838" s="802"/>
      <c r="HRU838" s="802"/>
      <c r="HRV838" s="802"/>
      <c r="HRW838" s="802"/>
      <c r="HRX838" s="802"/>
      <c r="HRY838" s="802"/>
      <c r="HRZ838" s="802"/>
      <c r="HSA838" s="802"/>
      <c r="HSB838" s="802"/>
      <c r="HSC838" s="802"/>
      <c r="HSD838" s="802"/>
      <c r="HSE838" s="802"/>
      <c r="HSF838" s="802"/>
      <c r="HSG838" s="802"/>
      <c r="HSH838" s="802"/>
      <c r="HSI838" s="802"/>
      <c r="HSJ838" s="802"/>
      <c r="HSK838" s="802"/>
      <c r="HSL838" s="802"/>
      <c r="HSM838" s="802"/>
      <c r="HSN838" s="802"/>
      <c r="HSO838" s="802"/>
      <c r="HSP838" s="802"/>
      <c r="HSQ838" s="802"/>
      <c r="HSR838" s="802"/>
      <c r="HSS838" s="802"/>
      <c r="HST838" s="802"/>
      <c r="HSU838" s="802"/>
      <c r="HSV838" s="802"/>
      <c r="HSW838" s="802"/>
      <c r="HSX838" s="802"/>
      <c r="HSY838" s="802"/>
      <c r="HSZ838" s="802"/>
      <c r="HTA838" s="802"/>
      <c r="HTB838" s="802"/>
      <c r="HTC838" s="802"/>
      <c r="HTD838" s="802"/>
      <c r="HTE838" s="802"/>
      <c r="HTF838" s="802"/>
      <c r="HTG838" s="802"/>
      <c r="HTH838" s="802"/>
      <c r="HTI838" s="802"/>
      <c r="HTJ838" s="802"/>
      <c r="HTK838" s="802"/>
      <c r="HTL838" s="802"/>
      <c r="HTM838" s="802"/>
      <c r="HTN838" s="802"/>
      <c r="HTO838" s="802"/>
      <c r="HTP838" s="802"/>
      <c r="HTQ838" s="802"/>
      <c r="HTR838" s="802"/>
      <c r="HTS838" s="802"/>
      <c r="HTT838" s="802"/>
      <c r="HTU838" s="802"/>
      <c r="HTV838" s="802"/>
      <c r="HTW838" s="802"/>
      <c r="HTX838" s="802"/>
      <c r="HTY838" s="802"/>
      <c r="HTZ838" s="802"/>
      <c r="HUA838" s="802"/>
      <c r="HUB838" s="802"/>
      <c r="HUC838" s="802"/>
      <c r="HUD838" s="802"/>
      <c r="HUE838" s="802"/>
      <c r="HUF838" s="802"/>
      <c r="HUG838" s="802"/>
      <c r="HUH838" s="802"/>
      <c r="HUI838" s="802"/>
      <c r="HUJ838" s="802"/>
      <c r="HUK838" s="802"/>
      <c r="HUL838" s="802"/>
      <c r="HUM838" s="802"/>
      <c r="HUN838" s="802"/>
      <c r="HUO838" s="802"/>
      <c r="HUP838" s="802"/>
      <c r="HUQ838" s="802"/>
      <c r="HUR838" s="802"/>
      <c r="HUS838" s="802"/>
      <c r="HUT838" s="802"/>
      <c r="HUU838" s="802"/>
      <c r="HUV838" s="802"/>
      <c r="HUW838" s="802"/>
      <c r="HUX838" s="802"/>
      <c r="HUY838" s="802"/>
      <c r="HUZ838" s="802"/>
      <c r="HVA838" s="802"/>
      <c r="HVB838" s="802"/>
      <c r="HVC838" s="802"/>
      <c r="HVD838" s="802"/>
      <c r="HVE838" s="802"/>
      <c r="HVF838" s="802"/>
      <c r="HVG838" s="802"/>
      <c r="HVH838" s="802"/>
      <c r="HVI838" s="802"/>
      <c r="HVJ838" s="802"/>
      <c r="HVK838" s="802"/>
      <c r="HVL838" s="802"/>
      <c r="HVM838" s="802"/>
      <c r="HVN838" s="802"/>
      <c r="HVO838" s="802"/>
      <c r="HVP838" s="802"/>
      <c r="HVQ838" s="802"/>
      <c r="HVR838" s="802"/>
      <c r="HVS838" s="802"/>
      <c r="HVT838" s="802"/>
      <c r="HVU838" s="802"/>
      <c r="HVV838" s="802"/>
      <c r="HVW838" s="802"/>
      <c r="HVX838" s="802"/>
      <c r="HVY838" s="802"/>
      <c r="HVZ838" s="802"/>
      <c r="HWA838" s="802"/>
      <c r="HWB838" s="802"/>
      <c r="HWC838" s="802"/>
      <c r="HWD838" s="802"/>
      <c r="HWE838" s="802"/>
      <c r="HWF838" s="802"/>
      <c r="HWG838" s="802"/>
      <c r="HWH838" s="802"/>
      <c r="HWI838" s="802"/>
      <c r="HWJ838" s="802"/>
      <c r="HWK838" s="802"/>
      <c r="HWL838" s="802"/>
      <c r="HWM838" s="802"/>
      <c r="HWN838" s="802"/>
      <c r="HWO838" s="802"/>
      <c r="HWP838" s="802"/>
      <c r="HWQ838" s="802"/>
      <c r="HWR838" s="802"/>
      <c r="HWS838" s="802"/>
      <c r="HWT838" s="802"/>
      <c r="HWU838" s="802"/>
      <c r="HWV838" s="802"/>
      <c r="HWW838" s="802"/>
      <c r="HWX838" s="802"/>
      <c r="HWY838" s="802"/>
      <c r="HWZ838" s="802"/>
      <c r="HXA838" s="802"/>
      <c r="HXB838" s="802"/>
      <c r="HXC838" s="802"/>
      <c r="HXD838" s="802"/>
      <c r="HXE838" s="802"/>
      <c r="HXF838" s="802"/>
      <c r="HXG838" s="802"/>
      <c r="HXH838" s="802"/>
      <c r="HXI838" s="802"/>
      <c r="HXJ838" s="802"/>
      <c r="HXK838" s="802"/>
      <c r="HXL838" s="802"/>
      <c r="HXM838" s="802"/>
      <c r="HXN838" s="802"/>
      <c r="HXO838" s="802"/>
      <c r="HXP838" s="802"/>
      <c r="HXQ838" s="802"/>
      <c r="HXR838" s="802"/>
      <c r="HXS838" s="802"/>
      <c r="HXT838" s="802"/>
      <c r="HXU838" s="802"/>
      <c r="HXV838" s="802"/>
      <c r="HXW838" s="802"/>
      <c r="HXX838" s="802"/>
      <c r="HXY838" s="802"/>
      <c r="HXZ838" s="802"/>
      <c r="HYA838" s="802"/>
      <c r="HYB838" s="802"/>
      <c r="HYC838" s="802"/>
      <c r="HYD838" s="802"/>
      <c r="HYE838" s="802"/>
      <c r="HYF838" s="802"/>
      <c r="HYG838" s="802"/>
      <c r="HYH838" s="802"/>
      <c r="HYI838" s="802"/>
      <c r="HYJ838" s="802"/>
      <c r="HYK838" s="802"/>
      <c r="HYL838" s="802"/>
      <c r="HYM838" s="802"/>
      <c r="HYN838" s="802"/>
      <c r="HYO838" s="802"/>
      <c r="HYP838" s="802"/>
      <c r="HYQ838" s="802"/>
      <c r="HYR838" s="802"/>
      <c r="HYS838" s="802"/>
      <c r="HYT838" s="802"/>
      <c r="HYU838" s="802"/>
      <c r="HYV838" s="802"/>
      <c r="HYW838" s="802"/>
      <c r="HYX838" s="802"/>
      <c r="HYY838" s="802"/>
      <c r="HYZ838" s="802"/>
      <c r="HZA838" s="802"/>
      <c r="HZB838" s="802"/>
      <c r="HZC838" s="802"/>
      <c r="HZD838" s="802"/>
      <c r="HZE838" s="802"/>
      <c r="HZF838" s="802"/>
      <c r="HZG838" s="802"/>
      <c r="HZH838" s="802"/>
      <c r="HZI838" s="802"/>
      <c r="HZJ838" s="802"/>
      <c r="HZK838" s="802"/>
      <c r="HZL838" s="802"/>
      <c r="HZM838" s="802"/>
      <c r="HZN838" s="802"/>
      <c r="HZO838" s="802"/>
      <c r="HZP838" s="802"/>
      <c r="HZQ838" s="802"/>
      <c r="HZR838" s="802"/>
      <c r="HZS838" s="802"/>
      <c r="HZT838" s="802"/>
      <c r="HZU838" s="802"/>
      <c r="HZV838" s="802"/>
      <c r="HZW838" s="802"/>
      <c r="HZX838" s="802"/>
      <c r="HZY838" s="802"/>
      <c r="HZZ838" s="802"/>
      <c r="IAA838" s="802"/>
      <c r="IAB838" s="802"/>
      <c r="IAC838" s="802"/>
      <c r="IAD838" s="802"/>
      <c r="IAE838" s="802"/>
      <c r="IAF838" s="802"/>
      <c r="IAG838" s="802"/>
      <c r="IAH838" s="802"/>
      <c r="IAI838" s="802"/>
      <c r="IAJ838" s="802"/>
      <c r="IAK838" s="802"/>
      <c r="IAL838" s="802"/>
      <c r="IAM838" s="802"/>
      <c r="IAN838" s="802"/>
      <c r="IAO838" s="802"/>
      <c r="IAP838" s="802"/>
      <c r="IAQ838" s="802"/>
      <c r="IAR838" s="802"/>
      <c r="IAS838" s="802"/>
      <c r="IAT838" s="802"/>
      <c r="IAU838" s="802"/>
      <c r="IAV838" s="802"/>
      <c r="IAW838" s="802"/>
      <c r="IAX838" s="802"/>
      <c r="IAY838" s="802"/>
      <c r="IAZ838" s="802"/>
      <c r="IBA838" s="802"/>
      <c r="IBB838" s="802"/>
      <c r="IBC838" s="802"/>
      <c r="IBD838" s="802"/>
      <c r="IBE838" s="802"/>
      <c r="IBF838" s="802"/>
      <c r="IBG838" s="802"/>
      <c r="IBH838" s="802"/>
      <c r="IBI838" s="802"/>
      <c r="IBJ838" s="802"/>
      <c r="IBK838" s="802"/>
      <c r="IBL838" s="802"/>
      <c r="IBM838" s="802"/>
      <c r="IBN838" s="802"/>
      <c r="IBO838" s="802"/>
      <c r="IBP838" s="802"/>
      <c r="IBQ838" s="802"/>
      <c r="IBR838" s="802"/>
      <c r="IBS838" s="802"/>
      <c r="IBT838" s="802"/>
      <c r="IBU838" s="802"/>
      <c r="IBV838" s="802"/>
      <c r="IBW838" s="802"/>
      <c r="IBX838" s="802"/>
      <c r="IBY838" s="802"/>
      <c r="IBZ838" s="802"/>
      <c r="ICA838" s="802"/>
      <c r="ICB838" s="802"/>
      <c r="ICC838" s="802"/>
      <c r="ICD838" s="802"/>
      <c r="ICE838" s="802"/>
      <c r="ICF838" s="802"/>
      <c r="ICG838" s="802"/>
      <c r="ICH838" s="802"/>
      <c r="ICI838" s="802"/>
      <c r="ICJ838" s="802"/>
      <c r="ICK838" s="802"/>
      <c r="ICL838" s="802"/>
      <c r="ICM838" s="802"/>
      <c r="ICN838" s="802"/>
      <c r="ICO838" s="802"/>
      <c r="ICP838" s="802"/>
      <c r="ICQ838" s="802"/>
      <c r="ICR838" s="802"/>
      <c r="ICS838" s="802"/>
      <c r="ICT838" s="802"/>
      <c r="ICU838" s="802"/>
      <c r="ICV838" s="802"/>
      <c r="ICW838" s="802"/>
      <c r="ICX838" s="802"/>
      <c r="ICY838" s="802"/>
      <c r="ICZ838" s="802"/>
      <c r="IDA838" s="802"/>
      <c r="IDB838" s="802"/>
      <c r="IDC838" s="802"/>
      <c r="IDD838" s="802"/>
      <c r="IDE838" s="802"/>
      <c r="IDF838" s="802"/>
      <c r="IDG838" s="802"/>
      <c r="IDH838" s="802"/>
      <c r="IDI838" s="802"/>
      <c r="IDJ838" s="802"/>
      <c r="IDK838" s="802"/>
      <c r="IDL838" s="802"/>
      <c r="IDM838" s="802"/>
      <c r="IDN838" s="802"/>
      <c r="IDO838" s="802"/>
      <c r="IDP838" s="802"/>
      <c r="IDQ838" s="802"/>
      <c r="IDR838" s="802"/>
      <c r="IDS838" s="802"/>
      <c r="IDT838" s="802"/>
      <c r="IDU838" s="802"/>
      <c r="IDV838" s="802"/>
      <c r="IDW838" s="802"/>
      <c r="IDX838" s="802"/>
      <c r="IDY838" s="802"/>
      <c r="IDZ838" s="802"/>
      <c r="IEA838" s="802"/>
      <c r="IEB838" s="802"/>
      <c r="IEC838" s="802"/>
      <c r="IED838" s="802"/>
      <c r="IEE838" s="802"/>
      <c r="IEF838" s="802"/>
      <c r="IEG838" s="802"/>
      <c r="IEH838" s="802"/>
      <c r="IEI838" s="802"/>
      <c r="IEJ838" s="802"/>
      <c r="IEK838" s="802"/>
      <c r="IEL838" s="802"/>
      <c r="IEM838" s="802"/>
      <c r="IEN838" s="802"/>
      <c r="IEO838" s="802"/>
      <c r="IEP838" s="802"/>
      <c r="IEQ838" s="802"/>
      <c r="IER838" s="802"/>
      <c r="IES838" s="802"/>
      <c r="IET838" s="802"/>
      <c r="IEU838" s="802"/>
      <c r="IEV838" s="802"/>
      <c r="IEW838" s="802"/>
      <c r="IEX838" s="802"/>
      <c r="IEY838" s="802"/>
      <c r="IEZ838" s="802"/>
      <c r="IFA838" s="802"/>
      <c r="IFB838" s="802"/>
      <c r="IFC838" s="802"/>
      <c r="IFD838" s="802"/>
      <c r="IFE838" s="802"/>
      <c r="IFF838" s="802"/>
      <c r="IFG838" s="802"/>
      <c r="IFH838" s="802"/>
      <c r="IFI838" s="802"/>
      <c r="IFJ838" s="802"/>
      <c r="IFK838" s="802"/>
      <c r="IFL838" s="802"/>
      <c r="IFM838" s="802"/>
      <c r="IFN838" s="802"/>
      <c r="IFO838" s="802"/>
      <c r="IFP838" s="802"/>
      <c r="IFQ838" s="802"/>
      <c r="IFR838" s="802"/>
      <c r="IFS838" s="802"/>
      <c r="IFT838" s="802"/>
      <c r="IFU838" s="802"/>
      <c r="IFV838" s="802"/>
      <c r="IFW838" s="802"/>
      <c r="IFX838" s="802"/>
      <c r="IFY838" s="802"/>
      <c r="IFZ838" s="802"/>
      <c r="IGA838" s="802"/>
      <c r="IGB838" s="802"/>
      <c r="IGC838" s="802"/>
      <c r="IGD838" s="802"/>
      <c r="IGE838" s="802"/>
      <c r="IGF838" s="802"/>
      <c r="IGG838" s="802"/>
      <c r="IGH838" s="802"/>
      <c r="IGI838" s="802"/>
      <c r="IGJ838" s="802"/>
      <c r="IGK838" s="802"/>
      <c r="IGL838" s="802"/>
      <c r="IGM838" s="802"/>
      <c r="IGN838" s="802"/>
      <c r="IGO838" s="802"/>
      <c r="IGP838" s="802"/>
      <c r="IGQ838" s="802"/>
      <c r="IGR838" s="802"/>
      <c r="IGS838" s="802"/>
      <c r="IGT838" s="802"/>
      <c r="IGU838" s="802"/>
      <c r="IGV838" s="802"/>
      <c r="IGW838" s="802"/>
      <c r="IGX838" s="802"/>
      <c r="IGY838" s="802"/>
      <c r="IGZ838" s="802"/>
      <c r="IHA838" s="802"/>
      <c r="IHB838" s="802"/>
      <c r="IHC838" s="802"/>
      <c r="IHD838" s="802"/>
      <c r="IHE838" s="802"/>
      <c r="IHF838" s="802"/>
      <c r="IHG838" s="802"/>
      <c r="IHH838" s="802"/>
      <c r="IHI838" s="802"/>
      <c r="IHJ838" s="802"/>
      <c r="IHK838" s="802"/>
      <c r="IHL838" s="802"/>
      <c r="IHM838" s="802"/>
      <c r="IHN838" s="802"/>
      <c r="IHO838" s="802"/>
      <c r="IHP838" s="802"/>
      <c r="IHQ838" s="802"/>
      <c r="IHR838" s="802"/>
      <c r="IHS838" s="802"/>
      <c r="IHT838" s="802"/>
      <c r="IHU838" s="802"/>
      <c r="IHV838" s="802"/>
      <c r="IHW838" s="802"/>
      <c r="IHX838" s="802"/>
      <c r="IHY838" s="802"/>
      <c r="IHZ838" s="802"/>
      <c r="IIA838" s="802"/>
      <c r="IIB838" s="802"/>
      <c r="IIC838" s="802"/>
      <c r="IID838" s="802"/>
      <c r="IIE838" s="802"/>
      <c r="IIF838" s="802"/>
      <c r="IIG838" s="802"/>
      <c r="IIH838" s="802"/>
      <c r="III838" s="802"/>
      <c r="IIJ838" s="802"/>
      <c r="IIK838" s="802"/>
      <c r="IIL838" s="802"/>
      <c r="IIM838" s="802"/>
      <c r="IIN838" s="802"/>
      <c r="IIO838" s="802"/>
      <c r="IIP838" s="802"/>
      <c r="IIQ838" s="802"/>
      <c r="IIR838" s="802"/>
      <c r="IIS838" s="802"/>
      <c r="IIT838" s="802"/>
      <c r="IIU838" s="802"/>
      <c r="IIV838" s="802"/>
      <c r="IIW838" s="802"/>
      <c r="IIX838" s="802"/>
      <c r="IIY838" s="802"/>
      <c r="IIZ838" s="802"/>
      <c r="IJA838" s="802"/>
      <c r="IJB838" s="802"/>
      <c r="IJC838" s="802"/>
      <c r="IJD838" s="802"/>
      <c r="IJE838" s="802"/>
      <c r="IJF838" s="802"/>
      <c r="IJG838" s="802"/>
      <c r="IJH838" s="802"/>
      <c r="IJI838" s="802"/>
      <c r="IJJ838" s="802"/>
      <c r="IJK838" s="802"/>
      <c r="IJL838" s="802"/>
      <c r="IJM838" s="802"/>
      <c r="IJN838" s="802"/>
      <c r="IJO838" s="802"/>
      <c r="IJP838" s="802"/>
      <c r="IJQ838" s="802"/>
      <c r="IJR838" s="802"/>
      <c r="IJS838" s="802"/>
      <c r="IJT838" s="802"/>
      <c r="IJU838" s="802"/>
      <c r="IJV838" s="802"/>
      <c r="IJW838" s="802"/>
      <c r="IJX838" s="802"/>
      <c r="IJY838" s="802"/>
      <c r="IJZ838" s="802"/>
      <c r="IKA838" s="802"/>
      <c r="IKB838" s="802"/>
      <c r="IKC838" s="802"/>
      <c r="IKD838" s="802"/>
      <c r="IKE838" s="802"/>
      <c r="IKF838" s="802"/>
      <c r="IKG838" s="802"/>
      <c r="IKH838" s="802"/>
      <c r="IKI838" s="802"/>
      <c r="IKJ838" s="802"/>
      <c r="IKK838" s="802"/>
      <c r="IKL838" s="802"/>
      <c r="IKM838" s="802"/>
      <c r="IKN838" s="802"/>
      <c r="IKO838" s="802"/>
      <c r="IKP838" s="802"/>
      <c r="IKQ838" s="802"/>
      <c r="IKR838" s="802"/>
      <c r="IKS838" s="802"/>
      <c r="IKT838" s="802"/>
      <c r="IKU838" s="802"/>
      <c r="IKV838" s="802"/>
      <c r="IKW838" s="802"/>
      <c r="IKX838" s="802"/>
      <c r="IKY838" s="802"/>
      <c r="IKZ838" s="802"/>
      <c r="ILA838" s="802"/>
      <c r="ILB838" s="802"/>
      <c r="ILC838" s="802"/>
      <c r="ILD838" s="802"/>
      <c r="ILE838" s="802"/>
      <c r="ILF838" s="802"/>
      <c r="ILG838" s="802"/>
      <c r="ILH838" s="802"/>
      <c r="ILI838" s="802"/>
      <c r="ILJ838" s="802"/>
      <c r="ILK838" s="802"/>
      <c r="ILL838" s="802"/>
      <c r="ILM838" s="802"/>
      <c r="ILN838" s="802"/>
      <c r="ILO838" s="802"/>
      <c r="ILP838" s="802"/>
      <c r="ILQ838" s="802"/>
      <c r="ILR838" s="802"/>
      <c r="ILS838" s="802"/>
      <c r="ILT838" s="802"/>
      <c r="ILU838" s="802"/>
      <c r="ILV838" s="802"/>
      <c r="ILW838" s="802"/>
      <c r="ILX838" s="802"/>
      <c r="ILY838" s="802"/>
      <c r="ILZ838" s="802"/>
      <c r="IMA838" s="802"/>
      <c r="IMB838" s="802"/>
      <c r="IMC838" s="802"/>
      <c r="IMD838" s="802"/>
      <c r="IME838" s="802"/>
      <c r="IMF838" s="802"/>
      <c r="IMG838" s="802"/>
      <c r="IMH838" s="802"/>
      <c r="IMI838" s="802"/>
      <c r="IMJ838" s="802"/>
      <c r="IMK838" s="802"/>
      <c r="IML838" s="802"/>
      <c r="IMM838" s="802"/>
      <c r="IMN838" s="802"/>
      <c r="IMO838" s="802"/>
      <c r="IMP838" s="802"/>
      <c r="IMQ838" s="802"/>
      <c r="IMR838" s="802"/>
      <c r="IMS838" s="802"/>
      <c r="IMT838" s="802"/>
      <c r="IMU838" s="802"/>
      <c r="IMV838" s="802"/>
      <c r="IMW838" s="802"/>
      <c r="IMX838" s="802"/>
      <c r="IMY838" s="802"/>
      <c r="IMZ838" s="802"/>
      <c r="INA838" s="802"/>
      <c r="INB838" s="802"/>
      <c r="INC838" s="802"/>
      <c r="IND838" s="802"/>
      <c r="INE838" s="802"/>
      <c r="INF838" s="802"/>
      <c r="ING838" s="802"/>
      <c r="INH838" s="802"/>
      <c r="INI838" s="802"/>
      <c r="INJ838" s="802"/>
      <c r="INK838" s="802"/>
      <c r="INL838" s="802"/>
      <c r="INM838" s="802"/>
      <c r="INN838" s="802"/>
      <c r="INO838" s="802"/>
      <c r="INP838" s="802"/>
      <c r="INQ838" s="802"/>
      <c r="INR838" s="802"/>
      <c r="INS838" s="802"/>
      <c r="INT838" s="802"/>
      <c r="INU838" s="802"/>
      <c r="INV838" s="802"/>
      <c r="INW838" s="802"/>
      <c r="INX838" s="802"/>
      <c r="INY838" s="802"/>
      <c r="INZ838" s="802"/>
      <c r="IOA838" s="802"/>
      <c r="IOB838" s="802"/>
      <c r="IOC838" s="802"/>
      <c r="IOD838" s="802"/>
      <c r="IOE838" s="802"/>
      <c r="IOF838" s="802"/>
      <c r="IOG838" s="802"/>
      <c r="IOH838" s="802"/>
      <c r="IOI838" s="802"/>
      <c r="IOJ838" s="802"/>
      <c r="IOK838" s="802"/>
      <c r="IOL838" s="802"/>
      <c r="IOM838" s="802"/>
      <c r="ION838" s="802"/>
      <c r="IOO838" s="802"/>
      <c r="IOP838" s="802"/>
      <c r="IOQ838" s="802"/>
      <c r="IOR838" s="802"/>
      <c r="IOS838" s="802"/>
      <c r="IOT838" s="802"/>
      <c r="IOU838" s="802"/>
      <c r="IOV838" s="802"/>
      <c r="IOW838" s="802"/>
      <c r="IOX838" s="802"/>
      <c r="IOY838" s="802"/>
      <c r="IOZ838" s="802"/>
      <c r="IPA838" s="802"/>
      <c r="IPB838" s="802"/>
      <c r="IPC838" s="802"/>
      <c r="IPD838" s="802"/>
      <c r="IPE838" s="802"/>
      <c r="IPF838" s="802"/>
      <c r="IPG838" s="802"/>
      <c r="IPH838" s="802"/>
      <c r="IPI838" s="802"/>
      <c r="IPJ838" s="802"/>
      <c r="IPK838" s="802"/>
      <c r="IPL838" s="802"/>
      <c r="IPM838" s="802"/>
      <c r="IPN838" s="802"/>
      <c r="IPO838" s="802"/>
      <c r="IPP838" s="802"/>
      <c r="IPQ838" s="802"/>
      <c r="IPR838" s="802"/>
      <c r="IPS838" s="802"/>
      <c r="IPT838" s="802"/>
      <c r="IPU838" s="802"/>
      <c r="IPV838" s="802"/>
      <c r="IPW838" s="802"/>
      <c r="IPX838" s="802"/>
      <c r="IPY838" s="802"/>
      <c r="IPZ838" s="802"/>
      <c r="IQA838" s="802"/>
      <c r="IQB838" s="802"/>
      <c r="IQC838" s="802"/>
      <c r="IQD838" s="802"/>
      <c r="IQE838" s="802"/>
      <c r="IQF838" s="802"/>
      <c r="IQG838" s="802"/>
      <c r="IQH838" s="802"/>
      <c r="IQI838" s="802"/>
      <c r="IQJ838" s="802"/>
      <c r="IQK838" s="802"/>
      <c r="IQL838" s="802"/>
      <c r="IQM838" s="802"/>
      <c r="IQN838" s="802"/>
      <c r="IQO838" s="802"/>
      <c r="IQP838" s="802"/>
      <c r="IQQ838" s="802"/>
      <c r="IQR838" s="802"/>
      <c r="IQS838" s="802"/>
      <c r="IQT838" s="802"/>
      <c r="IQU838" s="802"/>
      <c r="IQV838" s="802"/>
      <c r="IQW838" s="802"/>
      <c r="IQX838" s="802"/>
      <c r="IQY838" s="802"/>
      <c r="IQZ838" s="802"/>
      <c r="IRA838" s="802"/>
      <c r="IRB838" s="802"/>
      <c r="IRC838" s="802"/>
      <c r="IRD838" s="802"/>
      <c r="IRE838" s="802"/>
      <c r="IRF838" s="802"/>
      <c r="IRG838" s="802"/>
      <c r="IRH838" s="802"/>
      <c r="IRI838" s="802"/>
      <c r="IRJ838" s="802"/>
      <c r="IRK838" s="802"/>
      <c r="IRL838" s="802"/>
      <c r="IRM838" s="802"/>
      <c r="IRN838" s="802"/>
      <c r="IRO838" s="802"/>
      <c r="IRP838" s="802"/>
      <c r="IRQ838" s="802"/>
      <c r="IRR838" s="802"/>
      <c r="IRS838" s="802"/>
      <c r="IRT838" s="802"/>
      <c r="IRU838" s="802"/>
      <c r="IRV838" s="802"/>
      <c r="IRW838" s="802"/>
      <c r="IRX838" s="802"/>
      <c r="IRY838" s="802"/>
      <c r="IRZ838" s="802"/>
      <c r="ISA838" s="802"/>
      <c r="ISB838" s="802"/>
      <c r="ISC838" s="802"/>
      <c r="ISD838" s="802"/>
      <c r="ISE838" s="802"/>
      <c r="ISF838" s="802"/>
      <c r="ISG838" s="802"/>
      <c r="ISH838" s="802"/>
      <c r="ISI838" s="802"/>
      <c r="ISJ838" s="802"/>
      <c r="ISK838" s="802"/>
      <c r="ISL838" s="802"/>
      <c r="ISM838" s="802"/>
      <c r="ISN838" s="802"/>
      <c r="ISO838" s="802"/>
      <c r="ISP838" s="802"/>
      <c r="ISQ838" s="802"/>
      <c r="ISR838" s="802"/>
      <c r="ISS838" s="802"/>
      <c r="IST838" s="802"/>
      <c r="ISU838" s="802"/>
      <c r="ISV838" s="802"/>
      <c r="ISW838" s="802"/>
      <c r="ISX838" s="802"/>
      <c r="ISY838" s="802"/>
      <c r="ISZ838" s="802"/>
      <c r="ITA838" s="802"/>
      <c r="ITB838" s="802"/>
      <c r="ITC838" s="802"/>
      <c r="ITD838" s="802"/>
      <c r="ITE838" s="802"/>
      <c r="ITF838" s="802"/>
      <c r="ITG838" s="802"/>
      <c r="ITH838" s="802"/>
      <c r="ITI838" s="802"/>
      <c r="ITJ838" s="802"/>
      <c r="ITK838" s="802"/>
      <c r="ITL838" s="802"/>
      <c r="ITM838" s="802"/>
      <c r="ITN838" s="802"/>
      <c r="ITO838" s="802"/>
      <c r="ITP838" s="802"/>
      <c r="ITQ838" s="802"/>
      <c r="ITR838" s="802"/>
      <c r="ITS838" s="802"/>
      <c r="ITT838" s="802"/>
      <c r="ITU838" s="802"/>
      <c r="ITV838" s="802"/>
      <c r="ITW838" s="802"/>
      <c r="ITX838" s="802"/>
      <c r="ITY838" s="802"/>
      <c r="ITZ838" s="802"/>
      <c r="IUA838" s="802"/>
      <c r="IUB838" s="802"/>
      <c r="IUC838" s="802"/>
      <c r="IUD838" s="802"/>
      <c r="IUE838" s="802"/>
      <c r="IUF838" s="802"/>
      <c r="IUG838" s="802"/>
      <c r="IUH838" s="802"/>
      <c r="IUI838" s="802"/>
      <c r="IUJ838" s="802"/>
      <c r="IUK838" s="802"/>
      <c r="IUL838" s="802"/>
      <c r="IUM838" s="802"/>
      <c r="IUN838" s="802"/>
      <c r="IUO838" s="802"/>
      <c r="IUP838" s="802"/>
      <c r="IUQ838" s="802"/>
      <c r="IUR838" s="802"/>
      <c r="IUS838" s="802"/>
      <c r="IUT838" s="802"/>
      <c r="IUU838" s="802"/>
      <c r="IUV838" s="802"/>
      <c r="IUW838" s="802"/>
      <c r="IUX838" s="802"/>
      <c r="IUY838" s="802"/>
      <c r="IUZ838" s="802"/>
      <c r="IVA838" s="802"/>
      <c r="IVB838" s="802"/>
      <c r="IVC838" s="802"/>
      <c r="IVD838" s="802"/>
      <c r="IVE838" s="802"/>
      <c r="IVF838" s="802"/>
      <c r="IVG838" s="802"/>
      <c r="IVH838" s="802"/>
      <c r="IVI838" s="802"/>
      <c r="IVJ838" s="802"/>
      <c r="IVK838" s="802"/>
      <c r="IVL838" s="802"/>
      <c r="IVM838" s="802"/>
      <c r="IVN838" s="802"/>
      <c r="IVO838" s="802"/>
      <c r="IVP838" s="802"/>
      <c r="IVQ838" s="802"/>
      <c r="IVR838" s="802"/>
      <c r="IVS838" s="802"/>
      <c r="IVT838" s="802"/>
      <c r="IVU838" s="802"/>
      <c r="IVV838" s="802"/>
      <c r="IVW838" s="802"/>
      <c r="IVX838" s="802"/>
      <c r="IVY838" s="802"/>
      <c r="IVZ838" s="802"/>
      <c r="IWA838" s="802"/>
      <c r="IWB838" s="802"/>
      <c r="IWC838" s="802"/>
      <c r="IWD838" s="802"/>
      <c r="IWE838" s="802"/>
      <c r="IWF838" s="802"/>
      <c r="IWG838" s="802"/>
      <c r="IWH838" s="802"/>
      <c r="IWI838" s="802"/>
      <c r="IWJ838" s="802"/>
      <c r="IWK838" s="802"/>
      <c r="IWL838" s="802"/>
      <c r="IWM838" s="802"/>
      <c r="IWN838" s="802"/>
      <c r="IWO838" s="802"/>
      <c r="IWP838" s="802"/>
      <c r="IWQ838" s="802"/>
      <c r="IWR838" s="802"/>
      <c r="IWS838" s="802"/>
      <c r="IWT838" s="802"/>
      <c r="IWU838" s="802"/>
      <c r="IWV838" s="802"/>
      <c r="IWW838" s="802"/>
      <c r="IWX838" s="802"/>
      <c r="IWY838" s="802"/>
      <c r="IWZ838" s="802"/>
      <c r="IXA838" s="802"/>
      <c r="IXB838" s="802"/>
      <c r="IXC838" s="802"/>
      <c r="IXD838" s="802"/>
      <c r="IXE838" s="802"/>
      <c r="IXF838" s="802"/>
      <c r="IXG838" s="802"/>
      <c r="IXH838" s="802"/>
      <c r="IXI838" s="802"/>
      <c r="IXJ838" s="802"/>
      <c r="IXK838" s="802"/>
      <c r="IXL838" s="802"/>
      <c r="IXM838" s="802"/>
      <c r="IXN838" s="802"/>
      <c r="IXO838" s="802"/>
      <c r="IXP838" s="802"/>
      <c r="IXQ838" s="802"/>
      <c r="IXR838" s="802"/>
      <c r="IXS838" s="802"/>
      <c r="IXT838" s="802"/>
      <c r="IXU838" s="802"/>
      <c r="IXV838" s="802"/>
      <c r="IXW838" s="802"/>
      <c r="IXX838" s="802"/>
      <c r="IXY838" s="802"/>
      <c r="IXZ838" s="802"/>
      <c r="IYA838" s="802"/>
      <c r="IYB838" s="802"/>
      <c r="IYC838" s="802"/>
      <c r="IYD838" s="802"/>
      <c r="IYE838" s="802"/>
      <c r="IYF838" s="802"/>
      <c r="IYG838" s="802"/>
      <c r="IYH838" s="802"/>
      <c r="IYI838" s="802"/>
      <c r="IYJ838" s="802"/>
      <c r="IYK838" s="802"/>
      <c r="IYL838" s="802"/>
      <c r="IYM838" s="802"/>
      <c r="IYN838" s="802"/>
      <c r="IYO838" s="802"/>
      <c r="IYP838" s="802"/>
      <c r="IYQ838" s="802"/>
      <c r="IYR838" s="802"/>
      <c r="IYS838" s="802"/>
      <c r="IYT838" s="802"/>
      <c r="IYU838" s="802"/>
      <c r="IYV838" s="802"/>
      <c r="IYW838" s="802"/>
      <c r="IYX838" s="802"/>
      <c r="IYY838" s="802"/>
      <c r="IYZ838" s="802"/>
      <c r="IZA838" s="802"/>
      <c r="IZB838" s="802"/>
      <c r="IZC838" s="802"/>
      <c r="IZD838" s="802"/>
      <c r="IZE838" s="802"/>
      <c r="IZF838" s="802"/>
      <c r="IZG838" s="802"/>
      <c r="IZH838" s="802"/>
      <c r="IZI838" s="802"/>
      <c r="IZJ838" s="802"/>
      <c r="IZK838" s="802"/>
      <c r="IZL838" s="802"/>
      <c r="IZM838" s="802"/>
      <c r="IZN838" s="802"/>
      <c r="IZO838" s="802"/>
      <c r="IZP838" s="802"/>
      <c r="IZQ838" s="802"/>
      <c r="IZR838" s="802"/>
      <c r="IZS838" s="802"/>
      <c r="IZT838" s="802"/>
      <c r="IZU838" s="802"/>
      <c r="IZV838" s="802"/>
      <c r="IZW838" s="802"/>
      <c r="IZX838" s="802"/>
      <c r="IZY838" s="802"/>
      <c r="IZZ838" s="802"/>
      <c r="JAA838" s="802"/>
      <c r="JAB838" s="802"/>
      <c r="JAC838" s="802"/>
      <c r="JAD838" s="802"/>
      <c r="JAE838" s="802"/>
      <c r="JAF838" s="802"/>
      <c r="JAG838" s="802"/>
      <c r="JAH838" s="802"/>
      <c r="JAI838" s="802"/>
      <c r="JAJ838" s="802"/>
      <c r="JAK838" s="802"/>
      <c r="JAL838" s="802"/>
      <c r="JAM838" s="802"/>
      <c r="JAN838" s="802"/>
      <c r="JAO838" s="802"/>
      <c r="JAP838" s="802"/>
      <c r="JAQ838" s="802"/>
      <c r="JAR838" s="802"/>
      <c r="JAS838" s="802"/>
      <c r="JAT838" s="802"/>
      <c r="JAU838" s="802"/>
      <c r="JAV838" s="802"/>
      <c r="JAW838" s="802"/>
      <c r="JAX838" s="802"/>
      <c r="JAY838" s="802"/>
      <c r="JAZ838" s="802"/>
      <c r="JBA838" s="802"/>
      <c r="JBB838" s="802"/>
      <c r="JBC838" s="802"/>
      <c r="JBD838" s="802"/>
      <c r="JBE838" s="802"/>
      <c r="JBF838" s="802"/>
      <c r="JBG838" s="802"/>
      <c r="JBH838" s="802"/>
      <c r="JBI838" s="802"/>
      <c r="JBJ838" s="802"/>
      <c r="JBK838" s="802"/>
      <c r="JBL838" s="802"/>
      <c r="JBM838" s="802"/>
      <c r="JBN838" s="802"/>
      <c r="JBO838" s="802"/>
      <c r="JBP838" s="802"/>
      <c r="JBQ838" s="802"/>
      <c r="JBR838" s="802"/>
      <c r="JBS838" s="802"/>
      <c r="JBT838" s="802"/>
      <c r="JBU838" s="802"/>
      <c r="JBV838" s="802"/>
      <c r="JBW838" s="802"/>
      <c r="JBX838" s="802"/>
      <c r="JBY838" s="802"/>
      <c r="JBZ838" s="802"/>
      <c r="JCA838" s="802"/>
      <c r="JCB838" s="802"/>
      <c r="JCC838" s="802"/>
      <c r="JCD838" s="802"/>
      <c r="JCE838" s="802"/>
      <c r="JCF838" s="802"/>
      <c r="JCG838" s="802"/>
      <c r="JCH838" s="802"/>
      <c r="JCI838" s="802"/>
      <c r="JCJ838" s="802"/>
      <c r="JCK838" s="802"/>
      <c r="JCL838" s="802"/>
      <c r="JCM838" s="802"/>
      <c r="JCN838" s="802"/>
      <c r="JCO838" s="802"/>
      <c r="JCP838" s="802"/>
      <c r="JCQ838" s="802"/>
      <c r="JCR838" s="802"/>
      <c r="JCS838" s="802"/>
      <c r="JCT838" s="802"/>
      <c r="JCU838" s="802"/>
      <c r="JCV838" s="802"/>
      <c r="JCW838" s="802"/>
      <c r="JCX838" s="802"/>
      <c r="JCY838" s="802"/>
      <c r="JCZ838" s="802"/>
      <c r="JDA838" s="802"/>
      <c r="JDB838" s="802"/>
      <c r="JDC838" s="802"/>
      <c r="JDD838" s="802"/>
      <c r="JDE838" s="802"/>
      <c r="JDF838" s="802"/>
      <c r="JDG838" s="802"/>
      <c r="JDH838" s="802"/>
      <c r="JDI838" s="802"/>
      <c r="JDJ838" s="802"/>
      <c r="JDK838" s="802"/>
      <c r="JDL838" s="802"/>
      <c r="JDM838" s="802"/>
      <c r="JDN838" s="802"/>
      <c r="JDO838" s="802"/>
      <c r="JDP838" s="802"/>
      <c r="JDQ838" s="802"/>
      <c r="JDR838" s="802"/>
      <c r="JDS838" s="802"/>
      <c r="JDT838" s="802"/>
      <c r="JDU838" s="802"/>
      <c r="JDV838" s="802"/>
      <c r="JDW838" s="802"/>
      <c r="JDX838" s="802"/>
      <c r="JDY838" s="802"/>
      <c r="JDZ838" s="802"/>
      <c r="JEA838" s="802"/>
      <c r="JEB838" s="802"/>
      <c r="JEC838" s="802"/>
      <c r="JED838" s="802"/>
      <c r="JEE838" s="802"/>
      <c r="JEF838" s="802"/>
      <c r="JEG838" s="802"/>
      <c r="JEH838" s="802"/>
      <c r="JEI838" s="802"/>
      <c r="JEJ838" s="802"/>
      <c r="JEK838" s="802"/>
      <c r="JEL838" s="802"/>
      <c r="JEM838" s="802"/>
      <c r="JEN838" s="802"/>
      <c r="JEO838" s="802"/>
      <c r="JEP838" s="802"/>
      <c r="JEQ838" s="802"/>
      <c r="JER838" s="802"/>
      <c r="JES838" s="802"/>
      <c r="JET838" s="802"/>
      <c r="JEU838" s="802"/>
      <c r="JEV838" s="802"/>
      <c r="JEW838" s="802"/>
      <c r="JEX838" s="802"/>
      <c r="JEY838" s="802"/>
      <c r="JEZ838" s="802"/>
      <c r="JFA838" s="802"/>
      <c r="JFB838" s="802"/>
      <c r="JFC838" s="802"/>
      <c r="JFD838" s="802"/>
      <c r="JFE838" s="802"/>
      <c r="JFF838" s="802"/>
      <c r="JFG838" s="802"/>
      <c r="JFH838" s="802"/>
      <c r="JFI838" s="802"/>
      <c r="JFJ838" s="802"/>
      <c r="JFK838" s="802"/>
      <c r="JFL838" s="802"/>
      <c r="JFM838" s="802"/>
      <c r="JFN838" s="802"/>
      <c r="JFO838" s="802"/>
      <c r="JFP838" s="802"/>
      <c r="JFQ838" s="802"/>
      <c r="JFR838" s="802"/>
      <c r="JFS838" s="802"/>
      <c r="JFT838" s="802"/>
      <c r="JFU838" s="802"/>
      <c r="JFV838" s="802"/>
      <c r="JFW838" s="802"/>
      <c r="JFX838" s="802"/>
      <c r="JFY838" s="802"/>
      <c r="JFZ838" s="802"/>
      <c r="JGA838" s="802"/>
      <c r="JGB838" s="802"/>
      <c r="JGC838" s="802"/>
      <c r="JGD838" s="802"/>
      <c r="JGE838" s="802"/>
      <c r="JGF838" s="802"/>
      <c r="JGG838" s="802"/>
      <c r="JGH838" s="802"/>
      <c r="JGI838" s="802"/>
      <c r="JGJ838" s="802"/>
      <c r="JGK838" s="802"/>
      <c r="JGL838" s="802"/>
      <c r="JGM838" s="802"/>
      <c r="JGN838" s="802"/>
      <c r="JGO838" s="802"/>
      <c r="JGP838" s="802"/>
      <c r="JGQ838" s="802"/>
      <c r="JGR838" s="802"/>
      <c r="JGS838" s="802"/>
      <c r="JGT838" s="802"/>
      <c r="JGU838" s="802"/>
      <c r="JGV838" s="802"/>
      <c r="JGW838" s="802"/>
      <c r="JGX838" s="802"/>
      <c r="JGY838" s="802"/>
      <c r="JGZ838" s="802"/>
      <c r="JHA838" s="802"/>
      <c r="JHB838" s="802"/>
      <c r="JHC838" s="802"/>
      <c r="JHD838" s="802"/>
      <c r="JHE838" s="802"/>
      <c r="JHF838" s="802"/>
      <c r="JHG838" s="802"/>
      <c r="JHH838" s="802"/>
      <c r="JHI838" s="802"/>
      <c r="JHJ838" s="802"/>
      <c r="JHK838" s="802"/>
      <c r="JHL838" s="802"/>
      <c r="JHM838" s="802"/>
      <c r="JHN838" s="802"/>
      <c r="JHO838" s="802"/>
      <c r="JHP838" s="802"/>
      <c r="JHQ838" s="802"/>
      <c r="JHR838" s="802"/>
      <c r="JHS838" s="802"/>
      <c r="JHT838" s="802"/>
      <c r="JHU838" s="802"/>
      <c r="JHV838" s="802"/>
      <c r="JHW838" s="802"/>
      <c r="JHX838" s="802"/>
      <c r="JHY838" s="802"/>
      <c r="JHZ838" s="802"/>
      <c r="JIA838" s="802"/>
      <c r="JIB838" s="802"/>
      <c r="JIC838" s="802"/>
      <c r="JID838" s="802"/>
      <c r="JIE838" s="802"/>
      <c r="JIF838" s="802"/>
      <c r="JIG838" s="802"/>
      <c r="JIH838" s="802"/>
      <c r="JII838" s="802"/>
      <c r="JIJ838" s="802"/>
      <c r="JIK838" s="802"/>
      <c r="JIL838" s="802"/>
      <c r="JIM838" s="802"/>
      <c r="JIN838" s="802"/>
      <c r="JIO838" s="802"/>
      <c r="JIP838" s="802"/>
      <c r="JIQ838" s="802"/>
      <c r="JIR838" s="802"/>
      <c r="JIS838" s="802"/>
      <c r="JIT838" s="802"/>
      <c r="JIU838" s="802"/>
      <c r="JIV838" s="802"/>
      <c r="JIW838" s="802"/>
      <c r="JIX838" s="802"/>
      <c r="JIY838" s="802"/>
      <c r="JIZ838" s="802"/>
      <c r="JJA838" s="802"/>
      <c r="JJB838" s="802"/>
      <c r="JJC838" s="802"/>
      <c r="JJD838" s="802"/>
      <c r="JJE838" s="802"/>
      <c r="JJF838" s="802"/>
      <c r="JJG838" s="802"/>
      <c r="JJH838" s="802"/>
      <c r="JJI838" s="802"/>
      <c r="JJJ838" s="802"/>
      <c r="JJK838" s="802"/>
      <c r="JJL838" s="802"/>
      <c r="JJM838" s="802"/>
      <c r="JJN838" s="802"/>
      <c r="JJO838" s="802"/>
      <c r="JJP838" s="802"/>
      <c r="JJQ838" s="802"/>
      <c r="JJR838" s="802"/>
      <c r="JJS838" s="802"/>
      <c r="JJT838" s="802"/>
      <c r="JJU838" s="802"/>
      <c r="JJV838" s="802"/>
      <c r="JJW838" s="802"/>
      <c r="JJX838" s="802"/>
      <c r="JJY838" s="802"/>
      <c r="JJZ838" s="802"/>
      <c r="JKA838" s="802"/>
      <c r="JKB838" s="802"/>
      <c r="JKC838" s="802"/>
      <c r="JKD838" s="802"/>
      <c r="JKE838" s="802"/>
      <c r="JKF838" s="802"/>
      <c r="JKG838" s="802"/>
      <c r="JKH838" s="802"/>
      <c r="JKI838" s="802"/>
      <c r="JKJ838" s="802"/>
      <c r="JKK838" s="802"/>
      <c r="JKL838" s="802"/>
      <c r="JKM838" s="802"/>
      <c r="JKN838" s="802"/>
      <c r="JKO838" s="802"/>
      <c r="JKP838" s="802"/>
      <c r="JKQ838" s="802"/>
      <c r="JKR838" s="802"/>
      <c r="JKS838" s="802"/>
      <c r="JKT838" s="802"/>
      <c r="JKU838" s="802"/>
      <c r="JKV838" s="802"/>
      <c r="JKW838" s="802"/>
      <c r="JKX838" s="802"/>
      <c r="JKY838" s="802"/>
      <c r="JKZ838" s="802"/>
      <c r="JLA838" s="802"/>
      <c r="JLB838" s="802"/>
      <c r="JLC838" s="802"/>
      <c r="JLD838" s="802"/>
      <c r="JLE838" s="802"/>
      <c r="JLF838" s="802"/>
      <c r="JLG838" s="802"/>
      <c r="JLH838" s="802"/>
      <c r="JLI838" s="802"/>
      <c r="JLJ838" s="802"/>
      <c r="JLK838" s="802"/>
      <c r="JLL838" s="802"/>
      <c r="JLM838" s="802"/>
      <c r="JLN838" s="802"/>
      <c r="JLO838" s="802"/>
      <c r="JLP838" s="802"/>
      <c r="JLQ838" s="802"/>
      <c r="JLR838" s="802"/>
      <c r="JLS838" s="802"/>
      <c r="JLT838" s="802"/>
      <c r="JLU838" s="802"/>
      <c r="JLV838" s="802"/>
      <c r="JLW838" s="802"/>
      <c r="JLX838" s="802"/>
      <c r="JLY838" s="802"/>
      <c r="JLZ838" s="802"/>
      <c r="JMA838" s="802"/>
      <c r="JMB838" s="802"/>
      <c r="JMC838" s="802"/>
      <c r="JMD838" s="802"/>
      <c r="JME838" s="802"/>
      <c r="JMF838" s="802"/>
      <c r="JMG838" s="802"/>
      <c r="JMH838" s="802"/>
      <c r="JMI838" s="802"/>
      <c r="JMJ838" s="802"/>
      <c r="JMK838" s="802"/>
      <c r="JML838" s="802"/>
      <c r="JMM838" s="802"/>
      <c r="JMN838" s="802"/>
      <c r="JMO838" s="802"/>
      <c r="JMP838" s="802"/>
      <c r="JMQ838" s="802"/>
      <c r="JMR838" s="802"/>
      <c r="JMS838" s="802"/>
      <c r="JMT838" s="802"/>
      <c r="JMU838" s="802"/>
      <c r="JMV838" s="802"/>
      <c r="JMW838" s="802"/>
      <c r="JMX838" s="802"/>
      <c r="JMY838" s="802"/>
      <c r="JMZ838" s="802"/>
      <c r="JNA838" s="802"/>
      <c r="JNB838" s="802"/>
      <c r="JNC838" s="802"/>
      <c r="JND838" s="802"/>
      <c r="JNE838" s="802"/>
      <c r="JNF838" s="802"/>
      <c r="JNG838" s="802"/>
      <c r="JNH838" s="802"/>
      <c r="JNI838" s="802"/>
      <c r="JNJ838" s="802"/>
      <c r="JNK838" s="802"/>
      <c r="JNL838" s="802"/>
      <c r="JNM838" s="802"/>
      <c r="JNN838" s="802"/>
      <c r="JNO838" s="802"/>
      <c r="JNP838" s="802"/>
      <c r="JNQ838" s="802"/>
      <c r="JNR838" s="802"/>
      <c r="JNS838" s="802"/>
      <c r="JNT838" s="802"/>
      <c r="JNU838" s="802"/>
      <c r="JNV838" s="802"/>
      <c r="JNW838" s="802"/>
      <c r="JNX838" s="802"/>
      <c r="JNY838" s="802"/>
      <c r="JNZ838" s="802"/>
      <c r="JOA838" s="802"/>
      <c r="JOB838" s="802"/>
      <c r="JOC838" s="802"/>
      <c r="JOD838" s="802"/>
      <c r="JOE838" s="802"/>
      <c r="JOF838" s="802"/>
      <c r="JOG838" s="802"/>
      <c r="JOH838" s="802"/>
      <c r="JOI838" s="802"/>
      <c r="JOJ838" s="802"/>
      <c r="JOK838" s="802"/>
      <c r="JOL838" s="802"/>
      <c r="JOM838" s="802"/>
      <c r="JON838" s="802"/>
      <c r="JOO838" s="802"/>
      <c r="JOP838" s="802"/>
      <c r="JOQ838" s="802"/>
      <c r="JOR838" s="802"/>
      <c r="JOS838" s="802"/>
      <c r="JOT838" s="802"/>
      <c r="JOU838" s="802"/>
      <c r="JOV838" s="802"/>
      <c r="JOW838" s="802"/>
      <c r="JOX838" s="802"/>
      <c r="JOY838" s="802"/>
      <c r="JOZ838" s="802"/>
      <c r="JPA838" s="802"/>
      <c r="JPB838" s="802"/>
      <c r="JPC838" s="802"/>
      <c r="JPD838" s="802"/>
      <c r="JPE838" s="802"/>
      <c r="JPF838" s="802"/>
      <c r="JPG838" s="802"/>
      <c r="JPH838" s="802"/>
      <c r="JPI838" s="802"/>
      <c r="JPJ838" s="802"/>
      <c r="JPK838" s="802"/>
      <c r="JPL838" s="802"/>
      <c r="JPM838" s="802"/>
      <c r="JPN838" s="802"/>
      <c r="JPO838" s="802"/>
      <c r="JPP838" s="802"/>
      <c r="JPQ838" s="802"/>
      <c r="JPR838" s="802"/>
      <c r="JPS838" s="802"/>
      <c r="JPT838" s="802"/>
      <c r="JPU838" s="802"/>
      <c r="JPV838" s="802"/>
      <c r="JPW838" s="802"/>
      <c r="JPX838" s="802"/>
      <c r="JPY838" s="802"/>
      <c r="JPZ838" s="802"/>
      <c r="JQA838" s="802"/>
      <c r="JQB838" s="802"/>
      <c r="JQC838" s="802"/>
      <c r="JQD838" s="802"/>
      <c r="JQE838" s="802"/>
      <c r="JQF838" s="802"/>
      <c r="JQG838" s="802"/>
      <c r="JQH838" s="802"/>
      <c r="JQI838" s="802"/>
      <c r="JQJ838" s="802"/>
      <c r="JQK838" s="802"/>
      <c r="JQL838" s="802"/>
      <c r="JQM838" s="802"/>
      <c r="JQN838" s="802"/>
      <c r="JQO838" s="802"/>
      <c r="JQP838" s="802"/>
      <c r="JQQ838" s="802"/>
      <c r="JQR838" s="802"/>
      <c r="JQS838" s="802"/>
      <c r="JQT838" s="802"/>
      <c r="JQU838" s="802"/>
      <c r="JQV838" s="802"/>
      <c r="JQW838" s="802"/>
      <c r="JQX838" s="802"/>
      <c r="JQY838" s="802"/>
      <c r="JQZ838" s="802"/>
      <c r="JRA838" s="802"/>
      <c r="JRB838" s="802"/>
      <c r="JRC838" s="802"/>
      <c r="JRD838" s="802"/>
      <c r="JRE838" s="802"/>
      <c r="JRF838" s="802"/>
      <c r="JRG838" s="802"/>
      <c r="JRH838" s="802"/>
      <c r="JRI838" s="802"/>
      <c r="JRJ838" s="802"/>
      <c r="JRK838" s="802"/>
      <c r="JRL838" s="802"/>
      <c r="JRM838" s="802"/>
      <c r="JRN838" s="802"/>
      <c r="JRO838" s="802"/>
      <c r="JRP838" s="802"/>
      <c r="JRQ838" s="802"/>
      <c r="JRR838" s="802"/>
      <c r="JRS838" s="802"/>
      <c r="JRT838" s="802"/>
      <c r="JRU838" s="802"/>
      <c r="JRV838" s="802"/>
      <c r="JRW838" s="802"/>
      <c r="JRX838" s="802"/>
      <c r="JRY838" s="802"/>
      <c r="JRZ838" s="802"/>
      <c r="JSA838" s="802"/>
      <c r="JSB838" s="802"/>
      <c r="JSC838" s="802"/>
      <c r="JSD838" s="802"/>
      <c r="JSE838" s="802"/>
      <c r="JSF838" s="802"/>
      <c r="JSG838" s="802"/>
      <c r="JSH838" s="802"/>
      <c r="JSI838" s="802"/>
      <c r="JSJ838" s="802"/>
      <c r="JSK838" s="802"/>
      <c r="JSL838" s="802"/>
      <c r="JSM838" s="802"/>
      <c r="JSN838" s="802"/>
      <c r="JSO838" s="802"/>
      <c r="JSP838" s="802"/>
      <c r="JSQ838" s="802"/>
      <c r="JSR838" s="802"/>
      <c r="JSS838" s="802"/>
      <c r="JST838" s="802"/>
      <c r="JSU838" s="802"/>
      <c r="JSV838" s="802"/>
      <c r="JSW838" s="802"/>
      <c r="JSX838" s="802"/>
      <c r="JSY838" s="802"/>
      <c r="JSZ838" s="802"/>
      <c r="JTA838" s="802"/>
      <c r="JTB838" s="802"/>
      <c r="JTC838" s="802"/>
      <c r="JTD838" s="802"/>
      <c r="JTE838" s="802"/>
      <c r="JTF838" s="802"/>
      <c r="JTG838" s="802"/>
      <c r="JTH838" s="802"/>
      <c r="JTI838" s="802"/>
      <c r="JTJ838" s="802"/>
      <c r="JTK838" s="802"/>
      <c r="JTL838" s="802"/>
      <c r="JTM838" s="802"/>
      <c r="JTN838" s="802"/>
      <c r="JTO838" s="802"/>
      <c r="JTP838" s="802"/>
      <c r="JTQ838" s="802"/>
      <c r="JTR838" s="802"/>
      <c r="JTS838" s="802"/>
      <c r="JTT838" s="802"/>
      <c r="JTU838" s="802"/>
      <c r="JTV838" s="802"/>
      <c r="JTW838" s="802"/>
      <c r="JTX838" s="802"/>
      <c r="JTY838" s="802"/>
      <c r="JTZ838" s="802"/>
      <c r="JUA838" s="802"/>
      <c r="JUB838" s="802"/>
      <c r="JUC838" s="802"/>
      <c r="JUD838" s="802"/>
      <c r="JUE838" s="802"/>
      <c r="JUF838" s="802"/>
      <c r="JUG838" s="802"/>
      <c r="JUH838" s="802"/>
      <c r="JUI838" s="802"/>
      <c r="JUJ838" s="802"/>
      <c r="JUK838" s="802"/>
      <c r="JUL838" s="802"/>
      <c r="JUM838" s="802"/>
      <c r="JUN838" s="802"/>
      <c r="JUO838" s="802"/>
      <c r="JUP838" s="802"/>
      <c r="JUQ838" s="802"/>
      <c r="JUR838" s="802"/>
      <c r="JUS838" s="802"/>
      <c r="JUT838" s="802"/>
      <c r="JUU838" s="802"/>
      <c r="JUV838" s="802"/>
      <c r="JUW838" s="802"/>
      <c r="JUX838" s="802"/>
      <c r="JUY838" s="802"/>
      <c r="JUZ838" s="802"/>
      <c r="JVA838" s="802"/>
      <c r="JVB838" s="802"/>
      <c r="JVC838" s="802"/>
      <c r="JVD838" s="802"/>
      <c r="JVE838" s="802"/>
      <c r="JVF838" s="802"/>
      <c r="JVG838" s="802"/>
      <c r="JVH838" s="802"/>
      <c r="JVI838" s="802"/>
      <c r="JVJ838" s="802"/>
      <c r="JVK838" s="802"/>
      <c r="JVL838" s="802"/>
      <c r="JVM838" s="802"/>
      <c r="JVN838" s="802"/>
      <c r="JVO838" s="802"/>
      <c r="JVP838" s="802"/>
      <c r="JVQ838" s="802"/>
      <c r="JVR838" s="802"/>
      <c r="JVS838" s="802"/>
      <c r="JVT838" s="802"/>
      <c r="JVU838" s="802"/>
      <c r="JVV838" s="802"/>
      <c r="JVW838" s="802"/>
      <c r="JVX838" s="802"/>
      <c r="JVY838" s="802"/>
      <c r="JVZ838" s="802"/>
      <c r="JWA838" s="802"/>
      <c r="JWB838" s="802"/>
      <c r="JWC838" s="802"/>
      <c r="JWD838" s="802"/>
      <c r="JWE838" s="802"/>
      <c r="JWF838" s="802"/>
      <c r="JWG838" s="802"/>
      <c r="JWH838" s="802"/>
      <c r="JWI838" s="802"/>
      <c r="JWJ838" s="802"/>
      <c r="JWK838" s="802"/>
      <c r="JWL838" s="802"/>
      <c r="JWM838" s="802"/>
      <c r="JWN838" s="802"/>
      <c r="JWO838" s="802"/>
      <c r="JWP838" s="802"/>
      <c r="JWQ838" s="802"/>
      <c r="JWR838" s="802"/>
      <c r="JWS838" s="802"/>
      <c r="JWT838" s="802"/>
      <c r="JWU838" s="802"/>
      <c r="JWV838" s="802"/>
      <c r="JWW838" s="802"/>
      <c r="JWX838" s="802"/>
      <c r="JWY838" s="802"/>
      <c r="JWZ838" s="802"/>
      <c r="JXA838" s="802"/>
      <c r="JXB838" s="802"/>
      <c r="JXC838" s="802"/>
      <c r="JXD838" s="802"/>
      <c r="JXE838" s="802"/>
      <c r="JXF838" s="802"/>
      <c r="JXG838" s="802"/>
      <c r="JXH838" s="802"/>
      <c r="JXI838" s="802"/>
      <c r="JXJ838" s="802"/>
      <c r="JXK838" s="802"/>
      <c r="JXL838" s="802"/>
      <c r="JXM838" s="802"/>
      <c r="JXN838" s="802"/>
      <c r="JXO838" s="802"/>
      <c r="JXP838" s="802"/>
      <c r="JXQ838" s="802"/>
      <c r="JXR838" s="802"/>
      <c r="JXS838" s="802"/>
      <c r="JXT838" s="802"/>
      <c r="JXU838" s="802"/>
      <c r="JXV838" s="802"/>
      <c r="JXW838" s="802"/>
      <c r="JXX838" s="802"/>
      <c r="JXY838" s="802"/>
      <c r="JXZ838" s="802"/>
      <c r="JYA838" s="802"/>
      <c r="JYB838" s="802"/>
      <c r="JYC838" s="802"/>
      <c r="JYD838" s="802"/>
      <c r="JYE838" s="802"/>
      <c r="JYF838" s="802"/>
      <c r="JYG838" s="802"/>
      <c r="JYH838" s="802"/>
      <c r="JYI838" s="802"/>
      <c r="JYJ838" s="802"/>
      <c r="JYK838" s="802"/>
      <c r="JYL838" s="802"/>
      <c r="JYM838" s="802"/>
      <c r="JYN838" s="802"/>
      <c r="JYO838" s="802"/>
      <c r="JYP838" s="802"/>
      <c r="JYQ838" s="802"/>
      <c r="JYR838" s="802"/>
      <c r="JYS838" s="802"/>
      <c r="JYT838" s="802"/>
      <c r="JYU838" s="802"/>
      <c r="JYV838" s="802"/>
      <c r="JYW838" s="802"/>
      <c r="JYX838" s="802"/>
      <c r="JYY838" s="802"/>
      <c r="JYZ838" s="802"/>
      <c r="JZA838" s="802"/>
      <c r="JZB838" s="802"/>
      <c r="JZC838" s="802"/>
      <c r="JZD838" s="802"/>
      <c r="JZE838" s="802"/>
      <c r="JZF838" s="802"/>
      <c r="JZG838" s="802"/>
      <c r="JZH838" s="802"/>
      <c r="JZI838" s="802"/>
      <c r="JZJ838" s="802"/>
      <c r="JZK838" s="802"/>
      <c r="JZL838" s="802"/>
      <c r="JZM838" s="802"/>
      <c r="JZN838" s="802"/>
      <c r="JZO838" s="802"/>
      <c r="JZP838" s="802"/>
      <c r="JZQ838" s="802"/>
      <c r="JZR838" s="802"/>
      <c r="JZS838" s="802"/>
      <c r="JZT838" s="802"/>
      <c r="JZU838" s="802"/>
      <c r="JZV838" s="802"/>
      <c r="JZW838" s="802"/>
      <c r="JZX838" s="802"/>
      <c r="JZY838" s="802"/>
      <c r="JZZ838" s="802"/>
      <c r="KAA838" s="802"/>
      <c r="KAB838" s="802"/>
      <c r="KAC838" s="802"/>
      <c r="KAD838" s="802"/>
      <c r="KAE838" s="802"/>
      <c r="KAF838" s="802"/>
      <c r="KAG838" s="802"/>
      <c r="KAH838" s="802"/>
      <c r="KAI838" s="802"/>
      <c r="KAJ838" s="802"/>
      <c r="KAK838" s="802"/>
      <c r="KAL838" s="802"/>
      <c r="KAM838" s="802"/>
      <c r="KAN838" s="802"/>
      <c r="KAO838" s="802"/>
      <c r="KAP838" s="802"/>
      <c r="KAQ838" s="802"/>
      <c r="KAR838" s="802"/>
      <c r="KAS838" s="802"/>
      <c r="KAT838" s="802"/>
      <c r="KAU838" s="802"/>
      <c r="KAV838" s="802"/>
      <c r="KAW838" s="802"/>
      <c r="KAX838" s="802"/>
      <c r="KAY838" s="802"/>
      <c r="KAZ838" s="802"/>
      <c r="KBA838" s="802"/>
      <c r="KBB838" s="802"/>
      <c r="KBC838" s="802"/>
      <c r="KBD838" s="802"/>
      <c r="KBE838" s="802"/>
      <c r="KBF838" s="802"/>
      <c r="KBG838" s="802"/>
      <c r="KBH838" s="802"/>
      <c r="KBI838" s="802"/>
      <c r="KBJ838" s="802"/>
      <c r="KBK838" s="802"/>
      <c r="KBL838" s="802"/>
      <c r="KBM838" s="802"/>
      <c r="KBN838" s="802"/>
      <c r="KBO838" s="802"/>
      <c r="KBP838" s="802"/>
      <c r="KBQ838" s="802"/>
      <c r="KBR838" s="802"/>
      <c r="KBS838" s="802"/>
      <c r="KBT838" s="802"/>
      <c r="KBU838" s="802"/>
      <c r="KBV838" s="802"/>
      <c r="KBW838" s="802"/>
      <c r="KBX838" s="802"/>
      <c r="KBY838" s="802"/>
      <c r="KBZ838" s="802"/>
      <c r="KCA838" s="802"/>
      <c r="KCB838" s="802"/>
      <c r="KCC838" s="802"/>
      <c r="KCD838" s="802"/>
      <c r="KCE838" s="802"/>
      <c r="KCF838" s="802"/>
      <c r="KCG838" s="802"/>
      <c r="KCH838" s="802"/>
      <c r="KCI838" s="802"/>
      <c r="KCJ838" s="802"/>
      <c r="KCK838" s="802"/>
      <c r="KCL838" s="802"/>
      <c r="KCM838" s="802"/>
      <c r="KCN838" s="802"/>
      <c r="KCO838" s="802"/>
      <c r="KCP838" s="802"/>
      <c r="KCQ838" s="802"/>
      <c r="KCR838" s="802"/>
      <c r="KCS838" s="802"/>
      <c r="KCT838" s="802"/>
      <c r="KCU838" s="802"/>
      <c r="KCV838" s="802"/>
      <c r="KCW838" s="802"/>
      <c r="KCX838" s="802"/>
      <c r="KCY838" s="802"/>
      <c r="KCZ838" s="802"/>
      <c r="KDA838" s="802"/>
      <c r="KDB838" s="802"/>
      <c r="KDC838" s="802"/>
      <c r="KDD838" s="802"/>
      <c r="KDE838" s="802"/>
      <c r="KDF838" s="802"/>
      <c r="KDG838" s="802"/>
      <c r="KDH838" s="802"/>
      <c r="KDI838" s="802"/>
      <c r="KDJ838" s="802"/>
      <c r="KDK838" s="802"/>
      <c r="KDL838" s="802"/>
      <c r="KDM838" s="802"/>
      <c r="KDN838" s="802"/>
      <c r="KDO838" s="802"/>
      <c r="KDP838" s="802"/>
      <c r="KDQ838" s="802"/>
      <c r="KDR838" s="802"/>
      <c r="KDS838" s="802"/>
      <c r="KDT838" s="802"/>
      <c r="KDU838" s="802"/>
      <c r="KDV838" s="802"/>
      <c r="KDW838" s="802"/>
      <c r="KDX838" s="802"/>
      <c r="KDY838" s="802"/>
      <c r="KDZ838" s="802"/>
      <c r="KEA838" s="802"/>
      <c r="KEB838" s="802"/>
      <c r="KEC838" s="802"/>
      <c r="KED838" s="802"/>
      <c r="KEE838" s="802"/>
      <c r="KEF838" s="802"/>
      <c r="KEG838" s="802"/>
      <c r="KEH838" s="802"/>
      <c r="KEI838" s="802"/>
      <c r="KEJ838" s="802"/>
      <c r="KEK838" s="802"/>
      <c r="KEL838" s="802"/>
      <c r="KEM838" s="802"/>
      <c r="KEN838" s="802"/>
      <c r="KEO838" s="802"/>
      <c r="KEP838" s="802"/>
      <c r="KEQ838" s="802"/>
      <c r="KER838" s="802"/>
      <c r="KES838" s="802"/>
      <c r="KET838" s="802"/>
      <c r="KEU838" s="802"/>
      <c r="KEV838" s="802"/>
      <c r="KEW838" s="802"/>
      <c r="KEX838" s="802"/>
      <c r="KEY838" s="802"/>
      <c r="KEZ838" s="802"/>
      <c r="KFA838" s="802"/>
      <c r="KFB838" s="802"/>
      <c r="KFC838" s="802"/>
      <c r="KFD838" s="802"/>
      <c r="KFE838" s="802"/>
      <c r="KFF838" s="802"/>
      <c r="KFG838" s="802"/>
      <c r="KFH838" s="802"/>
      <c r="KFI838" s="802"/>
      <c r="KFJ838" s="802"/>
      <c r="KFK838" s="802"/>
      <c r="KFL838" s="802"/>
      <c r="KFM838" s="802"/>
      <c r="KFN838" s="802"/>
      <c r="KFO838" s="802"/>
      <c r="KFP838" s="802"/>
      <c r="KFQ838" s="802"/>
      <c r="KFR838" s="802"/>
      <c r="KFS838" s="802"/>
      <c r="KFT838" s="802"/>
      <c r="KFU838" s="802"/>
      <c r="KFV838" s="802"/>
      <c r="KFW838" s="802"/>
      <c r="KFX838" s="802"/>
      <c r="KFY838" s="802"/>
      <c r="KFZ838" s="802"/>
      <c r="KGA838" s="802"/>
      <c r="KGB838" s="802"/>
      <c r="KGC838" s="802"/>
      <c r="KGD838" s="802"/>
      <c r="KGE838" s="802"/>
      <c r="KGF838" s="802"/>
      <c r="KGG838" s="802"/>
      <c r="KGH838" s="802"/>
      <c r="KGI838" s="802"/>
      <c r="KGJ838" s="802"/>
      <c r="KGK838" s="802"/>
      <c r="KGL838" s="802"/>
      <c r="KGM838" s="802"/>
      <c r="KGN838" s="802"/>
      <c r="KGO838" s="802"/>
      <c r="KGP838" s="802"/>
      <c r="KGQ838" s="802"/>
      <c r="KGR838" s="802"/>
      <c r="KGS838" s="802"/>
      <c r="KGT838" s="802"/>
      <c r="KGU838" s="802"/>
      <c r="KGV838" s="802"/>
      <c r="KGW838" s="802"/>
      <c r="KGX838" s="802"/>
      <c r="KGY838" s="802"/>
      <c r="KGZ838" s="802"/>
      <c r="KHA838" s="802"/>
      <c r="KHB838" s="802"/>
      <c r="KHC838" s="802"/>
      <c r="KHD838" s="802"/>
      <c r="KHE838" s="802"/>
      <c r="KHF838" s="802"/>
      <c r="KHG838" s="802"/>
      <c r="KHH838" s="802"/>
      <c r="KHI838" s="802"/>
      <c r="KHJ838" s="802"/>
      <c r="KHK838" s="802"/>
      <c r="KHL838" s="802"/>
      <c r="KHM838" s="802"/>
      <c r="KHN838" s="802"/>
      <c r="KHO838" s="802"/>
      <c r="KHP838" s="802"/>
      <c r="KHQ838" s="802"/>
      <c r="KHR838" s="802"/>
      <c r="KHS838" s="802"/>
      <c r="KHT838" s="802"/>
      <c r="KHU838" s="802"/>
      <c r="KHV838" s="802"/>
      <c r="KHW838" s="802"/>
      <c r="KHX838" s="802"/>
      <c r="KHY838" s="802"/>
      <c r="KHZ838" s="802"/>
      <c r="KIA838" s="802"/>
      <c r="KIB838" s="802"/>
      <c r="KIC838" s="802"/>
      <c r="KID838" s="802"/>
      <c r="KIE838" s="802"/>
      <c r="KIF838" s="802"/>
      <c r="KIG838" s="802"/>
      <c r="KIH838" s="802"/>
      <c r="KII838" s="802"/>
      <c r="KIJ838" s="802"/>
      <c r="KIK838" s="802"/>
      <c r="KIL838" s="802"/>
      <c r="KIM838" s="802"/>
      <c r="KIN838" s="802"/>
      <c r="KIO838" s="802"/>
      <c r="KIP838" s="802"/>
      <c r="KIQ838" s="802"/>
      <c r="KIR838" s="802"/>
      <c r="KIS838" s="802"/>
      <c r="KIT838" s="802"/>
      <c r="KIU838" s="802"/>
      <c r="KIV838" s="802"/>
      <c r="KIW838" s="802"/>
      <c r="KIX838" s="802"/>
      <c r="KIY838" s="802"/>
      <c r="KIZ838" s="802"/>
      <c r="KJA838" s="802"/>
      <c r="KJB838" s="802"/>
      <c r="KJC838" s="802"/>
      <c r="KJD838" s="802"/>
      <c r="KJE838" s="802"/>
      <c r="KJF838" s="802"/>
      <c r="KJG838" s="802"/>
      <c r="KJH838" s="802"/>
      <c r="KJI838" s="802"/>
      <c r="KJJ838" s="802"/>
      <c r="KJK838" s="802"/>
      <c r="KJL838" s="802"/>
      <c r="KJM838" s="802"/>
      <c r="KJN838" s="802"/>
      <c r="KJO838" s="802"/>
      <c r="KJP838" s="802"/>
      <c r="KJQ838" s="802"/>
      <c r="KJR838" s="802"/>
      <c r="KJS838" s="802"/>
      <c r="KJT838" s="802"/>
      <c r="KJU838" s="802"/>
      <c r="KJV838" s="802"/>
      <c r="KJW838" s="802"/>
      <c r="KJX838" s="802"/>
      <c r="KJY838" s="802"/>
      <c r="KJZ838" s="802"/>
      <c r="KKA838" s="802"/>
      <c r="KKB838" s="802"/>
      <c r="KKC838" s="802"/>
      <c r="KKD838" s="802"/>
      <c r="KKE838" s="802"/>
      <c r="KKF838" s="802"/>
      <c r="KKG838" s="802"/>
      <c r="KKH838" s="802"/>
      <c r="KKI838" s="802"/>
      <c r="KKJ838" s="802"/>
      <c r="KKK838" s="802"/>
      <c r="KKL838" s="802"/>
      <c r="KKM838" s="802"/>
      <c r="KKN838" s="802"/>
      <c r="KKO838" s="802"/>
      <c r="KKP838" s="802"/>
      <c r="KKQ838" s="802"/>
      <c r="KKR838" s="802"/>
      <c r="KKS838" s="802"/>
      <c r="KKT838" s="802"/>
      <c r="KKU838" s="802"/>
      <c r="KKV838" s="802"/>
      <c r="KKW838" s="802"/>
      <c r="KKX838" s="802"/>
      <c r="KKY838" s="802"/>
      <c r="KKZ838" s="802"/>
      <c r="KLA838" s="802"/>
      <c r="KLB838" s="802"/>
      <c r="KLC838" s="802"/>
      <c r="KLD838" s="802"/>
      <c r="KLE838" s="802"/>
      <c r="KLF838" s="802"/>
      <c r="KLG838" s="802"/>
      <c r="KLH838" s="802"/>
      <c r="KLI838" s="802"/>
      <c r="KLJ838" s="802"/>
      <c r="KLK838" s="802"/>
      <c r="KLL838" s="802"/>
      <c r="KLM838" s="802"/>
      <c r="KLN838" s="802"/>
      <c r="KLO838" s="802"/>
      <c r="KLP838" s="802"/>
      <c r="KLQ838" s="802"/>
      <c r="KLR838" s="802"/>
      <c r="KLS838" s="802"/>
      <c r="KLT838" s="802"/>
      <c r="KLU838" s="802"/>
      <c r="KLV838" s="802"/>
      <c r="KLW838" s="802"/>
      <c r="KLX838" s="802"/>
      <c r="KLY838" s="802"/>
      <c r="KLZ838" s="802"/>
      <c r="KMA838" s="802"/>
      <c r="KMB838" s="802"/>
      <c r="KMC838" s="802"/>
      <c r="KMD838" s="802"/>
      <c r="KME838" s="802"/>
      <c r="KMF838" s="802"/>
      <c r="KMG838" s="802"/>
      <c r="KMH838" s="802"/>
      <c r="KMI838" s="802"/>
      <c r="KMJ838" s="802"/>
      <c r="KMK838" s="802"/>
      <c r="KML838" s="802"/>
      <c r="KMM838" s="802"/>
      <c r="KMN838" s="802"/>
      <c r="KMO838" s="802"/>
      <c r="KMP838" s="802"/>
      <c r="KMQ838" s="802"/>
      <c r="KMR838" s="802"/>
      <c r="KMS838" s="802"/>
      <c r="KMT838" s="802"/>
      <c r="KMU838" s="802"/>
      <c r="KMV838" s="802"/>
      <c r="KMW838" s="802"/>
      <c r="KMX838" s="802"/>
      <c r="KMY838" s="802"/>
      <c r="KMZ838" s="802"/>
      <c r="KNA838" s="802"/>
      <c r="KNB838" s="802"/>
      <c r="KNC838" s="802"/>
      <c r="KND838" s="802"/>
      <c r="KNE838" s="802"/>
      <c r="KNF838" s="802"/>
      <c r="KNG838" s="802"/>
      <c r="KNH838" s="802"/>
      <c r="KNI838" s="802"/>
      <c r="KNJ838" s="802"/>
      <c r="KNK838" s="802"/>
      <c r="KNL838" s="802"/>
      <c r="KNM838" s="802"/>
      <c r="KNN838" s="802"/>
      <c r="KNO838" s="802"/>
      <c r="KNP838" s="802"/>
      <c r="KNQ838" s="802"/>
      <c r="KNR838" s="802"/>
      <c r="KNS838" s="802"/>
      <c r="KNT838" s="802"/>
      <c r="KNU838" s="802"/>
      <c r="KNV838" s="802"/>
      <c r="KNW838" s="802"/>
      <c r="KNX838" s="802"/>
      <c r="KNY838" s="802"/>
      <c r="KNZ838" s="802"/>
      <c r="KOA838" s="802"/>
      <c r="KOB838" s="802"/>
      <c r="KOC838" s="802"/>
      <c r="KOD838" s="802"/>
      <c r="KOE838" s="802"/>
      <c r="KOF838" s="802"/>
      <c r="KOG838" s="802"/>
      <c r="KOH838" s="802"/>
      <c r="KOI838" s="802"/>
      <c r="KOJ838" s="802"/>
      <c r="KOK838" s="802"/>
      <c r="KOL838" s="802"/>
      <c r="KOM838" s="802"/>
      <c r="KON838" s="802"/>
      <c r="KOO838" s="802"/>
      <c r="KOP838" s="802"/>
      <c r="KOQ838" s="802"/>
      <c r="KOR838" s="802"/>
      <c r="KOS838" s="802"/>
      <c r="KOT838" s="802"/>
      <c r="KOU838" s="802"/>
      <c r="KOV838" s="802"/>
      <c r="KOW838" s="802"/>
      <c r="KOX838" s="802"/>
      <c r="KOY838" s="802"/>
      <c r="KOZ838" s="802"/>
      <c r="KPA838" s="802"/>
      <c r="KPB838" s="802"/>
      <c r="KPC838" s="802"/>
      <c r="KPD838" s="802"/>
      <c r="KPE838" s="802"/>
      <c r="KPF838" s="802"/>
      <c r="KPG838" s="802"/>
      <c r="KPH838" s="802"/>
      <c r="KPI838" s="802"/>
      <c r="KPJ838" s="802"/>
      <c r="KPK838" s="802"/>
      <c r="KPL838" s="802"/>
      <c r="KPM838" s="802"/>
      <c r="KPN838" s="802"/>
      <c r="KPO838" s="802"/>
      <c r="KPP838" s="802"/>
      <c r="KPQ838" s="802"/>
      <c r="KPR838" s="802"/>
      <c r="KPS838" s="802"/>
      <c r="KPT838" s="802"/>
      <c r="KPU838" s="802"/>
      <c r="KPV838" s="802"/>
      <c r="KPW838" s="802"/>
      <c r="KPX838" s="802"/>
      <c r="KPY838" s="802"/>
      <c r="KPZ838" s="802"/>
      <c r="KQA838" s="802"/>
      <c r="KQB838" s="802"/>
      <c r="KQC838" s="802"/>
      <c r="KQD838" s="802"/>
      <c r="KQE838" s="802"/>
      <c r="KQF838" s="802"/>
      <c r="KQG838" s="802"/>
      <c r="KQH838" s="802"/>
      <c r="KQI838" s="802"/>
      <c r="KQJ838" s="802"/>
      <c r="KQK838" s="802"/>
      <c r="KQL838" s="802"/>
      <c r="KQM838" s="802"/>
      <c r="KQN838" s="802"/>
      <c r="KQO838" s="802"/>
      <c r="KQP838" s="802"/>
      <c r="KQQ838" s="802"/>
      <c r="KQR838" s="802"/>
      <c r="KQS838" s="802"/>
      <c r="KQT838" s="802"/>
      <c r="KQU838" s="802"/>
      <c r="KQV838" s="802"/>
      <c r="KQW838" s="802"/>
      <c r="KQX838" s="802"/>
      <c r="KQY838" s="802"/>
      <c r="KQZ838" s="802"/>
      <c r="KRA838" s="802"/>
      <c r="KRB838" s="802"/>
      <c r="KRC838" s="802"/>
      <c r="KRD838" s="802"/>
      <c r="KRE838" s="802"/>
      <c r="KRF838" s="802"/>
      <c r="KRG838" s="802"/>
      <c r="KRH838" s="802"/>
      <c r="KRI838" s="802"/>
      <c r="KRJ838" s="802"/>
      <c r="KRK838" s="802"/>
      <c r="KRL838" s="802"/>
      <c r="KRM838" s="802"/>
      <c r="KRN838" s="802"/>
      <c r="KRO838" s="802"/>
      <c r="KRP838" s="802"/>
      <c r="KRQ838" s="802"/>
      <c r="KRR838" s="802"/>
      <c r="KRS838" s="802"/>
      <c r="KRT838" s="802"/>
      <c r="KRU838" s="802"/>
      <c r="KRV838" s="802"/>
      <c r="KRW838" s="802"/>
      <c r="KRX838" s="802"/>
      <c r="KRY838" s="802"/>
      <c r="KRZ838" s="802"/>
      <c r="KSA838" s="802"/>
      <c r="KSB838" s="802"/>
      <c r="KSC838" s="802"/>
      <c r="KSD838" s="802"/>
      <c r="KSE838" s="802"/>
      <c r="KSF838" s="802"/>
      <c r="KSG838" s="802"/>
      <c r="KSH838" s="802"/>
      <c r="KSI838" s="802"/>
      <c r="KSJ838" s="802"/>
      <c r="KSK838" s="802"/>
      <c r="KSL838" s="802"/>
      <c r="KSM838" s="802"/>
      <c r="KSN838" s="802"/>
      <c r="KSO838" s="802"/>
      <c r="KSP838" s="802"/>
      <c r="KSQ838" s="802"/>
      <c r="KSR838" s="802"/>
      <c r="KSS838" s="802"/>
      <c r="KST838" s="802"/>
      <c r="KSU838" s="802"/>
      <c r="KSV838" s="802"/>
      <c r="KSW838" s="802"/>
      <c r="KSX838" s="802"/>
      <c r="KSY838" s="802"/>
      <c r="KSZ838" s="802"/>
      <c r="KTA838" s="802"/>
      <c r="KTB838" s="802"/>
      <c r="KTC838" s="802"/>
      <c r="KTD838" s="802"/>
      <c r="KTE838" s="802"/>
      <c r="KTF838" s="802"/>
      <c r="KTG838" s="802"/>
      <c r="KTH838" s="802"/>
      <c r="KTI838" s="802"/>
      <c r="KTJ838" s="802"/>
      <c r="KTK838" s="802"/>
      <c r="KTL838" s="802"/>
      <c r="KTM838" s="802"/>
      <c r="KTN838" s="802"/>
      <c r="KTO838" s="802"/>
      <c r="KTP838" s="802"/>
      <c r="KTQ838" s="802"/>
      <c r="KTR838" s="802"/>
      <c r="KTS838" s="802"/>
      <c r="KTT838" s="802"/>
      <c r="KTU838" s="802"/>
      <c r="KTV838" s="802"/>
      <c r="KTW838" s="802"/>
      <c r="KTX838" s="802"/>
      <c r="KTY838" s="802"/>
      <c r="KTZ838" s="802"/>
      <c r="KUA838" s="802"/>
      <c r="KUB838" s="802"/>
      <c r="KUC838" s="802"/>
      <c r="KUD838" s="802"/>
      <c r="KUE838" s="802"/>
      <c r="KUF838" s="802"/>
      <c r="KUG838" s="802"/>
      <c r="KUH838" s="802"/>
      <c r="KUI838" s="802"/>
      <c r="KUJ838" s="802"/>
      <c r="KUK838" s="802"/>
      <c r="KUL838" s="802"/>
      <c r="KUM838" s="802"/>
      <c r="KUN838" s="802"/>
      <c r="KUO838" s="802"/>
      <c r="KUP838" s="802"/>
      <c r="KUQ838" s="802"/>
      <c r="KUR838" s="802"/>
      <c r="KUS838" s="802"/>
      <c r="KUT838" s="802"/>
      <c r="KUU838" s="802"/>
      <c r="KUV838" s="802"/>
      <c r="KUW838" s="802"/>
      <c r="KUX838" s="802"/>
      <c r="KUY838" s="802"/>
      <c r="KUZ838" s="802"/>
      <c r="KVA838" s="802"/>
      <c r="KVB838" s="802"/>
      <c r="KVC838" s="802"/>
      <c r="KVD838" s="802"/>
      <c r="KVE838" s="802"/>
      <c r="KVF838" s="802"/>
      <c r="KVG838" s="802"/>
      <c r="KVH838" s="802"/>
      <c r="KVI838" s="802"/>
      <c r="KVJ838" s="802"/>
      <c r="KVK838" s="802"/>
      <c r="KVL838" s="802"/>
      <c r="KVM838" s="802"/>
      <c r="KVN838" s="802"/>
      <c r="KVO838" s="802"/>
      <c r="KVP838" s="802"/>
      <c r="KVQ838" s="802"/>
      <c r="KVR838" s="802"/>
      <c r="KVS838" s="802"/>
      <c r="KVT838" s="802"/>
      <c r="KVU838" s="802"/>
      <c r="KVV838" s="802"/>
      <c r="KVW838" s="802"/>
      <c r="KVX838" s="802"/>
      <c r="KVY838" s="802"/>
      <c r="KVZ838" s="802"/>
      <c r="KWA838" s="802"/>
      <c r="KWB838" s="802"/>
      <c r="KWC838" s="802"/>
      <c r="KWD838" s="802"/>
      <c r="KWE838" s="802"/>
      <c r="KWF838" s="802"/>
      <c r="KWG838" s="802"/>
      <c r="KWH838" s="802"/>
      <c r="KWI838" s="802"/>
      <c r="KWJ838" s="802"/>
      <c r="KWK838" s="802"/>
      <c r="KWL838" s="802"/>
      <c r="KWM838" s="802"/>
      <c r="KWN838" s="802"/>
      <c r="KWO838" s="802"/>
      <c r="KWP838" s="802"/>
      <c r="KWQ838" s="802"/>
      <c r="KWR838" s="802"/>
      <c r="KWS838" s="802"/>
      <c r="KWT838" s="802"/>
      <c r="KWU838" s="802"/>
      <c r="KWV838" s="802"/>
      <c r="KWW838" s="802"/>
      <c r="KWX838" s="802"/>
      <c r="KWY838" s="802"/>
      <c r="KWZ838" s="802"/>
      <c r="KXA838" s="802"/>
      <c r="KXB838" s="802"/>
      <c r="KXC838" s="802"/>
      <c r="KXD838" s="802"/>
      <c r="KXE838" s="802"/>
      <c r="KXF838" s="802"/>
      <c r="KXG838" s="802"/>
      <c r="KXH838" s="802"/>
      <c r="KXI838" s="802"/>
      <c r="KXJ838" s="802"/>
      <c r="KXK838" s="802"/>
      <c r="KXL838" s="802"/>
      <c r="KXM838" s="802"/>
      <c r="KXN838" s="802"/>
      <c r="KXO838" s="802"/>
      <c r="KXP838" s="802"/>
      <c r="KXQ838" s="802"/>
      <c r="KXR838" s="802"/>
      <c r="KXS838" s="802"/>
      <c r="KXT838" s="802"/>
      <c r="KXU838" s="802"/>
      <c r="KXV838" s="802"/>
      <c r="KXW838" s="802"/>
      <c r="KXX838" s="802"/>
      <c r="KXY838" s="802"/>
      <c r="KXZ838" s="802"/>
      <c r="KYA838" s="802"/>
      <c r="KYB838" s="802"/>
      <c r="KYC838" s="802"/>
      <c r="KYD838" s="802"/>
      <c r="KYE838" s="802"/>
      <c r="KYF838" s="802"/>
      <c r="KYG838" s="802"/>
      <c r="KYH838" s="802"/>
      <c r="KYI838" s="802"/>
      <c r="KYJ838" s="802"/>
      <c r="KYK838" s="802"/>
      <c r="KYL838" s="802"/>
      <c r="KYM838" s="802"/>
      <c r="KYN838" s="802"/>
      <c r="KYO838" s="802"/>
      <c r="KYP838" s="802"/>
      <c r="KYQ838" s="802"/>
      <c r="KYR838" s="802"/>
      <c r="KYS838" s="802"/>
      <c r="KYT838" s="802"/>
      <c r="KYU838" s="802"/>
      <c r="KYV838" s="802"/>
      <c r="KYW838" s="802"/>
      <c r="KYX838" s="802"/>
      <c r="KYY838" s="802"/>
      <c r="KYZ838" s="802"/>
      <c r="KZA838" s="802"/>
      <c r="KZB838" s="802"/>
      <c r="KZC838" s="802"/>
      <c r="KZD838" s="802"/>
      <c r="KZE838" s="802"/>
      <c r="KZF838" s="802"/>
      <c r="KZG838" s="802"/>
      <c r="KZH838" s="802"/>
      <c r="KZI838" s="802"/>
      <c r="KZJ838" s="802"/>
      <c r="KZK838" s="802"/>
      <c r="KZL838" s="802"/>
      <c r="KZM838" s="802"/>
      <c r="KZN838" s="802"/>
      <c r="KZO838" s="802"/>
      <c r="KZP838" s="802"/>
      <c r="KZQ838" s="802"/>
      <c r="KZR838" s="802"/>
      <c r="KZS838" s="802"/>
      <c r="KZT838" s="802"/>
      <c r="KZU838" s="802"/>
      <c r="KZV838" s="802"/>
      <c r="KZW838" s="802"/>
      <c r="KZX838" s="802"/>
      <c r="KZY838" s="802"/>
      <c r="KZZ838" s="802"/>
      <c r="LAA838" s="802"/>
      <c r="LAB838" s="802"/>
      <c r="LAC838" s="802"/>
      <c r="LAD838" s="802"/>
      <c r="LAE838" s="802"/>
      <c r="LAF838" s="802"/>
      <c r="LAG838" s="802"/>
      <c r="LAH838" s="802"/>
      <c r="LAI838" s="802"/>
      <c r="LAJ838" s="802"/>
      <c r="LAK838" s="802"/>
      <c r="LAL838" s="802"/>
      <c r="LAM838" s="802"/>
      <c r="LAN838" s="802"/>
      <c r="LAO838" s="802"/>
      <c r="LAP838" s="802"/>
      <c r="LAQ838" s="802"/>
      <c r="LAR838" s="802"/>
      <c r="LAS838" s="802"/>
      <c r="LAT838" s="802"/>
      <c r="LAU838" s="802"/>
      <c r="LAV838" s="802"/>
      <c r="LAW838" s="802"/>
      <c r="LAX838" s="802"/>
      <c r="LAY838" s="802"/>
      <c r="LAZ838" s="802"/>
      <c r="LBA838" s="802"/>
      <c r="LBB838" s="802"/>
      <c r="LBC838" s="802"/>
      <c r="LBD838" s="802"/>
      <c r="LBE838" s="802"/>
      <c r="LBF838" s="802"/>
      <c r="LBG838" s="802"/>
      <c r="LBH838" s="802"/>
      <c r="LBI838" s="802"/>
      <c r="LBJ838" s="802"/>
      <c r="LBK838" s="802"/>
      <c r="LBL838" s="802"/>
      <c r="LBM838" s="802"/>
      <c r="LBN838" s="802"/>
      <c r="LBO838" s="802"/>
      <c r="LBP838" s="802"/>
      <c r="LBQ838" s="802"/>
      <c r="LBR838" s="802"/>
      <c r="LBS838" s="802"/>
      <c r="LBT838" s="802"/>
      <c r="LBU838" s="802"/>
      <c r="LBV838" s="802"/>
      <c r="LBW838" s="802"/>
      <c r="LBX838" s="802"/>
      <c r="LBY838" s="802"/>
      <c r="LBZ838" s="802"/>
      <c r="LCA838" s="802"/>
      <c r="LCB838" s="802"/>
      <c r="LCC838" s="802"/>
      <c r="LCD838" s="802"/>
      <c r="LCE838" s="802"/>
      <c r="LCF838" s="802"/>
      <c r="LCG838" s="802"/>
      <c r="LCH838" s="802"/>
      <c r="LCI838" s="802"/>
      <c r="LCJ838" s="802"/>
      <c r="LCK838" s="802"/>
      <c r="LCL838" s="802"/>
      <c r="LCM838" s="802"/>
      <c r="LCN838" s="802"/>
      <c r="LCO838" s="802"/>
      <c r="LCP838" s="802"/>
      <c r="LCQ838" s="802"/>
      <c r="LCR838" s="802"/>
      <c r="LCS838" s="802"/>
      <c r="LCT838" s="802"/>
      <c r="LCU838" s="802"/>
      <c r="LCV838" s="802"/>
      <c r="LCW838" s="802"/>
      <c r="LCX838" s="802"/>
      <c r="LCY838" s="802"/>
      <c r="LCZ838" s="802"/>
      <c r="LDA838" s="802"/>
      <c r="LDB838" s="802"/>
      <c r="LDC838" s="802"/>
      <c r="LDD838" s="802"/>
      <c r="LDE838" s="802"/>
      <c r="LDF838" s="802"/>
      <c r="LDG838" s="802"/>
      <c r="LDH838" s="802"/>
      <c r="LDI838" s="802"/>
      <c r="LDJ838" s="802"/>
      <c r="LDK838" s="802"/>
      <c r="LDL838" s="802"/>
      <c r="LDM838" s="802"/>
      <c r="LDN838" s="802"/>
      <c r="LDO838" s="802"/>
      <c r="LDP838" s="802"/>
      <c r="LDQ838" s="802"/>
      <c r="LDR838" s="802"/>
      <c r="LDS838" s="802"/>
      <c r="LDT838" s="802"/>
      <c r="LDU838" s="802"/>
      <c r="LDV838" s="802"/>
      <c r="LDW838" s="802"/>
      <c r="LDX838" s="802"/>
      <c r="LDY838" s="802"/>
      <c r="LDZ838" s="802"/>
      <c r="LEA838" s="802"/>
      <c r="LEB838" s="802"/>
      <c r="LEC838" s="802"/>
      <c r="LED838" s="802"/>
      <c r="LEE838" s="802"/>
      <c r="LEF838" s="802"/>
      <c r="LEG838" s="802"/>
      <c r="LEH838" s="802"/>
      <c r="LEI838" s="802"/>
      <c r="LEJ838" s="802"/>
      <c r="LEK838" s="802"/>
      <c r="LEL838" s="802"/>
      <c r="LEM838" s="802"/>
      <c r="LEN838" s="802"/>
      <c r="LEO838" s="802"/>
      <c r="LEP838" s="802"/>
      <c r="LEQ838" s="802"/>
      <c r="LER838" s="802"/>
      <c r="LES838" s="802"/>
      <c r="LET838" s="802"/>
      <c r="LEU838" s="802"/>
      <c r="LEV838" s="802"/>
      <c r="LEW838" s="802"/>
      <c r="LEX838" s="802"/>
      <c r="LEY838" s="802"/>
      <c r="LEZ838" s="802"/>
      <c r="LFA838" s="802"/>
      <c r="LFB838" s="802"/>
      <c r="LFC838" s="802"/>
      <c r="LFD838" s="802"/>
      <c r="LFE838" s="802"/>
      <c r="LFF838" s="802"/>
      <c r="LFG838" s="802"/>
      <c r="LFH838" s="802"/>
      <c r="LFI838" s="802"/>
      <c r="LFJ838" s="802"/>
      <c r="LFK838" s="802"/>
      <c r="LFL838" s="802"/>
      <c r="LFM838" s="802"/>
      <c r="LFN838" s="802"/>
      <c r="LFO838" s="802"/>
      <c r="LFP838" s="802"/>
      <c r="LFQ838" s="802"/>
      <c r="LFR838" s="802"/>
      <c r="LFS838" s="802"/>
      <c r="LFT838" s="802"/>
      <c r="LFU838" s="802"/>
      <c r="LFV838" s="802"/>
      <c r="LFW838" s="802"/>
      <c r="LFX838" s="802"/>
      <c r="LFY838" s="802"/>
      <c r="LFZ838" s="802"/>
      <c r="LGA838" s="802"/>
      <c r="LGB838" s="802"/>
      <c r="LGC838" s="802"/>
      <c r="LGD838" s="802"/>
      <c r="LGE838" s="802"/>
      <c r="LGF838" s="802"/>
      <c r="LGG838" s="802"/>
      <c r="LGH838" s="802"/>
      <c r="LGI838" s="802"/>
      <c r="LGJ838" s="802"/>
      <c r="LGK838" s="802"/>
      <c r="LGL838" s="802"/>
      <c r="LGM838" s="802"/>
      <c r="LGN838" s="802"/>
      <c r="LGO838" s="802"/>
      <c r="LGP838" s="802"/>
      <c r="LGQ838" s="802"/>
      <c r="LGR838" s="802"/>
      <c r="LGS838" s="802"/>
      <c r="LGT838" s="802"/>
      <c r="LGU838" s="802"/>
      <c r="LGV838" s="802"/>
      <c r="LGW838" s="802"/>
      <c r="LGX838" s="802"/>
      <c r="LGY838" s="802"/>
      <c r="LGZ838" s="802"/>
      <c r="LHA838" s="802"/>
      <c r="LHB838" s="802"/>
      <c r="LHC838" s="802"/>
      <c r="LHD838" s="802"/>
      <c r="LHE838" s="802"/>
      <c r="LHF838" s="802"/>
      <c r="LHG838" s="802"/>
      <c r="LHH838" s="802"/>
      <c r="LHI838" s="802"/>
      <c r="LHJ838" s="802"/>
      <c r="LHK838" s="802"/>
      <c r="LHL838" s="802"/>
      <c r="LHM838" s="802"/>
      <c r="LHN838" s="802"/>
      <c r="LHO838" s="802"/>
      <c r="LHP838" s="802"/>
      <c r="LHQ838" s="802"/>
      <c r="LHR838" s="802"/>
      <c r="LHS838" s="802"/>
      <c r="LHT838" s="802"/>
      <c r="LHU838" s="802"/>
      <c r="LHV838" s="802"/>
      <c r="LHW838" s="802"/>
      <c r="LHX838" s="802"/>
      <c r="LHY838" s="802"/>
      <c r="LHZ838" s="802"/>
      <c r="LIA838" s="802"/>
      <c r="LIB838" s="802"/>
      <c r="LIC838" s="802"/>
      <c r="LID838" s="802"/>
      <c r="LIE838" s="802"/>
      <c r="LIF838" s="802"/>
      <c r="LIG838" s="802"/>
      <c r="LIH838" s="802"/>
      <c r="LII838" s="802"/>
      <c r="LIJ838" s="802"/>
      <c r="LIK838" s="802"/>
      <c r="LIL838" s="802"/>
      <c r="LIM838" s="802"/>
      <c r="LIN838" s="802"/>
      <c r="LIO838" s="802"/>
      <c r="LIP838" s="802"/>
      <c r="LIQ838" s="802"/>
      <c r="LIR838" s="802"/>
      <c r="LIS838" s="802"/>
      <c r="LIT838" s="802"/>
      <c r="LIU838" s="802"/>
      <c r="LIV838" s="802"/>
      <c r="LIW838" s="802"/>
      <c r="LIX838" s="802"/>
      <c r="LIY838" s="802"/>
      <c r="LIZ838" s="802"/>
      <c r="LJA838" s="802"/>
      <c r="LJB838" s="802"/>
      <c r="LJC838" s="802"/>
      <c r="LJD838" s="802"/>
      <c r="LJE838" s="802"/>
      <c r="LJF838" s="802"/>
      <c r="LJG838" s="802"/>
      <c r="LJH838" s="802"/>
      <c r="LJI838" s="802"/>
      <c r="LJJ838" s="802"/>
      <c r="LJK838" s="802"/>
      <c r="LJL838" s="802"/>
      <c r="LJM838" s="802"/>
      <c r="LJN838" s="802"/>
      <c r="LJO838" s="802"/>
      <c r="LJP838" s="802"/>
      <c r="LJQ838" s="802"/>
      <c r="LJR838" s="802"/>
      <c r="LJS838" s="802"/>
      <c r="LJT838" s="802"/>
      <c r="LJU838" s="802"/>
      <c r="LJV838" s="802"/>
      <c r="LJW838" s="802"/>
      <c r="LJX838" s="802"/>
      <c r="LJY838" s="802"/>
      <c r="LJZ838" s="802"/>
      <c r="LKA838" s="802"/>
      <c r="LKB838" s="802"/>
      <c r="LKC838" s="802"/>
      <c r="LKD838" s="802"/>
      <c r="LKE838" s="802"/>
      <c r="LKF838" s="802"/>
      <c r="LKG838" s="802"/>
      <c r="LKH838" s="802"/>
      <c r="LKI838" s="802"/>
      <c r="LKJ838" s="802"/>
      <c r="LKK838" s="802"/>
      <c r="LKL838" s="802"/>
      <c r="LKM838" s="802"/>
      <c r="LKN838" s="802"/>
      <c r="LKO838" s="802"/>
      <c r="LKP838" s="802"/>
      <c r="LKQ838" s="802"/>
      <c r="LKR838" s="802"/>
      <c r="LKS838" s="802"/>
      <c r="LKT838" s="802"/>
      <c r="LKU838" s="802"/>
      <c r="LKV838" s="802"/>
      <c r="LKW838" s="802"/>
      <c r="LKX838" s="802"/>
      <c r="LKY838" s="802"/>
      <c r="LKZ838" s="802"/>
      <c r="LLA838" s="802"/>
      <c r="LLB838" s="802"/>
      <c r="LLC838" s="802"/>
      <c r="LLD838" s="802"/>
      <c r="LLE838" s="802"/>
      <c r="LLF838" s="802"/>
      <c r="LLG838" s="802"/>
      <c r="LLH838" s="802"/>
      <c r="LLI838" s="802"/>
      <c r="LLJ838" s="802"/>
      <c r="LLK838" s="802"/>
      <c r="LLL838" s="802"/>
      <c r="LLM838" s="802"/>
      <c r="LLN838" s="802"/>
      <c r="LLO838" s="802"/>
      <c r="LLP838" s="802"/>
      <c r="LLQ838" s="802"/>
      <c r="LLR838" s="802"/>
      <c r="LLS838" s="802"/>
      <c r="LLT838" s="802"/>
      <c r="LLU838" s="802"/>
      <c r="LLV838" s="802"/>
      <c r="LLW838" s="802"/>
      <c r="LLX838" s="802"/>
      <c r="LLY838" s="802"/>
      <c r="LLZ838" s="802"/>
      <c r="LMA838" s="802"/>
      <c r="LMB838" s="802"/>
      <c r="LMC838" s="802"/>
      <c r="LMD838" s="802"/>
      <c r="LME838" s="802"/>
      <c r="LMF838" s="802"/>
      <c r="LMG838" s="802"/>
      <c r="LMH838" s="802"/>
      <c r="LMI838" s="802"/>
      <c r="LMJ838" s="802"/>
      <c r="LMK838" s="802"/>
      <c r="LML838" s="802"/>
      <c r="LMM838" s="802"/>
      <c r="LMN838" s="802"/>
      <c r="LMO838" s="802"/>
      <c r="LMP838" s="802"/>
      <c r="LMQ838" s="802"/>
      <c r="LMR838" s="802"/>
      <c r="LMS838" s="802"/>
      <c r="LMT838" s="802"/>
      <c r="LMU838" s="802"/>
      <c r="LMV838" s="802"/>
      <c r="LMW838" s="802"/>
      <c r="LMX838" s="802"/>
      <c r="LMY838" s="802"/>
      <c r="LMZ838" s="802"/>
      <c r="LNA838" s="802"/>
      <c r="LNB838" s="802"/>
      <c r="LNC838" s="802"/>
      <c r="LND838" s="802"/>
      <c r="LNE838" s="802"/>
      <c r="LNF838" s="802"/>
      <c r="LNG838" s="802"/>
      <c r="LNH838" s="802"/>
      <c r="LNI838" s="802"/>
      <c r="LNJ838" s="802"/>
      <c r="LNK838" s="802"/>
      <c r="LNL838" s="802"/>
      <c r="LNM838" s="802"/>
      <c r="LNN838" s="802"/>
      <c r="LNO838" s="802"/>
      <c r="LNP838" s="802"/>
      <c r="LNQ838" s="802"/>
      <c r="LNR838" s="802"/>
      <c r="LNS838" s="802"/>
      <c r="LNT838" s="802"/>
      <c r="LNU838" s="802"/>
      <c r="LNV838" s="802"/>
      <c r="LNW838" s="802"/>
      <c r="LNX838" s="802"/>
      <c r="LNY838" s="802"/>
      <c r="LNZ838" s="802"/>
      <c r="LOA838" s="802"/>
      <c r="LOB838" s="802"/>
      <c r="LOC838" s="802"/>
      <c r="LOD838" s="802"/>
      <c r="LOE838" s="802"/>
      <c r="LOF838" s="802"/>
      <c r="LOG838" s="802"/>
      <c r="LOH838" s="802"/>
      <c r="LOI838" s="802"/>
      <c r="LOJ838" s="802"/>
      <c r="LOK838" s="802"/>
      <c r="LOL838" s="802"/>
      <c r="LOM838" s="802"/>
      <c r="LON838" s="802"/>
      <c r="LOO838" s="802"/>
      <c r="LOP838" s="802"/>
      <c r="LOQ838" s="802"/>
      <c r="LOR838" s="802"/>
      <c r="LOS838" s="802"/>
      <c r="LOT838" s="802"/>
      <c r="LOU838" s="802"/>
      <c r="LOV838" s="802"/>
      <c r="LOW838" s="802"/>
      <c r="LOX838" s="802"/>
      <c r="LOY838" s="802"/>
      <c r="LOZ838" s="802"/>
      <c r="LPA838" s="802"/>
      <c r="LPB838" s="802"/>
      <c r="LPC838" s="802"/>
      <c r="LPD838" s="802"/>
      <c r="LPE838" s="802"/>
      <c r="LPF838" s="802"/>
      <c r="LPG838" s="802"/>
      <c r="LPH838" s="802"/>
      <c r="LPI838" s="802"/>
      <c r="LPJ838" s="802"/>
      <c r="LPK838" s="802"/>
      <c r="LPL838" s="802"/>
      <c r="LPM838" s="802"/>
      <c r="LPN838" s="802"/>
      <c r="LPO838" s="802"/>
      <c r="LPP838" s="802"/>
      <c r="LPQ838" s="802"/>
      <c r="LPR838" s="802"/>
      <c r="LPS838" s="802"/>
      <c r="LPT838" s="802"/>
      <c r="LPU838" s="802"/>
      <c r="LPV838" s="802"/>
      <c r="LPW838" s="802"/>
      <c r="LPX838" s="802"/>
      <c r="LPY838" s="802"/>
      <c r="LPZ838" s="802"/>
      <c r="LQA838" s="802"/>
      <c r="LQB838" s="802"/>
      <c r="LQC838" s="802"/>
      <c r="LQD838" s="802"/>
      <c r="LQE838" s="802"/>
      <c r="LQF838" s="802"/>
      <c r="LQG838" s="802"/>
      <c r="LQH838" s="802"/>
      <c r="LQI838" s="802"/>
      <c r="LQJ838" s="802"/>
      <c r="LQK838" s="802"/>
      <c r="LQL838" s="802"/>
      <c r="LQM838" s="802"/>
      <c r="LQN838" s="802"/>
      <c r="LQO838" s="802"/>
      <c r="LQP838" s="802"/>
      <c r="LQQ838" s="802"/>
      <c r="LQR838" s="802"/>
      <c r="LQS838" s="802"/>
      <c r="LQT838" s="802"/>
      <c r="LQU838" s="802"/>
      <c r="LQV838" s="802"/>
      <c r="LQW838" s="802"/>
      <c r="LQX838" s="802"/>
      <c r="LQY838" s="802"/>
      <c r="LQZ838" s="802"/>
      <c r="LRA838" s="802"/>
      <c r="LRB838" s="802"/>
      <c r="LRC838" s="802"/>
      <c r="LRD838" s="802"/>
      <c r="LRE838" s="802"/>
      <c r="LRF838" s="802"/>
      <c r="LRG838" s="802"/>
      <c r="LRH838" s="802"/>
      <c r="LRI838" s="802"/>
      <c r="LRJ838" s="802"/>
      <c r="LRK838" s="802"/>
      <c r="LRL838" s="802"/>
      <c r="LRM838" s="802"/>
      <c r="LRN838" s="802"/>
      <c r="LRO838" s="802"/>
      <c r="LRP838" s="802"/>
      <c r="LRQ838" s="802"/>
      <c r="LRR838" s="802"/>
      <c r="LRS838" s="802"/>
      <c r="LRT838" s="802"/>
      <c r="LRU838" s="802"/>
      <c r="LRV838" s="802"/>
      <c r="LRW838" s="802"/>
      <c r="LRX838" s="802"/>
      <c r="LRY838" s="802"/>
      <c r="LRZ838" s="802"/>
      <c r="LSA838" s="802"/>
      <c r="LSB838" s="802"/>
      <c r="LSC838" s="802"/>
      <c r="LSD838" s="802"/>
      <c r="LSE838" s="802"/>
      <c r="LSF838" s="802"/>
      <c r="LSG838" s="802"/>
      <c r="LSH838" s="802"/>
      <c r="LSI838" s="802"/>
      <c r="LSJ838" s="802"/>
      <c r="LSK838" s="802"/>
      <c r="LSL838" s="802"/>
      <c r="LSM838" s="802"/>
      <c r="LSN838" s="802"/>
      <c r="LSO838" s="802"/>
      <c r="LSP838" s="802"/>
      <c r="LSQ838" s="802"/>
      <c r="LSR838" s="802"/>
      <c r="LSS838" s="802"/>
      <c r="LST838" s="802"/>
      <c r="LSU838" s="802"/>
      <c r="LSV838" s="802"/>
      <c r="LSW838" s="802"/>
      <c r="LSX838" s="802"/>
      <c r="LSY838" s="802"/>
      <c r="LSZ838" s="802"/>
      <c r="LTA838" s="802"/>
      <c r="LTB838" s="802"/>
      <c r="LTC838" s="802"/>
      <c r="LTD838" s="802"/>
      <c r="LTE838" s="802"/>
      <c r="LTF838" s="802"/>
      <c r="LTG838" s="802"/>
      <c r="LTH838" s="802"/>
      <c r="LTI838" s="802"/>
      <c r="LTJ838" s="802"/>
      <c r="LTK838" s="802"/>
      <c r="LTL838" s="802"/>
      <c r="LTM838" s="802"/>
      <c r="LTN838" s="802"/>
      <c r="LTO838" s="802"/>
      <c r="LTP838" s="802"/>
      <c r="LTQ838" s="802"/>
      <c r="LTR838" s="802"/>
      <c r="LTS838" s="802"/>
      <c r="LTT838" s="802"/>
      <c r="LTU838" s="802"/>
      <c r="LTV838" s="802"/>
      <c r="LTW838" s="802"/>
      <c r="LTX838" s="802"/>
      <c r="LTY838" s="802"/>
      <c r="LTZ838" s="802"/>
      <c r="LUA838" s="802"/>
      <c r="LUB838" s="802"/>
      <c r="LUC838" s="802"/>
      <c r="LUD838" s="802"/>
      <c r="LUE838" s="802"/>
      <c r="LUF838" s="802"/>
      <c r="LUG838" s="802"/>
      <c r="LUH838" s="802"/>
      <c r="LUI838" s="802"/>
      <c r="LUJ838" s="802"/>
      <c r="LUK838" s="802"/>
      <c r="LUL838" s="802"/>
      <c r="LUM838" s="802"/>
      <c r="LUN838" s="802"/>
      <c r="LUO838" s="802"/>
      <c r="LUP838" s="802"/>
      <c r="LUQ838" s="802"/>
      <c r="LUR838" s="802"/>
      <c r="LUS838" s="802"/>
      <c r="LUT838" s="802"/>
      <c r="LUU838" s="802"/>
      <c r="LUV838" s="802"/>
      <c r="LUW838" s="802"/>
      <c r="LUX838" s="802"/>
      <c r="LUY838" s="802"/>
      <c r="LUZ838" s="802"/>
      <c r="LVA838" s="802"/>
      <c r="LVB838" s="802"/>
      <c r="LVC838" s="802"/>
      <c r="LVD838" s="802"/>
      <c r="LVE838" s="802"/>
      <c r="LVF838" s="802"/>
      <c r="LVG838" s="802"/>
      <c r="LVH838" s="802"/>
      <c r="LVI838" s="802"/>
      <c r="LVJ838" s="802"/>
      <c r="LVK838" s="802"/>
      <c r="LVL838" s="802"/>
      <c r="LVM838" s="802"/>
      <c r="LVN838" s="802"/>
      <c r="LVO838" s="802"/>
      <c r="LVP838" s="802"/>
      <c r="LVQ838" s="802"/>
      <c r="LVR838" s="802"/>
      <c r="LVS838" s="802"/>
      <c r="LVT838" s="802"/>
      <c r="LVU838" s="802"/>
      <c r="LVV838" s="802"/>
      <c r="LVW838" s="802"/>
      <c r="LVX838" s="802"/>
      <c r="LVY838" s="802"/>
      <c r="LVZ838" s="802"/>
      <c r="LWA838" s="802"/>
      <c r="LWB838" s="802"/>
      <c r="LWC838" s="802"/>
      <c r="LWD838" s="802"/>
      <c r="LWE838" s="802"/>
      <c r="LWF838" s="802"/>
      <c r="LWG838" s="802"/>
      <c r="LWH838" s="802"/>
      <c r="LWI838" s="802"/>
      <c r="LWJ838" s="802"/>
      <c r="LWK838" s="802"/>
      <c r="LWL838" s="802"/>
      <c r="LWM838" s="802"/>
      <c r="LWN838" s="802"/>
      <c r="LWO838" s="802"/>
      <c r="LWP838" s="802"/>
      <c r="LWQ838" s="802"/>
      <c r="LWR838" s="802"/>
      <c r="LWS838" s="802"/>
      <c r="LWT838" s="802"/>
      <c r="LWU838" s="802"/>
      <c r="LWV838" s="802"/>
      <c r="LWW838" s="802"/>
      <c r="LWX838" s="802"/>
      <c r="LWY838" s="802"/>
      <c r="LWZ838" s="802"/>
      <c r="LXA838" s="802"/>
      <c r="LXB838" s="802"/>
      <c r="LXC838" s="802"/>
      <c r="LXD838" s="802"/>
      <c r="LXE838" s="802"/>
      <c r="LXF838" s="802"/>
      <c r="LXG838" s="802"/>
      <c r="LXH838" s="802"/>
      <c r="LXI838" s="802"/>
      <c r="LXJ838" s="802"/>
      <c r="LXK838" s="802"/>
      <c r="LXL838" s="802"/>
      <c r="LXM838" s="802"/>
      <c r="LXN838" s="802"/>
      <c r="LXO838" s="802"/>
      <c r="LXP838" s="802"/>
      <c r="LXQ838" s="802"/>
      <c r="LXR838" s="802"/>
      <c r="LXS838" s="802"/>
      <c r="LXT838" s="802"/>
      <c r="LXU838" s="802"/>
      <c r="LXV838" s="802"/>
      <c r="LXW838" s="802"/>
      <c r="LXX838" s="802"/>
      <c r="LXY838" s="802"/>
      <c r="LXZ838" s="802"/>
      <c r="LYA838" s="802"/>
      <c r="LYB838" s="802"/>
      <c r="LYC838" s="802"/>
      <c r="LYD838" s="802"/>
      <c r="LYE838" s="802"/>
      <c r="LYF838" s="802"/>
      <c r="LYG838" s="802"/>
      <c r="LYH838" s="802"/>
      <c r="LYI838" s="802"/>
      <c r="LYJ838" s="802"/>
      <c r="LYK838" s="802"/>
      <c r="LYL838" s="802"/>
      <c r="LYM838" s="802"/>
      <c r="LYN838" s="802"/>
      <c r="LYO838" s="802"/>
      <c r="LYP838" s="802"/>
      <c r="LYQ838" s="802"/>
      <c r="LYR838" s="802"/>
      <c r="LYS838" s="802"/>
      <c r="LYT838" s="802"/>
      <c r="LYU838" s="802"/>
      <c r="LYV838" s="802"/>
      <c r="LYW838" s="802"/>
      <c r="LYX838" s="802"/>
      <c r="LYY838" s="802"/>
      <c r="LYZ838" s="802"/>
      <c r="LZA838" s="802"/>
      <c r="LZB838" s="802"/>
      <c r="LZC838" s="802"/>
      <c r="LZD838" s="802"/>
      <c r="LZE838" s="802"/>
      <c r="LZF838" s="802"/>
      <c r="LZG838" s="802"/>
      <c r="LZH838" s="802"/>
      <c r="LZI838" s="802"/>
      <c r="LZJ838" s="802"/>
      <c r="LZK838" s="802"/>
      <c r="LZL838" s="802"/>
      <c r="LZM838" s="802"/>
      <c r="LZN838" s="802"/>
      <c r="LZO838" s="802"/>
      <c r="LZP838" s="802"/>
      <c r="LZQ838" s="802"/>
      <c r="LZR838" s="802"/>
      <c r="LZS838" s="802"/>
      <c r="LZT838" s="802"/>
      <c r="LZU838" s="802"/>
      <c r="LZV838" s="802"/>
      <c r="LZW838" s="802"/>
      <c r="LZX838" s="802"/>
      <c r="LZY838" s="802"/>
      <c r="LZZ838" s="802"/>
      <c r="MAA838" s="802"/>
      <c r="MAB838" s="802"/>
      <c r="MAC838" s="802"/>
      <c r="MAD838" s="802"/>
      <c r="MAE838" s="802"/>
      <c r="MAF838" s="802"/>
      <c r="MAG838" s="802"/>
      <c r="MAH838" s="802"/>
      <c r="MAI838" s="802"/>
      <c r="MAJ838" s="802"/>
      <c r="MAK838" s="802"/>
      <c r="MAL838" s="802"/>
      <c r="MAM838" s="802"/>
      <c r="MAN838" s="802"/>
      <c r="MAO838" s="802"/>
      <c r="MAP838" s="802"/>
      <c r="MAQ838" s="802"/>
      <c r="MAR838" s="802"/>
      <c r="MAS838" s="802"/>
      <c r="MAT838" s="802"/>
      <c r="MAU838" s="802"/>
      <c r="MAV838" s="802"/>
      <c r="MAW838" s="802"/>
      <c r="MAX838" s="802"/>
      <c r="MAY838" s="802"/>
      <c r="MAZ838" s="802"/>
      <c r="MBA838" s="802"/>
      <c r="MBB838" s="802"/>
      <c r="MBC838" s="802"/>
      <c r="MBD838" s="802"/>
      <c r="MBE838" s="802"/>
      <c r="MBF838" s="802"/>
      <c r="MBG838" s="802"/>
      <c r="MBH838" s="802"/>
      <c r="MBI838" s="802"/>
      <c r="MBJ838" s="802"/>
      <c r="MBK838" s="802"/>
      <c r="MBL838" s="802"/>
      <c r="MBM838" s="802"/>
      <c r="MBN838" s="802"/>
      <c r="MBO838" s="802"/>
      <c r="MBP838" s="802"/>
      <c r="MBQ838" s="802"/>
      <c r="MBR838" s="802"/>
      <c r="MBS838" s="802"/>
      <c r="MBT838" s="802"/>
      <c r="MBU838" s="802"/>
      <c r="MBV838" s="802"/>
      <c r="MBW838" s="802"/>
      <c r="MBX838" s="802"/>
      <c r="MBY838" s="802"/>
      <c r="MBZ838" s="802"/>
      <c r="MCA838" s="802"/>
      <c r="MCB838" s="802"/>
      <c r="MCC838" s="802"/>
      <c r="MCD838" s="802"/>
      <c r="MCE838" s="802"/>
      <c r="MCF838" s="802"/>
      <c r="MCG838" s="802"/>
      <c r="MCH838" s="802"/>
      <c r="MCI838" s="802"/>
      <c r="MCJ838" s="802"/>
      <c r="MCK838" s="802"/>
      <c r="MCL838" s="802"/>
      <c r="MCM838" s="802"/>
      <c r="MCN838" s="802"/>
      <c r="MCO838" s="802"/>
      <c r="MCP838" s="802"/>
      <c r="MCQ838" s="802"/>
      <c r="MCR838" s="802"/>
      <c r="MCS838" s="802"/>
      <c r="MCT838" s="802"/>
      <c r="MCU838" s="802"/>
      <c r="MCV838" s="802"/>
      <c r="MCW838" s="802"/>
      <c r="MCX838" s="802"/>
      <c r="MCY838" s="802"/>
      <c r="MCZ838" s="802"/>
      <c r="MDA838" s="802"/>
      <c r="MDB838" s="802"/>
      <c r="MDC838" s="802"/>
      <c r="MDD838" s="802"/>
      <c r="MDE838" s="802"/>
      <c r="MDF838" s="802"/>
      <c r="MDG838" s="802"/>
      <c r="MDH838" s="802"/>
      <c r="MDI838" s="802"/>
      <c r="MDJ838" s="802"/>
      <c r="MDK838" s="802"/>
      <c r="MDL838" s="802"/>
      <c r="MDM838" s="802"/>
      <c r="MDN838" s="802"/>
      <c r="MDO838" s="802"/>
      <c r="MDP838" s="802"/>
      <c r="MDQ838" s="802"/>
      <c r="MDR838" s="802"/>
      <c r="MDS838" s="802"/>
      <c r="MDT838" s="802"/>
      <c r="MDU838" s="802"/>
      <c r="MDV838" s="802"/>
      <c r="MDW838" s="802"/>
      <c r="MDX838" s="802"/>
      <c r="MDY838" s="802"/>
      <c r="MDZ838" s="802"/>
      <c r="MEA838" s="802"/>
      <c r="MEB838" s="802"/>
      <c r="MEC838" s="802"/>
      <c r="MED838" s="802"/>
      <c r="MEE838" s="802"/>
      <c r="MEF838" s="802"/>
      <c r="MEG838" s="802"/>
      <c r="MEH838" s="802"/>
      <c r="MEI838" s="802"/>
      <c r="MEJ838" s="802"/>
      <c r="MEK838" s="802"/>
      <c r="MEL838" s="802"/>
      <c r="MEM838" s="802"/>
      <c r="MEN838" s="802"/>
      <c r="MEO838" s="802"/>
      <c r="MEP838" s="802"/>
      <c r="MEQ838" s="802"/>
      <c r="MER838" s="802"/>
      <c r="MES838" s="802"/>
      <c r="MET838" s="802"/>
      <c r="MEU838" s="802"/>
      <c r="MEV838" s="802"/>
      <c r="MEW838" s="802"/>
      <c r="MEX838" s="802"/>
      <c r="MEY838" s="802"/>
      <c r="MEZ838" s="802"/>
      <c r="MFA838" s="802"/>
      <c r="MFB838" s="802"/>
      <c r="MFC838" s="802"/>
      <c r="MFD838" s="802"/>
      <c r="MFE838" s="802"/>
      <c r="MFF838" s="802"/>
      <c r="MFG838" s="802"/>
      <c r="MFH838" s="802"/>
      <c r="MFI838" s="802"/>
      <c r="MFJ838" s="802"/>
      <c r="MFK838" s="802"/>
      <c r="MFL838" s="802"/>
      <c r="MFM838" s="802"/>
      <c r="MFN838" s="802"/>
      <c r="MFO838" s="802"/>
      <c r="MFP838" s="802"/>
      <c r="MFQ838" s="802"/>
      <c r="MFR838" s="802"/>
      <c r="MFS838" s="802"/>
      <c r="MFT838" s="802"/>
      <c r="MFU838" s="802"/>
      <c r="MFV838" s="802"/>
      <c r="MFW838" s="802"/>
      <c r="MFX838" s="802"/>
      <c r="MFY838" s="802"/>
      <c r="MFZ838" s="802"/>
      <c r="MGA838" s="802"/>
      <c r="MGB838" s="802"/>
      <c r="MGC838" s="802"/>
      <c r="MGD838" s="802"/>
      <c r="MGE838" s="802"/>
      <c r="MGF838" s="802"/>
      <c r="MGG838" s="802"/>
      <c r="MGH838" s="802"/>
      <c r="MGI838" s="802"/>
      <c r="MGJ838" s="802"/>
      <c r="MGK838" s="802"/>
      <c r="MGL838" s="802"/>
      <c r="MGM838" s="802"/>
      <c r="MGN838" s="802"/>
      <c r="MGO838" s="802"/>
      <c r="MGP838" s="802"/>
      <c r="MGQ838" s="802"/>
      <c r="MGR838" s="802"/>
      <c r="MGS838" s="802"/>
      <c r="MGT838" s="802"/>
      <c r="MGU838" s="802"/>
      <c r="MGV838" s="802"/>
      <c r="MGW838" s="802"/>
      <c r="MGX838" s="802"/>
      <c r="MGY838" s="802"/>
      <c r="MGZ838" s="802"/>
      <c r="MHA838" s="802"/>
      <c r="MHB838" s="802"/>
      <c r="MHC838" s="802"/>
      <c r="MHD838" s="802"/>
      <c r="MHE838" s="802"/>
      <c r="MHF838" s="802"/>
      <c r="MHG838" s="802"/>
      <c r="MHH838" s="802"/>
      <c r="MHI838" s="802"/>
      <c r="MHJ838" s="802"/>
      <c r="MHK838" s="802"/>
      <c r="MHL838" s="802"/>
      <c r="MHM838" s="802"/>
      <c r="MHN838" s="802"/>
      <c r="MHO838" s="802"/>
      <c r="MHP838" s="802"/>
      <c r="MHQ838" s="802"/>
      <c r="MHR838" s="802"/>
      <c r="MHS838" s="802"/>
      <c r="MHT838" s="802"/>
      <c r="MHU838" s="802"/>
      <c r="MHV838" s="802"/>
      <c r="MHW838" s="802"/>
      <c r="MHX838" s="802"/>
      <c r="MHY838" s="802"/>
      <c r="MHZ838" s="802"/>
      <c r="MIA838" s="802"/>
      <c r="MIB838" s="802"/>
      <c r="MIC838" s="802"/>
      <c r="MID838" s="802"/>
      <c r="MIE838" s="802"/>
      <c r="MIF838" s="802"/>
      <c r="MIG838" s="802"/>
      <c r="MIH838" s="802"/>
      <c r="MII838" s="802"/>
      <c r="MIJ838" s="802"/>
      <c r="MIK838" s="802"/>
      <c r="MIL838" s="802"/>
      <c r="MIM838" s="802"/>
      <c r="MIN838" s="802"/>
      <c r="MIO838" s="802"/>
      <c r="MIP838" s="802"/>
      <c r="MIQ838" s="802"/>
      <c r="MIR838" s="802"/>
      <c r="MIS838" s="802"/>
      <c r="MIT838" s="802"/>
      <c r="MIU838" s="802"/>
      <c r="MIV838" s="802"/>
      <c r="MIW838" s="802"/>
      <c r="MIX838" s="802"/>
      <c r="MIY838" s="802"/>
      <c r="MIZ838" s="802"/>
      <c r="MJA838" s="802"/>
      <c r="MJB838" s="802"/>
      <c r="MJC838" s="802"/>
      <c r="MJD838" s="802"/>
      <c r="MJE838" s="802"/>
      <c r="MJF838" s="802"/>
      <c r="MJG838" s="802"/>
      <c r="MJH838" s="802"/>
      <c r="MJI838" s="802"/>
      <c r="MJJ838" s="802"/>
      <c r="MJK838" s="802"/>
      <c r="MJL838" s="802"/>
      <c r="MJM838" s="802"/>
      <c r="MJN838" s="802"/>
      <c r="MJO838" s="802"/>
      <c r="MJP838" s="802"/>
      <c r="MJQ838" s="802"/>
      <c r="MJR838" s="802"/>
      <c r="MJS838" s="802"/>
      <c r="MJT838" s="802"/>
      <c r="MJU838" s="802"/>
      <c r="MJV838" s="802"/>
      <c r="MJW838" s="802"/>
      <c r="MJX838" s="802"/>
      <c r="MJY838" s="802"/>
      <c r="MJZ838" s="802"/>
      <c r="MKA838" s="802"/>
      <c r="MKB838" s="802"/>
      <c r="MKC838" s="802"/>
      <c r="MKD838" s="802"/>
      <c r="MKE838" s="802"/>
      <c r="MKF838" s="802"/>
      <c r="MKG838" s="802"/>
      <c r="MKH838" s="802"/>
      <c r="MKI838" s="802"/>
      <c r="MKJ838" s="802"/>
      <c r="MKK838" s="802"/>
      <c r="MKL838" s="802"/>
      <c r="MKM838" s="802"/>
      <c r="MKN838" s="802"/>
      <c r="MKO838" s="802"/>
      <c r="MKP838" s="802"/>
      <c r="MKQ838" s="802"/>
      <c r="MKR838" s="802"/>
      <c r="MKS838" s="802"/>
      <c r="MKT838" s="802"/>
      <c r="MKU838" s="802"/>
      <c r="MKV838" s="802"/>
      <c r="MKW838" s="802"/>
      <c r="MKX838" s="802"/>
      <c r="MKY838" s="802"/>
      <c r="MKZ838" s="802"/>
      <c r="MLA838" s="802"/>
      <c r="MLB838" s="802"/>
      <c r="MLC838" s="802"/>
      <c r="MLD838" s="802"/>
      <c r="MLE838" s="802"/>
      <c r="MLF838" s="802"/>
      <c r="MLG838" s="802"/>
      <c r="MLH838" s="802"/>
      <c r="MLI838" s="802"/>
      <c r="MLJ838" s="802"/>
      <c r="MLK838" s="802"/>
      <c r="MLL838" s="802"/>
      <c r="MLM838" s="802"/>
      <c r="MLN838" s="802"/>
      <c r="MLO838" s="802"/>
      <c r="MLP838" s="802"/>
      <c r="MLQ838" s="802"/>
      <c r="MLR838" s="802"/>
      <c r="MLS838" s="802"/>
      <c r="MLT838" s="802"/>
      <c r="MLU838" s="802"/>
      <c r="MLV838" s="802"/>
      <c r="MLW838" s="802"/>
      <c r="MLX838" s="802"/>
      <c r="MLY838" s="802"/>
      <c r="MLZ838" s="802"/>
      <c r="MMA838" s="802"/>
      <c r="MMB838" s="802"/>
      <c r="MMC838" s="802"/>
      <c r="MMD838" s="802"/>
      <c r="MME838" s="802"/>
      <c r="MMF838" s="802"/>
      <c r="MMG838" s="802"/>
      <c r="MMH838" s="802"/>
      <c r="MMI838" s="802"/>
      <c r="MMJ838" s="802"/>
      <c r="MMK838" s="802"/>
      <c r="MML838" s="802"/>
      <c r="MMM838" s="802"/>
      <c r="MMN838" s="802"/>
      <c r="MMO838" s="802"/>
      <c r="MMP838" s="802"/>
      <c r="MMQ838" s="802"/>
      <c r="MMR838" s="802"/>
      <c r="MMS838" s="802"/>
      <c r="MMT838" s="802"/>
      <c r="MMU838" s="802"/>
      <c r="MMV838" s="802"/>
      <c r="MMW838" s="802"/>
      <c r="MMX838" s="802"/>
      <c r="MMY838" s="802"/>
      <c r="MMZ838" s="802"/>
      <c r="MNA838" s="802"/>
      <c r="MNB838" s="802"/>
      <c r="MNC838" s="802"/>
      <c r="MND838" s="802"/>
      <c r="MNE838" s="802"/>
      <c r="MNF838" s="802"/>
      <c r="MNG838" s="802"/>
      <c r="MNH838" s="802"/>
      <c r="MNI838" s="802"/>
      <c r="MNJ838" s="802"/>
      <c r="MNK838" s="802"/>
      <c r="MNL838" s="802"/>
      <c r="MNM838" s="802"/>
      <c r="MNN838" s="802"/>
      <c r="MNO838" s="802"/>
      <c r="MNP838" s="802"/>
      <c r="MNQ838" s="802"/>
      <c r="MNR838" s="802"/>
      <c r="MNS838" s="802"/>
      <c r="MNT838" s="802"/>
      <c r="MNU838" s="802"/>
      <c r="MNV838" s="802"/>
      <c r="MNW838" s="802"/>
      <c r="MNX838" s="802"/>
      <c r="MNY838" s="802"/>
      <c r="MNZ838" s="802"/>
      <c r="MOA838" s="802"/>
      <c r="MOB838" s="802"/>
      <c r="MOC838" s="802"/>
      <c r="MOD838" s="802"/>
      <c r="MOE838" s="802"/>
      <c r="MOF838" s="802"/>
      <c r="MOG838" s="802"/>
      <c r="MOH838" s="802"/>
      <c r="MOI838" s="802"/>
      <c r="MOJ838" s="802"/>
      <c r="MOK838" s="802"/>
      <c r="MOL838" s="802"/>
      <c r="MOM838" s="802"/>
      <c r="MON838" s="802"/>
      <c r="MOO838" s="802"/>
      <c r="MOP838" s="802"/>
      <c r="MOQ838" s="802"/>
      <c r="MOR838" s="802"/>
      <c r="MOS838" s="802"/>
      <c r="MOT838" s="802"/>
      <c r="MOU838" s="802"/>
      <c r="MOV838" s="802"/>
      <c r="MOW838" s="802"/>
      <c r="MOX838" s="802"/>
      <c r="MOY838" s="802"/>
      <c r="MOZ838" s="802"/>
      <c r="MPA838" s="802"/>
      <c r="MPB838" s="802"/>
      <c r="MPC838" s="802"/>
      <c r="MPD838" s="802"/>
      <c r="MPE838" s="802"/>
      <c r="MPF838" s="802"/>
      <c r="MPG838" s="802"/>
      <c r="MPH838" s="802"/>
      <c r="MPI838" s="802"/>
      <c r="MPJ838" s="802"/>
      <c r="MPK838" s="802"/>
      <c r="MPL838" s="802"/>
      <c r="MPM838" s="802"/>
      <c r="MPN838" s="802"/>
      <c r="MPO838" s="802"/>
      <c r="MPP838" s="802"/>
      <c r="MPQ838" s="802"/>
      <c r="MPR838" s="802"/>
      <c r="MPS838" s="802"/>
      <c r="MPT838" s="802"/>
      <c r="MPU838" s="802"/>
      <c r="MPV838" s="802"/>
      <c r="MPW838" s="802"/>
      <c r="MPX838" s="802"/>
      <c r="MPY838" s="802"/>
      <c r="MPZ838" s="802"/>
      <c r="MQA838" s="802"/>
      <c r="MQB838" s="802"/>
      <c r="MQC838" s="802"/>
      <c r="MQD838" s="802"/>
      <c r="MQE838" s="802"/>
      <c r="MQF838" s="802"/>
      <c r="MQG838" s="802"/>
      <c r="MQH838" s="802"/>
      <c r="MQI838" s="802"/>
      <c r="MQJ838" s="802"/>
      <c r="MQK838" s="802"/>
      <c r="MQL838" s="802"/>
      <c r="MQM838" s="802"/>
      <c r="MQN838" s="802"/>
      <c r="MQO838" s="802"/>
      <c r="MQP838" s="802"/>
      <c r="MQQ838" s="802"/>
      <c r="MQR838" s="802"/>
      <c r="MQS838" s="802"/>
      <c r="MQT838" s="802"/>
      <c r="MQU838" s="802"/>
      <c r="MQV838" s="802"/>
      <c r="MQW838" s="802"/>
      <c r="MQX838" s="802"/>
      <c r="MQY838" s="802"/>
      <c r="MQZ838" s="802"/>
      <c r="MRA838" s="802"/>
      <c r="MRB838" s="802"/>
      <c r="MRC838" s="802"/>
      <c r="MRD838" s="802"/>
      <c r="MRE838" s="802"/>
      <c r="MRF838" s="802"/>
      <c r="MRG838" s="802"/>
      <c r="MRH838" s="802"/>
      <c r="MRI838" s="802"/>
      <c r="MRJ838" s="802"/>
      <c r="MRK838" s="802"/>
      <c r="MRL838" s="802"/>
      <c r="MRM838" s="802"/>
      <c r="MRN838" s="802"/>
      <c r="MRO838" s="802"/>
      <c r="MRP838" s="802"/>
      <c r="MRQ838" s="802"/>
      <c r="MRR838" s="802"/>
      <c r="MRS838" s="802"/>
      <c r="MRT838" s="802"/>
      <c r="MRU838" s="802"/>
      <c r="MRV838" s="802"/>
      <c r="MRW838" s="802"/>
      <c r="MRX838" s="802"/>
      <c r="MRY838" s="802"/>
      <c r="MRZ838" s="802"/>
      <c r="MSA838" s="802"/>
      <c r="MSB838" s="802"/>
      <c r="MSC838" s="802"/>
      <c r="MSD838" s="802"/>
      <c r="MSE838" s="802"/>
      <c r="MSF838" s="802"/>
      <c r="MSG838" s="802"/>
      <c r="MSH838" s="802"/>
      <c r="MSI838" s="802"/>
      <c r="MSJ838" s="802"/>
      <c r="MSK838" s="802"/>
      <c r="MSL838" s="802"/>
      <c r="MSM838" s="802"/>
      <c r="MSN838" s="802"/>
      <c r="MSO838" s="802"/>
      <c r="MSP838" s="802"/>
      <c r="MSQ838" s="802"/>
      <c r="MSR838" s="802"/>
      <c r="MSS838" s="802"/>
      <c r="MST838" s="802"/>
      <c r="MSU838" s="802"/>
      <c r="MSV838" s="802"/>
      <c r="MSW838" s="802"/>
      <c r="MSX838" s="802"/>
      <c r="MSY838" s="802"/>
      <c r="MSZ838" s="802"/>
      <c r="MTA838" s="802"/>
      <c r="MTB838" s="802"/>
      <c r="MTC838" s="802"/>
      <c r="MTD838" s="802"/>
      <c r="MTE838" s="802"/>
      <c r="MTF838" s="802"/>
      <c r="MTG838" s="802"/>
      <c r="MTH838" s="802"/>
      <c r="MTI838" s="802"/>
      <c r="MTJ838" s="802"/>
      <c r="MTK838" s="802"/>
      <c r="MTL838" s="802"/>
      <c r="MTM838" s="802"/>
      <c r="MTN838" s="802"/>
      <c r="MTO838" s="802"/>
      <c r="MTP838" s="802"/>
      <c r="MTQ838" s="802"/>
      <c r="MTR838" s="802"/>
      <c r="MTS838" s="802"/>
      <c r="MTT838" s="802"/>
      <c r="MTU838" s="802"/>
      <c r="MTV838" s="802"/>
      <c r="MTW838" s="802"/>
      <c r="MTX838" s="802"/>
      <c r="MTY838" s="802"/>
      <c r="MTZ838" s="802"/>
      <c r="MUA838" s="802"/>
      <c r="MUB838" s="802"/>
      <c r="MUC838" s="802"/>
      <c r="MUD838" s="802"/>
      <c r="MUE838" s="802"/>
      <c r="MUF838" s="802"/>
      <c r="MUG838" s="802"/>
      <c r="MUH838" s="802"/>
      <c r="MUI838" s="802"/>
      <c r="MUJ838" s="802"/>
      <c r="MUK838" s="802"/>
      <c r="MUL838" s="802"/>
      <c r="MUM838" s="802"/>
      <c r="MUN838" s="802"/>
      <c r="MUO838" s="802"/>
      <c r="MUP838" s="802"/>
      <c r="MUQ838" s="802"/>
      <c r="MUR838" s="802"/>
      <c r="MUS838" s="802"/>
      <c r="MUT838" s="802"/>
      <c r="MUU838" s="802"/>
      <c r="MUV838" s="802"/>
      <c r="MUW838" s="802"/>
      <c r="MUX838" s="802"/>
      <c r="MUY838" s="802"/>
      <c r="MUZ838" s="802"/>
      <c r="MVA838" s="802"/>
      <c r="MVB838" s="802"/>
      <c r="MVC838" s="802"/>
      <c r="MVD838" s="802"/>
      <c r="MVE838" s="802"/>
      <c r="MVF838" s="802"/>
      <c r="MVG838" s="802"/>
      <c r="MVH838" s="802"/>
      <c r="MVI838" s="802"/>
      <c r="MVJ838" s="802"/>
      <c r="MVK838" s="802"/>
      <c r="MVL838" s="802"/>
      <c r="MVM838" s="802"/>
      <c r="MVN838" s="802"/>
      <c r="MVO838" s="802"/>
      <c r="MVP838" s="802"/>
      <c r="MVQ838" s="802"/>
      <c r="MVR838" s="802"/>
      <c r="MVS838" s="802"/>
      <c r="MVT838" s="802"/>
      <c r="MVU838" s="802"/>
      <c r="MVV838" s="802"/>
      <c r="MVW838" s="802"/>
      <c r="MVX838" s="802"/>
      <c r="MVY838" s="802"/>
      <c r="MVZ838" s="802"/>
      <c r="MWA838" s="802"/>
      <c r="MWB838" s="802"/>
      <c r="MWC838" s="802"/>
      <c r="MWD838" s="802"/>
      <c r="MWE838" s="802"/>
      <c r="MWF838" s="802"/>
      <c r="MWG838" s="802"/>
      <c r="MWH838" s="802"/>
      <c r="MWI838" s="802"/>
      <c r="MWJ838" s="802"/>
      <c r="MWK838" s="802"/>
      <c r="MWL838" s="802"/>
      <c r="MWM838" s="802"/>
      <c r="MWN838" s="802"/>
      <c r="MWO838" s="802"/>
      <c r="MWP838" s="802"/>
      <c r="MWQ838" s="802"/>
      <c r="MWR838" s="802"/>
      <c r="MWS838" s="802"/>
      <c r="MWT838" s="802"/>
      <c r="MWU838" s="802"/>
      <c r="MWV838" s="802"/>
      <c r="MWW838" s="802"/>
      <c r="MWX838" s="802"/>
      <c r="MWY838" s="802"/>
      <c r="MWZ838" s="802"/>
      <c r="MXA838" s="802"/>
      <c r="MXB838" s="802"/>
      <c r="MXC838" s="802"/>
      <c r="MXD838" s="802"/>
      <c r="MXE838" s="802"/>
      <c r="MXF838" s="802"/>
      <c r="MXG838" s="802"/>
      <c r="MXH838" s="802"/>
      <c r="MXI838" s="802"/>
      <c r="MXJ838" s="802"/>
      <c r="MXK838" s="802"/>
      <c r="MXL838" s="802"/>
      <c r="MXM838" s="802"/>
      <c r="MXN838" s="802"/>
      <c r="MXO838" s="802"/>
      <c r="MXP838" s="802"/>
      <c r="MXQ838" s="802"/>
      <c r="MXR838" s="802"/>
      <c r="MXS838" s="802"/>
      <c r="MXT838" s="802"/>
      <c r="MXU838" s="802"/>
      <c r="MXV838" s="802"/>
      <c r="MXW838" s="802"/>
      <c r="MXX838" s="802"/>
      <c r="MXY838" s="802"/>
      <c r="MXZ838" s="802"/>
      <c r="MYA838" s="802"/>
      <c r="MYB838" s="802"/>
      <c r="MYC838" s="802"/>
      <c r="MYD838" s="802"/>
      <c r="MYE838" s="802"/>
      <c r="MYF838" s="802"/>
      <c r="MYG838" s="802"/>
      <c r="MYH838" s="802"/>
      <c r="MYI838" s="802"/>
      <c r="MYJ838" s="802"/>
      <c r="MYK838" s="802"/>
      <c r="MYL838" s="802"/>
      <c r="MYM838" s="802"/>
      <c r="MYN838" s="802"/>
      <c r="MYO838" s="802"/>
      <c r="MYP838" s="802"/>
      <c r="MYQ838" s="802"/>
      <c r="MYR838" s="802"/>
      <c r="MYS838" s="802"/>
      <c r="MYT838" s="802"/>
      <c r="MYU838" s="802"/>
      <c r="MYV838" s="802"/>
      <c r="MYW838" s="802"/>
      <c r="MYX838" s="802"/>
      <c r="MYY838" s="802"/>
      <c r="MYZ838" s="802"/>
      <c r="MZA838" s="802"/>
      <c r="MZB838" s="802"/>
      <c r="MZC838" s="802"/>
      <c r="MZD838" s="802"/>
      <c r="MZE838" s="802"/>
      <c r="MZF838" s="802"/>
      <c r="MZG838" s="802"/>
      <c r="MZH838" s="802"/>
      <c r="MZI838" s="802"/>
      <c r="MZJ838" s="802"/>
      <c r="MZK838" s="802"/>
      <c r="MZL838" s="802"/>
      <c r="MZM838" s="802"/>
      <c r="MZN838" s="802"/>
      <c r="MZO838" s="802"/>
      <c r="MZP838" s="802"/>
      <c r="MZQ838" s="802"/>
      <c r="MZR838" s="802"/>
      <c r="MZS838" s="802"/>
      <c r="MZT838" s="802"/>
      <c r="MZU838" s="802"/>
      <c r="MZV838" s="802"/>
      <c r="MZW838" s="802"/>
      <c r="MZX838" s="802"/>
      <c r="MZY838" s="802"/>
      <c r="MZZ838" s="802"/>
      <c r="NAA838" s="802"/>
      <c r="NAB838" s="802"/>
      <c r="NAC838" s="802"/>
      <c r="NAD838" s="802"/>
      <c r="NAE838" s="802"/>
      <c r="NAF838" s="802"/>
      <c r="NAG838" s="802"/>
      <c r="NAH838" s="802"/>
      <c r="NAI838" s="802"/>
      <c r="NAJ838" s="802"/>
      <c r="NAK838" s="802"/>
      <c r="NAL838" s="802"/>
      <c r="NAM838" s="802"/>
      <c r="NAN838" s="802"/>
      <c r="NAO838" s="802"/>
      <c r="NAP838" s="802"/>
      <c r="NAQ838" s="802"/>
      <c r="NAR838" s="802"/>
      <c r="NAS838" s="802"/>
      <c r="NAT838" s="802"/>
      <c r="NAU838" s="802"/>
      <c r="NAV838" s="802"/>
      <c r="NAW838" s="802"/>
      <c r="NAX838" s="802"/>
      <c r="NAY838" s="802"/>
      <c r="NAZ838" s="802"/>
      <c r="NBA838" s="802"/>
      <c r="NBB838" s="802"/>
      <c r="NBC838" s="802"/>
      <c r="NBD838" s="802"/>
      <c r="NBE838" s="802"/>
      <c r="NBF838" s="802"/>
      <c r="NBG838" s="802"/>
      <c r="NBH838" s="802"/>
      <c r="NBI838" s="802"/>
      <c r="NBJ838" s="802"/>
      <c r="NBK838" s="802"/>
      <c r="NBL838" s="802"/>
      <c r="NBM838" s="802"/>
      <c r="NBN838" s="802"/>
      <c r="NBO838" s="802"/>
      <c r="NBP838" s="802"/>
      <c r="NBQ838" s="802"/>
      <c r="NBR838" s="802"/>
      <c r="NBS838" s="802"/>
      <c r="NBT838" s="802"/>
      <c r="NBU838" s="802"/>
      <c r="NBV838" s="802"/>
      <c r="NBW838" s="802"/>
      <c r="NBX838" s="802"/>
      <c r="NBY838" s="802"/>
      <c r="NBZ838" s="802"/>
      <c r="NCA838" s="802"/>
      <c r="NCB838" s="802"/>
      <c r="NCC838" s="802"/>
      <c r="NCD838" s="802"/>
      <c r="NCE838" s="802"/>
      <c r="NCF838" s="802"/>
      <c r="NCG838" s="802"/>
      <c r="NCH838" s="802"/>
      <c r="NCI838" s="802"/>
      <c r="NCJ838" s="802"/>
      <c r="NCK838" s="802"/>
      <c r="NCL838" s="802"/>
      <c r="NCM838" s="802"/>
      <c r="NCN838" s="802"/>
      <c r="NCO838" s="802"/>
      <c r="NCP838" s="802"/>
      <c r="NCQ838" s="802"/>
      <c r="NCR838" s="802"/>
      <c r="NCS838" s="802"/>
      <c r="NCT838" s="802"/>
      <c r="NCU838" s="802"/>
      <c r="NCV838" s="802"/>
      <c r="NCW838" s="802"/>
      <c r="NCX838" s="802"/>
      <c r="NCY838" s="802"/>
      <c r="NCZ838" s="802"/>
      <c r="NDA838" s="802"/>
      <c r="NDB838" s="802"/>
      <c r="NDC838" s="802"/>
      <c r="NDD838" s="802"/>
      <c r="NDE838" s="802"/>
      <c r="NDF838" s="802"/>
      <c r="NDG838" s="802"/>
      <c r="NDH838" s="802"/>
      <c r="NDI838" s="802"/>
      <c r="NDJ838" s="802"/>
      <c r="NDK838" s="802"/>
      <c r="NDL838" s="802"/>
      <c r="NDM838" s="802"/>
      <c r="NDN838" s="802"/>
      <c r="NDO838" s="802"/>
      <c r="NDP838" s="802"/>
      <c r="NDQ838" s="802"/>
      <c r="NDR838" s="802"/>
      <c r="NDS838" s="802"/>
      <c r="NDT838" s="802"/>
      <c r="NDU838" s="802"/>
      <c r="NDV838" s="802"/>
      <c r="NDW838" s="802"/>
      <c r="NDX838" s="802"/>
      <c r="NDY838" s="802"/>
      <c r="NDZ838" s="802"/>
      <c r="NEA838" s="802"/>
      <c r="NEB838" s="802"/>
      <c r="NEC838" s="802"/>
      <c r="NED838" s="802"/>
      <c r="NEE838" s="802"/>
      <c r="NEF838" s="802"/>
      <c r="NEG838" s="802"/>
      <c r="NEH838" s="802"/>
      <c r="NEI838" s="802"/>
      <c r="NEJ838" s="802"/>
      <c r="NEK838" s="802"/>
      <c r="NEL838" s="802"/>
      <c r="NEM838" s="802"/>
      <c r="NEN838" s="802"/>
      <c r="NEO838" s="802"/>
      <c r="NEP838" s="802"/>
      <c r="NEQ838" s="802"/>
      <c r="NER838" s="802"/>
      <c r="NES838" s="802"/>
      <c r="NET838" s="802"/>
      <c r="NEU838" s="802"/>
      <c r="NEV838" s="802"/>
      <c r="NEW838" s="802"/>
      <c r="NEX838" s="802"/>
      <c r="NEY838" s="802"/>
      <c r="NEZ838" s="802"/>
      <c r="NFA838" s="802"/>
      <c r="NFB838" s="802"/>
      <c r="NFC838" s="802"/>
      <c r="NFD838" s="802"/>
      <c r="NFE838" s="802"/>
      <c r="NFF838" s="802"/>
      <c r="NFG838" s="802"/>
      <c r="NFH838" s="802"/>
      <c r="NFI838" s="802"/>
      <c r="NFJ838" s="802"/>
      <c r="NFK838" s="802"/>
      <c r="NFL838" s="802"/>
      <c r="NFM838" s="802"/>
      <c r="NFN838" s="802"/>
      <c r="NFO838" s="802"/>
      <c r="NFP838" s="802"/>
      <c r="NFQ838" s="802"/>
      <c r="NFR838" s="802"/>
      <c r="NFS838" s="802"/>
      <c r="NFT838" s="802"/>
      <c r="NFU838" s="802"/>
      <c r="NFV838" s="802"/>
      <c r="NFW838" s="802"/>
      <c r="NFX838" s="802"/>
      <c r="NFY838" s="802"/>
      <c r="NFZ838" s="802"/>
      <c r="NGA838" s="802"/>
      <c r="NGB838" s="802"/>
      <c r="NGC838" s="802"/>
      <c r="NGD838" s="802"/>
      <c r="NGE838" s="802"/>
      <c r="NGF838" s="802"/>
      <c r="NGG838" s="802"/>
      <c r="NGH838" s="802"/>
      <c r="NGI838" s="802"/>
      <c r="NGJ838" s="802"/>
      <c r="NGK838" s="802"/>
      <c r="NGL838" s="802"/>
      <c r="NGM838" s="802"/>
      <c r="NGN838" s="802"/>
      <c r="NGO838" s="802"/>
      <c r="NGP838" s="802"/>
      <c r="NGQ838" s="802"/>
      <c r="NGR838" s="802"/>
      <c r="NGS838" s="802"/>
      <c r="NGT838" s="802"/>
      <c r="NGU838" s="802"/>
      <c r="NGV838" s="802"/>
      <c r="NGW838" s="802"/>
      <c r="NGX838" s="802"/>
      <c r="NGY838" s="802"/>
      <c r="NGZ838" s="802"/>
      <c r="NHA838" s="802"/>
      <c r="NHB838" s="802"/>
      <c r="NHC838" s="802"/>
      <c r="NHD838" s="802"/>
      <c r="NHE838" s="802"/>
      <c r="NHF838" s="802"/>
      <c r="NHG838" s="802"/>
      <c r="NHH838" s="802"/>
      <c r="NHI838" s="802"/>
      <c r="NHJ838" s="802"/>
      <c r="NHK838" s="802"/>
      <c r="NHL838" s="802"/>
      <c r="NHM838" s="802"/>
      <c r="NHN838" s="802"/>
      <c r="NHO838" s="802"/>
      <c r="NHP838" s="802"/>
      <c r="NHQ838" s="802"/>
      <c r="NHR838" s="802"/>
      <c r="NHS838" s="802"/>
      <c r="NHT838" s="802"/>
      <c r="NHU838" s="802"/>
      <c r="NHV838" s="802"/>
      <c r="NHW838" s="802"/>
      <c r="NHX838" s="802"/>
      <c r="NHY838" s="802"/>
      <c r="NHZ838" s="802"/>
      <c r="NIA838" s="802"/>
      <c r="NIB838" s="802"/>
      <c r="NIC838" s="802"/>
      <c r="NID838" s="802"/>
      <c r="NIE838" s="802"/>
      <c r="NIF838" s="802"/>
      <c r="NIG838" s="802"/>
      <c r="NIH838" s="802"/>
      <c r="NII838" s="802"/>
      <c r="NIJ838" s="802"/>
      <c r="NIK838" s="802"/>
      <c r="NIL838" s="802"/>
      <c r="NIM838" s="802"/>
      <c r="NIN838" s="802"/>
      <c r="NIO838" s="802"/>
      <c r="NIP838" s="802"/>
      <c r="NIQ838" s="802"/>
      <c r="NIR838" s="802"/>
      <c r="NIS838" s="802"/>
      <c r="NIT838" s="802"/>
      <c r="NIU838" s="802"/>
      <c r="NIV838" s="802"/>
      <c r="NIW838" s="802"/>
      <c r="NIX838" s="802"/>
      <c r="NIY838" s="802"/>
      <c r="NIZ838" s="802"/>
      <c r="NJA838" s="802"/>
      <c r="NJB838" s="802"/>
      <c r="NJC838" s="802"/>
      <c r="NJD838" s="802"/>
      <c r="NJE838" s="802"/>
      <c r="NJF838" s="802"/>
      <c r="NJG838" s="802"/>
      <c r="NJH838" s="802"/>
      <c r="NJI838" s="802"/>
      <c r="NJJ838" s="802"/>
      <c r="NJK838" s="802"/>
      <c r="NJL838" s="802"/>
      <c r="NJM838" s="802"/>
      <c r="NJN838" s="802"/>
      <c r="NJO838" s="802"/>
      <c r="NJP838" s="802"/>
      <c r="NJQ838" s="802"/>
      <c r="NJR838" s="802"/>
      <c r="NJS838" s="802"/>
      <c r="NJT838" s="802"/>
      <c r="NJU838" s="802"/>
      <c r="NJV838" s="802"/>
      <c r="NJW838" s="802"/>
      <c r="NJX838" s="802"/>
      <c r="NJY838" s="802"/>
      <c r="NJZ838" s="802"/>
      <c r="NKA838" s="802"/>
      <c r="NKB838" s="802"/>
      <c r="NKC838" s="802"/>
      <c r="NKD838" s="802"/>
      <c r="NKE838" s="802"/>
      <c r="NKF838" s="802"/>
      <c r="NKG838" s="802"/>
      <c r="NKH838" s="802"/>
      <c r="NKI838" s="802"/>
      <c r="NKJ838" s="802"/>
      <c r="NKK838" s="802"/>
      <c r="NKL838" s="802"/>
      <c r="NKM838" s="802"/>
      <c r="NKN838" s="802"/>
      <c r="NKO838" s="802"/>
      <c r="NKP838" s="802"/>
      <c r="NKQ838" s="802"/>
      <c r="NKR838" s="802"/>
      <c r="NKS838" s="802"/>
      <c r="NKT838" s="802"/>
      <c r="NKU838" s="802"/>
      <c r="NKV838" s="802"/>
      <c r="NKW838" s="802"/>
      <c r="NKX838" s="802"/>
      <c r="NKY838" s="802"/>
      <c r="NKZ838" s="802"/>
      <c r="NLA838" s="802"/>
      <c r="NLB838" s="802"/>
      <c r="NLC838" s="802"/>
      <c r="NLD838" s="802"/>
      <c r="NLE838" s="802"/>
      <c r="NLF838" s="802"/>
      <c r="NLG838" s="802"/>
      <c r="NLH838" s="802"/>
      <c r="NLI838" s="802"/>
      <c r="NLJ838" s="802"/>
      <c r="NLK838" s="802"/>
      <c r="NLL838" s="802"/>
      <c r="NLM838" s="802"/>
      <c r="NLN838" s="802"/>
      <c r="NLO838" s="802"/>
      <c r="NLP838" s="802"/>
      <c r="NLQ838" s="802"/>
      <c r="NLR838" s="802"/>
      <c r="NLS838" s="802"/>
      <c r="NLT838" s="802"/>
      <c r="NLU838" s="802"/>
      <c r="NLV838" s="802"/>
      <c r="NLW838" s="802"/>
      <c r="NLX838" s="802"/>
      <c r="NLY838" s="802"/>
      <c r="NLZ838" s="802"/>
      <c r="NMA838" s="802"/>
      <c r="NMB838" s="802"/>
      <c r="NMC838" s="802"/>
      <c r="NMD838" s="802"/>
      <c r="NME838" s="802"/>
      <c r="NMF838" s="802"/>
      <c r="NMG838" s="802"/>
      <c r="NMH838" s="802"/>
      <c r="NMI838" s="802"/>
      <c r="NMJ838" s="802"/>
      <c r="NMK838" s="802"/>
      <c r="NML838" s="802"/>
      <c r="NMM838" s="802"/>
      <c r="NMN838" s="802"/>
      <c r="NMO838" s="802"/>
      <c r="NMP838" s="802"/>
      <c r="NMQ838" s="802"/>
      <c r="NMR838" s="802"/>
      <c r="NMS838" s="802"/>
      <c r="NMT838" s="802"/>
      <c r="NMU838" s="802"/>
      <c r="NMV838" s="802"/>
      <c r="NMW838" s="802"/>
      <c r="NMX838" s="802"/>
      <c r="NMY838" s="802"/>
      <c r="NMZ838" s="802"/>
      <c r="NNA838" s="802"/>
      <c r="NNB838" s="802"/>
      <c r="NNC838" s="802"/>
      <c r="NND838" s="802"/>
      <c r="NNE838" s="802"/>
      <c r="NNF838" s="802"/>
      <c r="NNG838" s="802"/>
      <c r="NNH838" s="802"/>
      <c r="NNI838" s="802"/>
      <c r="NNJ838" s="802"/>
      <c r="NNK838" s="802"/>
      <c r="NNL838" s="802"/>
      <c r="NNM838" s="802"/>
      <c r="NNN838" s="802"/>
      <c r="NNO838" s="802"/>
      <c r="NNP838" s="802"/>
      <c r="NNQ838" s="802"/>
      <c r="NNR838" s="802"/>
      <c r="NNS838" s="802"/>
      <c r="NNT838" s="802"/>
      <c r="NNU838" s="802"/>
      <c r="NNV838" s="802"/>
      <c r="NNW838" s="802"/>
      <c r="NNX838" s="802"/>
      <c r="NNY838" s="802"/>
      <c r="NNZ838" s="802"/>
      <c r="NOA838" s="802"/>
      <c r="NOB838" s="802"/>
      <c r="NOC838" s="802"/>
      <c r="NOD838" s="802"/>
      <c r="NOE838" s="802"/>
      <c r="NOF838" s="802"/>
      <c r="NOG838" s="802"/>
      <c r="NOH838" s="802"/>
      <c r="NOI838" s="802"/>
      <c r="NOJ838" s="802"/>
      <c r="NOK838" s="802"/>
      <c r="NOL838" s="802"/>
      <c r="NOM838" s="802"/>
      <c r="NON838" s="802"/>
      <c r="NOO838" s="802"/>
      <c r="NOP838" s="802"/>
      <c r="NOQ838" s="802"/>
      <c r="NOR838" s="802"/>
      <c r="NOS838" s="802"/>
      <c r="NOT838" s="802"/>
      <c r="NOU838" s="802"/>
      <c r="NOV838" s="802"/>
      <c r="NOW838" s="802"/>
      <c r="NOX838" s="802"/>
      <c r="NOY838" s="802"/>
      <c r="NOZ838" s="802"/>
      <c r="NPA838" s="802"/>
      <c r="NPB838" s="802"/>
      <c r="NPC838" s="802"/>
      <c r="NPD838" s="802"/>
      <c r="NPE838" s="802"/>
      <c r="NPF838" s="802"/>
      <c r="NPG838" s="802"/>
      <c r="NPH838" s="802"/>
      <c r="NPI838" s="802"/>
      <c r="NPJ838" s="802"/>
      <c r="NPK838" s="802"/>
      <c r="NPL838" s="802"/>
      <c r="NPM838" s="802"/>
      <c r="NPN838" s="802"/>
      <c r="NPO838" s="802"/>
      <c r="NPP838" s="802"/>
      <c r="NPQ838" s="802"/>
      <c r="NPR838" s="802"/>
      <c r="NPS838" s="802"/>
      <c r="NPT838" s="802"/>
      <c r="NPU838" s="802"/>
      <c r="NPV838" s="802"/>
      <c r="NPW838" s="802"/>
      <c r="NPX838" s="802"/>
      <c r="NPY838" s="802"/>
      <c r="NPZ838" s="802"/>
      <c r="NQA838" s="802"/>
      <c r="NQB838" s="802"/>
      <c r="NQC838" s="802"/>
      <c r="NQD838" s="802"/>
      <c r="NQE838" s="802"/>
      <c r="NQF838" s="802"/>
      <c r="NQG838" s="802"/>
      <c r="NQH838" s="802"/>
      <c r="NQI838" s="802"/>
      <c r="NQJ838" s="802"/>
      <c r="NQK838" s="802"/>
      <c r="NQL838" s="802"/>
      <c r="NQM838" s="802"/>
      <c r="NQN838" s="802"/>
      <c r="NQO838" s="802"/>
      <c r="NQP838" s="802"/>
      <c r="NQQ838" s="802"/>
      <c r="NQR838" s="802"/>
      <c r="NQS838" s="802"/>
      <c r="NQT838" s="802"/>
      <c r="NQU838" s="802"/>
      <c r="NQV838" s="802"/>
      <c r="NQW838" s="802"/>
      <c r="NQX838" s="802"/>
      <c r="NQY838" s="802"/>
      <c r="NQZ838" s="802"/>
      <c r="NRA838" s="802"/>
      <c r="NRB838" s="802"/>
      <c r="NRC838" s="802"/>
      <c r="NRD838" s="802"/>
      <c r="NRE838" s="802"/>
      <c r="NRF838" s="802"/>
      <c r="NRG838" s="802"/>
      <c r="NRH838" s="802"/>
      <c r="NRI838" s="802"/>
      <c r="NRJ838" s="802"/>
      <c r="NRK838" s="802"/>
      <c r="NRL838" s="802"/>
      <c r="NRM838" s="802"/>
      <c r="NRN838" s="802"/>
      <c r="NRO838" s="802"/>
      <c r="NRP838" s="802"/>
      <c r="NRQ838" s="802"/>
      <c r="NRR838" s="802"/>
      <c r="NRS838" s="802"/>
      <c r="NRT838" s="802"/>
      <c r="NRU838" s="802"/>
      <c r="NRV838" s="802"/>
      <c r="NRW838" s="802"/>
      <c r="NRX838" s="802"/>
      <c r="NRY838" s="802"/>
      <c r="NRZ838" s="802"/>
      <c r="NSA838" s="802"/>
      <c r="NSB838" s="802"/>
      <c r="NSC838" s="802"/>
      <c r="NSD838" s="802"/>
      <c r="NSE838" s="802"/>
      <c r="NSF838" s="802"/>
      <c r="NSG838" s="802"/>
      <c r="NSH838" s="802"/>
      <c r="NSI838" s="802"/>
      <c r="NSJ838" s="802"/>
      <c r="NSK838" s="802"/>
      <c r="NSL838" s="802"/>
      <c r="NSM838" s="802"/>
      <c r="NSN838" s="802"/>
      <c r="NSO838" s="802"/>
      <c r="NSP838" s="802"/>
      <c r="NSQ838" s="802"/>
      <c r="NSR838" s="802"/>
      <c r="NSS838" s="802"/>
      <c r="NST838" s="802"/>
      <c r="NSU838" s="802"/>
      <c r="NSV838" s="802"/>
      <c r="NSW838" s="802"/>
      <c r="NSX838" s="802"/>
      <c r="NSY838" s="802"/>
      <c r="NSZ838" s="802"/>
      <c r="NTA838" s="802"/>
      <c r="NTB838" s="802"/>
      <c r="NTC838" s="802"/>
      <c r="NTD838" s="802"/>
      <c r="NTE838" s="802"/>
      <c r="NTF838" s="802"/>
      <c r="NTG838" s="802"/>
      <c r="NTH838" s="802"/>
      <c r="NTI838" s="802"/>
      <c r="NTJ838" s="802"/>
      <c r="NTK838" s="802"/>
      <c r="NTL838" s="802"/>
      <c r="NTM838" s="802"/>
      <c r="NTN838" s="802"/>
      <c r="NTO838" s="802"/>
      <c r="NTP838" s="802"/>
      <c r="NTQ838" s="802"/>
      <c r="NTR838" s="802"/>
      <c r="NTS838" s="802"/>
      <c r="NTT838" s="802"/>
      <c r="NTU838" s="802"/>
      <c r="NTV838" s="802"/>
      <c r="NTW838" s="802"/>
      <c r="NTX838" s="802"/>
      <c r="NTY838" s="802"/>
      <c r="NTZ838" s="802"/>
      <c r="NUA838" s="802"/>
      <c r="NUB838" s="802"/>
      <c r="NUC838" s="802"/>
      <c r="NUD838" s="802"/>
      <c r="NUE838" s="802"/>
      <c r="NUF838" s="802"/>
      <c r="NUG838" s="802"/>
      <c r="NUH838" s="802"/>
      <c r="NUI838" s="802"/>
      <c r="NUJ838" s="802"/>
      <c r="NUK838" s="802"/>
      <c r="NUL838" s="802"/>
      <c r="NUM838" s="802"/>
      <c r="NUN838" s="802"/>
      <c r="NUO838" s="802"/>
      <c r="NUP838" s="802"/>
      <c r="NUQ838" s="802"/>
      <c r="NUR838" s="802"/>
      <c r="NUS838" s="802"/>
      <c r="NUT838" s="802"/>
      <c r="NUU838" s="802"/>
      <c r="NUV838" s="802"/>
      <c r="NUW838" s="802"/>
      <c r="NUX838" s="802"/>
      <c r="NUY838" s="802"/>
      <c r="NUZ838" s="802"/>
      <c r="NVA838" s="802"/>
      <c r="NVB838" s="802"/>
      <c r="NVC838" s="802"/>
      <c r="NVD838" s="802"/>
      <c r="NVE838" s="802"/>
      <c r="NVF838" s="802"/>
      <c r="NVG838" s="802"/>
      <c r="NVH838" s="802"/>
      <c r="NVI838" s="802"/>
      <c r="NVJ838" s="802"/>
      <c r="NVK838" s="802"/>
      <c r="NVL838" s="802"/>
      <c r="NVM838" s="802"/>
      <c r="NVN838" s="802"/>
      <c r="NVO838" s="802"/>
      <c r="NVP838" s="802"/>
      <c r="NVQ838" s="802"/>
      <c r="NVR838" s="802"/>
      <c r="NVS838" s="802"/>
      <c r="NVT838" s="802"/>
      <c r="NVU838" s="802"/>
      <c r="NVV838" s="802"/>
      <c r="NVW838" s="802"/>
      <c r="NVX838" s="802"/>
      <c r="NVY838" s="802"/>
      <c r="NVZ838" s="802"/>
      <c r="NWA838" s="802"/>
      <c r="NWB838" s="802"/>
      <c r="NWC838" s="802"/>
      <c r="NWD838" s="802"/>
      <c r="NWE838" s="802"/>
      <c r="NWF838" s="802"/>
      <c r="NWG838" s="802"/>
      <c r="NWH838" s="802"/>
      <c r="NWI838" s="802"/>
      <c r="NWJ838" s="802"/>
      <c r="NWK838" s="802"/>
      <c r="NWL838" s="802"/>
      <c r="NWM838" s="802"/>
      <c r="NWN838" s="802"/>
      <c r="NWO838" s="802"/>
      <c r="NWP838" s="802"/>
      <c r="NWQ838" s="802"/>
      <c r="NWR838" s="802"/>
      <c r="NWS838" s="802"/>
      <c r="NWT838" s="802"/>
      <c r="NWU838" s="802"/>
      <c r="NWV838" s="802"/>
      <c r="NWW838" s="802"/>
      <c r="NWX838" s="802"/>
      <c r="NWY838" s="802"/>
      <c r="NWZ838" s="802"/>
      <c r="NXA838" s="802"/>
      <c r="NXB838" s="802"/>
      <c r="NXC838" s="802"/>
      <c r="NXD838" s="802"/>
      <c r="NXE838" s="802"/>
      <c r="NXF838" s="802"/>
      <c r="NXG838" s="802"/>
      <c r="NXH838" s="802"/>
      <c r="NXI838" s="802"/>
      <c r="NXJ838" s="802"/>
      <c r="NXK838" s="802"/>
      <c r="NXL838" s="802"/>
      <c r="NXM838" s="802"/>
      <c r="NXN838" s="802"/>
      <c r="NXO838" s="802"/>
      <c r="NXP838" s="802"/>
      <c r="NXQ838" s="802"/>
      <c r="NXR838" s="802"/>
      <c r="NXS838" s="802"/>
      <c r="NXT838" s="802"/>
      <c r="NXU838" s="802"/>
      <c r="NXV838" s="802"/>
      <c r="NXW838" s="802"/>
      <c r="NXX838" s="802"/>
      <c r="NXY838" s="802"/>
      <c r="NXZ838" s="802"/>
      <c r="NYA838" s="802"/>
      <c r="NYB838" s="802"/>
      <c r="NYC838" s="802"/>
      <c r="NYD838" s="802"/>
      <c r="NYE838" s="802"/>
      <c r="NYF838" s="802"/>
      <c r="NYG838" s="802"/>
      <c r="NYH838" s="802"/>
      <c r="NYI838" s="802"/>
      <c r="NYJ838" s="802"/>
      <c r="NYK838" s="802"/>
      <c r="NYL838" s="802"/>
      <c r="NYM838" s="802"/>
      <c r="NYN838" s="802"/>
      <c r="NYO838" s="802"/>
      <c r="NYP838" s="802"/>
      <c r="NYQ838" s="802"/>
      <c r="NYR838" s="802"/>
      <c r="NYS838" s="802"/>
      <c r="NYT838" s="802"/>
      <c r="NYU838" s="802"/>
      <c r="NYV838" s="802"/>
      <c r="NYW838" s="802"/>
      <c r="NYX838" s="802"/>
      <c r="NYY838" s="802"/>
      <c r="NYZ838" s="802"/>
      <c r="NZA838" s="802"/>
      <c r="NZB838" s="802"/>
      <c r="NZC838" s="802"/>
      <c r="NZD838" s="802"/>
      <c r="NZE838" s="802"/>
      <c r="NZF838" s="802"/>
      <c r="NZG838" s="802"/>
      <c r="NZH838" s="802"/>
      <c r="NZI838" s="802"/>
      <c r="NZJ838" s="802"/>
      <c r="NZK838" s="802"/>
      <c r="NZL838" s="802"/>
      <c r="NZM838" s="802"/>
      <c r="NZN838" s="802"/>
      <c r="NZO838" s="802"/>
      <c r="NZP838" s="802"/>
      <c r="NZQ838" s="802"/>
      <c r="NZR838" s="802"/>
      <c r="NZS838" s="802"/>
      <c r="NZT838" s="802"/>
      <c r="NZU838" s="802"/>
      <c r="NZV838" s="802"/>
      <c r="NZW838" s="802"/>
      <c r="NZX838" s="802"/>
      <c r="NZY838" s="802"/>
      <c r="NZZ838" s="802"/>
      <c r="OAA838" s="802"/>
      <c r="OAB838" s="802"/>
      <c r="OAC838" s="802"/>
      <c r="OAD838" s="802"/>
      <c r="OAE838" s="802"/>
      <c r="OAF838" s="802"/>
      <c r="OAG838" s="802"/>
      <c r="OAH838" s="802"/>
      <c r="OAI838" s="802"/>
      <c r="OAJ838" s="802"/>
      <c r="OAK838" s="802"/>
      <c r="OAL838" s="802"/>
      <c r="OAM838" s="802"/>
      <c r="OAN838" s="802"/>
      <c r="OAO838" s="802"/>
      <c r="OAP838" s="802"/>
      <c r="OAQ838" s="802"/>
      <c r="OAR838" s="802"/>
      <c r="OAS838" s="802"/>
      <c r="OAT838" s="802"/>
      <c r="OAU838" s="802"/>
      <c r="OAV838" s="802"/>
      <c r="OAW838" s="802"/>
      <c r="OAX838" s="802"/>
      <c r="OAY838" s="802"/>
      <c r="OAZ838" s="802"/>
      <c r="OBA838" s="802"/>
      <c r="OBB838" s="802"/>
      <c r="OBC838" s="802"/>
      <c r="OBD838" s="802"/>
      <c r="OBE838" s="802"/>
      <c r="OBF838" s="802"/>
      <c r="OBG838" s="802"/>
      <c r="OBH838" s="802"/>
      <c r="OBI838" s="802"/>
      <c r="OBJ838" s="802"/>
      <c r="OBK838" s="802"/>
      <c r="OBL838" s="802"/>
      <c r="OBM838" s="802"/>
      <c r="OBN838" s="802"/>
      <c r="OBO838" s="802"/>
      <c r="OBP838" s="802"/>
      <c r="OBQ838" s="802"/>
      <c r="OBR838" s="802"/>
      <c r="OBS838" s="802"/>
      <c r="OBT838" s="802"/>
      <c r="OBU838" s="802"/>
      <c r="OBV838" s="802"/>
      <c r="OBW838" s="802"/>
      <c r="OBX838" s="802"/>
      <c r="OBY838" s="802"/>
      <c r="OBZ838" s="802"/>
      <c r="OCA838" s="802"/>
      <c r="OCB838" s="802"/>
      <c r="OCC838" s="802"/>
      <c r="OCD838" s="802"/>
      <c r="OCE838" s="802"/>
      <c r="OCF838" s="802"/>
      <c r="OCG838" s="802"/>
      <c r="OCH838" s="802"/>
      <c r="OCI838" s="802"/>
      <c r="OCJ838" s="802"/>
      <c r="OCK838" s="802"/>
      <c r="OCL838" s="802"/>
      <c r="OCM838" s="802"/>
      <c r="OCN838" s="802"/>
      <c r="OCO838" s="802"/>
      <c r="OCP838" s="802"/>
      <c r="OCQ838" s="802"/>
      <c r="OCR838" s="802"/>
      <c r="OCS838" s="802"/>
      <c r="OCT838" s="802"/>
      <c r="OCU838" s="802"/>
      <c r="OCV838" s="802"/>
      <c r="OCW838" s="802"/>
      <c r="OCX838" s="802"/>
      <c r="OCY838" s="802"/>
      <c r="OCZ838" s="802"/>
      <c r="ODA838" s="802"/>
      <c r="ODB838" s="802"/>
      <c r="ODC838" s="802"/>
      <c r="ODD838" s="802"/>
      <c r="ODE838" s="802"/>
      <c r="ODF838" s="802"/>
      <c r="ODG838" s="802"/>
      <c r="ODH838" s="802"/>
      <c r="ODI838" s="802"/>
      <c r="ODJ838" s="802"/>
      <c r="ODK838" s="802"/>
      <c r="ODL838" s="802"/>
      <c r="ODM838" s="802"/>
      <c r="ODN838" s="802"/>
      <c r="ODO838" s="802"/>
      <c r="ODP838" s="802"/>
      <c r="ODQ838" s="802"/>
      <c r="ODR838" s="802"/>
      <c r="ODS838" s="802"/>
      <c r="ODT838" s="802"/>
      <c r="ODU838" s="802"/>
      <c r="ODV838" s="802"/>
      <c r="ODW838" s="802"/>
      <c r="ODX838" s="802"/>
      <c r="ODY838" s="802"/>
      <c r="ODZ838" s="802"/>
      <c r="OEA838" s="802"/>
      <c r="OEB838" s="802"/>
      <c r="OEC838" s="802"/>
      <c r="OED838" s="802"/>
      <c r="OEE838" s="802"/>
      <c r="OEF838" s="802"/>
      <c r="OEG838" s="802"/>
      <c r="OEH838" s="802"/>
      <c r="OEI838" s="802"/>
      <c r="OEJ838" s="802"/>
      <c r="OEK838" s="802"/>
      <c r="OEL838" s="802"/>
      <c r="OEM838" s="802"/>
      <c r="OEN838" s="802"/>
      <c r="OEO838" s="802"/>
      <c r="OEP838" s="802"/>
      <c r="OEQ838" s="802"/>
      <c r="OER838" s="802"/>
      <c r="OES838" s="802"/>
      <c r="OET838" s="802"/>
      <c r="OEU838" s="802"/>
      <c r="OEV838" s="802"/>
      <c r="OEW838" s="802"/>
      <c r="OEX838" s="802"/>
      <c r="OEY838" s="802"/>
      <c r="OEZ838" s="802"/>
      <c r="OFA838" s="802"/>
      <c r="OFB838" s="802"/>
      <c r="OFC838" s="802"/>
      <c r="OFD838" s="802"/>
      <c r="OFE838" s="802"/>
      <c r="OFF838" s="802"/>
      <c r="OFG838" s="802"/>
      <c r="OFH838" s="802"/>
      <c r="OFI838" s="802"/>
      <c r="OFJ838" s="802"/>
      <c r="OFK838" s="802"/>
      <c r="OFL838" s="802"/>
      <c r="OFM838" s="802"/>
      <c r="OFN838" s="802"/>
      <c r="OFO838" s="802"/>
      <c r="OFP838" s="802"/>
      <c r="OFQ838" s="802"/>
      <c r="OFR838" s="802"/>
      <c r="OFS838" s="802"/>
      <c r="OFT838" s="802"/>
      <c r="OFU838" s="802"/>
      <c r="OFV838" s="802"/>
      <c r="OFW838" s="802"/>
      <c r="OFX838" s="802"/>
      <c r="OFY838" s="802"/>
      <c r="OFZ838" s="802"/>
      <c r="OGA838" s="802"/>
      <c r="OGB838" s="802"/>
      <c r="OGC838" s="802"/>
      <c r="OGD838" s="802"/>
      <c r="OGE838" s="802"/>
      <c r="OGF838" s="802"/>
      <c r="OGG838" s="802"/>
      <c r="OGH838" s="802"/>
      <c r="OGI838" s="802"/>
      <c r="OGJ838" s="802"/>
      <c r="OGK838" s="802"/>
      <c r="OGL838" s="802"/>
      <c r="OGM838" s="802"/>
      <c r="OGN838" s="802"/>
      <c r="OGO838" s="802"/>
      <c r="OGP838" s="802"/>
      <c r="OGQ838" s="802"/>
      <c r="OGR838" s="802"/>
      <c r="OGS838" s="802"/>
      <c r="OGT838" s="802"/>
      <c r="OGU838" s="802"/>
      <c r="OGV838" s="802"/>
      <c r="OGW838" s="802"/>
      <c r="OGX838" s="802"/>
      <c r="OGY838" s="802"/>
      <c r="OGZ838" s="802"/>
      <c r="OHA838" s="802"/>
      <c r="OHB838" s="802"/>
      <c r="OHC838" s="802"/>
      <c r="OHD838" s="802"/>
      <c r="OHE838" s="802"/>
      <c r="OHF838" s="802"/>
      <c r="OHG838" s="802"/>
      <c r="OHH838" s="802"/>
      <c r="OHI838" s="802"/>
      <c r="OHJ838" s="802"/>
      <c r="OHK838" s="802"/>
      <c r="OHL838" s="802"/>
      <c r="OHM838" s="802"/>
      <c r="OHN838" s="802"/>
      <c r="OHO838" s="802"/>
      <c r="OHP838" s="802"/>
      <c r="OHQ838" s="802"/>
      <c r="OHR838" s="802"/>
      <c r="OHS838" s="802"/>
      <c r="OHT838" s="802"/>
      <c r="OHU838" s="802"/>
      <c r="OHV838" s="802"/>
      <c r="OHW838" s="802"/>
      <c r="OHX838" s="802"/>
      <c r="OHY838" s="802"/>
      <c r="OHZ838" s="802"/>
      <c r="OIA838" s="802"/>
      <c r="OIB838" s="802"/>
      <c r="OIC838" s="802"/>
      <c r="OID838" s="802"/>
      <c r="OIE838" s="802"/>
      <c r="OIF838" s="802"/>
      <c r="OIG838" s="802"/>
      <c r="OIH838" s="802"/>
      <c r="OII838" s="802"/>
      <c r="OIJ838" s="802"/>
      <c r="OIK838" s="802"/>
      <c r="OIL838" s="802"/>
      <c r="OIM838" s="802"/>
      <c r="OIN838" s="802"/>
      <c r="OIO838" s="802"/>
      <c r="OIP838" s="802"/>
      <c r="OIQ838" s="802"/>
      <c r="OIR838" s="802"/>
      <c r="OIS838" s="802"/>
      <c r="OIT838" s="802"/>
      <c r="OIU838" s="802"/>
      <c r="OIV838" s="802"/>
      <c r="OIW838" s="802"/>
      <c r="OIX838" s="802"/>
      <c r="OIY838" s="802"/>
      <c r="OIZ838" s="802"/>
      <c r="OJA838" s="802"/>
      <c r="OJB838" s="802"/>
      <c r="OJC838" s="802"/>
      <c r="OJD838" s="802"/>
      <c r="OJE838" s="802"/>
      <c r="OJF838" s="802"/>
      <c r="OJG838" s="802"/>
      <c r="OJH838" s="802"/>
      <c r="OJI838" s="802"/>
      <c r="OJJ838" s="802"/>
      <c r="OJK838" s="802"/>
      <c r="OJL838" s="802"/>
      <c r="OJM838" s="802"/>
      <c r="OJN838" s="802"/>
      <c r="OJO838" s="802"/>
      <c r="OJP838" s="802"/>
      <c r="OJQ838" s="802"/>
      <c r="OJR838" s="802"/>
      <c r="OJS838" s="802"/>
      <c r="OJT838" s="802"/>
      <c r="OJU838" s="802"/>
      <c r="OJV838" s="802"/>
      <c r="OJW838" s="802"/>
      <c r="OJX838" s="802"/>
      <c r="OJY838" s="802"/>
      <c r="OJZ838" s="802"/>
      <c r="OKA838" s="802"/>
      <c r="OKB838" s="802"/>
      <c r="OKC838" s="802"/>
      <c r="OKD838" s="802"/>
      <c r="OKE838" s="802"/>
      <c r="OKF838" s="802"/>
      <c r="OKG838" s="802"/>
      <c r="OKH838" s="802"/>
      <c r="OKI838" s="802"/>
      <c r="OKJ838" s="802"/>
      <c r="OKK838" s="802"/>
      <c r="OKL838" s="802"/>
      <c r="OKM838" s="802"/>
      <c r="OKN838" s="802"/>
      <c r="OKO838" s="802"/>
      <c r="OKP838" s="802"/>
      <c r="OKQ838" s="802"/>
      <c r="OKR838" s="802"/>
      <c r="OKS838" s="802"/>
      <c r="OKT838" s="802"/>
      <c r="OKU838" s="802"/>
      <c r="OKV838" s="802"/>
      <c r="OKW838" s="802"/>
      <c r="OKX838" s="802"/>
      <c r="OKY838" s="802"/>
      <c r="OKZ838" s="802"/>
      <c r="OLA838" s="802"/>
      <c r="OLB838" s="802"/>
      <c r="OLC838" s="802"/>
      <c r="OLD838" s="802"/>
      <c r="OLE838" s="802"/>
      <c r="OLF838" s="802"/>
      <c r="OLG838" s="802"/>
      <c r="OLH838" s="802"/>
      <c r="OLI838" s="802"/>
      <c r="OLJ838" s="802"/>
      <c r="OLK838" s="802"/>
      <c r="OLL838" s="802"/>
      <c r="OLM838" s="802"/>
      <c r="OLN838" s="802"/>
      <c r="OLO838" s="802"/>
      <c r="OLP838" s="802"/>
      <c r="OLQ838" s="802"/>
      <c r="OLR838" s="802"/>
      <c r="OLS838" s="802"/>
      <c r="OLT838" s="802"/>
      <c r="OLU838" s="802"/>
      <c r="OLV838" s="802"/>
      <c r="OLW838" s="802"/>
      <c r="OLX838" s="802"/>
      <c r="OLY838" s="802"/>
      <c r="OLZ838" s="802"/>
      <c r="OMA838" s="802"/>
      <c r="OMB838" s="802"/>
      <c r="OMC838" s="802"/>
      <c r="OMD838" s="802"/>
      <c r="OME838" s="802"/>
      <c r="OMF838" s="802"/>
      <c r="OMG838" s="802"/>
      <c r="OMH838" s="802"/>
      <c r="OMI838" s="802"/>
      <c r="OMJ838" s="802"/>
      <c r="OMK838" s="802"/>
      <c r="OML838" s="802"/>
      <c r="OMM838" s="802"/>
      <c r="OMN838" s="802"/>
      <c r="OMO838" s="802"/>
      <c r="OMP838" s="802"/>
      <c r="OMQ838" s="802"/>
      <c r="OMR838" s="802"/>
      <c r="OMS838" s="802"/>
      <c r="OMT838" s="802"/>
      <c r="OMU838" s="802"/>
      <c r="OMV838" s="802"/>
      <c r="OMW838" s="802"/>
      <c r="OMX838" s="802"/>
      <c r="OMY838" s="802"/>
      <c r="OMZ838" s="802"/>
      <c r="ONA838" s="802"/>
      <c r="ONB838" s="802"/>
      <c r="ONC838" s="802"/>
      <c r="OND838" s="802"/>
      <c r="ONE838" s="802"/>
      <c r="ONF838" s="802"/>
      <c r="ONG838" s="802"/>
      <c r="ONH838" s="802"/>
      <c r="ONI838" s="802"/>
      <c r="ONJ838" s="802"/>
      <c r="ONK838" s="802"/>
      <c r="ONL838" s="802"/>
      <c r="ONM838" s="802"/>
      <c r="ONN838" s="802"/>
      <c r="ONO838" s="802"/>
      <c r="ONP838" s="802"/>
      <c r="ONQ838" s="802"/>
      <c r="ONR838" s="802"/>
      <c r="ONS838" s="802"/>
      <c r="ONT838" s="802"/>
      <c r="ONU838" s="802"/>
      <c r="ONV838" s="802"/>
      <c r="ONW838" s="802"/>
      <c r="ONX838" s="802"/>
      <c r="ONY838" s="802"/>
      <c r="ONZ838" s="802"/>
      <c r="OOA838" s="802"/>
      <c r="OOB838" s="802"/>
      <c r="OOC838" s="802"/>
      <c r="OOD838" s="802"/>
      <c r="OOE838" s="802"/>
      <c r="OOF838" s="802"/>
      <c r="OOG838" s="802"/>
      <c r="OOH838" s="802"/>
      <c r="OOI838" s="802"/>
      <c r="OOJ838" s="802"/>
      <c r="OOK838" s="802"/>
      <c r="OOL838" s="802"/>
      <c r="OOM838" s="802"/>
      <c r="OON838" s="802"/>
      <c r="OOO838" s="802"/>
      <c r="OOP838" s="802"/>
      <c r="OOQ838" s="802"/>
      <c r="OOR838" s="802"/>
      <c r="OOS838" s="802"/>
      <c r="OOT838" s="802"/>
      <c r="OOU838" s="802"/>
      <c r="OOV838" s="802"/>
      <c r="OOW838" s="802"/>
      <c r="OOX838" s="802"/>
      <c r="OOY838" s="802"/>
      <c r="OOZ838" s="802"/>
      <c r="OPA838" s="802"/>
      <c r="OPB838" s="802"/>
      <c r="OPC838" s="802"/>
      <c r="OPD838" s="802"/>
      <c r="OPE838" s="802"/>
      <c r="OPF838" s="802"/>
      <c r="OPG838" s="802"/>
      <c r="OPH838" s="802"/>
      <c r="OPI838" s="802"/>
      <c r="OPJ838" s="802"/>
      <c r="OPK838" s="802"/>
      <c r="OPL838" s="802"/>
      <c r="OPM838" s="802"/>
      <c r="OPN838" s="802"/>
      <c r="OPO838" s="802"/>
      <c r="OPP838" s="802"/>
      <c r="OPQ838" s="802"/>
      <c r="OPR838" s="802"/>
      <c r="OPS838" s="802"/>
      <c r="OPT838" s="802"/>
      <c r="OPU838" s="802"/>
      <c r="OPV838" s="802"/>
      <c r="OPW838" s="802"/>
      <c r="OPX838" s="802"/>
      <c r="OPY838" s="802"/>
      <c r="OPZ838" s="802"/>
      <c r="OQA838" s="802"/>
      <c r="OQB838" s="802"/>
      <c r="OQC838" s="802"/>
      <c r="OQD838" s="802"/>
      <c r="OQE838" s="802"/>
      <c r="OQF838" s="802"/>
      <c r="OQG838" s="802"/>
      <c r="OQH838" s="802"/>
      <c r="OQI838" s="802"/>
      <c r="OQJ838" s="802"/>
      <c r="OQK838" s="802"/>
      <c r="OQL838" s="802"/>
      <c r="OQM838" s="802"/>
      <c r="OQN838" s="802"/>
      <c r="OQO838" s="802"/>
      <c r="OQP838" s="802"/>
      <c r="OQQ838" s="802"/>
      <c r="OQR838" s="802"/>
      <c r="OQS838" s="802"/>
      <c r="OQT838" s="802"/>
      <c r="OQU838" s="802"/>
      <c r="OQV838" s="802"/>
      <c r="OQW838" s="802"/>
      <c r="OQX838" s="802"/>
      <c r="OQY838" s="802"/>
      <c r="OQZ838" s="802"/>
      <c r="ORA838" s="802"/>
      <c r="ORB838" s="802"/>
      <c r="ORC838" s="802"/>
      <c r="ORD838" s="802"/>
      <c r="ORE838" s="802"/>
      <c r="ORF838" s="802"/>
      <c r="ORG838" s="802"/>
      <c r="ORH838" s="802"/>
      <c r="ORI838" s="802"/>
      <c r="ORJ838" s="802"/>
      <c r="ORK838" s="802"/>
      <c r="ORL838" s="802"/>
      <c r="ORM838" s="802"/>
      <c r="ORN838" s="802"/>
      <c r="ORO838" s="802"/>
      <c r="ORP838" s="802"/>
      <c r="ORQ838" s="802"/>
      <c r="ORR838" s="802"/>
      <c r="ORS838" s="802"/>
      <c r="ORT838" s="802"/>
      <c r="ORU838" s="802"/>
      <c r="ORV838" s="802"/>
      <c r="ORW838" s="802"/>
      <c r="ORX838" s="802"/>
      <c r="ORY838" s="802"/>
      <c r="ORZ838" s="802"/>
      <c r="OSA838" s="802"/>
      <c r="OSB838" s="802"/>
      <c r="OSC838" s="802"/>
      <c r="OSD838" s="802"/>
      <c r="OSE838" s="802"/>
      <c r="OSF838" s="802"/>
      <c r="OSG838" s="802"/>
      <c r="OSH838" s="802"/>
      <c r="OSI838" s="802"/>
      <c r="OSJ838" s="802"/>
      <c r="OSK838" s="802"/>
      <c r="OSL838" s="802"/>
      <c r="OSM838" s="802"/>
      <c r="OSN838" s="802"/>
      <c r="OSO838" s="802"/>
      <c r="OSP838" s="802"/>
      <c r="OSQ838" s="802"/>
      <c r="OSR838" s="802"/>
      <c r="OSS838" s="802"/>
      <c r="OST838" s="802"/>
      <c r="OSU838" s="802"/>
      <c r="OSV838" s="802"/>
      <c r="OSW838" s="802"/>
      <c r="OSX838" s="802"/>
      <c r="OSY838" s="802"/>
      <c r="OSZ838" s="802"/>
      <c r="OTA838" s="802"/>
      <c r="OTB838" s="802"/>
      <c r="OTC838" s="802"/>
      <c r="OTD838" s="802"/>
      <c r="OTE838" s="802"/>
      <c r="OTF838" s="802"/>
      <c r="OTG838" s="802"/>
      <c r="OTH838" s="802"/>
      <c r="OTI838" s="802"/>
      <c r="OTJ838" s="802"/>
      <c r="OTK838" s="802"/>
      <c r="OTL838" s="802"/>
      <c r="OTM838" s="802"/>
      <c r="OTN838" s="802"/>
      <c r="OTO838" s="802"/>
      <c r="OTP838" s="802"/>
      <c r="OTQ838" s="802"/>
      <c r="OTR838" s="802"/>
      <c r="OTS838" s="802"/>
      <c r="OTT838" s="802"/>
      <c r="OTU838" s="802"/>
      <c r="OTV838" s="802"/>
      <c r="OTW838" s="802"/>
      <c r="OTX838" s="802"/>
      <c r="OTY838" s="802"/>
      <c r="OTZ838" s="802"/>
      <c r="OUA838" s="802"/>
      <c r="OUB838" s="802"/>
      <c r="OUC838" s="802"/>
      <c r="OUD838" s="802"/>
      <c r="OUE838" s="802"/>
      <c r="OUF838" s="802"/>
      <c r="OUG838" s="802"/>
      <c r="OUH838" s="802"/>
      <c r="OUI838" s="802"/>
      <c r="OUJ838" s="802"/>
      <c r="OUK838" s="802"/>
      <c r="OUL838" s="802"/>
      <c r="OUM838" s="802"/>
      <c r="OUN838" s="802"/>
      <c r="OUO838" s="802"/>
      <c r="OUP838" s="802"/>
      <c r="OUQ838" s="802"/>
      <c r="OUR838" s="802"/>
      <c r="OUS838" s="802"/>
      <c r="OUT838" s="802"/>
      <c r="OUU838" s="802"/>
      <c r="OUV838" s="802"/>
      <c r="OUW838" s="802"/>
      <c r="OUX838" s="802"/>
      <c r="OUY838" s="802"/>
      <c r="OUZ838" s="802"/>
      <c r="OVA838" s="802"/>
      <c r="OVB838" s="802"/>
      <c r="OVC838" s="802"/>
      <c r="OVD838" s="802"/>
      <c r="OVE838" s="802"/>
      <c r="OVF838" s="802"/>
      <c r="OVG838" s="802"/>
      <c r="OVH838" s="802"/>
      <c r="OVI838" s="802"/>
      <c r="OVJ838" s="802"/>
      <c r="OVK838" s="802"/>
      <c r="OVL838" s="802"/>
      <c r="OVM838" s="802"/>
      <c r="OVN838" s="802"/>
      <c r="OVO838" s="802"/>
      <c r="OVP838" s="802"/>
      <c r="OVQ838" s="802"/>
      <c r="OVR838" s="802"/>
      <c r="OVS838" s="802"/>
      <c r="OVT838" s="802"/>
      <c r="OVU838" s="802"/>
      <c r="OVV838" s="802"/>
      <c r="OVW838" s="802"/>
      <c r="OVX838" s="802"/>
      <c r="OVY838" s="802"/>
      <c r="OVZ838" s="802"/>
      <c r="OWA838" s="802"/>
      <c r="OWB838" s="802"/>
      <c r="OWC838" s="802"/>
      <c r="OWD838" s="802"/>
      <c r="OWE838" s="802"/>
      <c r="OWF838" s="802"/>
      <c r="OWG838" s="802"/>
      <c r="OWH838" s="802"/>
      <c r="OWI838" s="802"/>
      <c r="OWJ838" s="802"/>
      <c r="OWK838" s="802"/>
      <c r="OWL838" s="802"/>
      <c r="OWM838" s="802"/>
      <c r="OWN838" s="802"/>
      <c r="OWO838" s="802"/>
      <c r="OWP838" s="802"/>
      <c r="OWQ838" s="802"/>
      <c r="OWR838" s="802"/>
      <c r="OWS838" s="802"/>
      <c r="OWT838" s="802"/>
      <c r="OWU838" s="802"/>
      <c r="OWV838" s="802"/>
      <c r="OWW838" s="802"/>
      <c r="OWX838" s="802"/>
      <c r="OWY838" s="802"/>
      <c r="OWZ838" s="802"/>
      <c r="OXA838" s="802"/>
      <c r="OXB838" s="802"/>
      <c r="OXC838" s="802"/>
      <c r="OXD838" s="802"/>
      <c r="OXE838" s="802"/>
      <c r="OXF838" s="802"/>
      <c r="OXG838" s="802"/>
      <c r="OXH838" s="802"/>
      <c r="OXI838" s="802"/>
      <c r="OXJ838" s="802"/>
      <c r="OXK838" s="802"/>
      <c r="OXL838" s="802"/>
      <c r="OXM838" s="802"/>
      <c r="OXN838" s="802"/>
      <c r="OXO838" s="802"/>
      <c r="OXP838" s="802"/>
      <c r="OXQ838" s="802"/>
      <c r="OXR838" s="802"/>
      <c r="OXS838" s="802"/>
      <c r="OXT838" s="802"/>
      <c r="OXU838" s="802"/>
      <c r="OXV838" s="802"/>
      <c r="OXW838" s="802"/>
      <c r="OXX838" s="802"/>
      <c r="OXY838" s="802"/>
      <c r="OXZ838" s="802"/>
      <c r="OYA838" s="802"/>
      <c r="OYB838" s="802"/>
      <c r="OYC838" s="802"/>
      <c r="OYD838" s="802"/>
      <c r="OYE838" s="802"/>
      <c r="OYF838" s="802"/>
      <c r="OYG838" s="802"/>
      <c r="OYH838" s="802"/>
      <c r="OYI838" s="802"/>
      <c r="OYJ838" s="802"/>
      <c r="OYK838" s="802"/>
      <c r="OYL838" s="802"/>
      <c r="OYM838" s="802"/>
      <c r="OYN838" s="802"/>
      <c r="OYO838" s="802"/>
      <c r="OYP838" s="802"/>
      <c r="OYQ838" s="802"/>
      <c r="OYR838" s="802"/>
      <c r="OYS838" s="802"/>
      <c r="OYT838" s="802"/>
      <c r="OYU838" s="802"/>
      <c r="OYV838" s="802"/>
      <c r="OYW838" s="802"/>
      <c r="OYX838" s="802"/>
      <c r="OYY838" s="802"/>
      <c r="OYZ838" s="802"/>
      <c r="OZA838" s="802"/>
      <c r="OZB838" s="802"/>
      <c r="OZC838" s="802"/>
      <c r="OZD838" s="802"/>
      <c r="OZE838" s="802"/>
      <c r="OZF838" s="802"/>
      <c r="OZG838" s="802"/>
      <c r="OZH838" s="802"/>
      <c r="OZI838" s="802"/>
      <c r="OZJ838" s="802"/>
      <c r="OZK838" s="802"/>
      <c r="OZL838" s="802"/>
      <c r="OZM838" s="802"/>
      <c r="OZN838" s="802"/>
      <c r="OZO838" s="802"/>
      <c r="OZP838" s="802"/>
      <c r="OZQ838" s="802"/>
      <c r="OZR838" s="802"/>
      <c r="OZS838" s="802"/>
      <c r="OZT838" s="802"/>
      <c r="OZU838" s="802"/>
      <c r="OZV838" s="802"/>
      <c r="OZW838" s="802"/>
      <c r="OZX838" s="802"/>
      <c r="OZY838" s="802"/>
      <c r="OZZ838" s="802"/>
      <c r="PAA838" s="802"/>
      <c r="PAB838" s="802"/>
      <c r="PAC838" s="802"/>
      <c r="PAD838" s="802"/>
      <c r="PAE838" s="802"/>
      <c r="PAF838" s="802"/>
      <c r="PAG838" s="802"/>
      <c r="PAH838" s="802"/>
      <c r="PAI838" s="802"/>
      <c r="PAJ838" s="802"/>
      <c r="PAK838" s="802"/>
      <c r="PAL838" s="802"/>
      <c r="PAM838" s="802"/>
      <c r="PAN838" s="802"/>
      <c r="PAO838" s="802"/>
      <c r="PAP838" s="802"/>
      <c r="PAQ838" s="802"/>
      <c r="PAR838" s="802"/>
      <c r="PAS838" s="802"/>
      <c r="PAT838" s="802"/>
      <c r="PAU838" s="802"/>
      <c r="PAV838" s="802"/>
      <c r="PAW838" s="802"/>
      <c r="PAX838" s="802"/>
      <c r="PAY838" s="802"/>
      <c r="PAZ838" s="802"/>
      <c r="PBA838" s="802"/>
      <c r="PBB838" s="802"/>
      <c r="PBC838" s="802"/>
      <c r="PBD838" s="802"/>
      <c r="PBE838" s="802"/>
      <c r="PBF838" s="802"/>
      <c r="PBG838" s="802"/>
      <c r="PBH838" s="802"/>
      <c r="PBI838" s="802"/>
      <c r="PBJ838" s="802"/>
      <c r="PBK838" s="802"/>
      <c r="PBL838" s="802"/>
      <c r="PBM838" s="802"/>
      <c r="PBN838" s="802"/>
      <c r="PBO838" s="802"/>
      <c r="PBP838" s="802"/>
      <c r="PBQ838" s="802"/>
      <c r="PBR838" s="802"/>
      <c r="PBS838" s="802"/>
      <c r="PBT838" s="802"/>
      <c r="PBU838" s="802"/>
      <c r="PBV838" s="802"/>
      <c r="PBW838" s="802"/>
      <c r="PBX838" s="802"/>
      <c r="PBY838" s="802"/>
      <c r="PBZ838" s="802"/>
      <c r="PCA838" s="802"/>
      <c r="PCB838" s="802"/>
      <c r="PCC838" s="802"/>
      <c r="PCD838" s="802"/>
      <c r="PCE838" s="802"/>
      <c r="PCF838" s="802"/>
      <c r="PCG838" s="802"/>
      <c r="PCH838" s="802"/>
      <c r="PCI838" s="802"/>
      <c r="PCJ838" s="802"/>
      <c r="PCK838" s="802"/>
      <c r="PCL838" s="802"/>
      <c r="PCM838" s="802"/>
      <c r="PCN838" s="802"/>
      <c r="PCO838" s="802"/>
      <c r="PCP838" s="802"/>
      <c r="PCQ838" s="802"/>
      <c r="PCR838" s="802"/>
      <c r="PCS838" s="802"/>
      <c r="PCT838" s="802"/>
      <c r="PCU838" s="802"/>
      <c r="PCV838" s="802"/>
      <c r="PCW838" s="802"/>
      <c r="PCX838" s="802"/>
      <c r="PCY838" s="802"/>
      <c r="PCZ838" s="802"/>
      <c r="PDA838" s="802"/>
      <c r="PDB838" s="802"/>
      <c r="PDC838" s="802"/>
      <c r="PDD838" s="802"/>
      <c r="PDE838" s="802"/>
      <c r="PDF838" s="802"/>
      <c r="PDG838" s="802"/>
      <c r="PDH838" s="802"/>
      <c r="PDI838" s="802"/>
      <c r="PDJ838" s="802"/>
      <c r="PDK838" s="802"/>
      <c r="PDL838" s="802"/>
      <c r="PDM838" s="802"/>
      <c r="PDN838" s="802"/>
      <c r="PDO838" s="802"/>
      <c r="PDP838" s="802"/>
      <c r="PDQ838" s="802"/>
      <c r="PDR838" s="802"/>
      <c r="PDS838" s="802"/>
      <c r="PDT838" s="802"/>
      <c r="PDU838" s="802"/>
      <c r="PDV838" s="802"/>
      <c r="PDW838" s="802"/>
      <c r="PDX838" s="802"/>
      <c r="PDY838" s="802"/>
      <c r="PDZ838" s="802"/>
      <c r="PEA838" s="802"/>
      <c r="PEB838" s="802"/>
      <c r="PEC838" s="802"/>
      <c r="PED838" s="802"/>
      <c r="PEE838" s="802"/>
      <c r="PEF838" s="802"/>
      <c r="PEG838" s="802"/>
      <c r="PEH838" s="802"/>
      <c r="PEI838" s="802"/>
      <c r="PEJ838" s="802"/>
      <c r="PEK838" s="802"/>
      <c r="PEL838" s="802"/>
      <c r="PEM838" s="802"/>
      <c r="PEN838" s="802"/>
      <c r="PEO838" s="802"/>
      <c r="PEP838" s="802"/>
      <c r="PEQ838" s="802"/>
      <c r="PER838" s="802"/>
      <c r="PES838" s="802"/>
      <c r="PET838" s="802"/>
      <c r="PEU838" s="802"/>
      <c r="PEV838" s="802"/>
      <c r="PEW838" s="802"/>
      <c r="PEX838" s="802"/>
      <c r="PEY838" s="802"/>
      <c r="PEZ838" s="802"/>
      <c r="PFA838" s="802"/>
      <c r="PFB838" s="802"/>
      <c r="PFC838" s="802"/>
      <c r="PFD838" s="802"/>
      <c r="PFE838" s="802"/>
      <c r="PFF838" s="802"/>
      <c r="PFG838" s="802"/>
      <c r="PFH838" s="802"/>
      <c r="PFI838" s="802"/>
      <c r="PFJ838" s="802"/>
      <c r="PFK838" s="802"/>
      <c r="PFL838" s="802"/>
      <c r="PFM838" s="802"/>
      <c r="PFN838" s="802"/>
      <c r="PFO838" s="802"/>
      <c r="PFP838" s="802"/>
      <c r="PFQ838" s="802"/>
      <c r="PFR838" s="802"/>
      <c r="PFS838" s="802"/>
      <c r="PFT838" s="802"/>
      <c r="PFU838" s="802"/>
      <c r="PFV838" s="802"/>
      <c r="PFW838" s="802"/>
      <c r="PFX838" s="802"/>
      <c r="PFY838" s="802"/>
      <c r="PFZ838" s="802"/>
      <c r="PGA838" s="802"/>
      <c r="PGB838" s="802"/>
      <c r="PGC838" s="802"/>
      <c r="PGD838" s="802"/>
      <c r="PGE838" s="802"/>
      <c r="PGF838" s="802"/>
      <c r="PGG838" s="802"/>
      <c r="PGH838" s="802"/>
      <c r="PGI838" s="802"/>
      <c r="PGJ838" s="802"/>
      <c r="PGK838" s="802"/>
      <c r="PGL838" s="802"/>
      <c r="PGM838" s="802"/>
      <c r="PGN838" s="802"/>
      <c r="PGO838" s="802"/>
      <c r="PGP838" s="802"/>
      <c r="PGQ838" s="802"/>
      <c r="PGR838" s="802"/>
      <c r="PGS838" s="802"/>
      <c r="PGT838" s="802"/>
      <c r="PGU838" s="802"/>
      <c r="PGV838" s="802"/>
      <c r="PGW838" s="802"/>
      <c r="PGX838" s="802"/>
      <c r="PGY838" s="802"/>
      <c r="PGZ838" s="802"/>
      <c r="PHA838" s="802"/>
      <c r="PHB838" s="802"/>
      <c r="PHC838" s="802"/>
      <c r="PHD838" s="802"/>
      <c r="PHE838" s="802"/>
      <c r="PHF838" s="802"/>
      <c r="PHG838" s="802"/>
      <c r="PHH838" s="802"/>
      <c r="PHI838" s="802"/>
      <c r="PHJ838" s="802"/>
      <c r="PHK838" s="802"/>
      <c r="PHL838" s="802"/>
      <c r="PHM838" s="802"/>
      <c r="PHN838" s="802"/>
      <c r="PHO838" s="802"/>
      <c r="PHP838" s="802"/>
      <c r="PHQ838" s="802"/>
      <c r="PHR838" s="802"/>
      <c r="PHS838" s="802"/>
      <c r="PHT838" s="802"/>
      <c r="PHU838" s="802"/>
      <c r="PHV838" s="802"/>
      <c r="PHW838" s="802"/>
      <c r="PHX838" s="802"/>
      <c r="PHY838" s="802"/>
      <c r="PHZ838" s="802"/>
      <c r="PIA838" s="802"/>
      <c r="PIB838" s="802"/>
      <c r="PIC838" s="802"/>
      <c r="PID838" s="802"/>
      <c r="PIE838" s="802"/>
      <c r="PIF838" s="802"/>
      <c r="PIG838" s="802"/>
      <c r="PIH838" s="802"/>
      <c r="PII838" s="802"/>
      <c r="PIJ838" s="802"/>
      <c r="PIK838" s="802"/>
      <c r="PIL838" s="802"/>
      <c r="PIM838" s="802"/>
      <c r="PIN838" s="802"/>
      <c r="PIO838" s="802"/>
      <c r="PIP838" s="802"/>
      <c r="PIQ838" s="802"/>
      <c r="PIR838" s="802"/>
      <c r="PIS838" s="802"/>
      <c r="PIT838" s="802"/>
      <c r="PIU838" s="802"/>
      <c r="PIV838" s="802"/>
      <c r="PIW838" s="802"/>
      <c r="PIX838" s="802"/>
      <c r="PIY838" s="802"/>
      <c r="PIZ838" s="802"/>
      <c r="PJA838" s="802"/>
      <c r="PJB838" s="802"/>
      <c r="PJC838" s="802"/>
      <c r="PJD838" s="802"/>
      <c r="PJE838" s="802"/>
      <c r="PJF838" s="802"/>
      <c r="PJG838" s="802"/>
      <c r="PJH838" s="802"/>
      <c r="PJI838" s="802"/>
      <c r="PJJ838" s="802"/>
      <c r="PJK838" s="802"/>
      <c r="PJL838" s="802"/>
      <c r="PJM838" s="802"/>
      <c r="PJN838" s="802"/>
      <c r="PJO838" s="802"/>
      <c r="PJP838" s="802"/>
      <c r="PJQ838" s="802"/>
      <c r="PJR838" s="802"/>
      <c r="PJS838" s="802"/>
      <c r="PJT838" s="802"/>
      <c r="PJU838" s="802"/>
      <c r="PJV838" s="802"/>
      <c r="PJW838" s="802"/>
      <c r="PJX838" s="802"/>
      <c r="PJY838" s="802"/>
      <c r="PJZ838" s="802"/>
      <c r="PKA838" s="802"/>
      <c r="PKB838" s="802"/>
      <c r="PKC838" s="802"/>
      <c r="PKD838" s="802"/>
      <c r="PKE838" s="802"/>
      <c r="PKF838" s="802"/>
      <c r="PKG838" s="802"/>
      <c r="PKH838" s="802"/>
      <c r="PKI838" s="802"/>
      <c r="PKJ838" s="802"/>
      <c r="PKK838" s="802"/>
      <c r="PKL838" s="802"/>
      <c r="PKM838" s="802"/>
      <c r="PKN838" s="802"/>
      <c r="PKO838" s="802"/>
      <c r="PKP838" s="802"/>
      <c r="PKQ838" s="802"/>
      <c r="PKR838" s="802"/>
      <c r="PKS838" s="802"/>
      <c r="PKT838" s="802"/>
      <c r="PKU838" s="802"/>
      <c r="PKV838" s="802"/>
      <c r="PKW838" s="802"/>
      <c r="PKX838" s="802"/>
      <c r="PKY838" s="802"/>
      <c r="PKZ838" s="802"/>
      <c r="PLA838" s="802"/>
      <c r="PLB838" s="802"/>
      <c r="PLC838" s="802"/>
      <c r="PLD838" s="802"/>
      <c r="PLE838" s="802"/>
      <c r="PLF838" s="802"/>
      <c r="PLG838" s="802"/>
      <c r="PLH838" s="802"/>
      <c r="PLI838" s="802"/>
      <c r="PLJ838" s="802"/>
      <c r="PLK838" s="802"/>
      <c r="PLL838" s="802"/>
      <c r="PLM838" s="802"/>
      <c r="PLN838" s="802"/>
      <c r="PLO838" s="802"/>
      <c r="PLP838" s="802"/>
      <c r="PLQ838" s="802"/>
      <c r="PLR838" s="802"/>
      <c r="PLS838" s="802"/>
      <c r="PLT838" s="802"/>
      <c r="PLU838" s="802"/>
      <c r="PLV838" s="802"/>
      <c r="PLW838" s="802"/>
      <c r="PLX838" s="802"/>
      <c r="PLY838" s="802"/>
      <c r="PLZ838" s="802"/>
      <c r="PMA838" s="802"/>
      <c r="PMB838" s="802"/>
      <c r="PMC838" s="802"/>
      <c r="PMD838" s="802"/>
      <c r="PME838" s="802"/>
      <c r="PMF838" s="802"/>
      <c r="PMG838" s="802"/>
      <c r="PMH838" s="802"/>
      <c r="PMI838" s="802"/>
      <c r="PMJ838" s="802"/>
      <c r="PMK838" s="802"/>
      <c r="PML838" s="802"/>
      <c r="PMM838" s="802"/>
      <c r="PMN838" s="802"/>
      <c r="PMO838" s="802"/>
      <c r="PMP838" s="802"/>
      <c r="PMQ838" s="802"/>
      <c r="PMR838" s="802"/>
      <c r="PMS838" s="802"/>
      <c r="PMT838" s="802"/>
      <c r="PMU838" s="802"/>
      <c r="PMV838" s="802"/>
      <c r="PMW838" s="802"/>
      <c r="PMX838" s="802"/>
      <c r="PMY838" s="802"/>
      <c r="PMZ838" s="802"/>
      <c r="PNA838" s="802"/>
      <c r="PNB838" s="802"/>
      <c r="PNC838" s="802"/>
      <c r="PND838" s="802"/>
      <c r="PNE838" s="802"/>
      <c r="PNF838" s="802"/>
      <c r="PNG838" s="802"/>
      <c r="PNH838" s="802"/>
      <c r="PNI838" s="802"/>
      <c r="PNJ838" s="802"/>
      <c r="PNK838" s="802"/>
      <c r="PNL838" s="802"/>
      <c r="PNM838" s="802"/>
      <c r="PNN838" s="802"/>
      <c r="PNO838" s="802"/>
      <c r="PNP838" s="802"/>
      <c r="PNQ838" s="802"/>
      <c r="PNR838" s="802"/>
      <c r="PNS838" s="802"/>
      <c r="PNT838" s="802"/>
      <c r="PNU838" s="802"/>
      <c r="PNV838" s="802"/>
      <c r="PNW838" s="802"/>
      <c r="PNX838" s="802"/>
      <c r="PNY838" s="802"/>
      <c r="PNZ838" s="802"/>
      <c r="POA838" s="802"/>
      <c r="POB838" s="802"/>
      <c r="POC838" s="802"/>
      <c r="POD838" s="802"/>
      <c r="POE838" s="802"/>
      <c r="POF838" s="802"/>
      <c r="POG838" s="802"/>
      <c r="POH838" s="802"/>
      <c r="POI838" s="802"/>
      <c r="POJ838" s="802"/>
      <c r="POK838" s="802"/>
      <c r="POL838" s="802"/>
      <c r="POM838" s="802"/>
      <c r="PON838" s="802"/>
      <c r="POO838" s="802"/>
      <c r="POP838" s="802"/>
      <c r="POQ838" s="802"/>
      <c r="POR838" s="802"/>
      <c r="POS838" s="802"/>
      <c r="POT838" s="802"/>
      <c r="POU838" s="802"/>
      <c r="POV838" s="802"/>
      <c r="POW838" s="802"/>
      <c r="POX838" s="802"/>
      <c r="POY838" s="802"/>
      <c r="POZ838" s="802"/>
      <c r="PPA838" s="802"/>
      <c r="PPB838" s="802"/>
      <c r="PPC838" s="802"/>
      <c r="PPD838" s="802"/>
      <c r="PPE838" s="802"/>
      <c r="PPF838" s="802"/>
      <c r="PPG838" s="802"/>
      <c r="PPH838" s="802"/>
      <c r="PPI838" s="802"/>
      <c r="PPJ838" s="802"/>
      <c r="PPK838" s="802"/>
      <c r="PPL838" s="802"/>
      <c r="PPM838" s="802"/>
      <c r="PPN838" s="802"/>
      <c r="PPO838" s="802"/>
      <c r="PPP838" s="802"/>
      <c r="PPQ838" s="802"/>
      <c r="PPR838" s="802"/>
      <c r="PPS838" s="802"/>
      <c r="PPT838" s="802"/>
      <c r="PPU838" s="802"/>
      <c r="PPV838" s="802"/>
      <c r="PPW838" s="802"/>
      <c r="PPX838" s="802"/>
      <c r="PPY838" s="802"/>
      <c r="PPZ838" s="802"/>
      <c r="PQA838" s="802"/>
      <c r="PQB838" s="802"/>
      <c r="PQC838" s="802"/>
      <c r="PQD838" s="802"/>
      <c r="PQE838" s="802"/>
      <c r="PQF838" s="802"/>
      <c r="PQG838" s="802"/>
      <c r="PQH838" s="802"/>
      <c r="PQI838" s="802"/>
      <c r="PQJ838" s="802"/>
      <c r="PQK838" s="802"/>
      <c r="PQL838" s="802"/>
      <c r="PQM838" s="802"/>
      <c r="PQN838" s="802"/>
      <c r="PQO838" s="802"/>
      <c r="PQP838" s="802"/>
      <c r="PQQ838" s="802"/>
      <c r="PQR838" s="802"/>
      <c r="PQS838" s="802"/>
      <c r="PQT838" s="802"/>
      <c r="PQU838" s="802"/>
      <c r="PQV838" s="802"/>
      <c r="PQW838" s="802"/>
      <c r="PQX838" s="802"/>
      <c r="PQY838" s="802"/>
      <c r="PQZ838" s="802"/>
      <c r="PRA838" s="802"/>
      <c r="PRB838" s="802"/>
      <c r="PRC838" s="802"/>
      <c r="PRD838" s="802"/>
      <c r="PRE838" s="802"/>
      <c r="PRF838" s="802"/>
      <c r="PRG838" s="802"/>
      <c r="PRH838" s="802"/>
      <c r="PRI838" s="802"/>
      <c r="PRJ838" s="802"/>
      <c r="PRK838" s="802"/>
      <c r="PRL838" s="802"/>
      <c r="PRM838" s="802"/>
      <c r="PRN838" s="802"/>
      <c r="PRO838" s="802"/>
      <c r="PRP838" s="802"/>
      <c r="PRQ838" s="802"/>
      <c r="PRR838" s="802"/>
      <c r="PRS838" s="802"/>
      <c r="PRT838" s="802"/>
      <c r="PRU838" s="802"/>
      <c r="PRV838" s="802"/>
      <c r="PRW838" s="802"/>
      <c r="PRX838" s="802"/>
      <c r="PRY838" s="802"/>
      <c r="PRZ838" s="802"/>
      <c r="PSA838" s="802"/>
      <c r="PSB838" s="802"/>
      <c r="PSC838" s="802"/>
      <c r="PSD838" s="802"/>
      <c r="PSE838" s="802"/>
      <c r="PSF838" s="802"/>
      <c r="PSG838" s="802"/>
      <c r="PSH838" s="802"/>
      <c r="PSI838" s="802"/>
      <c r="PSJ838" s="802"/>
      <c r="PSK838" s="802"/>
      <c r="PSL838" s="802"/>
      <c r="PSM838" s="802"/>
      <c r="PSN838" s="802"/>
      <c r="PSO838" s="802"/>
      <c r="PSP838" s="802"/>
      <c r="PSQ838" s="802"/>
      <c r="PSR838" s="802"/>
      <c r="PSS838" s="802"/>
      <c r="PST838" s="802"/>
      <c r="PSU838" s="802"/>
      <c r="PSV838" s="802"/>
      <c r="PSW838" s="802"/>
      <c r="PSX838" s="802"/>
      <c r="PSY838" s="802"/>
      <c r="PSZ838" s="802"/>
      <c r="PTA838" s="802"/>
      <c r="PTB838" s="802"/>
      <c r="PTC838" s="802"/>
      <c r="PTD838" s="802"/>
      <c r="PTE838" s="802"/>
      <c r="PTF838" s="802"/>
      <c r="PTG838" s="802"/>
      <c r="PTH838" s="802"/>
      <c r="PTI838" s="802"/>
      <c r="PTJ838" s="802"/>
      <c r="PTK838" s="802"/>
      <c r="PTL838" s="802"/>
      <c r="PTM838" s="802"/>
      <c r="PTN838" s="802"/>
      <c r="PTO838" s="802"/>
      <c r="PTP838" s="802"/>
      <c r="PTQ838" s="802"/>
      <c r="PTR838" s="802"/>
      <c r="PTS838" s="802"/>
      <c r="PTT838" s="802"/>
      <c r="PTU838" s="802"/>
      <c r="PTV838" s="802"/>
      <c r="PTW838" s="802"/>
      <c r="PTX838" s="802"/>
      <c r="PTY838" s="802"/>
      <c r="PTZ838" s="802"/>
      <c r="PUA838" s="802"/>
      <c r="PUB838" s="802"/>
      <c r="PUC838" s="802"/>
      <c r="PUD838" s="802"/>
      <c r="PUE838" s="802"/>
      <c r="PUF838" s="802"/>
      <c r="PUG838" s="802"/>
      <c r="PUH838" s="802"/>
      <c r="PUI838" s="802"/>
      <c r="PUJ838" s="802"/>
      <c r="PUK838" s="802"/>
      <c r="PUL838" s="802"/>
      <c r="PUM838" s="802"/>
      <c r="PUN838" s="802"/>
      <c r="PUO838" s="802"/>
      <c r="PUP838" s="802"/>
      <c r="PUQ838" s="802"/>
      <c r="PUR838" s="802"/>
      <c r="PUS838" s="802"/>
      <c r="PUT838" s="802"/>
      <c r="PUU838" s="802"/>
      <c r="PUV838" s="802"/>
      <c r="PUW838" s="802"/>
      <c r="PUX838" s="802"/>
      <c r="PUY838" s="802"/>
      <c r="PUZ838" s="802"/>
      <c r="PVA838" s="802"/>
      <c r="PVB838" s="802"/>
      <c r="PVC838" s="802"/>
      <c r="PVD838" s="802"/>
      <c r="PVE838" s="802"/>
      <c r="PVF838" s="802"/>
      <c r="PVG838" s="802"/>
      <c r="PVH838" s="802"/>
      <c r="PVI838" s="802"/>
      <c r="PVJ838" s="802"/>
      <c r="PVK838" s="802"/>
      <c r="PVL838" s="802"/>
      <c r="PVM838" s="802"/>
      <c r="PVN838" s="802"/>
      <c r="PVO838" s="802"/>
      <c r="PVP838" s="802"/>
      <c r="PVQ838" s="802"/>
      <c r="PVR838" s="802"/>
      <c r="PVS838" s="802"/>
      <c r="PVT838" s="802"/>
      <c r="PVU838" s="802"/>
      <c r="PVV838" s="802"/>
      <c r="PVW838" s="802"/>
      <c r="PVX838" s="802"/>
      <c r="PVY838" s="802"/>
      <c r="PVZ838" s="802"/>
      <c r="PWA838" s="802"/>
      <c r="PWB838" s="802"/>
      <c r="PWC838" s="802"/>
      <c r="PWD838" s="802"/>
      <c r="PWE838" s="802"/>
      <c r="PWF838" s="802"/>
      <c r="PWG838" s="802"/>
      <c r="PWH838" s="802"/>
      <c r="PWI838" s="802"/>
      <c r="PWJ838" s="802"/>
      <c r="PWK838" s="802"/>
      <c r="PWL838" s="802"/>
      <c r="PWM838" s="802"/>
      <c r="PWN838" s="802"/>
      <c r="PWO838" s="802"/>
      <c r="PWP838" s="802"/>
      <c r="PWQ838" s="802"/>
      <c r="PWR838" s="802"/>
      <c r="PWS838" s="802"/>
      <c r="PWT838" s="802"/>
      <c r="PWU838" s="802"/>
      <c r="PWV838" s="802"/>
      <c r="PWW838" s="802"/>
      <c r="PWX838" s="802"/>
      <c r="PWY838" s="802"/>
      <c r="PWZ838" s="802"/>
      <c r="PXA838" s="802"/>
      <c r="PXB838" s="802"/>
      <c r="PXC838" s="802"/>
      <c r="PXD838" s="802"/>
      <c r="PXE838" s="802"/>
      <c r="PXF838" s="802"/>
      <c r="PXG838" s="802"/>
      <c r="PXH838" s="802"/>
      <c r="PXI838" s="802"/>
      <c r="PXJ838" s="802"/>
      <c r="PXK838" s="802"/>
      <c r="PXL838" s="802"/>
      <c r="PXM838" s="802"/>
      <c r="PXN838" s="802"/>
      <c r="PXO838" s="802"/>
      <c r="PXP838" s="802"/>
      <c r="PXQ838" s="802"/>
      <c r="PXR838" s="802"/>
      <c r="PXS838" s="802"/>
      <c r="PXT838" s="802"/>
      <c r="PXU838" s="802"/>
      <c r="PXV838" s="802"/>
      <c r="PXW838" s="802"/>
      <c r="PXX838" s="802"/>
      <c r="PXY838" s="802"/>
      <c r="PXZ838" s="802"/>
      <c r="PYA838" s="802"/>
      <c r="PYB838" s="802"/>
      <c r="PYC838" s="802"/>
      <c r="PYD838" s="802"/>
      <c r="PYE838" s="802"/>
      <c r="PYF838" s="802"/>
      <c r="PYG838" s="802"/>
      <c r="PYH838" s="802"/>
      <c r="PYI838" s="802"/>
      <c r="PYJ838" s="802"/>
      <c r="PYK838" s="802"/>
      <c r="PYL838" s="802"/>
      <c r="PYM838" s="802"/>
      <c r="PYN838" s="802"/>
      <c r="PYO838" s="802"/>
      <c r="PYP838" s="802"/>
      <c r="PYQ838" s="802"/>
      <c r="PYR838" s="802"/>
      <c r="PYS838" s="802"/>
      <c r="PYT838" s="802"/>
      <c r="PYU838" s="802"/>
      <c r="PYV838" s="802"/>
      <c r="PYW838" s="802"/>
      <c r="PYX838" s="802"/>
      <c r="PYY838" s="802"/>
      <c r="PYZ838" s="802"/>
      <c r="PZA838" s="802"/>
      <c r="PZB838" s="802"/>
      <c r="PZC838" s="802"/>
      <c r="PZD838" s="802"/>
      <c r="PZE838" s="802"/>
      <c r="PZF838" s="802"/>
      <c r="PZG838" s="802"/>
      <c r="PZH838" s="802"/>
      <c r="PZI838" s="802"/>
      <c r="PZJ838" s="802"/>
      <c r="PZK838" s="802"/>
      <c r="PZL838" s="802"/>
      <c r="PZM838" s="802"/>
      <c r="PZN838" s="802"/>
      <c r="PZO838" s="802"/>
      <c r="PZP838" s="802"/>
      <c r="PZQ838" s="802"/>
      <c r="PZR838" s="802"/>
      <c r="PZS838" s="802"/>
      <c r="PZT838" s="802"/>
      <c r="PZU838" s="802"/>
      <c r="PZV838" s="802"/>
      <c r="PZW838" s="802"/>
      <c r="PZX838" s="802"/>
      <c r="PZY838" s="802"/>
      <c r="PZZ838" s="802"/>
      <c r="QAA838" s="802"/>
      <c r="QAB838" s="802"/>
      <c r="QAC838" s="802"/>
      <c r="QAD838" s="802"/>
      <c r="QAE838" s="802"/>
      <c r="QAF838" s="802"/>
      <c r="QAG838" s="802"/>
      <c r="QAH838" s="802"/>
      <c r="QAI838" s="802"/>
      <c r="QAJ838" s="802"/>
      <c r="QAK838" s="802"/>
      <c r="QAL838" s="802"/>
      <c r="QAM838" s="802"/>
      <c r="QAN838" s="802"/>
      <c r="QAO838" s="802"/>
      <c r="QAP838" s="802"/>
      <c r="QAQ838" s="802"/>
      <c r="QAR838" s="802"/>
      <c r="QAS838" s="802"/>
      <c r="QAT838" s="802"/>
      <c r="QAU838" s="802"/>
      <c r="QAV838" s="802"/>
      <c r="QAW838" s="802"/>
      <c r="QAX838" s="802"/>
      <c r="QAY838" s="802"/>
      <c r="QAZ838" s="802"/>
      <c r="QBA838" s="802"/>
      <c r="QBB838" s="802"/>
      <c r="QBC838" s="802"/>
      <c r="QBD838" s="802"/>
      <c r="QBE838" s="802"/>
      <c r="QBF838" s="802"/>
      <c r="QBG838" s="802"/>
      <c r="QBH838" s="802"/>
      <c r="QBI838" s="802"/>
      <c r="QBJ838" s="802"/>
      <c r="QBK838" s="802"/>
      <c r="QBL838" s="802"/>
      <c r="QBM838" s="802"/>
      <c r="QBN838" s="802"/>
      <c r="QBO838" s="802"/>
      <c r="QBP838" s="802"/>
      <c r="QBQ838" s="802"/>
      <c r="QBR838" s="802"/>
      <c r="QBS838" s="802"/>
      <c r="QBT838" s="802"/>
      <c r="QBU838" s="802"/>
      <c r="QBV838" s="802"/>
      <c r="QBW838" s="802"/>
      <c r="QBX838" s="802"/>
      <c r="QBY838" s="802"/>
      <c r="QBZ838" s="802"/>
      <c r="QCA838" s="802"/>
      <c r="QCB838" s="802"/>
      <c r="QCC838" s="802"/>
      <c r="QCD838" s="802"/>
      <c r="QCE838" s="802"/>
      <c r="QCF838" s="802"/>
      <c r="QCG838" s="802"/>
      <c r="QCH838" s="802"/>
      <c r="QCI838" s="802"/>
      <c r="QCJ838" s="802"/>
      <c r="QCK838" s="802"/>
      <c r="QCL838" s="802"/>
      <c r="QCM838" s="802"/>
      <c r="QCN838" s="802"/>
      <c r="QCO838" s="802"/>
      <c r="QCP838" s="802"/>
      <c r="QCQ838" s="802"/>
      <c r="QCR838" s="802"/>
      <c r="QCS838" s="802"/>
      <c r="QCT838" s="802"/>
      <c r="QCU838" s="802"/>
      <c r="QCV838" s="802"/>
      <c r="QCW838" s="802"/>
      <c r="QCX838" s="802"/>
      <c r="QCY838" s="802"/>
      <c r="QCZ838" s="802"/>
      <c r="QDA838" s="802"/>
      <c r="QDB838" s="802"/>
      <c r="QDC838" s="802"/>
      <c r="QDD838" s="802"/>
      <c r="QDE838" s="802"/>
      <c r="QDF838" s="802"/>
      <c r="QDG838" s="802"/>
      <c r="QDH838" s="802"/>
      <c r="QDI838" s="802"/>
      <c r="QDJ838" s="802"/>
      <c r="QDK838" s="802"/>
      <c r="QDL838" s="802"/>
      <c r="QDM838" s="802"/>
      <c r="QDN838" s="802"/>
      <c r="QDO838" s="802"/>
      <c r="QDP838" s="802"/>
      <c r="QDQ838" s="802"/>
      <c r="QDR838" s="802"/>
      <c r="QDS838" s="802"/>
      <c r="QDT838" s="802"/>
      <c r="QDU838" s="802"/>
      <c r="QDV838" s="802"/>
      <c r="QDW838" s="802"/>
      <c r="QDX838" s="802"/>
      <c r="QDY838" s="802"/>
      <c r="QDZ838" s="802"/>
      <c r="QEA838" s="802"/>
      <c r="QEB838" s="802"/>
      <c r="QEC838" s="802"/>
      <c r="QED838" s="802"/>
      <c r="QEE838" s="802"/>
      <c r="QEF838" s="802"/>
      <c r="QEG838" s="802"/>
      <c r="QEH838" s="802"/>
      <c r="QEI838" s="802"/>
      <c r="QEJ838" s="802"/>
      <c r="QEK838" s="802"/>
      <c r="QEL838" s="802"/>
      <c r="QEM838" s="802"/>
      <c r="QEN838" s="802"/>
      <c r="QEO838" s="802"/>
      <c r="QEP838" s="802"/>
      <c r="QEQ838" s="802"/>
      <c r="QER838" s="802"/>
      <c r="QES838" s="802"/>
      <c r="QET838" s="802"/>
      <c r="QEU838" s="802"/>
      <c r="QEV838" s="802"/>
      <c r="QEW838" s="802"/>
      <c r="QEX838" s="802"/>
      <c r="QEY838" s="802"/>
      <c r="QEZ838" s="802"/>
      <c r="QFA838" s="802"/>
      <c r="QFB838" s="802"/>
      <c r="QFC838" s="802"/>
      <c r="QFD838" s="802"/>
      <c r="QFE838" s="802"/>
      <c r="QFF838" s="802"/>
      <c r="QFG838" s="802"/>
      <c r="QFH838" s="802"/>
      <c r="QFI838" s="802"/>
      <c r="QFJ838" s="802"/>
      <c r="QFK838" s="802"/>
      <c r="QFL838" s="802"/>
      <c r="QFM838" s="802"/>
      <c r="QFN838" s="802"/>
      <c r="QFO838" s="802"/>
      <c r="QFP838" s="802"/>
      <c r="QFQ838" s="802"/>
      <c r="QFR838" s="802"/>
      <c r="QFS838" s="802"/>
      <c r="QFT838" s="802"/>
      <c r="QFU838" s="802"/>
      <c r="QFV838" s="802"/>
      <c r="QFW838" s="802"/>
      <c r="QFX838" s="802"/>
      <c r="QFY838" s="802"/>
      <c r="QFZ838" s="802"/>
      <c r="QGA838" s="802"/>
      <c r="QGB838" s="802"/>
      <c r="QGC838" s="802"/>
      <c r="QGD838" s="802"/>
      <c r="QGE838" s="802"/>
      <c r="QGF838" s="802"/>
      <c r="QGG838" s="802"/>
      <c r="QGH838" s="802"/>
      <c r="QGI838" s="802"/>
      <c r="QGJ838" s="802"/>
      <c r="QGK838" s="802"/>
      <c r="QGL838" s="802"/>
      <c r="QGM838" s="802"/>
      <c r="QGN838" s="802"/>
      <c r="QGO838" s="802"/>
      <c r="QGP838" s="802"/>
      <c r="QGQ838" s="802"/>
      <c r="QGR838" s="802"/>
      <c r="QGS838" s="802"/>
      <c r="QGT838" s="802"/>
      <c r="QGU838" s="802"/>
      <c r="QGV838" s="802"/>
      <c r="QGW838" s="802"/>
      <c r="QGX838" s="802"/>
      <c r="QGY838" s="802"/>
      <c r="QGZ838" s="802"/>
      <c r="QHA838" s="802"/>
      <c r="QHB838" s="802"/>
      <c r="QHC838" s="802"/>
      <c r="QHD838" s="802"/>
      <c r="QHE838" s="802"/>
      <c r="QHF838" s="802"/>
      <c r="QHG838" s="802"/>
      <c r="QHH838" s="802"/>
      <c r="QHI838" s="802"/>
      <c r="QHJ838" s="802"/>
      <c r="QHK838" s="802"/>
      <c r="QHL838" s="802"/>
      <c r="QHM838" s="802"/>
      <c r="QHN838" s="802"/>
      <c r="QHO838" s="802"/>
      <c r="QHP838" s="802"/>
      <c r="QHQ838" s="802"/>
      <c r="QHR838" s="802"/>
      <c r="QHS838" s="802"/>
      <c r="QHT838" s="802"/>
      <c r="QHU838" s="802"/>
      <c r="QHV838" s="802"/>
      <c r="QHW838" s="802"/>
      <c r="QHX838" s="802"/>
      <c r="QHY838" s="802"/>
      <c r="QHZ838" s="802"/>
      <c r="QIA838" s="802"/>
      <c r="QIB838" s="802"/>
      <c r="QIC838" s="802"/>
      <c r="QID838" s="802"/>
      <c r="QIE838" s="802"/>
      <c r="QIF838" s="802"/>
      <c r="QIG838" s="802"/>
      <c r="QIH838" s="802"/>
      <c r="QII838" s="802"/>
      <c r="QIJ838" s="802"/>
      <c r="QIK838" s="802"/>
      <c r="QIL838" s="802"/>
      <c r="QIM838" s="802"/>
      <c r="QIN838" s="802"/>
      <c r="QIO838" s="802"/>
      <c r="QIP838" s="802"/>
      <c r="QIQ838" s="802"/>
      <c r="QIR838" s="802"/>
      <c r="QIS838" s="802"/>
      <c r="QIT838" s="802"/>
      <c r="QIU838" s="802"/>
      <c r="QIV838" s="802"/>
      <c r="QIW838" s="802"/>
      <c r="QIX838" s="802"/>
      <c r="QIY838" s="802"/>
      <c r="QIZ838" s="802"/>
      <c r="QJA838" s="802"/>
      <c r="QJB838" s="802"/>
      <c r="QJC838" s="802"/>
      <c r="QJD838" s="802"/>
      <c r="QJE838" s="802"/>
      <c r="QJF838" s="802"/>
      <c r="QJG838" s="802"/>
      <c r="QJH838" s="802"/>
      <c r="QJI838" s="802"/>
      <c r="QJJ838" s="802"/>
      <c r="QJK838" s="802"/>
      <c r="QJL838" s="802"/>
      <c r="QJM838" s="802"/>
      <c r="QJN838" s="802"/>
      <c r="QJO838" s="802"/>
      <c r="QJP838" s="802"/>
      <c r="QJQ838" s="802"/>
      <c r="QJR838" s="802"/>
      <c r="QJS838" s="802"/>
      <c r="QJT838" s="802"/>
      <c r="QJU838" s="802"/>
      <c r="QJV838" s="802"/>
      <c r="QJW838" s="802"/>
      <c r="QJX838" s="802"/>
      <c r="QJY838" s="802"/>
      <c r="QJZ838" s="802"/>
      <c r="QKA838" s="802"/>
      <c r="QKB838" s="802"/>
      <c r="QKC838" s="802"/>
      <c r="QKD838" s="802"/>
      <c r="QKE838" s="802"/>
      <c r="QKF838" s="802"/>
      <c r="QKG838" s="802"/>
      <c r="QKH838" s="802"/>
      <c r="QKI838" s="802"/>
      <c r="QKJ838" s="802"/>
      <c r="QKK838" s="802"/>
      <c r="QKL838" s="802"/>
      <c r="QKM838" s="802"/>
      <c r="QKN838" s="802"/>
      <c r="QKO838" s="802"/>
      <c r="QKP838" s="802"/>
      <c r="QKQ838" s="802"/>
      <c r="QKR838" s="802"/>
      <c r="QKS838" s="802"/>
      <c r="QKT838" s="802"/>
      <c r="QKU838" s="802"/>
      <c r="QKV838" s="802"/>
      <c r="QKW838" s="802"/>
      <c r="QKX838" s="802"/>
      <c r="QKY838" s="802"/>
      <c r="QKZ838" s="802"/>
      <c r="QLA838" s="802"/>
      <c r="QLB838" s="802"/>
      <c r="QLC838" s="802"/>
      <c r="QLD838" s="802"/>
      <c r="QLE838" s="802"/>
      <c r="QLF838" s="802"/>
      <c r="QLG838" s="802"/>
      <c r="QLH838" s="802"/>
      <c r="QLI838" s="802"/>
      <c r="QLJ838" s="802"/>
      <c r="QLK838" s="802"/>
      <c r="QLL838" s="802"/>
      <c r="QLM838" s="802"/>
      <c r="QLN838" s="802"/>
      <c r="QLO838" s="802"/>
      <c r="QLP838" s="802"/>
      <c r="QLQ838" s="802"/>
      <c r="QLR838" s="802"/>
      <c r="QLS838" s="802"/>
      <c r="QLT838" s="802"/>
      <c r="QLU838" s="802"/>
      <c r="QLV838" s="802"/>
      <c r="QLW838" s="802"/>
      <c r="QLX838" s="802"/>
      <c r="QLY838" s="802"/>
      <c r="QLZ838" s="802"/>
      <c r="QMA838" s="802"/>
      <c r="QMB838" s="802"/>
      <c r="QMC838" s="802"/>
      <c r="QMD838" s="802"/>
      <c r="QME838" s="802"/>
      <c r="QMF838" s="802"/>
      <c r="QMG838" s="802"/>
      <c r="QMH838" s="802"/>
      <c r="QMI838" s="802"/>
      <c r="QMJ838" s="802"/>
      <c r="QMK838" s="802"/>
      <c r="QML838" s="802"/>
      <c r="QMM838" s="802"/>
      <c r="QMN838" s="802"/>
      <c r="QMO838" s="802"/>
      <c r="QMP838" s="802"/>
      <c r="QMQ838" s="802"/>
      <c r="QMR838" s="802"/>
      <c r="QMS838" s="802"/>
      <c r="QMT838" s="802"/>
      <c r="QMU838" s="802"/>
      <c r="QMV838" s="802"/>
      <c r="QMW838" s="802"/>
      <c r="QMX838" s="802"/>
      <c r="QMY838" s="802"/>
      <c r="QMZ838" s="802"/>
      <c r="QNA838" s="802"/>
      <c r="QNB838" s="802"/>
      <c r="QNC838" s="802"/>
      <c r="QND838" s="802"/>
      <c r="QNE838" s="802"/>
      <c r="QNF838" s="802"/>
      <c r="QNG838" s="802"/>
      <c r="QNH838" s="802"/>
      <c r="QNI838" s="802"/>
      <c r="QNJ838" s="802"/>
      <c r="QNK838" s="802"/>
      <c r="QNL838" s="802"/>
      <c r="QNM838" s="802"/>
      <c r="QNN838" s="802"/>
      <c r="QNO838" s="802"/>
      <c r="QNP838" s="802"/>
      <c r="QNQ838" s="802"/>
      <c r="QNR838" s="802"/>
      <c r="QNS838" s="802"/>
      <c r="QNT838" s="802"/>
      <c r="QNU838" s="802"/>
      <c r="QNV838" s="802"/>
      <c r="QNW838" s="802"/>
      <c r="QNX838" s="802"/>
      <c r="QNY838" s="802"/>
      <c r="QNZ838" s="802"/>
      <c r="QOA838" s="802"/>
      <c r="QOB838" s="802"/>
      <c r="QOC838" s="802"/>
      <c r="QOD838" s="802"/>
      <c r="QOE838" s="802"/>
      <c r="QOF838" s="802"/>
      <c r="QOG838" s="802"/>
      <c r="QOH838" s="802"/>
      <c r="QOI838" s="802"/>
      <c r="QOJ838" s="802"/>
      <c r="QOK838" s="802"/>
      <c r="QOL838" s="802"/>
      <c r="QOM838" s="802"/>
      <c r="QON838" s="802"/>
      <c r="QOO838" s="802"/>
      <c r="QOP838" s="802"/>
      <c r="QOQ838" s="802"/>
      <c r="QOR838" s="802"/>
      <c r="QOS838" s="802"/>
      <c r="QOT838" s="802"/>
      <c r="QOU838" s="802"/>
      <c r="QOV838" s="802"/>
      <c r="QOW838" s="802"/>
      <c r="QOX838" s="802"/>
      <c r="QOY838" s="802"/>
      <c r="QOZ838" s="802"/>
      <c r="QPA838" s="802"/>
      <c r="QPB838" s="802"/>
      <c r="QPC838" s="802"/>
      <c r="QPD838" s="802"/>
      <c r="QPE838" s="802"/>
      <c r="QPF838" s="802"/>
      <c r="QPG838" s="802"/>
      <c r="QPH838" s="802"/>
      <c r="QPI838" s="802"/>
      <c r="QPJ838" s="802"/>
      <c r="QPK838" s="802"/>
      <c r="QPL838" s="802"/>
      <c r="QPM838" s="802"/>
      <c r="QPN838" s="802"/>
      <c r="QPO838" s="802"/>
      <c r="QPP838" s="802"/>
      <c r="QPQ838" s="802"/>
      <c r="QPR838" s="802"/>
      <c r="QPS838" s="802"/>
      <c r="QPT838" s="802"/>
      <c r="QPU838" s="802"/>
      <c r="QPV838" s="802"/>
      <c r="QPW838" s="802"/>
      <c r="QPX838" s="802"/>
      <c r="QPY838" s="802"/>
      <c r="QPZ838" s="802"/>
      <c r="QQA838" s="802"/>
      <c r="QQB838" s="802"/>
      <c r="QQC838" s="802"/>
      <c r="QQD838" s="802"/>
      <c r="QQE838" s="802"/>
      <c r="QQF838" s="802"/>
      <c r="QQG838" s="802"/>
      <c r="QQH838" s="802"/>
      <c r="QQI838" s="802"/>
      <c r="QQJ838" s="802"/>
      <c r="QQK838" s="802"/>
      <c r="QQL838" s="802"/>
      <c r="QQM838" s="802"/>
      <c r="QQN838" s="802"/>
      <c r="QQO838" s="802"/>
      <c r="QQP838" s="802"/>
      <c r="QQQ838" s="802"/>
      <c r="QQR838" s="802"/>
      <c r="QQS838" s="802"/>
      <c r="QQT838" s="802"/>
      <c r="QQU838" s="802"/>
      <c r="QQV838" s="802"/>
      <c r="QQW838" s="802"/>
      <c r="QQX838" s="802"/>
      <c r="QQY838" s="802"/>
      <c r="QQZ838" s="802"/>
      <c r="QRA838" s="802"/>
      <c r="QRB838" s="802"/>
      <c r="QRC838" s="802"/>
      <c r="QRD838" s="802"/>
      <c r="QRE838" s="802"/>
      <c r="QRF838" s="802"/>
      <c r="QRG838" s="802"/>
      <c r="QRH838" s="802"/>
      <c r="QRI838" s="802"/>
      <c r="QRJ838" s="802"/>
      <c r="QRK838" s="802"/>
      <c r="QRL838" s="802"/>
      <c r="QRM838" s="802"/>
      <c r="QRN838" s="802"/>
      <c r="QRO838" s="802"/>
      <c r="QRP838" s="802"/>
      <c r="QRQ838" s="802"/>
      <c r="QRR838" s="802"/>
      <c r="QRS838" s="802"/>
      <c r="QRT838" s="802"/>
      <c r="QRU838" s="802"/>
      <c r="QRV838" s="802"/>
      <c r="QRW838" s="802"/>
      <c r="QRX838" s="802"/>
      <c r="QRY838" s="802"/>
      <c r="QRZ838" s="802"/>
      <c r="QSA838" s="802"/>
      <c r="QSB838" s="802"/>
      <c r="QSC838" s="802"/>
      <c r="QSD838" s="802"/>
      <c r="QSE838" s="802"/>
      <c r="QSF838" s="802"/>
      <c r="QSG838" s="802"/>
      <c r="QSH838" s="802"/>
      <c r="QSI838" s="802"/>
      <c r="QSJ838" s="802"/>
      <c r="QSK838" s="802"/>
      <c r="QSL838" s="802"/>
      <c r="QSM838" s="802"/>
      <c r="QSN838" s="802"/>
      <c r="QSO838" s="802"/>
      <c r="QSP838" s="802"/>
      <c r="QSQ838" s="802"/>
      <c r="QSR838" s="802"/>
      <c r="QSS838" s="802"/>
      <c r="QST838" s="802"/>
      <c r="QSU838" s="802"/>
      <c r="QSV838" s="802"/>
      <c r="QSW838" s="802"/>
      <c r="QSX838" s="802"/>
      <c r="QSY838" s="802"/>
      <c r="QSZ838" s="802"/>
      <c r="QTA838" s="802"/>
      <c r="QTB838" s="802"/>
      <c r="QTC838" s="802"/>
      <c r="QTD838" s="802"/>
      <c r="QTE838" s="802"/>
      <c r="QTF838" s="802"/>
      <c r="QTG838" s="802"/>
      <c r="QTH838" s="802"/>
      <c r="QTI838" s="802"/>
      <c r="QTJ838" s="802"/>
      <c r="QTK838" s="802"/>
      <c r="QTL838" s="802"/>
      <c r="QTM838" s="802"/>
      <c r="QTN838" s="802"/>
      <c r="QTO838" s="802"/>
      <c r="QTP838" s="802"/>
      <c r="QTQ838" s="802"/>
      <c r="QTR838" s="802"/>
      <c r="QTS838" s="802"/>
      <c r="QTT838" s="802"/>
      <c r="QTU838" s="802"/>
      <c r="QTV838" s="802"/>
      <c r="QTW838" s="802"/>
      <c r="QTX838" s="802"/>
      <c r="QTY838" s="802"/>
      <c r="QTZ838" s="802"/>
      <c r="QUA838" s="802"/>
      <c r="QUB838" s="802"/>
      <c r="QUC838" s="802"/>
      <c r="QUD838" s="802"/>
      <c r="QUE838" s="802"/>
      <c r="QUF838" s="802"/>
      <c r="QUG838" s="802"/>
      <c r="QUH838" s="802"/>
      <c r="QUI838" s="802"/>
      <c r="QUJ838" s="802"/>
      <c r="QUK838" s="802"/>
      <c r="QUL838" s="802"/>
      <c r="QUM838" s="802"/>
      <c r="QUN838" s="802"/>
      <c r="QUO838" s="802"/>
      <c r="QUP838" s="802"/>
      <c r="QUQ838" s="802"/>
      <c r="QUR838" s="802"/>
      <c r="QUS838" s="802"/>
      <c r="QUT838" s="802"/>
      <c r="QUU838" s="802"/>
      <c r="QUV838" s="802"/>
      <c r="QUW838" s="802"/>
      <c r="QUX838" s="802"/>
      <c r="QUY838" s="802"/>
      <c r="QUZ838" s="802"/>
      <c r="QVA838" s="802"/>
      <c r="QVB838" s="802"/>
      <c r="QVC838" s="802"/>
      <c r="QVD838" s="802"/>
      <c r="QVE838" s="802"/>
      <c r="QVF838" s="802"/>
      <c r="QVG838" s="802"/>
      <c r="QVH838" s="802"/>
      <c r="QVI838" s="802"/>
      <c r="QVJ838" s="802"/>
      <c r="QVK838" s="802"/>
      <c r="QVL838" s="802"/>
      <c r="QVM838" s="802"/>
      <c r="QVN838" s="802"/>
      <c r="QVO838" s="802"/>
      <c r="QVP838" s="802"/>
      <c r="QVQ838" s="802"/>
      <c r="QVR838" s="802"/>
      <c r="QVS838" s="802"/>
      <c r="QVT838" s="802"/>
      <c r="QVU838" s="802"/>
      <c r="QVV838" s="802"/>
      <c r="QVW838" s="802"/>
      <c r="QVX838" s="802"/>
      <c r="QVY838" s="802"/>
      <c r="QVZ838" s="802"/>
      <c r="QWA838" s="802"/>
      <c r="QWB838" s="802"/>
      <c r="QWC838" s="802"/>
      <c r="QWD838" s="802"/>
      <c r="QWE838" s="802"/>
      <c r="QWF838" s="802"/>
      <c r="QWG838" s="802"/>
      <c r="QWH838" s="802"/>
      <c r="QWI838" s="802"/>
      <c r="QWJ838" s="802"/>
      <c r="QWK838" s="802"/>
      <c r="QWL838" s="802"/>
      <c r="QWM838" s="802"/>
      <c r="QWN838" s="802"/>
      <c r="QWO838" s="802"/>
      <c r="QWP838" s="802"/>
      <c r="QWQ838" s="802"/>
      <c r="QWR838" s="802"/>
      <c r="QWS838" s="802"/>
      <c r="QWT838" s="802"/>
      <c r="QWU838" s="802"/>
      <c r="QWV838" s="802"/>
      <c r="QWW838" s="802"/>
      <c r="QWX838" s="802"/>
      <c r="QWY838" s="802"/>
      <c r="QWZ838" s="802"/>
      <c r="QXA838" s="802"/>
      <c r="QXB838" s="802"/>
      <c r="QXC838" s="802"/>
      <c r="QXD838" s="802"/>
      <c r="QXE838" s="802"/>
      <c r="QXF838" s="802"/>
      <c r="QXG838" s="802"/>
      <c r="QXH838" s="802"/>
      <c r="QXI838" s="802"/>
      <c r="QXJ838" s="802"/>
      <c r="QXK838" s="802"/>
      <c r="QXL838" s="802"/>
      <c r="QXM838" s="802"/>
      <c r="QXN838" s="802"/>
      <c r="QXO838" s="802"/>
      <c r="QXP838" s="802"/>
      <c r="QXQ838" s="802"/>
      <c r="QXR838" s="802"/>
      <c r="QXS838" s="802"/>
      <c r="QXT838" s="802"/>
      <c r="QXU838" s="802"/>
      <c r="QXV838" s="802"/>
      <c r="QXW838" s="802"/>
      <c r="QXX838" s="802"/>
      <c r="QXY838" s="802"/>
      <c r="QXZ838" s="802"/>
      <c r="QYA838" s="802"/>
      <c r="QYB838" s="802"/>
      <c r="QYC838" s="802"/>
      <c r="QYD838" s="802"/>
      <c r="QYE838" s="802"/>
      <c r="QYF838" s="802"/>
      <c r="QYG838" s="802"/>
      <c r="QYH838" s="802"/>
      <c r="QYI838" s="802"/>
      <c r="QYJ838" s="802"/>
      <c r="QYK838" s="802"/>
      <c r="QYL838" s="802"/>
      <c r="QYM838" s="802"/>
      <c r="QYN838" s="802"/>
      <c r="QYO838" s="802"/>
      <c r="QYP838" s="802"/>
      <c r="QYQ838" s="802"/>
      <c r="QYR838" s="802"/>
      <c r="QYS838" s="802"/>
      <c r="QYT838" s="802"/>
      <c r="QYU838" s="802"/>
      <c r="QYV838" s="802"/>
      <c r="QYW838" s="802"/>
      <c r="QYX838" s="802"/>
      <c r="QYY838" s="802"/>
      <c r="QYZ838" s="802"/>
      <c r="QZA838" s="802"/>
      <c r="QZB838" s="802"/>
      <c r="QZC838" s="802"/>
      <c r="QZD838" s="802"/>
      <c r="QZE838" s="802"/>
      <c r="QZF838" s="802"/>
      <c r="QZG838" s="802"/>
      <c r="QZH838" s="802"/>
      <c r="QZI838" s="802"/>
      <c r="QZJ838" s="802"/>
      <c r="QZK838" s="802"/>
      <c r="QZL838" s="802"/>
      <c r="QZM838" s="802"/>
      <c r="QZN838" s="802"/>
      <c r="QZO838" s="802"/>
      <c r="QZP838" s="802"/>
      <c r="QZQ838" s="802"/>
      <c r="QZR838" s="802"/>
      <c r="QZS838" s="802"/>
      <c r="QZT838" s="802"/>
      <c r="QZU838" s="802"/>
      <c r="QZV838" s="802"/>
      <c r="QZW838" s="802"/>
      <c r="QZX838" s="802"/>
      <c r="QZY838" s="802"/>
      <c r="QZZ838" s="802"/>
      <c r="RAA838" s="802"/>
      <c r="RAB838" s="802"/>
      <c r="RAC838" s="802"/>
      <c r="RAD838" s="802"/>
      <c r="RAE838" s="802"/>
      <c r="RAF838" s="802"/>
      <c r="RAG838" s="802"/>
      <c r="RAH838" s="802"/>
      <c r="RAI838" s="802"/>
      <c r="RAJ838" s="802"/>
      <c r="RAK838" s="802"/>
      <c r="RAL838" s="802"/>
      <c r="RAM838" s="802"/>
      <c r="RAN838" s="802"/>
      <c r="RAO838" s="802"/>
      <c r="RAP838" s="802"/>
      <c r="RAQ838" s="802"/>
      <c r="RAR838" s="802"/>
      <c r="RAS838" s="802"/>
      <c r="RAT838" s="802"/>
      <c r="RAU838" s="802"/>
      <c r="RAV838" s="802"/>
      <c r="RAW838" s="802"/>
      <c r="RAX838" s="802"/>
      <c r="RAY838" s="802"/>
      <c r="RAZ838" s="802"/>
      <c r="RBA838" s="802"/>
      <c r="RBB838" s="802"/>
      <c r="RBC838" s="802"/>
      <c r="RBD838" s="802"/>
      <c r="RBE838" s="802"/>
      <c r="RBF838" s="802"/>
      <c r="RBG838" s="802"/>
      <c r="RBH838" s="802"/>
      <c r="RBI838" s="802"/>
      <c r="RBJ838" s="802"/>
      <c r="RBK838" s="802"/>
      <c r="RBL838" s="802"/>
      <c r="RBM838" s="802"/>
      <c r="RBN838" s="802"/>
      <c r="RBO838" s="802"/>
      <c r="RBP838" s="802"/>
      <c r="RBQ838" s="802"/>
      <c r="RBR838" s="802"/>
      <c r="RBS838" s="802"/>
      <c r="RBT838" s="802"/>
      <c r="RBU838" s="802"/>
      <c r="RBV838" s="802"/>
      <c r="RBW838" s="802"/>
      <c r="RBX838" s="802"/>
      <c r="RBY838" s="802"/>
      <c r="RBZ838" s="802"/>
      <c r="RCA838" s="802"/>
      <c r="RCB838" s="802"/>
      <c r="RCC838" s="802"/>
      <c r="RCD838" s="802"/>
      <c r="RCE838" s="802"/>
      <c r="RCF838" s="802"/>
      <c r="RCG838" s="802"/>
      <c r="RCH838" s="802"/>
      <c r="RCI838" s="802"/>
      <c r="RCJ838" s="802"/>
      <c r="RCK838" s="802"/>
      <c r="RCL838" s="802"/>
      <c r="RCM838" s="802"/>
      <c r="RCN838" s="802"/>
      <c r="RCO838" s="802"/>
      <c r="RCP838" s="802"/>
      <c r="RCQ838" s="802"/>
      <c r="RCR838" s="802"/>
      <c r="RCS838" s="802"/>
      <c r="RCT838" s="802"/>
      <c r="RCU838" s="802"/>
      <c r="RCV838" s="802"/>
      <c r="RCW838" s="802"/>
      <c r="RCX838" s="802"/>
      <c r="RCY838" s="802"/>
      <c r="RCZ838" s="802"/>
      <c r="RDA838" s="802"/>
      <c r="RDB838" s="802"/>
      <c r="RDC838" s="802"/>
      <c r="RDD838" s="802"/>
      <c r="RDE838" s="802"/>
      <c r="RDF838" s="802"/>
      <c r="RDG838" s="802"/>
      <c r="RDH838" s="802"/>
      <c r="RDI838" s="802"/>
      <c r="RDJ838" s="802"/>
      <c r="RDK838" s="802"/>
      <c r="RDL838" s="802"/>
      <c r="RDM838" s="802"/>
      <c r="RDN838" s="802"/>
      <c r="RDO838" s="802"/>
      <c r="RDP838" s="802"/>
      <c r="RDQ838" s="802"/>
      <c r="RDR838" s="802"/>
      <c r="RDS838" s="802"/>
      <c r="RDT838" s="802"/>
      <c r="RDU838" s="802"/>
      <c r="RDV838" s="802"/>
      <c r="RDW838" s="802"/>
      <c r="RDX838" s="802"/>
      <c r="RDY838" s="802"/>
      <c r="RDZ838" s="802"/>
      <c r="REA838" s="802"/>
      <c r="REB838" s="802"/>
      <c r="REC838" s="802"/>
      <c r="RED838" s="802"/>
      <c r="REE838" s="802"/>
      <c r="REF838" s="802"/>
      <c r="REG838" s="802"/>
      <c r="REH838" s="802"/>
      <c r="REI838" s="802"/>
      <c r="REJ838" s="802"/>
      <c r="REK838" s="802"/>
      <c r="REL838" s="802"/>
      <c r="REM838" s="802"/>
      <c r="REN838" s="802"/>
      <c r="REO838" s="802"/>
      <c r="REP838" s="802"/>
      <c r="REQ838" s="802"/>
      <c r="RER838" s="802"/>
      <c r="RES838" s="802"/>
      <c r="RET838" s="802"/>
      <c r="REU838" s="802"/>
      <c r="REV838" s="802"/>
      <c r="REW838" s="802"/>
      <c r="REX838" s="802"/>
      <c r="REY838" s="802"/>
      <c r="REZ838" s="802"/>
      <c r="RFA838" s="802"/>
      <c r="RFB838" s="802"/>
      <c r="RFC838" s="802"/>
      <c r="RFD838" s="802"/>
      <c r="RFE838" s="802"/>
      <c r="RFF838" s="802"/>
      <c r="RFG838" s="802"/>
      <c r="RFH838" s="802"/>
      <c r="RFI838" s="802"/>
      <c r="RFJ838" s="802"/>
      <c r="RFK838" s="802"/>
      <c r="RFL838" s="802"/>
      <c r="RFM838" s="802"/>
      <c r="RFN838" s="802"/>
      <c r="RFO838" s="802"/>
      <c r="RFP838" s="802"/>
      <c r="RFQ838" s="802"/>
      <c r="RFR838" s="802"/>
      <c r="RFS838" s="802"/>
      <c r="RFT838" s="802"/>
      <c r="RFU838" s="802"/>
      <c r="RFV838" s="802"/>
      <c r="RFW838" s="802"/>
      <c r="RFX838" s="802"/>
      <c r="RFY838" s="802"/>
      <c r="RFZ838" s="802"/>
      <c r="RGA838" s="802"/>
      <c r="RGB838" s="802"/>
      <c r="RGC838" s="802"/>
      <c r="RGD838" s="802"/>
      <c r="RGE838" s="802"/>
      <c r="RGF838" s="802"/>
      <c r="RGG838" s="802"/>
      <c r="RGH838" s="802"/>
      <c r="RGI838" s="802"/>
      <c r="RGJ838" s="802"/>
      <c r="RGK838" s="802"/>
      <c r="RGL838" s="802"/>
      <c r="RGM838" s="802"/>
      <c r="RGN838" s="802"/>
      <c r="RGO838" s="802"/>
      <c r="RGP838" s="802"/>
      <c r="RGQ838" s="802"/>
      <c r="RGR838" s="802"/>
      <c r="RGS838" s="802"/>
      <c r="RGT838" s="802"/>
      <c r="RGU838" s="802"/>
      <c r="RGV838" s="802"/>
      <c r="RGW838" s="802"/>
      <c r="RGX838" s="802"/>
      <c r="RGY838" s="802"/>
      <c r="RGZ838" s="802"/>
      <c r="RHA838" s="802"/>
      <c r="RHB838" s="802"/>
      <c r="RHC838" s="802"/>
      <c r="RHD838" s="802"/>
      <c r="RHE838" s="802"/>
      <c r="RHF838" s="802"/>
      <c r="RHG838" s="802"/>
      <c r="RHH838" s="802"/>
      <c r="RHI838" s="802"/>
      <c r="RHJ838" s="802"/>
      <c r="RHK838" s="802"/>
      <c r="RHL838" s="802"/>
      <c r="RHM838" s="802"/>
      <c r="RHN838" s="802"/>
      <c r="RHO838" s="802"/>
      <c r="RHP838" s="802"/>
      <c r="RHQ838" s="802"/>
      <c r="RHR838" s="802"/>
      <c r="RHS838" s="802"/>
      <c r="RHT838" s="802"/>
      <c r="RHU838" s="802"/>
      <c r="RHV838" s="802"/>
      <c r="RHW838" s="802"/>
      <c r="RHX838" s="802"/>
      <c r="RHY838" s="802"/>
      <c r="RHZ838" s="802"/>
      <c r="RIA838" s="802"/>
      <c r="RIB838" s="802"/>
      <c r="RIC838" s="802"/>
      <c r="RID838" s="802"/>
      <c r="RIE838" s="802"/>
      <c r="RIF838" s="802"/>
      <c r="RIG838" s="802"/>
      <c r="RIH838" s="802"/>
      <c r="RII838" s="802"/>
      <c r="RIJ838" s="802"/>
      <c r="RIK838" s="802"/>
      <c r="RIL838" s="802"/>
      <c r="RIM838" s="802"/>
      <c r="RIN838" s="802"/>
      <c r="RIO838" s="802"/>
      <c r="RIP838" s="802"/>
      <c r="RIQ838" s="802"/>
      <c r="RIR838" s="802"/>
      <c r="RIS838" s="802"/>
      <c r="RIT838" s="802"/>
      <c r="RIU838" s="802"/>
      <c r="RIV838" s="802"/>
      <c r="RIW838" s="802"/>
      <c r="RIX838" s="802"/>
      <c r="RIY838" s="802"/>
      <c r="RIZ838" s="802"/>
      <c r="RJA838" s="802"/>
      <c r="RJB838" s="802"/>
      <c r="RJC838" s="802"/>
      <c r="RJD838" s="802"/>
      <c r="RJE838" s="802"/>
      <c r="RJF838" s="802"/>
      <c r="RJG838" s="802"/>
      <c r="RJH838" s="802"/>
      <c r="RJI838" s="802"/>
      <c r="RJJ838" s="802"/>
      <c r="RJK838" s="802"/>
      <c r="RJL838" s="802"/>
      <c r="RJM838" s="802"/>
      <c r="RJN838" s="802"/>
      <c r="RJO838" s="802"/>
      <c r="RJP838" s="802"/>
      <c r="RJQ838" s="802"/>
      <c r="RJR838" s="802"/>
      <c r="RJS838" s="802"/>
      <c r="RJT838" s="802"/>
      <c r="RJU838" s="802"/>
      <c r="RJV838" s="802"/>
      <c r="RJW838" s="802"/>
      <c r="RJX838" s="802"/>
      <c r="RJY838" s="802"/>
      <c r="RJZ838" s="802"/>
      <c r="RKA838" s="802"/>
      <c r="RKB838" s="802"/>
      <c r="RKC838" s="802"/>
      <c r="RKD838" s="802"/>
      <c r="RKE838" s="802"/>
      <c r="RKF838" s="802"/>
      <c r="RKG838" s="802"/>
      <c r="RKH838" s="802"/>
      <c r="RKI838" s="802"/>
      <c r="RKJ838" s="802"/>
      <c r="RKK838" s="802"/>
      <c r="RKL838" s="802"/>
      <c r="RKM838" s="802"/>
      <c r="RKN838" s="802"/>
      <c r="RKO838" s="802"/>
      <c r="RKP838" s="802"/>
      <c r="RKQ838" s="802"/>
      <c r="RKR838" s="802"/>
      <c r="RKS838" s="802"/>
      <c r="RKT838" s="802"/>
      <c r="RKU838" s="802"/>
      <c r="RKV838" s="802"/>
      <c r="RKW838" s="802"/>
      <c r="RKX838" s="802"/>
      <c r="RKY838" s="802"/>
      <c r="RKZ838" s="802"/>
      <c r="RLA838" s="802"/>
      <c r="RLB838" s="802"/>
      <c r="RLC838" s="802"/>
      <c r="RLD838" s="802"/>
      <c r="RLE838" s="802"/>
      <c r="RLF838" s="802"/>
      <c r="RLG838" s="802"/>
      <c r="RLH838" s="802"/>
      <c r="RLI838" s="802"/>
      <c r="RLJ838" s="802"/>
      <c r="RLK838" s="802"/>
      <c r="RLL838" s="802"/>
      <c r="RLM838" s="802"/>
      <c r="RLN838" s="802"/>
      <c r="RLO838" s="802"/>
      <c r="RLP838" s="802"/>
      <c r="RLQ838" s="802"/>
      <c r="RLR838" s="802"/>
      <c r="RLS838" s="802"/>
      <c r="RLT838" s="802"/>
      <c r="RLU838" s="802"/>
      <c r="RLV838" s="802"/>
      <c r="RLW838" s="802"/>
      <c r="RLX838" s="802"/>
      <c r="RLY838" s="802"/>
      <c r="RLZ838" s="802"/>
      <c r="RMA838" s="802"/>
      <c r="RMB838" s="802"/>
      <c r="RMC838" s="802"/>
      <c r="RMD838" s="802"/>
      <c r="RME838" s="802"/>
      <c r="RMF838" s="802"/>
      <c r="RMG838" s="802"/>
      <c r="RMH838" s="802"/>
      <c r="RMI838" s="802"/>
      <c r="RMJ838" s="802"/>
      <c r="RMK838" s="802"/>
      <c r="RML838" s="802"/>
      <c r="RMM838" s="802"/>
      <c r="RMN838" s="802"/>
      <c r="RMO838" s="802"/>
      <c r="RMP838" s="802"/>
      <c r="RMQ838" s="802"/>
      <c r="RMR838" s="802"/>
      <c r="RMS838" s="802"/>
      <c r="RMT838" s="802"/>
      <c r="RMU838" s="802"/>
      <c r="RMV838" s="802"/>
      <c r="RMW838" s="802"/>
      <c r="RMX838" s="802"/>
      <c r="RMY838" s="802"/>
      <c r="RMZ838" s="802"/>
      <c r="RNA838" s="802"/>
      <c r="RNB838" s="802"/>
      <c r="RNC838" s="802"/>
      <c r="RND838" s="802"/>
      <c r="RNE838" s="802"/>
      <c r="RNF838" s="802"/>
      <c r="RNG838" s="802"/>
      <c r="RNH838" s="802"/>
      <c r="RNI838" s="802"/>
      <c r="RNJ838" s="802"/>
      <c r="RNK838" s="802"/>
      <c r="RNL838" s="802"/>
      <c r="RNM838" s="802"/>
      <c r="RNN838" s="802"/>
      <c r="RNO838" s="802"/>
      <c r="RNP838" s="802"/>
      <c r="RNQ838" s="802"/>
      <c r="RNR838" s="802"/>
      <c r="RNS838" s="802"/>
      <c r="RNT838" s="802"/>
      <c r="RNU838" s="802"/>
      <c r="RNV838" s="802"/>
      <c r="RNW838" s="802"/>
      <c r="RNX838" s="802"/>
      <c r="RNY838" s="802"/>
      <c r="RNZ838" s="802"/>
      <c r="ROA838" s="802"/>
      <c r="ROB838" s="802"/>
      <c r="ROC838" s="802"/>
      <c r="ROD838" s="802"/>
      <c r="ROE838" s="802"/>
      <c r="ROF838" s="802"/>
      <c r="ROG838" s="802"/>
      <c r="ROH838" s="802"/>
      <c r="ROI838" s="802"/>
      <c r="ROJ838" s="802"/>
      <c r="ROK838" s="802"/>
      <c r="ROL838" s="802"/>
      <c r="ROM838" s="802"/>
      <c r="RON838" s="802"/>
      <c r="ROO838" s="802"/>
      <c r="ROP838" s="802"/>
      <c r="ROQ838" s="802"/>
      <c r="ROR838" s="802"/>
      <c r="ROS838" s="802"/>
      <c r="ROT838" s="802"/>
      <c r="ROU838" s="802"/>
      <c r="ROV838" s="802"/>
      <c r="ROW838" s="802"/>
      <c r="ROX838" s="802"/>
      <c r="ROY838" s="802"/>
      <c r="ROZ838" s="802"/>
      <c r="RPA838" s="802"/>
      <c r="RPB838" s="802"/>
      <c r="RPC838" s="802"/>
      <c r="RPD838" s="802"/>
      <c r="RPE838" s="802"/>
      <c r="RPF838" s="802"/>
      <c r="RPG838" s="802"/>
      <c r="RPH838" s="802"/>
      <c r="RPI838" s="802"/>
      <c r="RPJ838" s="802"/>
      <c r="RPK838" s="802"/>
      <c r="RPL838" s="802"/>
      <c r="RPM838" s="802"/>
      <c r="RPN838" s="802"/>
      <c r="RPO838" s="802"/>
      <c r="RPP838" s="802"/>
      <c r="RPQ838" s="802"/>
      <c r="RPR838" s="802"/>
      <c r="RPS838" s="802"/>
      <c r="RPT838" s="802"/>
      <c r="RPU838" s="802"/>
      <c r="RPV838" s="802"/>
      <c r="RPW838" s="802"/>
      <c r="RPX838" s="802"/>
      <c r="RPY838" s="802"/>
      <c r="RPZ838" s="802"/>
      <c r="RQA838" s="802"/>
      <c r="RQB838" s="802"/>
      <c r="RQC838" s="802"/>
      <c r="RQD838" s="802"/>
      <c r="RQE838" s="802"/>
      <c r="RQF838" s="802"/>
      <c r="RQG838" s="802"/>
      <c r="RQH838" s="802"/>
      <c r="RQI838" s="802"/>
      <c r="RQJ838" s="802"/>
      <c r="RQK838" s="802"/>
      <c r="RQL838" s="802"/>
      <c r="RQM838" s="802"/>
      <c r="RQN838" s="802"/>
      <c r="RQO838" s="802"/>
      <c r="RQP838" s="802"/>
      <c r="RQQ838" s="802"/>
      <c r="RQR838" s="802"/>
      <c r="RQS838" s="802"/>
      <c r="RQT838" s="802"/>
      <c r="RQU838" s="802"/>
      <c r="RQV838" s="802"/>
      <c r="RQW838" s="802"/>
      <c r="RQX838" s="802"/>
      <c r="RQY838" s="802"/>
      <c r="RQZ838" s="802"/>
      <c r="RRA838" s="802"/>
      <c r="RRB838" s="802"/>
      <c r="RRC838" s="802"/>
      <c r="RRD838" s="802"/>
      <c r="RRE838" s="802"/>
      <c r="RRF838" s="802"/>
      <c r="RRG838" s="802"/>
      <c r="RRH838" s="802"/>
      <c r="RRI838" s="802"/>
      <c r="RRJ838" s="802"/>
      <c r="RRK838" s="802"/>
      <c r="RRL838" s="802"/>
      <c r="RRM838" s="802"/>
      <c r="RRN838" s="802"/>
      <c r="RRO838" s="802"/>
      <c r="RRP838" s="802"/>
      <c r="RRQ838" s="802"/>
      <c r="RRR838" s="802"/>
      <c r="RRS838" s="802"/>
      <c r="RRT838" s="802"/>
      <c r="RRU838" s="802"/>
      <c r="RRV838" s="802"/>
      <c r="RRW838" s="802"/>
      <c r="RRX838" s="802"/>
      <c r="RRY838" s="802"/>
      <c r="RRZ838" s="802"/>
      <c r="RSA838" s="802"/>
      <c r="RSB838" s="802"/>
      <c r="RSC838" s="802"/>
      <c r="RSD838" s="802"/>
      <c r="RSE838" s="802"/>
      <c r="RSF838" s="802"/>
      <c r="RSG838" s="802"/>
      <c r="RSH838" s="802"/>
      <c r="RSI838" s="802"/>
      <c r="RSJ838" s="802"/>
      <c r="RSK838" s="802"/>
      <c r="RSL838" s="802"/>
      <c r="RSM838" s="802"/>
      <c r="RSN838" s="802"/>
      <c r="RSO838" s="802"/>
      <c r="RSP838" s="802"/>
      <c r="RSQ838" s="802"/>
      <c r="RSR838" s="802"/>
      <c r="RSS838" s="802"/>
      <c r="RST838" s="802"/>
      <c r="RSU838" s="802"/>
      <c r="RSV838" s="802"/>
      <c r="RSW838" s="802"/>
      <c r="RSX838" s="802"/>
      <c r="RSY838" s="802"/>
      <c r="RSZ838" s="802"/>
      <c r="RTA838" s="802"/>
      <c r="RTB838" s="802"/>
      <c r="RTC838" s="802"/>
      <c r="RTD838" s="802"/>
      <c r="RTE838" s="802"/>
      <c r="RTF838" s="802"/>
      <c r="RTG838" s="802"/>
      <c r="RTH838" s="802"/>
      <c r="RTI838" s="802"/>
      <c r="RTJ838" s="802"/>
      <c r="RTK838" s="802"/>
      <c r="RTL838" s="802"/>
      <c r="RTM838" s="802"/>
      <c r="RTN838" s="802"/>
      <c r="RTO838" s="802"/>
      <c r="RTP838" s="802"/>
      <c r="RTQ838" s="802"/>
      <c r="RTR838" s="802"/>
      <c r="RTS838" s="802"/>
      <c r="RTT838" s="802"/>
      <c r="RTU838" s="802"/>
      <c r="RTV838" s="802"/>
      <c r="RTW838" s="802"/>
      <c r="RTX838" s="802"/>
      <c r="RTY838" s="802"/>
      <c r="RTZ838" s="802"/>
      <c r="RUA838" s="802"/>
      <c r="RUB838" s="802"/>
      <c r="RUC838" s="802"/>
      <c r="RUD838" s="802"/>
      <c r="RUE838" s="802"/>
      <c r="RUF838" s="802"/>
      <c r="RUG838" s="802"/>
      <c r="RUH838" s="802"/>
      <c r="RUI838" s="802"/>
      <c r="RUJ838" s="802"/>
      <c r="RUK838" s="802"/>
      <c r="RUL838" s="802"/>
      <c r="RUM838" s="802"/>
      <c r="RUN838" s="802"/>
      <c r="RUO838" s="802"/>
      <c r="RUP838" s="802"/>
      <c r="RUQ838" s="802"/>
      <c r="RUR838" s="802"/>
      <c r="RUS838" s="802"/>
      <c r="RUT838" s="802"/>
      <c r="RUU838" s="802"/>
      <c r="RUV838" s="802"/>
      <c r="RUW838" s="802"/>
      <c r="RUX838" s="802"/>
      <c r="RUY838" s="802"/>
      <c r="RUZ838" s="802"/>
      <c r="RVA838" s="802"/>
      <c r="RVB838" s="802"/>
      <c r="RVC838" s="802"/>
      <c r="RVD838" s="802"/>
      <c r="RVE838" s="802"/>
      <c r="RVF838" s="802"/>
      <c r="RVG838" s="802"/>
      <c r="RVH838" s="802"/>
      <c r="RVI838" s="802"/>
      <c r="RVJ838" s="802"/>
      <c r="RVK838" s="802"/>
      <c r="RVL838" s="802"/>
      <c r="RVM838" s="802"/>
      <c r="RVN838" s="802"/>
      <c r="RVO838" s="802"/>
      <c r="RVP838" s="802"/>
      <c r="RVQ838" s="802"/>
      <c r="RVR838" s="802"/>
      <c r="RVS838" s="802"/>
      <c r="RVT838" s="802"/>
      <c r="RVU838" s="802"/>
      <c r="RVV838" s="802"/>
      <c r="RVW838" s="802"/>
      <c r="RVX838" s="802"/>
      <c r="RVY838" s="802"/>
      <c r="RVZ838" s="802"/>
      <c r="RWA838" s="802"/>
      <c r="RWB838" s="802"/>
      <c r="RWC838" s="802"/>
      <c r="RWD838" s="802"/>
      <c r="RWE838" s="802"/>
      <c r="RWF838" s="802"/>
      <c r="RWG838" s="802"/>
      <c r="RWH838" s="802"/>
      <c r="RWI838" s="802"/>
      <c r="RWJ838" s="802"/>
      <c r="RWK838" s="802"/>
      <c r="RWL838" s="802"/>
      <c r="RWM838" s="802"/>
      <c r="RWN838" s="802"/>
      <c r="RWO838" s="802"/>
      <c r="RWP838" s="802"/>
      <c r="RWQ838" s="802"/>
      <c r="RWR838" s="802"/>
      <c r="RWS838" s="802"/>
      <c r="RWT838" s="802"/>
      <c r="RWU838" s="802"/>
      <c r="RWV838" s="802"/>
      <c r="RWW838" s="802"/>
      <c r="RWX838" s="802"/>
      <c r="RWY838" s="802"/>
      <c r="RWZ838" s="802"/>
      <c r="RXA838" s="802"/>
      <c r="RXB838" s="802"/>
      <c r="RXC838" s="802"/>
      <c r="RXD838" s="802"/>
      <c r="RXE838" s="802"/>
      <c r="RXF838" s="802"/>
      <c r="RXG838" s="802"/>
      <c r="RXH838" s="802"/>
      <c r="RXI838" s="802"/>
      <c r="RXJ838" s="802"/>
      <c r="RXK838" s="802"/>
      <c r="RXL838" s="802"/>
      <c r="RXM838" s="802"/>
      <c r="RXN838" s="802"/>
      <c r="RXO838" s="802"/>
      <c r="RXP838" s="802"/>
      <c r="RXQ838" s="802"/>
      <c r="RXR838" s="802"/>
      <c r="RXS838" s="802"/>
      <c r="RXT838" s="802"/>
      <c r="RXU838" s="802"/>
      <c r="RXV838" s="802"/>
      <c r="RXW838" s="802"/>
      <c r="RXX838" s="802"/>
      <c r="RXY838" s="802"/>
      <c r="RXZ838" s="802"/>
      <c r="RYA838" s="802"/>
      <c r="RYB838" s="802"/>
      <c r="RYC838" s="802"/>
      <c r="RYD838" s="802"/>
      <c r="RYE838" s="802"/>
      <c r="RYF838" s="802"/>
      <c r="RYG838" s="802"/>
      <c r="RYH838" s="802"/>
      <c r="RYI838" s="802"/>
      <c r="RYJ838" s="802"/>
      <c r="RYK838" s="802"/>
      <c r="RYL838" s="802"/>
      <c r="RYM838" s="802"/>
      <c r="RYN838" s="802"/>
      <c r="RYO838" s="802"/>
      <c r="RYP838" s="802"/>
      <c r="RYQ838" s="802"/>
      <c r="RYR838" s="802"/>
      <c r="RYS838" s="802"/>
      <c r="RYT838" s="802"/>
      <c r="RYU838" s="802"/>
      <c r="RYV838" s="802"/>
      <c r="RYW838" s="802"/>
      <c r="RYX838" s="802"/>
      <c r="RYY838" s="802"/>
      <c r="RYZ838" s="802"/>
      <c r="RZA838" s="802"/>
      <c r="RZB838" s="802"/>
      <c r="RZC838" s="802"/>
      <c r="RZD838" s="802"/>
      <c r="RZE838" s="802"/>
      <c r="RZF838" s="802"/>
      <c r="RZG838" s="802"/>
      <c r="RZH838" s="802"/>
      <c r="RZI838" s="802"/>
      <c r="RZJ838" s="802"/>
      <c r="RZK838" s="802"/>
      <c r="RZL838" s="802"/>
      <c r="RZM838" s="802"/>
      <c r="RZN838" s="802"/>
      <c r="RZO838" s="802"/>
      <c r="RZP838" s="802"/>
      <c r="RZQ838" s="802"/>
      <c r="RZR838" s="802"/>
      <c r="RZS838" s="802"/>
      <c r="RZT838" s="802"/>
      <c r="RZU838" s="802"/>
      <c r="RZV838" s="802"/>
      <c r="RZW838" s="802"/>
      <c r="RZX838" s="802"/>
      <c r="RZY838" s="802"/>
      <c r="RZZ838" s="802"/>
      <c r="SAA838" s="802"/>
      <c r="SAB838" s="802"/>
      <c r="SAC838" s="802"/>
      <c r="SAD838" s="802"/>
      <c r="SAE838" s="802"/>
      <c r="SAF838" s="802"/>
      <c r="SAG838" s="802"/>
      <c r="SAH838" s="802"/>
      <c r="SAI838" s="802"/>
      <c r="SAJ838" s="802"/>
      <c r="SAK838" s="802"/>
      <c r="SAL838" s="802"/>
      <c r="SAM838" s="802"/>
      <c r="SAN838" s="802"/>
      <c r="SAO838" s="802"/>
      <c r="SAP838" s="802"/>
      <c r="SAQ838" s="802"/>
      <c r="SAR838" s="802"/>
      <c r="SAS838" s="802"/>
      <c r="SAT838" s="802"/>
      <c r="SAU838" s="802"/>
      <c r="SAV838" s="802"/>
      <c r="SAW838" s="802"/>
      <c r="SAX838" s="802"/>
      <c r="SAY838" s="802"/>
      <c r="SAZ838" s="802"/>
      <c r="SBA838" s="802"/>
      <c r="SBB838" s="802"/>
      <c r="SBC838" s="802"/>
      <c r="SBD838" s="802"/>
      <c r="SBE838" s="802"/>
      <c r="SBF838" s="802"/>
      <c r="SBG838" s="802"/>
      <c r="SBH838" s="802"/>
      <c r="SBI838" s="802"/>
      <c r="SBJ838" s="802"/>
      <c r="SBK838" s="802"/>
      <c r="SBL838" s="802"/>
      <c r="SBM838" s="802"/>
      <c r="SBN838" s="802"/>
      <c r="SBO838" s="802"/>
      <c r="SBP838" s="802"/>
      <c r="SBQ838" s="802"/>
      <c r="SBR838" s="802"/>
      <c r="SBS838" s="802"/>
      <c r="SBT838" s="802"/>
      <c r="SBU838" s="802"/>
      <c r="SBV838" s="802"/>
      <c r="SBW838" s="802"/>
      <c r="SBX838" s="802"/>
      <c r="SBY838" s="802"/>
      <c r="SBZ838" s="802"/>
      <c r="SCA838" s="802"/>
      <c r="SCB838" s="802"/>
      <c r="SCC838" s="802"/>
      <c r="SCD838" s="802"/>
      <c r="SCE838" s="802"/>
      <c r="SCF838" s="802"/>
      <c r="SCG838" s="802"/>
      <c r="SCH838" s="802"/>
      <c r="SCI838" s="802"/>
      <c r="SCJ838" s="802"/>
      <c r="SCK838" s="802"/>
      <c r="SCL838" s="802"/>
      <c r="SCM838" s="802"/>
      <c r="SCN838" s="802"/>
      <c r="SCO838" s="802"/>
      <c r="SCP838" s="802"/>
      <c r="SCQ838" s="802"/>
      <c r="SCR838" s="802"/>
      <c r="SCS838" s="802"/>
      <c r="SCT838" s="802"/>
      <c r="SCU838" s="802"/>
      <c r="SCV838" s="802"/>
      <c r="SCW838" s="802"/>
      <c r="SCX838" s="802"/>
      <c r="SCY838" s="802"/>
      <c r="SCZ838" s="802"/>
      <c r="SDA838" s="802"/>
      <c r="SDB838" s="802"/>
      <c r="SDC838" s="802"/>
      <c r="SDD838" s="802"/>
      <c r="SDE838" s="802"/>
      <c r="SDF838" s="802"/>
      <c r="SDG838" s="802"/>
      <c r="SDH838" s="802"/>
      <c r="SDI838" s="802"/>
      <c r="SDJ838" s="802"/>
      <c r="SDK838" s="802"/>
      <c r="SDL838" s="802"/>
      <c r="SDM838" s="802"/>
      <c r="SDN838" s="802"/>
      <c r="SDO838" s="802"/>
      <c r="SDP838" s="802"/>
      <c r="SDQ838" s="802"/>
      <c r="SDR838" s="802"/>
      <c r="SDS838" s="802"/>
      <c r="SDT838" s="802"/>
      <c r="SDU838" s="802"/>
      <c r="SDV838" s="802"/>
      <c r="SDW838" s="802"/>
      <c r="SDX838" s="802"/>
      <c r="SDY838" s="802"/>
      <c r="SDZ838" s="802"/>
      <c r="SEA838" s="802"/>
      <c r="SEB838" s="802"/>
      <c r="SEC838" s="802"/>
      <c r="SED838" s="802"/>
      <c r="SEE838" s="802"/>
      <c r="SEF838" s="802"/>
      <c r="SEG838" s="802"/>
      <c r="SEH838" s="802"/>
      <c r="SEI838" s="802"/>
      <c r="SEJ838" s="802"/>
      <c r="SEK838" s="802"/>
      <c r="SEL838" s="802"/>
      <c r="SEM838" s="802"/>
      <c r="SEN838" s="802"/>
      <c r="SEO838" s="802"/>
      <c r="SEP838" s="802"/>
      <c r="SEQ838" s="802"/>
      <c r="SER838" s="802"/>
      <c r="SES838" s="802"/>
      <c r="SET838" s="802"/>
      <c r="SEU838" s="802"/>
      <c r="SEV838" s="802"/>
      <c r="SEW838" s="802"/>
      <c r="SEX838" s="802"/>
      <c r="SEY838" s="802"/>
      <c r="SEZ838" s="802"/>
      <c r="SFA838" s="802"/>
      <c r="SFB838" s="802"/>
      <c r="SFC838" s="802"/>
      <c r="SFD838" s="802"/>
      <c r="SFE838" s="802"/>
      <c r="SFF838" s="802"/>
      <c r="SFG838" s="802"/>
      <c r="SFH838" s="802"/>
      <c r="SFI838" s="802"/>
      <c r="SFJ838" s="802"/>
      <c r="SFK838" s="802"/>
      <c r="SFL838" s="802"/>
      <c r="SFM838" s="802"/>
      <c r="SFN838" s="802"/>
      <c r="SFO838" s="802"/>
      <c r="SFP838" s="802"/>
      <c r="SFQ838" s="802"/>
      <c r="SFR838" s="802"/>
      <c r="SFS838" s="802"/>
      <c r="SFT838" s="802"/>
      <c r="SFU838" s="802"/>
      <c r="SFV838" s="802"/>
      <c r="SFW838" s="802"/>
      <c r="SFX838" s="802"/>
      <c r="SFY838" s="802"/>
      <c r="SFZ838" s="802"/>
      <c r="SGA838" s="802"/>
      <c r="SGB838" s="802"/>
      <c r="SGC838" s="802"/>
      <c r="SGD838" s="802"/>
      <c r="SGE838" s="802"/>
      <c r="SGF838" s="802"/>
      <c r="SGG838" s="802"/>
      <c r="SGH838" s="802"/>
      <c r="SGI838" s="802"/>
      <c r="SGJ838" s="802"/>
      <c r="SGK838" s="802"/>
      <c r="SGL838" s="802"/>
      <c r="SGM838" s="802"/>
      <c r="SGN838" s="802"/>
      <c r="SGO838" s="802"/>
      <c r="SGP838" s="802"/>
      <c r="SGQ838" s="802"/>
      <c r="SGR838" s="802"/>
      <c r="SGS838" s="802"/>
      <c r="SGT838" s="802"/>
      <c r="SGU838" s="802"/>
      <c r="SGV838" s="802"/>
      <c r="SGW838" s="802"/>
      <c r="SGX838" s="802"/>
      <c r="SGY838" s="802"/>
      <c r="SGZ838" s="802"/>
      <c r="SHA838" s="802"/>
      <c r="SHB838" s="802"/>
      <c r="SHC838" s="802"/>
      <c r="SHD838" s="802"/>
      <c r="SHE838" s="802"/>
      <c r="SHF838" s="802"/>
      <c r="SHG838" s="802"/>
      <c r="SHH838" s="802"/>
      <c r="SHI838" s="802"/>
      <c r="SHJ838" s="802"/>
      <c r="SHK838" s="802"/>
      <c r="SHL838" s="802"/>
      <c r="SHM838" s="802"/>
      <c r="SHN838" s="802"/>
      <c r="SHO838" s="802"/>
      <c r="SHP838" s="802"/>
      <c r="SHQ838" s="802"/>
      <c r="SHR838" s="802"/>
      <c r="SHS838" s="802"/>
      <c r="SHT838" s="802"/>
      <c r="SHU838" s="802"/>
      <c r="SHV838" s="802"/>
      <c r="SHW838" s="802"/>
      <c r="SHX838" s="802"/>
      <c r="SHY838" s="802"/>
      <c r="SHZ838" s="802"/>
      <c r="SIA838" s="802"/>
      <c r="SIB838" s="802"/>
      <c r="SIC838" s="802"/>
      <c r="SID838" s="802"/>
      <c r="SIE838" s="802"/>
      <c r="SIF838" s="802"/>
      <c r="SIG838" s="802"/>
      <c r="SIH838" s="802"/>
      <c r="SII838" s="802"/>
      <c r="SIJ838" s="802"/>
      <c r="SIK838" s="802"/>
      <c r="SIL838" s="802"/>
      <c r="SIM838" s="802"/>
      <c r="SIN838" s="802"/>
      <c r="SIO838" s="802"/>
      <c r="SIP838" s="802"/>
      <c r="SIQ838" s="802"/>
      <c r="SIR838" s="802"/>
      <c r="SIS838" s="802"/>
      <c r="SIT838" s="802"/>
      <c r="SIU838" s="802"/>
      <c r="SIV838" s="802"/>
      <c r="SIW838" s="802"/>
      <c r="SIX838" s="802"/>
      <c r="SIY838" s="802"/>
      <c r="SIZ838" s="802"/>
      <c r="SJA838" s="802"/>
      <c r="SJB838" s="802"/>
      <c r="SJC838" s="802"/>
      <c r="SJD838" s="802"/>
      <c r="SJE838" s="802"/>
      <c r="SJF838" s="802"/>
      <c r="SJG838" s="802"/>
      <c r="SJH838" s="802"/>
      <c r="SJI838" s="802"/>
      <c r="SJJ838" s="802"/>
      <c r="SJK838" s="802"/>
      <c r="SJL838" s="802"/>
      <c r="SJM838" s="802"/>
      <c r="SJN838" s="802"/>
      <c r="SJO838" s="802"/>
      <c r="SJP838" s="802"/>
      <c r="SJQ838" s="802"/>
      <c r="SJR838" s="802"/>
      <c r="SJS838" s="802"/>
      <c r="SJT838" s="802"/>
      <c r="SJU838" s="802"/>
      <c r="SJV838" s="802"/>
      <c r="SJW838" s="802"/>
      <c r="SJX838" s="802"/>
      <c r="SJY838" s="802"/>
      <c r="SJZ838" s="802"/>
      <c r="SKA838" s="802"/>
      <c r="SKB838" s="802"/>
      <c r="SKC838" s="802"/>
      <c r="SKD838" s="802"/>
      <c r="SKE838" s="802"/>
      <c r="SKF838" s="802"/>
      <c r="SKG838" s="802"/>
      <c r="SKH838" s="802"/>
      <c r="SKI838" s="802"/>
      <c r="SKJ838" s="802"/>
      <c r="SKK838" s="802"/>
      <c r="SKL838" s="802"/>
      <c r="SKM838" s="802"/>
      <c r="SKN838" s="802"/>
      <c r="SKO838" s="802"/>
      <c r="SKP838" s="802"/>
      <c r="SKQ838" s="802"/>
      <c r="SKR838" s="802"/>
      <c r="SKS838" s="802"/>
      <c r="SKT838" s="802"/>
      <c r="SKU838" s="802"/>
      <c r="SKV838" s="802"/>
      <c r="SKW838" s="802"/>
      <c r="SKX838" s="802"/>
      <c r="SKY838" s="802"/>
      <c r="SKZ838" s="802"/>
      <c r="SLA838" s="802"/>
      <c r="SLB838" s="802"/>
      <c r="SLC838" s="802"/>
      <c r="SLD838" s="802"/>
      <c r="SLE838" s="802"/>
      <c r="SLF838" s="802"/>
      <c r="SLG838" s="802"/>
      <c r="SLH838" s="802"/>
      <c r="SLI838" s="802"/>
      <c r="SLJ838" s="802"/>
      <c r="SLK838" s="802"/>
      <c r="SLL838" s="802"/>
      <c r="SLM838" s="802"/>
      <c r="SLN838" s="802"/>
      <c r="SLO838" s="802"/>
      <c r="SLP838" s="802"/>
      <c r="SLQ838" s="802"/>
      <c r="SLR838" s="802"/>
      <c r="SLS838" s="802"/>
      <c r="SLT838" s="802"/>
      <c r="SLU838" s="802"/>
      <c r="SLV838" s="802"/>
      <c r="SLW838" s="802"/>
      <c r="SLX838" s="802"/>
      <c r="SLY838" s="802"/>
      <c r="SLZ838" s="802"/>
      <c r="SMA838" s="802"/>
      <c r="SMB838" s="802"/>
      <c r="SMC838" s="802"/>
      <c r="SMD838" s="802"/>
      <c r="SME838" s="802"/>
      <c r="SMF838" s="802"/>
      <c r="SMG838" s="802"/>
      <c r="SMH838" s="802"/>
      <c r="SMI838" s="802"/>
      <c r="SMJ838" s="802"/>
      <c r="SMK838" s="802"/>
      <c r="SML838" s="802"/>
      <c r="SMM838" s="802"/>
      <c r="SMN838" s="802"/>
      <c r="SMO838" s="802"/>
      <c r="SMP838" s="802"/>
      <c r="SMQ838" s="802"/>
      <c r="SMR838" s="802"/>
      <c r="SMS838" s="802"/>
      <c r="SMT838" s="802"/>
      <c r="SMU838" s="802"/>
      <c r="SMV838" s="802"/>
      <c r="SMW838" s="802"/>
      <c r="SMX838" s="802"/>
      <c r="SMY838" s="802"/>
      <c r="SMZ838" s="802"/>
      <c r="SNA838" s="802"/>
      <c r="SNB838" s="802"/>
      <c r="SNC838" s="802"/>
      <c r="SND838" s="802"/>
      <c r="SNE838" s="802"/>
      <c r="SNF838" s="802"/>
      <c r="SNG838" s="802"/>
      <c r="SNH838" s="802"/>
      <c r="SNI838" s="802"/>
      <c r="SNJ838" s="802"/>
      <c r="SNK838" s="802"/>
      <c r="SNL838" s="802"/>
      <c r="SNM838" s="802"/>
      <c r="SNN838" s="802"/>
      <c r="SNO838" s="802"/>
      <c r="SNP838" s="802"/>
      <c r="SNQ838" s="802"/>
      <c r="SNR838" s="802"/>
      <c r="SNS838" s="802"/>
      <c r="SNT838" s="802"/>
      <c r="SNU838" s="802"/>
      <c r="SNV838" s="802"/>
      <c r="SNW838" s="802"/>
      <c r="SNX838" s="802"/>
      <c r="SNY838" s="802"/>
      <c r="SNZ838" s="802"/>
      <c r="SOA838" s="802"/>
      <c r="SOB838" s="802"/>
      <c r="SOC838" s="802"/>
      <c r="SOD838" s="802"/>
      <c r="SOE838" s="802"/>
      <c r="SOF838" s="802"/>
      <c r="SOG838" s="802"/>
      <c r="SOH838" s="802"/>
      <c r="SOI838" s="802"/>
      <c r="SOJ838" s="802"/>
      <c r="SOK838" s="802"/>
      <c r="SOL838" s="802"/>
      <c r="SOM838" s="802"/>
      <c r="SON838" s="802"/>
      <c r="SOO838" s="802"/>
      <c r="SOP838" s="802"/>
      <c r="SOQ838" s="802"/>
      <c r="SOR838" s="802"/>
      <c r="SOS838" s="802"/>
      <c r="SOT838" s="802"/>
      <c r="SOU838" s="802"/>
      <c r="SOV838" s="802"/>
      <c r="SOW838" s="802"/>
      <c r="SOX838" s="802"/>
      <c r="SOY838" s="802"/>
      <c r="SOZ838" s="802"/>
      <c r="SPA838" s="802"/>
      <c r="SPB838" s="802"/>
      <c r="SPC838" s="802"/>
      <c r="SPD838" s="802"/>
      <c r="SPE838" s="802"/>
      <c r="SPF838" s="802"/>
      <c r="SPG838" s="802"/>
      <c r="SPH838" s="802"/>
      <c r="SPI838" s="802"/>
      <c r="SPJ838" s="802"/>
      <c r="SPK838" s="802"/>
      <c r="SPL838" s="802"/>
      <c r="SPM838" s="802"/>
      <c r="SPN838" s="802"/>
      <c r="SPO838" s="802"/>
      <c r="SPP838" s="802"/>
      <c r="SPQ838" s="802"/>
      <c r="SPR838" s="802"/>
      <c r="SPS838" s="802"/>
      <c r="SPT838" s="802"/>
      <c r="SPU838" s="802"/>
      <c r="SPV838" s="802"/>
      <c r="SPW838" s="802"/>
      <c r="SPX838" s="802"/>
      <c r="SPY838" s="802"/>
      <c r="SPZ838" s="802"/>
      <c r="SQA838" s="802"/>
      <c r="SQB838" s="802"/>
      <c r="SQC838" s="802"/>
      <c r="SQD838" s="802"/>
      <c r="SQE838" s="802"/>
      <c r="SQF838" s="802"/>
      <c r="SQG838" s="802"/>
      <c r="SQH838" s="802"/>
      <c r="SQI838" s="802"/>
      <c r="SQJ838" s="802"/>
      <c r="SQK838" s="802"/>
      <c r="SQL838" s="802"/>
      <c r="SQM838" s="802"/>
      <c r="SQN838" s="802"/>
      <c r="SQO838" s="802"/>
      <c r="SQP838" s="802"/>
      <c r="SQQ838" s="802"/>
      <c r="SQR838" s="802"/>
      <c r="SQS838" s="802"/>
      <c r="SQT838" s="802"/>
      <c r="SQU838" s="802"/>
      <c r="SQV838" s="802"/>
      <c r="SQW838" s="802"/>
      <c r="SQX838" s="802"/>
      <c r="SQY838" s="802"/>
      <c r="SQZ838" s="802"/>
      <c r="SRA838" s="802"/>
      <c r="SRB838" s="802"/>
      <c r="SRC838" s="802"/>
      <c r="SRD838" s="802"/>
      <c r="SRE838" s="802"/>
      <c r="SRF838" s="802"/>
      <c r="SRG838" s="802"/>
      <c r="SRH838" s="802"/>
      <c r="SRI838" s="802"/>
      <c r="SRJ838" s="802"/>
      <c r="SRK838" s="802"/>
      <c r="SRL838" s="802"/>
      <c r="SRM838" s="802"/>
      <c r="SRN838" s="802"/>
      <c r="SRO838" s="802"/>
      <c r="SRP838" s="802"/>
      <c r="SRQ838" s="802"/>
      <c r="SRR838" s="802"/>
      <c r="SRS838" s="802"/>
      <c r="SRT838" s="802"/>
      <c r="SRU838" s="802"/>
      <c r="SRV838" s="802"/>
      <c r="SRW838" s="802"/>
      <c r="SRX838" s="802"/>
      <c r="SRY838" s="802"/>
      <c r="SRZ838" s="802"/>
      <c r="SSA838" s="802"/>
      <c r="SSB838" s="802"/>
      <c r="SSC838" s="802"/>
      <c r="SSD838" s="802"/>
      <c r="SSE838" s="802"/>
      <c r="SSF838" s="802"/>
      <c r="SSG838" s="802"/>
      <c r="SSH838" s="802"/>
      <c r="SSI838" s="802"/>
      <c r="SSJ838" s="802"/>
      <c r="SSK838" s="802"/>
      <c r="SSL838" s="802"/>
      <c r="SSM838" s="802"/>
      <c r="SSN838" s="802"/>
      <c r="SSO838" s="802"/>
      <c r="SSP838" s="802"/>
      <c r="SSQ838" s="802"/>
      <c r="SSR838" s="802"/>
      <c r="SSS838" s="802"/>
      <c r="SST838" s="802"/>
      <c r="SSU838" s="802"/>
      <c r="SSV838" s="802"/>
      <c r="SSW838" s="802"/>
      <c r="SSX838" s="802"/>
      <c r="SSY838" s="802"/>
      <c r="SSZ838" s="802"/>
      <c r="STA838" s="802"/>
      <c r="STB838" s="802"/>
      <c r="STC838" s="802"/>
      <c r="STD838" s="802"/>
      <c r="STE838" s="802"/>
      <c r="STF838" s="802"/>
      <c r="STG838" s="802"/>
      <c r="STH838" s="802"/>
      <c r="STI838" s="802"/>
      <c r="STJ838" s="802"/>
      <c r="STK838" s="802"/>
      <c r="STL838" s="802"/>
      <c r="STM838" s="802"/>
      <c r="STN838" s="802"/>
      <c r="STO838" s="802"/>
      <c r="STP838" s="802"/>
      <c r="STQ838" s="802"/>
      <c r="STR838" s="802"/>
      <c r="STS838" s="802"/>
      <c r="STT838" s="802"/>
      <c r="STU838" s="802"/>
      <c r="STV838" s="802"/>
      <c r="STW838" s="802"/>
      <c r="STX838" s="802"/>
      <c r="STY838" s="802"/>
      <c r="STZ838" s="802"/>
      <c r="SUA838" s="802"/>
      <c r="SUB838" s="802"/>
      <c r="SUC838" s="802"/>
      <c r="SUD838" s="802"/>
      <c r="SUE838" s="802"/>
      <c r="SUF838" s="802"/>
      <c r="SUG838" s="802"/>
      <c r="SUH838" s="802"/>
      <c r="SUI838" s="802"/>
      <c r="SUJ838" s="802"/>
      <c r="SUK838" s="802"/>
      <c r="SUL838" s="802"/>
      <c r="SUM838" s="802"/>
      <c r="SUN838" s="802"/>
      <c r="SUO838" s="802"/>
      <c r="SUP838" s="802"/>
      <c r="SUQ838" s="802"/>
      <c r="SUR838" s="802"/>
      <c r="SUS838" s="802"/>
      <c r="SUT838" s="802"/>
      <c r="SUU838" s="802"/>
      <c r="SUV838" s="802"/>
      <c r="SUW838" s="802"/>
      <c r="SUX838" s="802"/>
      <c r="SUY838" s="802"/>
      <c r="SUZ838" s="802"/>
      <c r="SVA838" s="802"/>
      <c r="SVB838" s="802"/>
      <c r="SVC838" s="802"/>
      <c r="SVD838" s="802"/>
      <c r="SVE838" s="802"/>
      <c r="SVF838" s="802"/>
      <c r="SVG838" s="802"/>
      <c r="SVH838" s="802"/>
      <c r="SVI838" s="802"/>
      <c r="SVJ838" s="802"/>
      <c r="SVK838" s="802"/>
      <c r="SVL838" s="802"/>
      <c r="SVM838" s="802"/>
      <c r="SVN838" s="802"/>
      <c r="SVO838" s="802"/>
      <c r="SVP838" s="802"/>
      <c r="SVQ838" s="802"/>
      <c r="SVR838" s="802"/>
      <c r="SVS838" s="802"/>
      <c r="SVT838" s="802"/>
      <c r="SVU838" s="802"/>
      <c r="SVV838" s="802"/>
      <c r="SVW838" s="802"/>
      <c r="SVX838" s="802"/>
      <c r="SVY838" s="802"/>
      <c r="SVZ838" s="802"/>
      <c r="SWA838" s="802"/>
      <c r="SWB838" s="802"/>
      <c r="SWC838" s="802"/>
      <c r="SWD838" s="802"/>
      <c r="SWE838" s="802"/>
      <c r="SWF838" s="802"/>
      <c r="SWG838" s="802"/>
      <c r="SWH838" s="802"/>
      <c r="SWI838" s="802"/>
      <c r="SWJ838" s="802"/>
      <c r="SWK838" s="802"/>
      <c r="SWL838" s="802"/>
      <c r="SWM838" s="802"/>
      <c r="SWN838" s="802"/>
      <c r="SWO838" s="802"/>
      <c r="SWP838" s="802"/>
      <c r="SWQ838" s="802"/>
      <c r="SWR838" s="802"/>
      <c r="SWS838" s="802"/>
      <c r="SWT838" s="802"/>
      <c r="SWU838" s="802"/>
      <c r="SWV838" s="802"/>
      <c r="SWW838" s="802"/>
      <c r="SWX838" s="802"/>
      <c r="SWY838" s="802"/>
      <c r="SWZ838" s="802"/>
      <c r="SXA838" s="802"/>
      <c r="SXB838" s="802"/>
      <c r="SXC838" s="802"/>
      <c r="SXD838" s="802"/>
      <c r="SXE838" s="802"/>
      <c r="SXF838" s="802"/>
      <c r="SXG838" s="802"/>
      <c r="SXH838" s="802"/>
      <c r="SXI838" s="802"/>
      <c r="SXJ838" s="802"/>
      <c r="SXK838" s="802"/>
      <c r="SXL838" s="802"/>
      <c r="SXM838" s="802"/>
      <c r="SXN838" s="802"/>
      <c r="SXO838" s="802"/>
      <c r="SXP838" s="802"/>
      <c r="SXQ838" s="802"/>
      <c r="SXR838" s="802"/>
      <c r="SXS838" s="802"/>
      <c r="SXT838" s="802"/>
      <c r="SXU838" s="802"/>
      <c r="SXV838" s="802"/>
      <c r="SXW838" s="802"/>
      <c r="SXX838" s="802"/>
      <c r="SXY838" s="802"/>
      <c r="SXZ838" s="802"/>
      <c r="SYA838" s="802"/>
      <c r="SYB838" s="802"/>
      <c r="SYC838" s="802"/>
      <c r="SYD838" s="802"/>
      <c r="SYE838" s="802"/>
      <c r="SYF838" s="802"/>
      <c r="SYG838" s="802"/>
      <c r="SYH838" s="802"/>
      <c r="SYI838" s="802"/>
      <c r="SYJ838" s="802"/>
      <c r="SYK838" s="802"/>
      <c r="SYL838" s="802"/>
      <c r="SYM838" s="802"/>
      <c r="SYN838" s="802"/>
      <c r="SYO838" s="802"/>
      <c r="SYP838" s="802"/>
      <c r="SYQ838" s="802"/>
      <c r="SYR838" s="802"/>
      <c r="SYS838" s="802"/>
      <c r="SYT838" s="802"/>
      <c r="SYU838" s="802"/>
      <c r="SYV838" s="802"/>
      <c r="SYW838" s="802"/>
      <c r="SYX838" s="802"/>
      <c r="SYY838" s="802"/>
      <c r="SYZ838" s="802"/>
      <c r="SZA838" s="802"/>
      <c r="SZB838" s="802"/>
      <c r="SZC838" s="802"/>
      <c r="SZD838" s="802"/>
      <c r="SZE838" s="802"/>
      <c r="SZF838" s="802"/>
      <c r="SZG838" s="802"/>
      <c r="SZH838" s="802"/>
      <c r="SZI838" s="802"/>
      <c r="SZJ838" s="802"/>
      <c r="SZK838" s="802"/>
      <c r="SZL838" s="802"/>
      <c r="SZM838" s="802"/>
      <c r="SZN838" s="802"/>
      <c r="SZO838" s="802"/>
      <c r="SZP838" s="802"/>
      <c r="SZQ838" s="802"/>
      <c r="SZR838" s="802"/>
      <c r="SZS838" s="802"/>
      <c r="SZT838" s="802"/>
      <c r="SZU838" s="802"/>
      <c r="SZV838" s="802"/>
      <c r="SZW838" s="802"/>
      <c r="SZX838" s="802"/>
      <c r="SZY838" s="802"/>
      <c r="SZZ838" s="802"/>
      <c r="TAA838" s="802"/>
      <c r="TAB838" s="802"/>
      <c r="TAC838" s="802"/>
      <c r="TAD838" s="802"/>
      <c r="TAE838" s="802"/>
      <c r="TAF838" s="802"/>
      <c r="TAG838" s="802"/>
      <c r="TAH838" s="802"/>
      <c r="TAI838" s="802"/>
      <c r="TAJ838" s="802"/>
      <c r="TAK838" s="802"/>
      <c r="TAL838" s="802"/>
      <c r="TAM838" s="802"/>
      <c r="TAN838" s="802"/>
      <c r="TAO838" s="802"/>
      <c r="TAP838" s="802"/>
      <c r="TAQ838" s="802"/>
      <c r="TAR838" s="802"/>
      <c r="TAS838" s="802"/>
      <c r="TAT838" s="802"/>
      <c r="TAU838" s="802"/>
      <c r="TAV838" s="802"/>
      <c r="TAW838" s="802"/>
      <c r="TAX838" s="802"/>
      <c r="TAY838" s="802"/>
      <c r="TAZ838" s="802"/>
      <c r="TBA838" s="802"/>
      <c r="TBB838" s="802"/>
      <c r="TBC838" s="802"/>
      <c r="TBD838" s="802"/>
      <c r="TBE838" s="802"/>
      <c r="TBF838" s="802"/>
      <c r="TBG838" s="802"/>
      <c r="TBH838" s="802"/>
      <c r="TBI838" s="802"/>
      <c r="TBJ838" s="802"/>
      <c r="TBK838" s="802"/>
      <c r="TBL838" s="802"/>
      <c r="TBM838" s="802"/>
      <c r="TBN838" s="802"/>
      <c r="TBO838" s="802"/>
      <c r="TBP838" s="802"/>
      <c r="TBQ838" s="802"/>
      <c r="TBR838" s="802"/>
      <c r="TBS838" s="802"/>
      <c r="TBT838" s="802"/>
      <c r="TBU838" s="802"/>
      <c r="TBV838" s="802"/>
      <c r="TBW838" s="802"/>
      <c r="TBX838" s="802"/>
      <c r="TBY838" s="802"/>
      <c r="TBZ838" s="802"/>
      <c r="TCA838" s="802"/>
      <c r="TCB838" s="802"/>
      <c r="TCC838" s="802"/>
      <c r="TCD838" s="802"/>
      <c r="TCE838" s="802"/>
      <c r="TCF838" s="802"/>
      <c r="TCG838" s="802"/>
      <c r="TCH838" s="802"/>
      <c r="TCI838" s="802"/>
      <c r="TCJ838" s="802"/>
      <c r="TCK838" s="802"/>
      <c r="TCL838" s="802"/>
      <c r="TCM838" s="802"/>
      <c r="TCN838" s="802"/>
      <c r="TCO838" s="802"/>
      <c r="TCP838" s="802"/>
      <c r="TCQ838" s="802"/>
      <c r="TCR838" s="802"/>
      <c r="TCS838" s="802"/>
      <c r="TCT838" s="802"/>
      <c r="TCU838" s="802"/>
      <c r="TCV838" s="802"/>
      <c r="TCW838" s="802"/>
      <c r="TCX838" s="802"/>
      <c r="TCY838" s="802"/>
      <c r="TCZ838" s="802"/>
      <c r="TDA838" s="802"/>
      <c r="TDB838" s="802"/>
      <c r="TDC838" s="802"/>
      <c r="TDD838" s="802"/>
      <c r="TDE838" s="802"/>
      <c r="TDF838" s="802"/>
      <c r="TDG838" s="802"/>
      <c r="TDH838" s="802"/>
      <c r="TDI838" s="802"/>
      <c r="TDJ838" s="802"/>
      <c r="TDK838" s="802"/>
      <c r="TDL838" s="802"/>
      <c r="TDM838" s="802"/>
      <c r="TDN838" s="802"/>
      <c r="TDO838" s="802"/>
      <c r="TDP838" s="802"/>
      <c r="TDQ838" s="802"/>
      <c r="TDR838" s="802"/>
      <c r="TDS838" s="802"/>
      <c r="TDT838" s="802"/>
      <c r="TDU838" s="802"/>
      <c r="TDV838" s="802"/>
      <c r="TDW838" s="802"/>
      <c r="TDX838" s="802"/>
      <c r="TDY838" s="802"/>
      <c r="TDZ838" s="802"/>
      <c r="TEA838" s="802"/>
      <c r="TEB838" s="802"/>
      <c r="TEC838" s="802"/>
      <c r="TED838" s="802"/>
      <c r="TEE838" s="802"/>
      <c r="TEF838" s="802"/>
      <c r="TEG838" s="802"/>
      <c r="TEH838" s="802"/>
      <c r="TEI838" s="802"/>
      <c r="TEJ838" s="802"/>
      <c r="TEK838" s="802"/>
      <c r="TEL838" s="802"/>
      <c r="TEM838" s="802"/>
      <c r="TEN838" s="802"/>
      <c r="TEO838" s="802"/>
      <c r="TEP838" s="802"/>
      <c r="TEQ838" s="802"/>
      <c r="TER838" s="802"/>
      <c r="TES838" s="802"/>
      <c r="TET838" s="802"/>
      <c r="TEU838" s="802"/>
      <c r="TEV838" s="802"/>
      <c r="TEW838" s="802"/>
      <c r="TEX838" s="802"/>
      <c r="TEY838" s="802"/>
      <c r="TEZ838" s="802"/>
      <c r="TFA838" s="802"/>
      <c r="TFB838" s="802"/>
      <c r="TFC838" s="802"/>
      <c r="TFD838" s="802"/>
      <c r="TFE838" s="802"/>
      <c r="TFF838" s="802"/>
      <c r="TFG838" s="802"/>
      <c r="TFH838" s="802"/>
      <c r="TFI838" s="802"/>
      <c r="TFJ838" s="802"/>
      <c r="TFK838" s="802"/>
      <c r="TFL838" s="802"/>
      <c r="TFM838" s="802"/>
      <c r="TFN838" s="802"/>
      <c r="TFO838" s="802"/>
      <c r="TFP838" s="802"/>
      <c r="TFQ838" s="802"/>
      <c r="TFR838" s="802"/>
      <c r="TFS838" s="802"/>
      <c r="TFT838" s="802"/>
      <c r="TFU838" s="802"/>
      <c r="TFV838" s="802"/>
      <c r="TFW838" s="802"/>
      <c r="TFX838" s="802"/>
      <c r="TFY838" s="802"/>
      <c r="TFZ838" s="802"/>
      <c r="TGA838" s="802"/>
      <c r="TGB838" s="802"/>
      <c r="TGC838" s="802"/>
      <c r="TGD838" s="802"/>
      <c r="TGE838" s="802"/>
      <c r="TGF838" s="802"/>
      <c r="TGG838" s="802"/>
      <c r="TGH838" s="802"/>
      <c r="TGI838" s="802"/>
      <c r="TGJ838" s="802"/>
      <c r="TGK838" s="802"/>
      <c r="TGL838" s="802"/>
      <c r="TGM838" s="802"/>
      <c r="TGN838" s="802"/>
      <c r="TGO838" s="802"/>
      <c r="TGP838" s="802"/>
      <c r="TGQ838" s="802"/>
      <c r="TGR838" s="802"/>
      <c r="TGS838" s="802"/>
      <c r="TGT838" s="802"/>
      <c r="TGU838" s="802"/>
      <c r="TGV838" s="802"/>
      <c r="TGW838" s="802"/>
      <c r="TGX838" s="802"/>
      <c r="TGY838" s="802"/>
      <c r="TGZ838" s="802"/>
      <c r="THA838" s="802"/>
      <c r="THB838" s="802"/>
      <c r="THC838" s="802"/>
      <c r="THD838" s="802"/>
      <c r="THE838" s="802"/>
      <c r="THF838" s="802"/>
      <c r="THG838" s="802"/>
      <c r="THH838" s="802"/>
      <c r="THI838" s="802"/>
      <c r="THJ838" s="802"/>
      <c r="THK838" s="802"/>
      <c r="THL838" s="802"/>
      <c r="THM838" s="802"/>
      <c r="THN838" s="802"/>
      <c r="THO838" s="802"/>
      <c r="THP838" s="802"/>
      <c r="THQ838" s="802"/>
      <c r="THR838" s="802"/>
      <c r="THS838" s="802"/>
      <c r="THT838" s="802"/>
      <c r="THU838" s="802"/>
      <c r="THV838" s="802"/>
      <c r="THW838" s="802"/>
      <c r="THX838" s="802"/>
      <c r="THY838" s="802"/>
      <c r="THZ838" s="802"/>
      <c r="TIA838" s="802"/>
      <c r="TIB838" s="802"/>
      <c r="TIC838" s="802"/>
      <c r="TID838" s="802"/>
      <c r="TIE838" s="802"/>
      <c r="TIF838" s="802"/>
      <c r="TIG838" s="802"/>
      <c r="TIH838" s="802"/>
      <c r="TII838" s="802"/>
      <c r="TIJ838" s="802"/>
      <c r="TIK838" s="802"/>
      <c r="TIL838" s="802"/>
      <c r="TIM838" s="802"/>
      <c r="TIN838" s="802"/>
      <c r="TIO838" s="802"/>
      <c r="TIP838" s="802"/>
      <c r="TIQ838" s="802"/>
      <c r="TIR838" s="802"/>
      <c r="TIS838" s="802"/>
      <c r="TIT838" s="802"/>
      <c r="TIU838" s="802"/>
      <c r="TIV838" s="802"/>
      <c r="TIW838" s="802"/>
      <c r="TIX838" s="802"/>
      <c r="TIY838" s="802"/>
      <c r="TIZ838" s="802"/>
      <c r="TJA838" s="802"/>
      <c r="TJB838" s="802"/>
      <c r="TJC838" s="802"/>
      <c r="TJD838" s="802"/>
      <c r="TJE838" s="802"/>
      <c r="TJF838" s="802"/>
      <c r="TJG838" s="802"/>
      <c r="TJH838" s="802"/>
      <c r="TJI838" s="802"/>
      <c r="TJJ838" s="802"/>
      <c r="TJK838" s="802"/>
      <c r="TJL838" s="802"/>
      <c r="TJM838" s="802"/>
      <c r="TJN838" s="802"/>
      <c r="TJO838" s="802"/>
      <c r="TJP838" s="802"/>
      <c r="TJQ838" s="802"/>
      <c r="TJR838" s="802"/>
      <c r="TJS838" s="802"/>
      <c r="TJT838" s="802"/>
      <c r="TJU838" s="802"/>
      <c r="TJV838" s="802"/>
      <c r="TJW838" s="802"/>
      <c r="TJX838" s="802"/>
      <c r="TJY838" s="802"/>
      <c r="TJZ838" s="802"/>
      <c r="TKA838" s="802"/>
      <c r="TKB838" s="802"/>
      <c r="TKC838" s="802"/>
      <c r="TKD838" s="802"/>
      <c r="TKE838" s="802"/>
      <c r="TKF838" s="802"/>
      <c r="TKG838" s="802"/>
      <c r="TKH838" s="802"/>
      <c r="TKI838" s="802"/>
      <c r="TKJ838" s="802"/>
      <c r="TKK838" s="802"/>
      <c r="TKL838" s="802"/>
      <c r="TKM838" s="802"/>
      <c r="TKN838" s="802"/>
      <c r="TKO838" s="802"/>
      <c r="TKP838" s="802"/>
      <c r="TKQ838" s="802"/>
      <c r="TKR838" s="802"/>
      <c r="TKS838" s="802"/>
      <c r="TKT838" s="802"/>
      <c r="TKU838" s="802"/>
      <c r="TKV838" s="802"/>
      <c r="TKW838" s="802"/>
      <c r="TKX838" s="802"/>
      <c r="TKY838" s="802"/>
      <c r="TKZ838" s="802"/>
      <c r="TLA838" s="802"/>
      <c r="TLB838" s="802"/>
      <c r="TLC838" s="802"/>
      <c r="TLD838" s="802"/>
      <c r="TLE838" s="802"/>
      <c r="TLF838" s="802"/>
      <c r="TLG838" s="802"/>
      <c r="TLH838" s="802"/>
      <c r="TLI838" s="802"/>
      <c r="TLJ838" s="802"/>
      <c r="TLK838" s="802"/>
      <c r="TLL838" s="802"/>
      <c r="TLM838" s="802"/>
      <c r="TLN838" s="802"/>
      <c r="TLO838" s="802"/>
      <c r="TLP838" s="802"/>
      <c r="TLQ838" s="802"/>
      <c r="TLR838" s="802"/>
      <c r="TLS838" s="802"/>
      <c r="TLT838" s="802"/>
      <c r="TLU838" s="802"/>
      <c r="TLV838" s="802"/>
      <c r="TLW838" s="802"/>
      <c r="TLX838" s="802"/>
      <c r="TLY838" s="802"/>
      <c r="TLZ838" s="802"/>
      <c r="TMA838" s="802"/>
      <c r="TMB838" s="802"/>
      <c r="TMC838" s="802"/>
      <c r="TMD838" s="802"/>
      <c r="TME838" s="802"/>
      <c r="TMF838" s="802"/>
      <c r="TMG838" s="802"/>
      <c r="TMH838" s="802"/>
      <c r="TMI838" s="802"/>
      <c r="TMJ838" s="802"/>
      <c r="TMK838" s="802"/>
      <c r="TML838" s="802"/>
      <c r="TMM838" s="802"/>
      <c r="TMN838" s="802"/>
      <c r="TMO838" s="802"/>
      <c r="TMP838" s="802"/>
      <c r="TMQ838" s="802"/>
      <c r="TMR838" s="802"/>
      <c r="TMS838" s="802"/>
      <c r="TMT838" s="802"/>
      <c r="TMU838" s="802"/>
      <c r="TMV838" s="802"/>
      <c r="TMW838" s="802"/>
      <c r="TMX838" s="802"/>
      <c r="TMY838" s="802"/>
      <c r="TMZ838" s="802"/>
      <c r="TNA838" s="802"/>
      <c r="TNB838" s="802"/>
      <c r="TNC838" s="802"/>
      <c r="TND838" s="802"/>
      <c r="TNE838" s="802"/>
      <c r="TNF838" s="802"/>
      <c r="TNG838" s="802"/>
      <c r="TNH838" s="802"/>
      <c r="TNI838" s="802"/>
      <c r="TNJ838" s="802"/>
      <c r="TNK838" s="802"/>
      <c r="TNL838" s="802"/>
      <c r="TNM838" s="802"/>
      <c r="TNN838" s="802"/>
      <c r="TNO838" s="802"/>
      <c r="TNP838" s="802"/>
      <c r="TNQ838" s="802"/>
      <c r="TNR838" s="802"/>
      <c r="TNS838" s="802"/>
      <c r="TNT838" s="802"/>
      <c r="TNU838" s="802"/>
      <c r="TNV838" s="802"/>
      <c r="TNW838" s="802"/>
      <c r="TNX838" s="802"/>
      <c r="TNY838" s="802"/>
      <c r="TNZ838" s="802"/>
      <c r="TOA838" s="802"/>
      <c r="TOB838" s="802"/>
      <c r="TOC838" s="802"/>
      <c r="TOD838" s="802"/>
      <c r="TOE838" s="802"/>
      <c r="TOF838" s="802"/>
      <c r="TOG838" s="802"/>
      <c r="TOH838" s="802"/>
      <c r="TOI838" s="802"/>
      <c r="TOJ838" s="802"/>
      <c r="TOK838" s="802"/>
      <c r="TOL838" s="802"/>
      <c r="TOM838" s="802"/>
      <c r="TON838" s="802"/>
      <c r="TOO838" s="802"/>
      <c r="TOP838" s="802"/>
      <c r="TOQ838" s="802"/>
      <c r="TOR838" s="802"/>
      <c r="TOS838" s="802"/>
      <c r="TOT838" s="802"/>
      <c r="TOU838" s="802"/>
      <c r="TOV838" s="802"/>
      <c r="TOW838" s="802"/>
      <c r="TOX838" s="802"/>
      <c r="TOY838" s="802"/>
      <c r="TOZ838" s="802"/>
      <c r="TPA838" s="802"/>
      <c r="TPB838" s="802"/>
      <c r="TPC838" s="802"/>
      <c r="TPD838" s="802"/>
      <c r="TPE838" s="802"/>
      <c r="TPF838" s="802"/>
      <c r="TPG838" s="802"/>
      <c r="TPH838" s="802"/>
      <c r="TPI838" s="802"/>
      <c r="TPJ838" s="802"/>
      <c r="TPK838" s="802"/>
      <c r="TPL838" s="802"/>
      <c r="TPM838" s="802"/>
      <c r="TPN838" s="802"/>
      <c r="TPO838" s="802"/>
      <c r="TPP838" s="802"/>
      <c r="TPQ838" s="802"/>
      <c r="TPR838" s="802"/>
      <c r="TPS838" s="802"/>
      <c r="TPT838" s="802"/>
      <c r="TPU838" s="802"/>
      <c r="TPV838" s="802"/>
      <c r="TPW838" s="802"/>
      <c r="TPX838" s="802"/>
      <c r="TPY838" s="802"/>
      <c r="TPZ838" s="802"/>
      <c r="TQA838" s="802"/>
      <c r="TQB838" s="802"/>
      <c r="TQC838" s="802"/>
      <c r="TQD838" s="802"/>
      <c r="TQE838" s="802"/>
      <c r="TQF838" s="802"/>
      <c r="TQG838" s="802"/>
      <c r="TQH838" s="802"/>
      <c r="TQI838" s="802"/>
      <c r="TQJ838" s="802"/>
      <c r="TQK838" s="802"/>
      <c r="TQL838" s="802"/>
      <c r="TQM838" s="802"/>
      <c r="TQN838" s="802"/>
      <c r="TQO838" s="802"/>
      <c r="TQP838" s="802"/>
      <c r="TQQ838" s="802"/>
      <c r="TQR838" s="802"/>
      <c r="TQS838" s="802"/>
      <c r="TQT838" s="802"/>
      <c r="TQU838" s="802"/>
      <c r="TQV838" s="802"/>
      <c r="TQW838" s="802"/>
      <c r="TQX838" s="802"/>
      <c r="TQY838" s="802"/>
      <c r="TQZ838" s="802"/>
      <c r="TRA838" s="802"/>
      <c r="TRB838" s="802"/>
      <c r="TRC838" s="802"/>
      <c r="TRD838" s="802"/>
      <c r="TRE838" s="802"/>
      <c r="TRF838" s="802"/>
      <c r="TRG838" s="802"/>
      <c r="TRH838" s="802"/>
      <c r="TRI838" s="802"/>
      <c r="TRJ838" s="802"/>
      <c r="TRK838" s="802"/>
      <c r="TRL838" s="802"/>
      <c r="TRM838" s="802"/>
      <c r="TRN838" s="802"/>
      <c r="TRO838" s="802"/>
      <c r="TRP838" s="802"/>
      <c r="TRQ838" s="802"/>
      <c r="TRR838" s="802"/>
      <c r="TRS838" s="802"/>
      <c r="TRT838" s="802"/>
      <c r="TRU838" s="802"/>
      <c r="TRV838" s="802"/>
      <c r="TRW838" s="802"/>
      <c r="TRX838" s="802"/>
      <c r="TRY838" s="802"/>
      <c r="TRZ838" s="802"/>
      <c r="TSA838" s="802"/>
      <c r="TSB838" s="802"/>
      <c r="TSC838" s="802"/>
      <c r="TSD838" s="802"/>
      <c r="TSE838" s="802"/>
      <c r="TSF838" s="802"/>
      <c r="TSG838" s="802"/>
      <c r="TSH838" s="802"/>
      <c r="TSI838" s="802"/>
      <c r="TSJ838" s="802"/>
      <c r="TSK838" s="802"/>
      <c r="TSL838" s="802"/>
      <c r="TSM838" s="802"/>
      <c r="TSN838" s="802"/>
      <c r="TSO838" s="802"/>
      <c r="TSP838" s="802"/>
      <c r="TSQ838" s="802"/>
      <c r="TSR838" s="802"/>
      <c r="TSS838" s="802"/>
      <c r="TST838" s="802"/>
      <c r="TSU838" s="802"/>
      <c r="TSV838" s="802"/>
      <c r="TSW838" s="802"/>
      <c r="TSX838" s="802"/>
      <c r="TSY838" s="802"/>
      <c r="TSZ838" s="802"/>
      <c r="TTA838" s="802"/>
      <c r="TTB838" s="802"/>
      <c r="TTC838" s="802"/>
      <c r="TTD838" s="802"/>
      <c r="TTE838" s="802"/>
      <c r="TTF838" s="802"/>
      <c r="TTG838" s="802"/>
      <c r="TTH838" s="802"/>
      <c r="TTI838" s="802"/>
      <c r="TTJ838" s="802"/>
      <c r="TTK838" s="802"/>
      <c r="TTL838" s="802"/>
      <c r="TTM838" s="802"/>
      <c r="TTN838" s="802"/>
      <c r="TTO838" s="802"/>
      <c r="TTP838" s="802"/>
      <c r="TTQ838" s="802"/>
      <c r="TTR838" s="802"/>
      <c r="TTS838" s="802"/>
      <c r="TTT838" s="802"/>
      <c r="TTU838" s="802"/>
      <c r="TTV838" s="802"/>
      <c r="TTW838" s="802"/>
      <c r="TTX838" s="802"/>
      <c r="TTY838" s="802"/>
      <c r="TTZ838" s="802"/>
      <c r="TUA838" s="802"/>
      <c r="TUB838" s="802"/>
      <c r="TUC838" s="802"/>
      <c r="TUD838" s="802"/>
      <c r="TUE838" s="802"/>
      <c r="TUF838" s="802"/>
      <c r="TUG838" s="802"/>
      <c r="TUH838" s="802"/>
      <c r="TUI838" s="802"/>
      <c r="TUJ838" s="802"/>
      <c r="TUK838" s="802"/>
      <c r="TUL838" s="802"/>
      <c r="TUM838" s="802"/>
      <c r="TUN838" s="802"/>
      <c r="TUO838" s="802"/>
      <c r="TUP838" s="802"/>
      <c r="TUQ838" s="802"/>
      <c r="TUR838" s="802"/>
      <c r="TUS838" s="802"/>
      <c r="TUT838" s="802"/>
      <c r="TUU838" s="802"/>
      <c r="TUV838" s="802"/>
      <c r="TUW838" s="802"/>
      <c r="TUX838" s="802"/>
      <c r="TUY838" s="802"/>
      <c r="TUZ838" s="802"/>
      <c r="TVA838" s="802"/>
      <c r="TVB838" s="802"/>
      <c r="TVC838" s="802"/>
      <c r="TVD838" s="802"/>
      <c r="TVE838" s="802"/>
      <c r="TVF838" s="802"/>
      <c r="TVG838" s="802"/>
      <c r="TVH838" s="802"/>
      <c r="TVI838" s="802"/>
      <c r="TVJ838" s="802"/>
      <c r="TVK838" s="802"/>
      <c r="TVL838" s="802"/>
      <c r="TVM838" s="802"/>
      <c r="TVN838" s="802"/>
      <c r="TVO838" s="802"/>
      <c r="TVP838" s="802"/>
      <c r="TVQ838" s="802"/>
      <c r="TVR838" s="802"/>
      <c r="TVS838" s="802"/>
      <c r="TVT838" s="802"/>
      <c r="TVU838" s="802"/>
      <c r="TVV838" s="802"/>
      <c r="TVW838" s="802"/>
      <c r="TVX838" s="802"/>
      <c r="TVY838" s="802"/>
      <c r="TVZ838" s="802"/>
      <c r="TWA838" s="802"/>
      <c r="TWB838" s="802"/>
      <c r="TWC838" s="802"/>
      <c r="TWD838" s="802"/>
      <c r="TWE838" s="802"/>
      <c r="TWF838" s="802"/>
      <c r="TWG838" s="802"/>
      <c r="TWH838" s="802"/>
      <c r="TWI838" s="802"/>
      <c r="TWJ838" s="802"/>
      <c r="TWK838" s="802"/>
      <c r="TWL838" s="802"/>
      <c r="TWM838" s="802"/>
      <c r="TWN838" s="802"/>
      <c r="TWO838" s="802"/>
      <c r="TWP838" s="802"/>
      <c r="TWQ838" s="802"/>
      <c r="TWR838" s="802"/>
      <c r="TWS838" s="802"/>
      <c r="TWT838" s="802"/>
      <c r="TWU838" s="802"/>
      <c r="TWV838" s="802"/>
      <c r="TWW838" s="802"/>
      <c r="TWX838" s="802"/>
      <c r="TWY838" s="802"/>
      <c r="TWZ838" s="802"/>
      <c r="TXA838" s="802"/>
      <c r="TXB838" s="802"/>
      <c r="TXC838" s="802"/>
      <c r="TXD838" s="802"/>
      <c r="TXE838" s="802"/>
      <c r="TXF838" s="802"/>
      <c r="TXG838" s="802"/>
      <c r="TXH838" s="802"/>
      <c r="TXI838" s="802"/>
      <c r="TXJ838" s="802"/>
      <c r="TXK838" s="802"/>
      <c r="TXL838" s="802"/>
      <c r="TXM838" s="802"/>
      <c r="TXN838" s="802"/>
      <c r="TXO838" s="802"/>
      <c r="TXP838" s="802"/>
      <c r="TXQ838" s="802"/>
      <c r="TXR838" s="802"/>
      <c r="TXS838" s="802"/>
      <c r="TXT838" s="802"/>
      <c r="TXU838" s="802"/>
      <c r="TXV838" s="802"/>
      <c r="TXW838" s="802"/>
      <c r="TXX838" s="802"/>
      <c r="TXY838" s="802"/>
      <c r="TXZ838" s="802"/>
      <c r="TYA838" s="802"/>
      <c r="TYB838" s="802"/>
      <c r="TYC838" s="802"/>
      <c r="TYD838" s="802"/>
      <c r="TYE838" s="802"/>
      <c r="TYF838" s="802"/>
      <c r="TYG838" s="802"/>
      <c r="TYH838" s="802"/>
      <c r="TYI838" s="802"/>
      <c r="TYJ838" s="802"/>
      <c r="TYK838" s="802"/>
      <c r="TYL838" s="802"/>
      <c r="TYM838" s="802"/>
      <c r="TYN838" s="802"/>
      <c r="TYO838" s="802"/>
      <c r="TYP838" s="802"/>
      <c r="TYQ838" s="802"/>
      <c r="TYR838" s="802"/>
      <c r="TYS838" s="802"/>
      <c r="TYT838" s="802"/>
      <c r="TYU838" s="802"/>
      <c r="TYV838" s="802"/>
      <c r="TYW838" s="802"/>
      <c r="TYX838" s="802"/>
      <c r="TYY838" s="802"/>
      <c r="TYZ838" s="802"/>
      <c r="TZA838" s="802"/>
      <c r="TZB838" s="802"/>
      <c r="TZC838" s="802"/>
      <c r="TZD838" s="802"/>
      <c r="TZE838" s="802"/>
      <c r="TZF838" s="802"/>
      <c r="TZG838" s="802"/>
      <c r="TZH838" s="802"/>
      <c r="TZI838" s="802"/>
      <c r="TZJ838" s="802"/>
      <c r="TZK838" s="802"/>
      <c r="TZL838" s="802"/>
      <c r="TZM838" s="802"/>
      <c r="TZN838" s="802"/>
      <c r="TZO838" s="802"/>
      <c r="TZP838" s="802"/>
      <c r="TZQ838" s="802"/>
      <c r="TZR838" s="802"/>
      <c r="TZS838" s="802"/>
      <c r="TZT838" s="802"/>
      <c r="TZU838" s="802"/>
      <c r="TZV838" s="802"/>
      <c r="TZW838" s="802"/>
      <c r="TZX838" s="802"/>
      <c r="TZY838" s="802"/>
      <c r="TZZ838" s="802"/>
      <c r="UAA838" s="802"/>
      <c r="UAB838" s="802"/>
      <c r="UAC838" s="802"/>
      <c r="UAD838" s="802"/>
      <c r="UAE838" s="802"/>
      <c r="UAF838" s="802"/>
      <c r="UAG838" s="802"/>
      <c r="UAH838" s="802"/>
      <c r="UAI838" s="802"/>
      <c r="UAJ838" s="802"/>
      <c r="UAK838" s="802"/>
      <c r="UAL838" s="802"/>
      <c r="UAM838" s="802"/>
      <c r="UAN838" s="802"/>
      <c r="UAO838" s="802"/>
      <c r="UAP838" s="802"/>
      <c r="UAQ838" s="802"/>
      <c r="UAR838" s="802"/>
      <c r="UAS838" s="802"/>
      <c r="UAT838" s="802"/>
      <c r="UAU838" s="802"/>
      <c r="UAV838" s="802"/>
      <c r="UAW838" s="802"/>
      <c r="UAX838" s="802"/>
      <c r="UAY838" s="802"/>
      <c r="UAZ838" s="802"/>
      <c r="UBA838" s="802"/>
      <c r="UBB838" s="802"/>
      <c r="UBC838" s="802"/>
      <c r="UBD838" s="802"/>
      <c r="UBE838" s="802"/>
      <c r="UBF838" s="802"/>
      <c r="UBG838" s="802"/>
      <c r="UBH838" s="802"/>
      <c r="UBI838" s="802"/>
      <c r="UBJ838" s="802"/>
      <c r="UBK838" s="802"/>
      <c r="UBL838" s="802"/>
      <c r="UBM838" s="802"/>
      <c r="UBN838" s="802"/>
      <c r="UBO838" s="802"/>
      <c r="UBP838" s="802"/>
      <c r="UBQ838" s="802"/>
      <c r="UBR838" s="802"/>
      <c r="UBS838" s="802"/>
      <c r="UBT838" s="802"/>
      <c r="UBU838" s="802"/>
      <c r="UBV838" s="802"/>
      <c r="UBW838" s="802"/>
      <c r="UBX838" s="802"/>
      <c r="UBY838" s="802"/>
      <c r="UBZ838" s="802"/>
      <c r="UCA838" s="802"/>
      <c r="UCB838" s="802"/>
      <c r="UCC838" s="802"/>
      <c r="UCD838" s="802"/>
      <c r="UCE838" s="802"/>
      <c r="UCF838" s="802"/>
      <c r="UCG838" s="802"/>
      <c r="UCH838" s="802"/>
      <c r="UCI838" s="802"/>
      <c r="UCJ838" s="802"/>
      <c r="UCK838" s="802"/>
      <c r="UCL838" s="802"/>
      <c r="UCM838" s="802"/>
      <c r="UCN838" s="802"/>
      <c r="UCO838" s="802"/>
      <c r="UCP838" s="802"/>
      <c r="UCQ838" s="802"/>
      <c r="UCR838" s="802"/>
      <c r="UCS838" s="802"/>
      <c r="UCT838" s="802"/>
      <c r="UCU838" s="802"/>
      <c r="UCV838" s="802"/>
      <c r="UCW838" s="802"/>
      <c r="UCX838" s="802"/>
      <c r="UCY838" s="802"/>
      <c r="UCZ838" s="802"/>
      <c r="UDA838" s="802"/>
      <c r="UDB838" s="802"/>
      <c r="UDC838" s="802"/>
      <c r="UDD838" s="802"/>
      <c r="UDE838" s="802"/>
      <c r="UDF838" s="802"/>
      <c r="UDG838" s="802"/>
      <c r="UDH838" s="802"/>
      <c r="UDI838" s="802"/>
      <c r="UDJ838" s="802"/>
      <c r="UDK838" s="802"/>
      <c r="UDL838" s="802"/>
      <c r="UDM838" s="802"/>
      <c r="UDN838" s="802"/>
      <c r="UDO838" s="802"/>
      <c r="UDP838" s="802"/>
      <c r="UDQ838" s="802"/>
      <c r="UDR838" s="802"/>
      <c r="UDS838" s="802"/>
      <c r="UDT838" s="802"/>
      <c r="UDU838" s="802"/>
      <c r="UDV838" s="802"/>
      <c r="UDW838" s="802"/>
      <c r="UDX838" s="802"/>
      <c r="UDY838" s="802"/>
      <c r="UDZ838" s="802"/>
      <c r="UEA838" s="802"/>
      <c r="UEB838" s="802"/>
      <c r="UEC838" s="802"/>
      <c r="UED838" s="802"/>
      <c r="UEE838" s="802"/>
      <c r="UEF838" s="802"/>
      <c r="UEG838" s="802"/>
      <c r="UEH838" s="802"/>
      <c r="UEI838" s="802"/>
      <c r="UEJ838" s="802"/>
      <c r="UEK838" s="802"/>
      <c r="UEL838" s="802"/>
      <c r="UEM838" s="802"/>
      <c r="UEN838" s="802"/>
      <c r="UEO838" s="802"/>
      <c r="UEP838" s="802"/>
      <c r="UEQ838" s="802"/>
      <c r="UER838" s="802"/>
      <c r="UES838" s="802"/>
      <c r="UET838" s="802"/>
      <c r="UEU838" s="802"/>
      <c r="UEV838" s="802"/>
      <c r="UEW838" s="802"/>
      <c r="UEX838" s="802"/>
      <c r="UEY838" s="802"/>
      <c r="UEZ838" s="802"/>
      <c r="UFA838" s="802"/>
      <c r="UFB838" s="802"/>
      <c r="UFC838" s="802"/>
      <c r="UFD838" s="802"/>
      <c r="UFE838" s="802"/>
      <c r="UFF838" s="802"/>
      <c r="UFG838" s="802"/>
      <c r="UFH838" s="802"/>
      <c r="UFI838" s="802"/>
      <c r="UFJ838" s="802"/>
      <c r="UFK838" s="802"/>
      <c r="UFL838" s="802"/>
      <c r="UFM838" s="802"/>
      <c r="UFN838" s="802"/>
      <c r="UFO838" s="802"/>
      <c r="UFP838" s="802"/>
      <c r="UFQ838" s="802"/>
      <c r="UFR838" s="802"/>
      <c r="UFS838" s="802"/>
      <c r="UFT838" s="802"/>
      <c r="UFU838" s="802"/>
      <c r="UFV838" s="802"/>
      <c r="UFW838" s="802"/>
      <c r="UFX838" s="802"/>
      <c r="UFY838" s="802"/>
      <c r="UFZ838" s="802"/>
      <c r="UGA838" s="802"/>
      <c r="UGB838" s="802"/>
      <c r="UGC838" s="802"/>
      <c r="UGD838" s="802"/>
      <c r="UGE838" s="802"/>
      <c r="UGF838" s="802"/>
      <c r="UGG838" s="802"/>
      <c r="UGH838" s="802"/>
      <c r="UGI838" s="802"/>
      <c r="UGJ838" s="802"/>
      <c r="UGK838" s="802"/>
      <c r="UGL838" s="802"/>
      <c r="UGM838" s="802"/>
      <c r="UGN838" s="802"/>
      <c r="UGO838" s="802"/>
      <c r="UGP838" s="802"/>
      <c r="UGQ838" s="802"/>
      <c r="UGR838" s="802"/>
      <c r="UGS838" s="802"/>
      <c r="UGT838" s="802"/>
      <c r="UGU838" s="802"/>
      <c r="UGV838" s="802"/>
      <c r="UGW838" s="802"/>
      <c r="UGX838" s="802"/>
      <c r="UGY838" s="802"/>
      <c r="UGZ838" s="802"/>
      <c r="UHA838" s="802"/>
      <c r="UHB838" s="802"/>
      <c r="UHC838" s="802"/>
      <c r="UHD838" s="802"/>
      <c r="UHE838" s="802"/>
      <c r="UHF838" s="802"/>
      <c r="UHG838" s="802"/>
      <c r="UHH838" s="802"/>
      <c r="UHI838" s="802"/>
      <c r="UHJ838" s="802"/>
      <c r="UHK838" s="802"/>
      <c r="UHL838" s="802"/>
      <c r="UHM838" s="802"/>
      <c r="UHN838" s="802"/>
      <c r="UHO838" s="802"/>
      <c r="UHP838" s="802"/>
      <c r="UHQ838" s="802"/>
      <c r="UHR838" s="802"/>
      <c r="UHS838" s="802"/>
      <c r="UHT838" s="802"/>
      <c r="UHU838" s="802"/>
      <c r="UHV838" s="802"/>
      <c r="UHW838" s="802"/>
      <c r="UHX838" s="802"/>
      <c r="UHY838" s="802"/>
      <c r="UHZ838" s="802"/>
      <c r="UIA838" s="802"/>
      <c r="UIB838" s="802"/>
      <c r="UIC838" s="802"/>
      <c r="UID838" s="802"/>
      <c r="UIE838" s="802"/>
      <c r="UIF838" s="802"/>
      <c r="UIG838" s="802"/>
      <c r="UIH838" s="802"/>
      <c r="UII838" s="802"/>
      <c r="UIJ838" s="802"/>
      <c r="UIK838" s="802"/>
      <c r="UIL838" s="802"/>
      <c r="UIM838" s="802"/>
      <c r="UIN838" s="802"/>
      <c r="UIO838" s="802"/>
      <c r="UIP838" s="802"/>
      <c r="UIQ838" s="802"/>
      <c r="UIR838" s="802"/>
      <c r="UIS838" s="802"/>
      <c r="UIT838" s="802"/>
      <c r="UIU838" s="802"/>
      <c r="UIV838" s="802"/>
      <c r="UIW838" s="802"/>
      <c r="UIX838" s="802"/>
      <c r="UIY838" s="802"/>
      <c r="UIZ838" s="802"/>
      <c r="UJA838" s="802"/>
      <c r="UJB838" s="802"/>
      <c r="UJC838" s="802"/>
      <c r="UJD838" s="802"/>
      <c r="UJE838" s="802"/>
      <c r="UJF838" s="802"/>
      <c r="UJG838" s="802"/>
      <c r="UJH838" s="802"/>
      <c r="UJI838" s="802"/>
      <c r="UJJ838" s="802"/>
      <c r="UJK838" s="802"/>
      <c r="UJL838" s="802"/>
      <c r="UJM838" s="802"/>
      <c r="UJN838" s="802"/>
      <c r="UJO838" s="802"/>
      <c r="UJP838" s="802"/>
      <c r="UJQ838" s="802"/>
      <c r="UJR838" s="802"/>
      <c r="UJS838" s="802"/>
      <c r="UJT838" s="802"/>
      <c r="UJU838" s="802"/>
      <c r="UJV838" s="802"/>
      <c r="UJW838" s="802"/>
      <c r="UJX838" s="802"/>
      <c r="UJY838" s="802"/>
      <c r="UJZ838" s="802"/>
      <c r="UKA838" s="802"/>
      <c r="UKB838" s="802"/>
      <c r="UKC838" s="802"/>
      <c r="UKD838" s="802"/>
      <c r="UKE838" s="802"/>
      <c r="UKF838" s="802"/>
      <c r="UKG838" s="802"/>
      <c r="UKH838" s="802"/>
      <c r="UKI838" s="802"/>
      <c r="UKJ838" s="802"/>
      <c r="UKK838" s="802"/>
      <c r="UKL838" s="802"/>
      <c r="UKM838" s="802"/>
      <c r="UKN838" s="802"/>
      <c r="UKO838" s="802"/>
      <c r="UKP838" s="802"/>
      <c r="UKQ838" s="802"/>
      <c r="UKR838" s="802"/>
      <c r="UKS838" s="802"/>
      <c r="UKT838" s="802"/>
      <c r="UKU838" s="802"/>
      <c r="UKV838" s="802"/>
      <c r="UKW838" s="802"/>
      <c r="UKX838" s="802"/>
      <c r="UKY838" s="802"/>
      <c r="UKZ838" s="802"/>
      <c r="ULA838" s="802"/>
      <c r="ULB838" s="802"/>
      <c r="ULC838" s="802"/>
      <c r="ULD838" s="802"/>
      <c r="ULE838" s="802"/>
      <c r="ULF838" s="802"/>
      <c r="ULG838" s="802"/>
      <c r="ULH838" s="802"/>
      <c r="ULI838" s="802"/>
      <c r="ULJ838" s="802"/>
      <c r="ULK838" s="802"/>
      <c r="ULL838" s="802"/>
      <c r="ULM838" s="802"/>
      <c r="ULN838" s="802"/>
      <c r="ULO838" s="802"/>
      <c r="ULP838" s="802"/>
      <c r="ULQ838" s="802"/>
      <c r="ULR838" s="802"/>
      <c r="ULS838" s="802"/>
      <c r="ULT838" s="802"/>
      <c r="ULU838" s="802"/>
      <c r="ULV838" s="802"/>
      <c r="ULW838" s="802"/>
      <c r="ULX838" s="802"/>
      <c r="ULY838" s="802"/>
      <c r="ULZ838" s="802"/>
      <c r="UMA838" s="802"/>
      <c r="UMB838" s="802"/>
      <c r="UMC838" s="802"/>
      <c r="UMD838" s="802"/>
      <c r="UME838" s="802"/>
      <c r="UMF838" s="802"/>
      <c r="UMG838" s="802"/>
      <c r="UMH838" s="802"/>
      <c r="UMI838" s="802"/>
      <c r="UMJ838" s="802"/>
      <c r="UMK838" s="802"/>
      <c r="UML838" s="802"/>
      <c r="UMM838" s="802"/>
      <c r="UMN838" s="802"/>
      <c r="UMO838" s="802"/>
      <c r="UMP838" s="802"/>
      <c r="UMQ838" s="802"/>
      <c r="UMR838" s="802"/>
      <c r="UMS838" s="802"/>
      <c r="UMT838" s="802"/>
      <c r="UMU838" s="802"/>
      <c r="UMV838" s="802"/>
      <c r="UMW838" s="802"/>
      <c r="UMX838" s="802"/>
      <c r="UMY838" s="802"/>
      <c r="UMZ838" s="802"/>
      <c r="UNA838" s="802"/>
      <c r="UNB838" s="802"/>
      <c r="UNC838" s="802"/>
      <c r="UND838" s="802"/>
      <c r="UNE838" s="802"/>
      <c r="UNF838" s="802"/>
      <c r="UNG838" s="802"/>
      <c r="UNH838" s="802"/>
      <c r="UNI838" s="802"/>
      <c r="UNJ838" s="802"/>
      <c r="UNK838" s="802"/>
      <c r="UNL838" s="802"/>
      <c r="UNM838" s="802"/>
      <c r="UNN838" s="802"/>
      <c r="UNO838" s="802"/>
      <c r="UNP838" s="802"/>
      <c r="UNQ838" s="802"/>
      <c r="UNR838" s="802"/>
      <c r="UNS838" s="802"/>
      <c r="UNT838" s="802"/>
      <c r="UNU838" s="802"/>
      <c r="UNV838" s="802"/>
      <c r="UNW838" s="802"/>
      <c r="UNX838" s="802"/>
      <c r="UNY838" s="802"/>
      <c r="UNZ838" s="802"/>
      <c r="UOA838" s="802"/>
      <c r="UOB838" s="802"/>
      <c r="UOC838" s="802"/>
      <c r="UOD838" s="802"/>
      <c r="UOE838" s="802"/>
      <c r="UOF838" s="802"/>
      <c r="UOG838" s="802"/>
      <c r="UOH838" s="802"/>
      <c r="UOI838" s="802"/>
      <c r="UOJ838" s="802"/>
      <c r="UOK838" s="802"/>
      <c r="UOL838" s="802"/>
      <c r="UOM838" s="802"/>
      <c r="UON838" s="802"/>
      <c r="UOO838" s="802"/>
      <c r="UOP838" s="802"/>
      <c r="UOQ838" s="802"/>
      <c r="UOR838" s="802"/>
      <c r="UOS838" s="802"/>
      <c r="UOT838" s="802"/>
      <c r="UOU838" s="802"/>
      <c r="UOV838" s="802"/>
      <c r="UOW838" s="802"/>
      <c r="UOX838" s="802"/>
      <c r="UOY838" s="802"/>
      <c r="UOZ838" s="802"/>
      <c r="UPA838" s="802"/>
      <c r="UPB838" s="802"/>
      <c r="UPC838" s="802"/>
      <c r="UPD838" s="802"/>
      <c r="UPE838" s="802"/>
      <c r="UPF838" s="802"/>
      <c r="UPG838" s="802"/>
      <c r="UPH838" s="802"/>
      <c r="UPI838" s="802"/>
      <c r="UPJ838" s="802"/>
      <c r="UPK838" s="802"/>
      <c r="UPL838" s="802"/>
      <c r="UPM838" s="802"/>
      <c r="UPN838" s="802"/>
      <c r="UPO838" s="802"/>
      <c r="UPP838" s="802"/>
      <c r="UPQ838" s="802"/>
      <c r="UPR838" s="802"/>
      <c r="UPS838" s="802"/>
      <c r="UPT838" s="802"/>
      <c r="UPU838" s="802"/>
      <c r="UPV838" s="802"/>
      <c r="UPW838" s="802"/>
      <c r="UPX838" s="802"/>
      <c r="UPY838" s="802"/>
      <c r="UPZ838" s="802"/>
      <c r="UQA838" s="802"/>
      <c r="UQB838" s="802"/>
      <c r="UQC838" s="802"/>
      <c r="UQD838" s="802"/>
      <c r="UQE838" s="802"/>
      <c r="UQF838" s="802"/>
      <c r="UQG838" s="802"/>
      <c r="UQH838" s="802"/>
      <c r="UQI838" s="802"/>
      <c r="UQJ838" s="802"/>
      <c r="UQK838" s="802"/>
      <c r="UQL838" s="802"/>
      <c r="UQM838" s="802"/>
      <c r="UQN838" s="802"/>
      <c r="UQO838" s="802"/>
      <c r="UQP838" s="802"/>
      <c r="UQQ838" s="802"/>
      <c r="UQR838" s="802"/>
      <c r="UQS838" s="802"/>
      <c r="UQT838" s="802"/>
      <c r="UQU838" s="802"/>
      <c r="UQV838" s="802"/>
      <c r="UQW838" s="802"/>
      <c r="UQX838" s="802"/>
      <c r="UQY838" s="802"/>
      <c r="UQZ838" s="802"/>
      <c r="URA838" s="802"/>
      <c r="URB838" s="802"/>
      <c r="URC838" s="802"/>
      <c r="URD838" s="802"/>
      <c r="URE838" s="802"/>
      <c r="URF838" s="802"/>
      <c r="URG838" s="802"/>
      <c r="URH838" s="802"/>
      <c r="URI838" s="802"/>
      <c r="URJ838" s="802"/>
      <c r="URK838" s="802"/>
      <c r="URL838" s="802"/>
      <c r="URM838" s="802"/>
      <c r="URN838" s="802"/>
      <c r="URO838" s="802"/>
      <c r="URP838" s="802"/>
      <c r="URQ838" s="802"/>
      <c r="URR838" s="802"/>
      <c r="URS838" s="802"/>
      <c r="URT838" s="802"/>
      <c r="URU838" s="802"/>
      <c r="URV838" s="802"/>
      <c r="URW838" s="802"/>
      <c r="URX838" s="802"/>
      <c r="URY838" s="802"/>
      <c r="URZ838" s="802"/>
      <c r="USA838" s="802"/>
      <c r="USB838" s="802"/>
      <c r="USC838" s="802"/>
      <c r="USD838" s="802"/>
      <c r="USE838" s="802"/>
      <c r="USF838" s="802"/>
      <c r="USG838" s="802"/>
      <c r="USH838" s="802"/>
      <c r="USI838" s="802"/>
      <c r="USJ838" s="802"/>
      <c r="USK838" s="802"/>
      <c r="USL838" s="802"/>
      <c r="USM838" s="802"/>
      <c r="USN838" s="802"/>
      <c r="USO838" s="802"/>
      <c r="USP838" s="802"/>
      <c r="USQ838" s="802"/>
      <c r="USR838" s="802"/>
      <c r="USS838" s="802"/>
      <c r="UST838" s="802"/>
      <c r="USU838" s="802"/>
      <c r="USV838" s="802"/>
      <c r="USW838" s="802"/>
      <c r="USX838" s="802"/>
      <c r="USY838" s="802"/>
      <c r="USZ838" s="802"/>
      <c r="UTA838" s="802"/>
      <c r="UTB838" s="802"/>
      <c r="UTC838" s="802"/>
      <c r="UTD838" s="802"/>
      <c r="UTE838" s="802"/>
      <c r="UTF838" s="802"/>
      <c r="UTG838" s="802"/>
      <c r="UTH838" s="802"/>
      <c r="UTI838" s="802"/>
      <c r="UTJ838" s="802"/>
      <c r="UTK838" s="802"/>
      <c r="UTL838" s="802"/>
      <c r="UTM838" s="802"/>
      <c r="UTN838" s="802"/>
      <c r="UTO838" s="802"/>
      <c r="UTP838" s="802"/>
      <c r="UTQ838" s="802"/>
      <c r="UTR838" s="802"/>
      <c r="UTS838" s="802"/>
      <c r="UTT838" s="802"/>
      <c r="UTU838" s="802"/>
      <c r="UTV838" s="802"/>
      <c r="UTW838" s="802"/>
      <c r="UTX838" s="802"/>
      <c r="UTY838" s="802"/>
      <c r="UTZ838" s="802"/>
      <c r="UUA838" s="802"/>
      <c r="UUB838" s="802"/>
      <c r="UUC838" s="802"/>
      <c r="UUD838" s="802"/>
      <c r="UUE838" s="802"/>
      <c r="UUF838" s="802"/>
      <c r="UUG838" s="802"/>
      <c r="UUH838" s="802"/>
      <c r="UUI838" s="802"/>
      <c r="UUJ838" s="802"/>
      <c r="UUK838" s="802"/>
      <c r="UUL838" s="802"/>
      <c r="UUM838" s="802"/>
      <c r="UUN838" s="802"/>
      <c r="UUO838" s="802"/>
      <c r="UUP838" s="802"/>
      <c r="UUQ838" s="802"/>
      <c r="UUR838" s="802"/>
      <c r="UUS838" s="802"/>
      <c r="UUT838" s="802"/>
      <c r="UUU838" s="802"/>
      <c r="UUV838" s="802"/>
      <c r="UUW838" s="802"/>
      <c r="UUX838" s="802"/>
      <c r="UUY838" s="802"/>
      <c r="UUZ838" s="802"/>
      <c r="UVA838" s="802"/>
      <c r="UVB838" s="802"/>
      <c r="UVC838" s="802"/>
      <c r="UVD838" s="802"/>
      <c r="UVE838" s="802"/>
      <c r="UVF838" s="802"/>
      <c r="UVG838" s="802"/>
      <c r="UVH838" s="802"/>
      <c r="UVI838" s="802"/>
      <c r="UVJ838" s="802"/>
      <c r="UVK838" s="802"/>
      <c r="UVL838" s="802"/>
      <c r="UVM838" s="802"/>
      <c r="UVN838" s="802"/>
      <c r="UVO838" s="802"/>
      <c r="UVP838" s="802"/>
      <c r="UVQ838" s="802"/>
      <c r="UVR838" s="802"/>
      <c r="UVS838" s="802"/>
      <c r="UVT838" s="802"/>
      <c r="UVU838" s="802"/>
      <c r="UVV838" s="802"/>
      <c r="UVW838" s="802"/>
      <c r="UVX838" s="802"/>
      <c r="UVY838" s="802"/>
      <c r="UVZ838" s="802"/>
      <c r="UWA838" s="802"/>
      <c r="UWB838" s="802"/>
      <c r="UWC838" s="802"/>
      <c r="UWD838" s="802"/>
      <c r="UWE838" s="802"/>
      <c r="UWF838" s="802"/>
      <c r="UWG838" s="802"/>
      <c r="UWH838" s="802"/>
      <c r="UWI838" s="802"/>
      <c r="UWJ838" s="802"/>
      <c r="UWK838" s="802"/>
      <c r="UWL838" s="802"/>
      <c r="UWM838" s="802"/>
      <c r="UWN838" s="802"/>
      <c r="UWO838" s="802"/>
      <c r="UWP838" s="802"/>
      <c r="UWQ838" s="802"/>
      <c r="UWR838" s="802"/>
      <c r="UWS838" s="802"/>
      <c r="UWT838" s="802"/>
      <c r="UWU838" s="802"/>
      <c r="UWV838" s="802"/>
      <c r="UWW838" s="802"/>
      <c r="UWX838" s="802"/>
      <c r="UWY838" s="802"/>
      <c r="UWZ838" s="802"/>
      <c r="UXA838" s="802"/>
      <c r="UXB838" s="802"/>
      <c r="UXC838" s="802"/>
      <c r="UXD838" s="802"/>
      <c r="UXE838" s="802"/>
      <c r="UXF838" s="802"/>
      <c r="UXG838" s="802"/>
      <c r="UXH838" s="802"/>
      <c r="UXI838" s="802"/>
      <c r="UXJ838" s="802"/>
      <c r="UXK838" s="802"/>
      <c r="UXL838" s="802"/>
      <c r="UXM838" s="802"/>
      <c r="UXN838" s="802"/>
      <c r="UXO838" s="802"/>
      <c r="UXP838" s="802"/>
      <c r="UXQ838" s="802"/>
      <c r="UXR838" s="802"/>
      <c r="UXS838" s="802"/>
      <c r="UXT838" s="802"/>
      <c r="UXU838" s="802"/>
      <c r="UXV838" s="802"/>
      <c r="UXW838" s="802"/>
      <c r="UXX838" s="802"/>
      <c r="UXY838" s="802"/>
      <c r="UXZ838" s="802"/>
      <c r="UYA838" s="802"/>
      <c r="UYB838" s="802"/>
      <c r="UYC838" s="802"/>
      <c r="UYD838" s="802"/>
      <c r="UYE838" s="802"/>
      <c r="UYF838" s="802"/>
      <c r="UYG838" s="802"/>
      <c r="UYH838" s="802"/>
      <c r="UYI838" s="802"/>
      <c r="UYJ838" s="802"/>
      <c r="UYK838" s="802"/>
      <c r="UYL838" s="802"/>
      <c r="UYM838" s="802"/>
      <c r="UYN838" s="802"/>
      <c r="UYO838" s="802"/>
      <c r="UYP838" s="802"/>
      <c r="UYQ838" s="802"/>
      <c r="UYR838" s="802"/>
      <c r="UYS838" s="802"/>
      <c r="UYT838" s="802"/>
      <c r="UYU838" s="802"/>
      <c r="UYV838" s="802"/>
      <c r="UYW838" s="802"/>
      <c r="UYX838" s="802"/>
      <c r="UYY838" s="802"/>
      <c r="UYZ838" s="802"/>
      <c r="UZA838" s="802"/>
      <c r="UZB838" s="802"/>
      <c r="UZC838" s="802"/>
      <c r="UZD838" s="802"/>
      <c r="UZE838" s="802"/>
      <c r="UZF838" s="802"/>
      <c r="UZG838" s="802"/>
      <c r="UZH838" s="802"/>
      <c r="UZI838" s="802"/>
      <c r="UZJ838" s="802"/>
      <c r="UZK838" s="802"/>
      <c r="UZL838" s="802"/>
      <c r="UZM838" s="802"/>
      <c r="UZN838" s="802"/>
      <c r="UZO838" s="802"/>
      <c r="UZP838" s="802"/>
      <c r="UZQ838" s="802"/>
      <c r="UZR838" s="802"/>
      <c r="UZS838" s="802"/>
      <c r="UZT838" s="802"/>
      <c r="UZU838" s="802"/>
      <c r="UZV838" s="802"/>
      <c r="UZW838" s="802"/>
      <c r="UZX838" s="802"/>
      <c r="UZY838" s="802"/>
      <c r="UZZ838" s="802"/>
      <c r="VAA838" s="802"/>
      <c r="VAB838" s="802"/>
      <c r="VAC838" s="802"/>
      <c r="VAD838" s="802"/>
      <c r="VAE838" s="802"/>
      <c r="VAF838" s="802"/>
      <c r="VAG838" s="802"/>
      <c r="VAH838" s="802"/>
      <c r="VAI838" s="802"/>
      <c r="VAJ838" s="802"/>
      <c r="VAK838" s="802"/>
      <c r="VAL838" s="802"/>
      <c r="VAM838" s="802"/>
      <c r="VAN838" s="802"/>
      <c r="VAO838" s="802"/>
      <c r="VAP838" s="802"/>
      <c r="VAQ838" s="802"/>
      <c r="VAR838" s="802"/>
      <c r="VAS838" s="802"/>
      <c r="VAT838" s="802"/>
      <c r="VAU838" s="802"/>
      <c r="VAV838" s="802"/>
      <c r="VAW838" s="802"/>
      <c r="VAX838" s="802"/>
      <c r="VAY838" s="802"/>
      <c r="VAZ838" s="802"/>
      <c r="VBA838" s="802"/>
      <c r="VBB838" s="802"/>
      <c r="VBC838" s="802"/>
      <c r="VBD838" s="802"/>
      <c r="VBE838" s="802"/>
      <c r="VBF838" s="802"/>
      <c r="VBG838" s="802"/>
      <c r="VBH838" s="802"/>
      <c r="VBI838" s="802"/>
      <c r="VBJ838" s="802"/>
      <c r="VBK838" s="802"/>
      <c r="VBL838" s="802"/>
      <c r="VBM838" s="802"/>
      <c r="VBN838" s="802"/>
      <c r="VBO838" s="802"/>
      <c r="VBP838" s="802"/>
      <c r="VBQ838" s="802"/>
      <c r="VBR838" s="802"/>
      <c r="VBS838" s="802"/>
      <c r="VBT838" s="802"/>
      <c r="VBU838" s="802"/>
      <c r="VBV838" s="802"/>
      <c r="VBW838" s="802"/>
      <c r="VBX838" s="802"/>
      <c r="VBY838" s="802"/>
      <c r="VBZ838" s="802"/>
      <c r="VCA838" s="802"/>
      <c r="VCB838" s="802"/>
      <c r="VCC838" s="802"/>
      <c r="VCD838" s="802"/>
      <c r="VCE838" s="802"/>
      <c r="VCF838" s="802"/>
      <c r="VCG838" s="802"/>
      <c r="VCH838" s="802"/>
      <c r="VCI838" s="802"/>
      <c r="VCJ838" s="802"/>
      <c r="VCK838" s="802"/>
      <c r="VCL838" s="802"/>
      <c r="VCM838" s="802"/>
      <c r="VCN838" s="802"/>
      <c r="VCO838" s="802"/>
      <c r="VCP838" s="802"/>
      <c r="VCQ838" s="802"/>
      <c r="VCR838" s="802"/>
      <c r="VCS838" s="802"/>
      <c r="VCT838" s="802"/>
      <c r="VCU838" s="802"/>
      <c r="VCV838" s="802"/>
      <c r="VCW838" s="802"/>
      <c r="VCX838" s="802"/>
      <c r="VCY838" s="802"/>
      <c r="VCZ838" s="802"/>
      <c r="VDA838" s="802"/>
      <c r="VDB838" s="802"/>
      <c r="VDC838" s="802"/>
      <c r="VDD838" s="802"/>
      <c r="VDE838" s="802"/>
      <c r="VDF838" s="802"/>
      <c r="VDG838" s="802"/>
      <c r="VDH838" s="802"/>
      <c r="VDI838" s="802"/>
      <c r="VDJ838" s="802"/>
      <c r="VDK838" s="802"/>
      <c r="VDL838" s="802"/>
      <c r="VDM838" s="802"/>
      <c r="VDN838" s="802"/>
      <c r="VDO838" s="802"/>
      <c r="VDP838" s="802"/>
      <c r="VDQ838" s="802"/>
      <c r="VDR838" s="802"/>
      <c r="VDS838" s="802"/>
      <c r="VDT838" s="802"/>
      <c r="VDU838" s="802"/>
      <c r="VDV838" s="802"/>
      <c r="VDW838" s="802"/>
      <c r="VDX838" s="802"/>
      <c r="VDY838" s="802"/>
      <c r="VDZ838" s="802"/>
      <c r="VEA838" s="802"/>
      <c r="VEB838" s="802"/>
      <c r="VEC838" s="802"/>
      <c r="VED838" s="802"/>
      <c r="VEE838" s="802"/>
      <c r="VEF838" s="802"/>
      <c r="VEG838" s="802"/>
      <c r="VEH838" s="802"/>
      <c r="VEI838" s="802"/>
      <c r="VEJ838" s="802"/>
      <c r="VEK838" s="802"/>
      <c r="VEL838" s="802"/>
      <c r="VEM838" s="802"/>
      <c r="VEN838" s="802"/>
      <c r="VEO838" s="802"/>
      <c r="VEP838" s="802"/>
      <c r="VEQ838" s="802"/>
      <c r="VER838" s="802"/>
      <c r="VES838" s="802"/>
      <c r="VET838" s="802"/>
      <c r="VEU838" s="802"/>
      <c r="VEV838" s="802"/>
      <c r="VEW838" s="802"/>
      <c r="VEX838" s="802"/>
      <c r="VEY838" s="802"/>
      <c r="VEZ838" s="802"/>
      <c r="VFA838" s="802"/>
      <c r="VFB838" s="802"/>
      <c r="VFC838" s="802"/>
      <c r="VFD838" s="802"/>
      <c r="VFE838" s="802"/>
      <c r="VFF838" s="802"/>
      <c r="VFG838" s="802"/>
      <c r="VFH838" s="802"/>
      <c r="VFI838" s="802"/>
      <c r="VFJ838" s="802"/>
      <c r="VFK838" s="802"/>
      <c r="VFL838" s="802"/>
      <c r="VFM838" s="802"/>
      <c r="VFN838" s="802"/>
      <c r="VFO838" s="802"/>
      <c r="VFP838" s="802"/>
      <c r="VFQ838" s="802"/>
      <c r="VFR838" s="802"/>
      <c r="VFS838" s="802"/>
      <c r="VFT838" s="802"/>
      <c r="VFU838" s="802"/>
      <c r="VFV838" s="802"/>
      <c r="VFW838" s="802"/>
      <c r="VFX838" s="802"/>
      <c r="VFY838" s="802"/>
      <c r="VFZ838" s="802"/>
      <c r="VGA838" s="802"/>
      <c r="VGB838" s="802"/>
      <c r="VGC838" s="802"/>
      <c r="VGD838" s="802"/>
      <c r="VGE838" s="802"/>
      <c r="VGF838" s="802"/>
      <c r="VGG838" s="802"/>
      <c r="VGH838" s="802"/>
      <c r="VGI838" s="802"/>
      <c r="VGJ838" s="802"/>
      <c r="VGK838" s="802"/>
      <c r="VGL838" s="802"/>
      <c r="VGM838" s="802"/>
      <c r="VGN838" s="802"/>
      <c r="VGO838" s="802"/>
      <c r="VGP838" s="802"/>
      <c r="VGQ838" s="802"/>
      <c r="VGR838" s="802"/>
      <c r="VGS838" s="802"/>
      <c r="VGT838" s="802"/>
      <c r="VGU838" s="802"/>
      <c r="VGV838" s="802"/>
      <c r="VGW838" s="802"/>
      <c r="VGX838" s="802"/>
      <c r="VGY838" s="802"/>
      <c r="VGZ838" s="802"/>
      <c r="VHA838" s="802"/>
      <c r="VHB838" s="802"/>
      <c r="VHC838" s="802"/>
      <c r="VHD838" s="802"/>
      <c r="VHE838" s="802"/>
      <c r="VHF838" s="802"/>
      <c r="VHG838" s="802"/>
      <c r="VHH838" s="802"/>
      <c r="VHI838" s="802"/>
      <c r="VHJ838" s="802"/>
      <c r="VHK838" s="802"/>
      <c r="VHL838" s="802"/>
      <c r="VHM838" s="802"/>
      <c r="VHN838" s="802"/>
      <c r="VHO838" s="802"/>
      <c r="VHP838" s="802"/>
      <c r="VHQ838" s="802"/>
      <c r="VHR838" s="802"/>
      <c r="VHS838" s="802"/>
      <c r="VHT838" s="802"/>
      <c r="VHU838" s="802"/>
      <c r="VHV838" s="802"/>
      <c r="VHW838" s="802"/>
      <c r="VHX838" s="802"/>
      <c r="VHY838" s="802"/>
      <c r="VHZ838" s="802"/>
      <c r="VIA838" s="802"/>
      <c r="VIB838" s="802"/>
      <c r="VIC838" s="802"/>
      <c r="VID838" s="802"/>
      <c r="VIE838" s="802"/>
      <c r="VIF838" s="802"/>
      <c r="VIG838" s="802"/>
      <c r="VIH838" s="802"/>
      <c r="VII838" s="802"/>
      <c r="VIJ838" s="802"/>
      <c r="VIK838" s="802"/>
      <c r="VIL838" s="802"/>
      <c r="VIM838" s="802"/>
      <c r="VIN838" s="802"/>
      <c r="VIO838" s="802"/>
      <c r="VIP838" s="802"/>
      <c r="VIQ838" s="802"/>
      <c r="VIR838" s="802"/>
      <c r="VIS838" s="802"/>
      <c r="VIT838" s="802"/>
      <c r="VIU838" s="802"/>
      <c r="VIV838" s="802"/>
      <c r="VIW838" s="802"/>
      <c r="VIX838" s="802"/>
      <c r="VIY838" s="802"/>
      <c r="VIZ838" s="802"/>
      <c r="VJA838" s="802"/>
      <c r="VJB838" s="802"/>
      <c r="VJC838" s="802"/>
      <c r="VJD838" s="802"/>
      <c r="VJE838" s="802"/>
      <c r="VJF838" s="802"/>
      <c r="VJG838" s="802"/>
      <c r="VJH838" s="802"/>
      <c r="VJI838" s="802"/>
      <c r="VJJ838" s="802"/>
      <c r="VJK838" s="802"/>
      <c r="VJL838" s="802"/>
      <c r="VJM838" s="802"/>
      <c r="VJN838" s="802"/>
      <c r="VJO838" s="802"/>
      <c r="VJP838" s="802"/>
      <c r="VJQ838" s="802"/>
      <c r="VJR838" s="802"/>
      <c r="VJS838" s="802"/>
      <c r="VJT838" s="802"/>
      <c r="VJU838" s="802"/>
      <c r="VJV838" s="802"/>
      <c r="VJW838" s="802"/>
      <c r="VJX838" s="802"/>
      <c r="VJY838" s="802"/>
      <c r="VJZ838" s="802"/>
      <c r="VKA838" s="802"/>
      <c r="VKB838" s="802"/>
      <c r="VKC838" s="802"/>
      <c r="VKD838" s="802"/>
      <c r="VKE838" s="802"/>
      <c r="VKF838" s="802"/>
      <c r="VKG838" s="802"/>
      <c r="VKH838" s="802"/>
      <c r="VKI838" s="802"/>
      <c r="VKJ838" s="802"/>
      <c r="VKK838" s="802"/>
      <c r="VKL838" s="802"/>
      <c r="VKM838" s="802"/>
      <c r="VKN838" s="802"/>
      <c r="VKO838" s="802"/>
      <c r="VKP838" s="802"/>
      <c r="VKQ838" s="802"/>
      <c r="VKR838" s="802"/>
      <c r="VKS838" s="802"/>
      <c r="VKT838" s="802"/>
      <c r="VKU838" s="802"/>
      <c r="VKV838" s="802"/>
      <c r="VKW838" s="802"/>
      <c r="VKX838" s="802"/>
      <c r="VKY838" s="802"/>
      <c r="VKZ838" s="802"/>
      <c r="VLA838" s="802"/>
      <c r="VLB838" s="802"/>
      <c r="VLC838" s="802"/>
      <c r="VLD838" s="802"/>
      <c r="VLE838" s="802"/>
      <c r="VLF838" s="802"/>
      <c r="VLG838" s="802"/>
      <c r="VLH838" s="802"/>
      <c r="VLI838" s="802"/>
      <c r="VLJ838" s="802"/>
      <c r="VLK838" s="802"/>
      <c r="VLL838" s="802"/>
      <c r="VLM838" s="802"/>
      <c r="VLN838" s="802"/>
      <c r="VLO838" s="802"/>
      <c r="VLP838" s="802"/>
      <c r="VLQ838" s="802"/>
      <c r="VLR838" s="802"/>
      <c r="VLS838" s="802"/>
      <c r="VLT838" s="802"/>
      <c r="VLU838" s="802"/>
      <c r="VLV838" s="802"/>
      <c r="VLW838" s="802"/>
      <c r="VLX838" s="802"/>
      <c r="VLY838" s="802"/>
      <c r="VLZ838" s="802"/>
      <c r="VMA838" s="802"/>
      <c r="VMB838" s="802"/>
      <c r="VMC838" s="802"/>
      <c r="VMD838" s="802"/>
      <c r="VME838" s="802"/>
      <c r="VMF838" s="802"/>
      <c r="VMG838" s="802"/>
      <c r="VMH838" s="802"/>
      <c r="VMI838" s="802"/>
      <c r="VMJ838" s="802"/>
      <c r="VMK838" s="802"/>
      <c r="VML838" s="802"/>
      <c r="VMM838" s="802"/>
      <c r="VMN838" s="802"/>
      <c r="VMO838" s="802"/>
      <c r="VMP838" s="802"/>
      <c r="VMQ838" s="802"/>
      <c r="VMR838" s="802"/>
      <c r="VMS838" s="802"/>
      <c r="VMT838" s="802"/>
      <c r="VMU838" s="802"/>
      <c r="VMV838" s="802"/>
      <c r="VMW838" s="802"/>
      <c r="VMX838" s="802"/>
      <c r="VMY838" s="802"/>
      <c r="VMZ838" s="802"/>
      <c r="VNA838" s="802"/>
      <c r="VNB838" s="802"/>
      <c r="VNC838" s="802"/>
      <c r="VND838" s="802"/>
      <c r="VNE838" s="802"/>
      <c r="VNF838" s="802"/>
      <c r="VNG838" s="802"/>
      <c r="VNH838" s="802"/>
      <c r="VNI838" s="802"/>
      <c r="VNJ838" s="802"/>
      <c r="VNK838" s="802"/>
      <c r="VNL838" s="802"/>
      <c r="VNM838" s="802"/>
      <c r="VNN838" s="802"/>
      <c r="VNO838" s="802"/>
      <c r="VNP838" s="802"/>
      <c r="VNQ838" s="802"/>
      <c r="VNR838" s="802"/>
      <c r="VNS838" s="802"/>
      <c r="VNT838" s="802"/>
      <c r="VNU838" s="802"/>
      <c r="VNV838" s="802"/>
      <c r="VNW838" s="802"/>
      <c r="VNX838" s="802"/>
      <c r="VNY838" s="802"/>
      <c r="VNZ838" s="802"/>
      <c r="VOA838" s="802"/>
      <c r="VOB838" s="802"/>
      <c r="VOC838" s="802"/>
      <c r="VOD838" s="802"/>
      <c r="VOE838" s="802"/>
      <c r="VOF838" s="802"/>
      <c r="VOG838" s="802"/>
      <c r="VOH838" s="802"/>
      <c r="VOI838" s="802"/>
      <c r="VOJ838" s="802"/>
      <c r="VOK838" s="802"/>
      <c r="VOL838" s="802"/>
      <c r="VOM838" s="802"/>
      <c r="VON838" s="802"/>
      <c r="VOO838" s="802"/>
      <c r="VOP838" s="802"/>
      <c r="VOQ838" s="802"/>
      <c r="VOR838" s="802"/>
      <c r="VOS838" s="802"/>
      <c r="VOT838" s="802"/>
      <c r="VOU838" s="802"/>
      <c r="VOV838" s="802"/>
      <c r="VOW838" s="802"/>
      <c r="VOX838" s="802"/>
      <c r="VOY838" s="802"/>
      <c r="VOZ838" s="802"/>
      <c r="VPA838" s="802"/>
      <c r="VPB838" s="802"/>
      <c r="VPC838" s="802"/>
      <c r="VPD838" s="802"/>
      <c r="VPE838" s="802"/>
      <c r="VPF838" s="802"/>
      <c r="VPG838" s="802"/>
      <c r="VPH838" s="802"/>
      <c r="VPI838" s="802"/>
      <c r="VPJ838" s="802"/>
      <c r="VPK838" s="802"/>
      <c r="VPL838" s="802"/>
      <c r="VPM838" s="802"/>
      <c r="VPN838" s="802"/>
      <c r="VPO838" s="802"/>
      <c r="VPP838" s="802"/>
      <c r="VPQ838" s="802"/>
      <c r="VPR838" s="802"/>
      <c r="VPS838" s="802"/>
      <c r="VPT838" s="802"/>
      <c r="VPU838" s="802"/>
      <c r="VPV838" s="802"/>
      <c r="VPW838" s="802"/>
      <c r="VPX838" s="802"/>
      <c r="VPY838" s="802"/>
      <c r="VPZ838" s="802"/>
      <c r="VQA838" s="802"/>
      <c r="VQB838" s="802"/>
      <c r="VQC838" s="802"/>
      <c r="VQD838" s="802"/>
      <c r="VQE838" s="802"/>
      <c r="VQF838" s="802"/>
      <c r="VQG838" s="802"/>
      <c r="VQH838" s="802"/>
      <c r="VQI838" s="802"/>
      <c r="VQJ838" s="802"/>
      <c r="VQK838" s="802"/>
      <c r="VQL838" s="802"/>
      <c r="VQM838" s="802"/>
      <c r="VQN838" s="802"/>
      <c r="VQO838" s="802"/>
      <c r="VQP838" s="802"/>
      <c r="VQQ838" s="802"/>
      <c r="VQR838" s="802"/>
      <c r="VQS838" s="802"/>
      <c r="VQT838" s="802"/>
      <c r="VQU838" s="802"/>
      <c r="VQV838" s="802"/>
      <c r="VQW838" s="802"/>
      <c r="VQX838" s="802"/>
      <c r="VQY838" s="802"/>
      <c r="VQZ838" s="802"/>
      <c r="VRA838" s="802"/>
      <c r="VRB838" s="802"/>
      <c r="VRC838" s="802"/>
      <c r="VRD838" s="802"/>
      <c r="VRE838" s="802"/>
      <c r="VRF838" s="802"/>
      <c r="VRG838" s="802"/>
      <c r="VRH838" s="802"/>
      <c r="VRI838" s="802"/>
      <c r="VRJ838" s="802"/>
      <c r="VRK838" s="802"/>
      <c r="VRL838" s="802"/>
      <c r="VRM838" s="802"/>
      <c r="VRN838" s="802"/>
      <c r="VRO838" s="802"/>
      <c r="VRP838" s="802"/>
      <c r="VRQ838" s="802"/>
      <c r="VRR838" s="802"/>
      <c r="VRS838" s="802"/>
      <c r="VRT838" s="802"/>
      <c r="VRU838" s="802"/>
      <c r="VRV838" s="802"/>
      <c r="VRW838" s="802"/>
      <c r="VRX838" s="802"/>
      <c r="VRY838" s="802"/>
      <c r="VRZ838" s="802"/>
      <c r="VSA838" s="802"/>
      <c r="VSB838" s="802"/>
      <c r="VSC838" s="802"/>
      <c r="VSD838" s="802"/>
      <c r="VSE838" s="802"/>
      <c r="VSF838" s="802"/>
      <c r="VSG838" s="802"/>
      <c r="VSH838" s="802"/>
      <c r="VSI838" s="802"/>
      <c r="VSJ838" s="802"/>
      <c r="VSK838" s="802"/>
      <c r="VSL838" s="802"/>
      <c r="VSM838" s="802"/>
      <c r="VSN838" s="802"/>
      <c r="VSO838" s="802"/>
      <c r="VSP838" s="802"/>
      <c r="VSQ838" s="802"/>
      <c r="VSR838" s="802"/>
      <c r="VSS838" s="802"/>
      <c r="VST838" s="802"/>
      <c r="VSU838" s="802"/>
      <c r="VSV838" s="802"/>
      <c r="VSW838" s="802"/>
      <c r="VSX838" s="802"/>
      <c r="VSY838" s="802"/>
      <c r="VSZ838" s="802"/>
      <c r="VTA838" s="802"/>
      <c r="VTB838" s="802"/>
      <c r="VTC838" s="802"/>
      <c r="VTD838" s="802"/>
      <c r="VTE838" s="802"/>
      <c r="VTF838" s="802"/>
      <c r="VTG838" s="802"/>
      <c r="VTH838" s="802"/>
      <c r="VTI838" s="802"/>
      <c r="VTJ838" s="802"/>
      <c r="VTK838" s="802"/>
      <c r="VTL838" s="802"/>
      <c r="VTM838" s="802"/>
      <c r="VTN838" s="802"/>
      <c r="VTO838" s="802"/>
      <c r="VTP838" s="802"/>
      <c r="VTQ838" s="802"/>
      <c r="VTR838" s="802"/>
      <c r="VTS838" s="802"/>
      <c r="VTT838" s="802"/>
      <c r="VTU838" s="802"/>
      <c r="VTV838" s="802"/>
      <c r="VTW838" s="802"/>
      <c r="VTX838" s="802"/>
      <c r="VTY838" s="802"/>
      <c r="VTZ838" s="802"/>
      <c r="VUA838" s="802"/>
      <c r="VUB838" s="802"/>
      <c r="VUC838" s="802"/>
      <c r="VUD838" s="802"/>
      <c r="VUE838" s="802"/>
      <c r="VUF838" s="802"/>
      <c r="VUG838" s="802"/>
      <c r="VUH838" s="802"/>
      <c r="VUI838" s="802"/>
      <c r="VUJ838" s="802"/>
      <c r="VUK838" s="802"/>
      <c r="VUL838" s="802"/>
      <c r="VUM838" s="802"/>
      <c r="VUN838" s="802"/>
      <c r="VUO838" s="802"/>
      <c r="VUP838" s="802"/>
      <c r="VUQ838" s="802"/>
      <c r="VUR838" s="802"/>
      <c r="VUS838" s="802"/>
      <c r="VUT838" s="802"/>
      <c r="VUU838" s="802"/>
      <c r="VUV838" s="802"/>
      <c r="VUW838" s="802"/>
      <c r="VUX838" s="802"/>
      <c r="VUY838" s="802"/>
      <c r="VUZ838" s="802"/>
      <c r="VVA838" s="802"/>
      <c r="VVB838" s="802"/>
      <c r="VVC838" s="802"/>
      <c r="VVD838" s="802"/>
      <c r="VVE838" s="802"/>
      <c r="VVF838" s="802"/>
      <c r="VVG838" s="802"/>
      <c r="VVH838" s="802"/>
      <c r="VVI838" s="802"/>
      <c r="VVJ838" s="802"/>
      <c r="VVK838" s="802"/>
      <c r="VVL838" s="802"/>
      <c r="VVM838" s="802"/>
      <c r="VVN838" s="802"/>
      <c r="VVO838" s="802"/>
      <c r="VVP838" s="802"/>
      <c r="VVQ838" s="802"/>
      <c r="VVR838" s="802"/>
      <c r="VVS838" s="802"/>
      <c r="VVT838" s="802"/>
      <c r="VVU838" s="802"/>
      <c r="VVV838" s="802"/>
      <c r="VVW838" s="802"/>
      <c r="VVX838" s="802"/>
      <c r="VVY838" s="802"/>
      <c r="VVZ838" s="802"/>
      <c r="VWA838" s="802"/>
      <c r="VWB838" s="802"/>
      <c r="VWC838" s="802"/>
      <c r="VWD838" s="802"/>
      <c r="VWE838" s="802"/>
      <c r="VWF838" s="802"/>
      <c r="VWG838" s="802"/>
      <c r="VWH838" s="802"/>
      <c r="VWI838" s="802"/>
      <c r="VWJ838" s="802"/>
      <c r="VWK838" s="802"/>
      <c r="VWL838" s="802"/>
      <c r="VWM838" s="802"/>
      <c r="VWN838" s="802"/>
      <c r="VWO838" s="802"/>
      <c r="VWP838" s="802"/>
      <c r="VWQ838" s="802"/>
      <c r="VWR838" s="802"/>
      <c r="VWS838" s="802"/>
      <c r="VWT838" s="802"/>
      <c r="VWU838" s="802"/>
      <c r="VWV838" s="802"/>
      <c r="VWW838" s="802"/>
      <c r="VWX838" s="802"/>
      <c r="VWY838" s="802"/>
      <c r="VWZ838" s="802"/>
      <c r="VXA838" s="802"/>
      <c r="VXB838" s="802"/>
      <c r="VXC838" s="802"/>
      <c r="VXD838" s="802"/>
      <c r="VXE838" s="802"/>
      <c r="VXF838" s="802"/>
      <c r="VXG838" s="802"/>
      <c r="VXH838" s="802"/>
      <c r="VXI838" s="802"/>
      <c r="VXJ838" s="802"/>
      <c r="VXK838" s="802"/>
      <c r="VXL838" s="802"/>
      <c r="VXM838" s="802"/>
      <c r="VXN838" s="802"/>
      <c r="VXO838" s="802"/>
      <c r="VXP838" s="802"/>
      <c r="VXQ838" s="802"/>
      <c r="VXR838" s="802"/>
      <c r="VXS838" s="802"/>
      <c r="VXT838" s="802"/>
      <c r="VXU838" s="802"/>
      <c r="VXV838" s="802"/>
      <c r="VXW838" s="802"/>
      <c r="VXX838" s="802"/>
      <c r="VXY838" s="802"/>
      <c r="VXZ838" s="802"/>
      <c r="VYA838" s="802"/>
      <c r="VYB838" s="802"/>
      <c r="VYC838" s="802"/>
      <c r="VYD838" s="802"/>
      <c r="VYE838" s="802"/>
      <c r="VYF838" s="802"/>
      <c r="VYG838" s="802"/>
      <c r="VYH838" s="802"/>
      <c r="VYI838" s="802"/>
      <c r="VYJ838" s="802"/>
      <c r="VYK838" s="802"/>
      <c r="VYL838" s="802"/>
      <c r="VYM838" s="802"/>
      <c r="VYN838" s="802"/>
      <c r="VYO838" s="802"/>
      <c r="VYP838" s="802"/>
      <c r="VYQ838" s="802"/>
      <c r="VYR838" s="802"/>
      <c r="VYS838" s="802"/>
      <c r="VYT838" s="802"/>
      <c r="VYU838" s="802"/>
      <c r="VYV838" s="802"/>
      <c r="VYW838" s="802"/>
      <c r="VYX838" s="802"/>
      <c r="VYY838" s="802"/>
      <c r="VYZ838" s="802"/>
      <c r="VZA838" s="802"/>
      <c r="VZB838" s="802"/>
      <c r="VZC838" s="802"/>
      <c r="VZD838" s="802"/>
      <c r="VZE838" s="802"/>
      <c r="VZF838" s="802"/>
      <c r="VZG838" s="802"/>
      <c r="VZH838" s="802"/>
      <c r="VZI838" s="802"/>
      <c r="VZJ838" s="802"/>
      <c r="VZK838" s="802"/>
      <c r="VZL838" s="802"/>
      <c r="VZM838" s="802"/>
      <c r="VZN838" s="802"/>
      <c r="VZO838" s="802"/>
      <c r="VZP838" s="802"/>
      <c r="VZQ838" s="802"/>
      <c r="VZR838" s="802"/>
      <c r="VZS838" s="802"/>
      <c r="VZT838" s="802"/>
      <c r="VZU838" s="802"/>
      <c r="VZV838" s="802"/>
      <c r="VZW838" s="802"/>
      <c r="VZX838" s="802"/>
      <c r="VZY838" s="802"/>
      <c r="VZZ838" s="802"/>
      <c r="WAA838" s="802"/>
      <c r="WAB838" s="802"/>
      <c r="WAC838" s="802"/>
      <c r="WAD838" s="802"/>
      <c r="WAE838" s="802"/>
      <c r="WAF838" s="802"/>
      <c r="WAG838" s="802"/>
      <c r="WAH838" s="802"/>
      <c r="WAI838" s="802"/>
      <c r="WAJ838" s="802"/>
      <c r="WAK838" s="802"/>
      <c r="WAL838" s="802"/>
      <c r="WAM838" s="802"/>
      <c r="WAN838" s="802"/>
      <c r="WAO838" s="802"/>
      <c r="WAP838" s="802"/>
      <c r="WAQ838" s="802"/>
      <c r="WAR838" s="802"/>
      <c r="WAS838" s="802"/>
      <c r="WAT838" s="802"/>
      <c r="WAU838" s="802"/>
      <c r="WAV838" s="802"/>
      <c r="WAW838" s="802"/>
      <c r="WAX838" s="802"/>
      <c r="WAY838" s="802"/>
      <c r="WAZ838" s="802"/>
      <c r="WBA838" s="802"/>
      <c r="WBB838" s="802"/>
      <c r="WBC838" s="802"/>
      <c r="WBD838" s="802"/>
      <c r="WBE838" s="802"/>
      <c r="WBF838" s="802"/>
      <c r="WBG838" s="802"/>
      <c r="WBH838" s="802"/>
      <c r="WBI838" s="802"/>
      <c r="WBJ838" s="802"/>
      <c r="WBK838" s="802"/>
      <c r="WBL838" s="802"/>
      <c r="WBM838" s="802"/>
      <c r="WBN838" s="802"/>
      <c r="WBO838" s="802"/>
      <c r="WBP838" s="802"/>
      <c r="WBQ838" s="802"/>
      <c r="WBR838" s="802"/>
      <c r="WBS838" s="802"/>
      <c r="WBT838" s="802"/>
      <c r="WBU838" s="802"/>
      <c r="WBV838" s="802"/>
      <c r="WBW838" s="802"/>
      <c r="WBX838" s="802"/>
      <c r="WBY838" s="802"/>
      <c r="WBZ838" s="802"/>
      <c r="WCA838" s="802"/>
      <c r="WCB838" s="802"/>
      <c r="WCC838" s="802"/>
      <c r="WCD838" s="802"/>
      <c r="WCE838" s="802"/>
      <c r="WCF838" s="802"/>
      <c r="WCG838" s="802"/>
      <c r="WCH838" s="802"/>
      <c r="WCI838" s="802"/>
      <c r="WCJ838" s="802"/>
      <c r="WCK838" s="802"/>
      <c r="WCL838" s="802"/>
      <c r="WCM838" s="802"/>
      <c r="WCN838" s="802"/>
      <c r="WCO838" s="802"/>
      <c r="WCP838" s="802"/>
      <c r="WCQ838" s="802"/>
      <c r="WCR838" s="802"/>
      <c r="WCS838" s="802"/>
      <c r="WCT838" s="802"/>
      <c r="WCU838" s="802"/>
      <c r="WCV838" s="802"/>
      <c r="WCW838" s="802"/>
      <c r="WCX838" s="802"/>
      <c r="WCY838" s="802"/>
      <c r="WCZ838" s="802"/>
      <c r="WDA838" s="802"/>
      <c r="WDB838" s="802"/>
      <c r="WDC838" s="802"/>
      <c r="WDD838" s="802"/>
      <c r="WDE838" s="802"/>
      <c r="WDF838" s="802"/>
      <c r="WDG838" s="802"/>
      <c r="WDH838" s="802"/>
      <c r="WDI838" s="802"/>
      <c r="WDJ838" s="802"/>
      <c r="WDK838" s="802"/>
      <c r="WDL838" s="802"/>
      <c r="WDM838" s="802"/>
      <c r="WDN838" s="802"/>
      <c r="WDO838" s="802"/>
      <c r="WDP838" s="802"/>
      <c r="WDQ838" s="802"/>
      <c r="WDR838" s="802"/>
      <c r="WDS838" s="802"/>
      <c r="WDT838" s="802"/>
      <c r="WDU838" s="802"/>
      <c r="WDV838" s="802"/>
      <c r="WDW838" s="802"/>
      <c r="WDX838" s="802"/>
      <c r="WDY838" s="802"/>
      <c r="WDZ838" s="802"/>
      <c r="WEA838" s="802"/>
      <c r="WEB838" s="802"/>
      <c r="WEC838" s="802"/>
      <c r="WED838" s="802"/>
      <c r="WEE838" s="802"/>
      <c r="WEF838" s="802"/>
      <c r="WEG838" s="802"/>
      <c r="WEH838" s="802"/>
      <c r="WEI838" s="802"/>
      <c r="WEJ838" s="802"/>
      <c r="WEK838" s="802"/>
      <c r="WEL838" s="802"/>
      <c r="WEM838" s="802"/>
      <c r="WEN838" s="802"/>
      <c r="WEO838" s="802"/>
      <c r="WEP838" s="802"/>
      <c r="WEQ838" s="802"/>
      <c r="WER838" s="802"/>
      <c r="WES838" s="802"/>
      <c r="WET838" s="802"/>
      <c r="WEU838" s="802"/>
      <c r="WEV838" s="802"/>
      <c r="WEW838" s="802"/>
      <c r="WEX838" s="802"/>
      <c r="WEY838" s="802"/>
      <c r="WEZ838" s="802"/>
      <c r="WFA838" s="802"/>
      <c r="WFB838" s="802"/>
      <c r="WFC838" s="802"/>
      <c r="WFD838" s="802"/>
      <c r="WFE838" s="802"/>
      <c r="WFF838" s="802"/>
      <c r="WFG838" s="802"/>
      <c r="WFH838" s="802"/>
      <c r="WFI838" s="802"/>
      <c r="WFJ838" s="802"/>
      <c r="WFK838" s="802"/>
      <c r="WFL838" s="802"/>
      <c r="WFM838" s="802"/>
      <c r="WFN838" s="802"/>
      <c r="WFO838" s="802"/>
      <c r="WFP838" s="802"/>
      <c r="WFQ838" s="802"/>
      <c r="WFR838" s="802"/>
      <c r="WFS838" s="802"/>
      <c r="WFT838" s="802"/>
      <c r="WFU838" s="802"/>
      <c r="WFV838" s="802"/>
      <c r="WFW838" s="802"/>
      <c r="WFX838" s="802"/>
      <c r="WFY838" s="802"/>
      <c r="WFZ838" s="802"/>
      <c r="WGA838" s="802"/>
      <c r="WGB838" s="802"/>
      <c r="WGC838" s="802"/>
      <c r="WGD838" s="802"/>
      <c r="WGE838" s="802"/>
      <c r="WGF838" s="802"/>
      <c r="WGG838" s="802"/>
      <c r="WGH838" s="802"/>
      <c r="WGI838" s="802"/>
      <c r="WGJ838" s="802"/>
      <c r="WGK838" s="802"/>
      <c r="WGL838" s="802"/>
      <c r="WGM838" s="802"/>
      <c r="WGN838" s="802"/>
      <c r="WGO838" s="802"/>
      <c r="WGP838" s="802"/>
      <c r="WGQ838" s="802"/>
      <c r="WGR838" s="802"/>
      <c r="WGS838" s="802"/>
      <c r="WGT838" s="802"/>
      <c r="WGU838" s="802"/>
      <c r="WGV838" s="802"/>
      <c r="WGW838" s="802"/>
      <c r="WGX838" s="802"/>
      <c r="WGY838" s="802"/>
      <c r="WGZ838" s="802"/>
      <c r="WHA838" s="802"/>
      <c r="WHB838" s="802"/>
      <c r="WHC838" s="802"/>
      <c r="WHD838" s="802"/>
      <c r="WHE838" s="802"/>
      <c r="WHF838" s="802"/>
      <c r="WHG838" s="802"/>
      <c r="WHH838" s="802"/>
      <c r="WHI838" s="802"/>
      <c r="WHJ838" s="802"/>
      <c r="WHK838" s="802"/>
      <c r="WHL838" s="802"/>
      <c r="WHM838" s="802"/>
      <c r="WHN838" s="802"/>
      <c r="WHO838" s="802"/>
      <c r="WHP838" s="802"/>
      <c r="WHQ838" s="802"/>
      <c r="WHR838" s="802"/>
      <c r="WHS838" s="802"/>
      <c r="WHT838" s="802"/>
      <c r="WHU838" s="802"/>
      <c r="WHV838" s="802"/>
      <c r="WHW838" s="802"/>
      <c r="WHX838" s="802"/>
      <c r="WHY838" s="802"/>
      <c r="WHZ838" s="802"/>
      <c r="WIA838" s="802"/>
      <c r="WIB838" s="802"/>
      <c r="WIC838" s="802"/>
      <c r="WID838" s="802"/>
      <c r="WIE838" s="802"/>
      <c r="WIF838" s="802"/>
      <c r="WIG838" s="802"/>
      <c r="WIH838" s="802"/>
      <c r="WII838" s="802"/>
      <c r="WIJ838" s="802"/>
      <c r="WIK838" s="802"/>
      <c r="WIL838" s="802"/>
      <c r="WIM838" s="802"/>
      <c r="WIN838" s="802"/>
      <c r="WIO838" s="802"/>
      <c r="WIP838" s="802"/>
      <c r="WIQ838" s="802"/>
      <c r="WIR838" s="802"/>
      <c r="WIS838" s="802"/>
      <c r="WIT838" s="802"/>
      <c r="WIU838" s="802"/>
      <c r="WIV838" s="802"/>
      <c r="WIW838" s="802"/>
      <c r="WIX838" s="802"/>
      <c r="WIY838" s="802"/>
      <c r="WIZ838" s="802"/>
      <c r="WJA838" s="802"/>
      <c r="WJB838" s="802"/>
      <c r="WJC838" s="802"/>
      <c r="WJD838" s="802"/>
      <c r="WJE838" s="802"/>
      <c r="WJF838" s="802"/>
      <c r="WJG838" s="802"/>
      <c r="WJH838" s="802"/>
      <c r="WJI838" s="802"/>
      <c r="WJJ838" s="802"/>
      <c r="WJK838" s="802"/>
      <c r="WJL838" s="802"/>
      <c r="WJM838" s="802"/>
      <c r="WJN838" s="802"/>
      <c r="WJO838" s="802"/>
      <c r="WJP838" s="802"/>
      <c r="WJQ838" s="802"/>
      <c r="WJR838" s="802"/>
      <c r="WJS838" s="802"/>
      <c r="WJT838" s="802"/>
      <c r="WJU838" s="802"/>
      <c r="WJV838" s="802"/>
      <c r="WJW838" s="802"/>
      <c r="WJX838" s="802"/>
      <c r="WJY838" s="802"/>
      <c r="WJZ838" s="802"/>
      <c r="WKA838" s="802"/>
      <c r="WKB838" s="802"/>
      <c r="WKC838" s="802"/>
      <c r="WKD838" s="802"/>
      <c r="WKE838" s="802"/>
      <c r="WKF838" s="802"/>
      <c r="WKG838" s="802"/>
      <c r="WKH838" s="802"/>
      <c r="WKI838" s="802"/>
      <c r="WKJ838" s="802"/>
      <c r="WKK838" s="802"/>
      <c r="WKL838" s="802"/>
      <c r="WKM838" s="802"/>
      <c r="WKN838" s="802"/>
      <c r="WKO838" s="802"/>
      <c r="WKP838" s="802"/>
      <c r="WKQ838" s="802"/>
      <c r="WKR838" s="802"/>
      <c r="WKS838" s="802"/>
      <c r="WKT838" s="802"/>
      <c r="WKU838" s="802"/>
      <c r="WKV838" s="802"/>
      <c r="WKW838" s="802"/>
      <c r="WKX838" s="802"/>
      <c r="WKY838" s="802"/>
      <c r="WKZ838" s="802"/>
      <c r="WLA838" s="802"/>
      <c r="WLB838" s="802"/>
      <c r="WLC838" s="802"/>
      <c r="WLD838" s="802"/>
      <c r="WLE838" s="802"/>
      <c r="WLF838" s="802"/>
      <c r="WLG838" s="802"/>
      <c r="WLH838" s="802"/>
      <c r="WLI838" s="802"/>
      <c r="WLJ838" s="802"/>
      <c r="WLK838" s="802"/>
      <c r="WLL838" s="802"/>
      <c r="WLM838" s="802"/>
      <c r="WLN838" s="802"/>
      <c r="WLO838" s="802"/>
      <c r="WLP838" s="802"/>
      <c r="WLQ838" s="802"/>
      <c r="WLR838" s="802"/>
      <c r="WLS838" s="802"/>
      <c r="WLT838" s="802"/>
      <c r="WLU838" s="802"/>
      <c r="WLV838" s="802"/>
      <c r="WLW838" s="802"/>
      <c r="WLX838" s="802"/>
      <c r="WLY838" s="802"/>
      <c r="WLZ838" s="802"/>
      <c r="WMA838" s="802"/>
      <c r="WMB838" s="802"/>
      <c r="WMC838" s="802"/>
      <c r="WMD838" s="802"/>
      <c r="WME838" s="802"/>
      <c r="WMF838" s="802"/>
      <c r="WMG838" s="802"/>
      <c r="WMH838" s="802"/>
      <c r="WMI838" s="802"/>
      <c r="WMJ838" s="802"/>
      <c r="WMK838" s="802"/>
      <c r="WML838" s="802"/>
      <c r="WMM838" s="802"/>
      <c r="WMN838" s="802"/>
      <c r="WMO838" s="802"/>
      <c r="WMP838" s="802"/>
      <c r="WMQ838" s="802"/>
      <c r="WMR838" s="802"/>
      <c r="WMS838" s="802"/>
      <c r="WMT838" s="802"/>
      <c r="WMU838" s="802"/>
      <c r="WMV838" s="802"/>
      <c r="WMW838" s="802"/>
      <c r="WMX838" s="802"/>
      <c r="WMY838" s="802"/>
      <c r="WMZ838" s="802"/>
      <c r="WNA838" s="802"/>
      <c r="WNB838" s="802"/>
      <c r="WNC838" s="802"/>
      <c r="WND838" s="802"/>
      <c r="WNE838" s="802"/>
      <c r="WNF838" s="802"/>
      <c r="WNG838" s="802"/>
      <c r="WNH838" s="802"/>
      <c r="WNI838" s="802"/>
      <c r="WNJ838" s="802"/>
      <c r="WNK838" s="802"/>
      <c r="WNL838" s="802"/>
      <c r="WNM838" s="802"/>
      <c r="WNN838" s="802"/>
      <c r="WNO838" s="802"/>
      <c r="WNP838" s="802"/>
      <c r="WNQ838" s="802"/>
      <c r="WNR838" s="802"/>
      <c r="WNS838" s="802"/>
      <c r="WNT838" s="802"/>
      <c r="WNU838" s="802"/>
      <c r="WNV838" s="802"/>
      <c r="WNW838" s="802"/>
      <c r="WNX838" s="802"/>
      <c r="WNY838" s="802"/>
      <c r="WNZ838" s="802"/>
      <c r="WOA838" s="802"/>
      <c r="WOB838" s="802"/>
      <c r="WOC838" s="802"/>
      <c r="WOD838" s="802"/>
      <c r="WOE838" s="802"/>
      <c r="WOF838" s="802"/>
      <c r="WOG838" s="802"/>
      <c r="WOH838" s="802"/>
      <c r="WOI838" s="802"/>
      <c r="WOJ838" s="802"/>
      <c r="WOK838" s="802"/>
      <c r="WOL838" s="802"/>
      <c r="WOM838" s="802"/>
      <c r="WON838" s="802"/>
      <c r="WOO838" s="802"/>
      <c r="WOP838" s="802"/>
      <c r="WOQ838" s="802"/>
      <c r="WOR838" s="802"/>
      <c r="WOS838" s="802"/>
      <c r="WOT838" s="802"/>
      <c r="WOU838" s="802"/>
      <c r="WOV838" s="802"/>
      <c r="WOW838" s="802"/>
      <c r="WOX838" s="802"/>
      <c r="WOY838" s="802"/>
      <c r="WOZ838" s="802"/>
      <c r="WPA838" s="802"/>
      <c r="WPB838" s="802"/>
      <c r="WPC838" s="802"/>
      <c r="WPD838" s="802"/>
      <c r="WPE838" s="802"/>
      <c r="WPF838" s="802"/>
      <c r="WPG838" s="802"/>
      <c r="WPH838" s="802"/>
      <c r="WPI838" s="802"/>
      <c r="WPJ838" s="802"/>
      <c r="WPK838" s="802"/>
      <c r="WPL838" s="802"/>
      <c r="WPM838" s="802"/>
      <c r="WPN838" s="802"/>
      <c r="WPO838" s="802"/>
      <c r="WPP838" s="802"/>
      <c r="WPQ838" s="802"/>
      <c r="WPR838" s="802"/>
      <c r="WPS838" s="802"/>
      <c r="WPT838" s="802"/>
      <c r="WPU838" s="802"/>
      <c r="WPV838" s="802"/>
      <c r="WPW838" s="802"/>
      <c r="WPX838" s="802"/>
      <c r="WPY838" s="802"/>
      <c r="WPZ838" s="802"/>
      <c r="WQA838" s="802"/>
      <c r="WQB838" s="802"/>
      <c r="WQC838" s="802"/>
      <c r="WQD838" s="802"/>
      <c r="WQE838" s="802"/>
      <c r="WQF838" s="802"/>
      <c r="WQG838" s="802"/>
      <c r="WQH838" s="802"/>
      <c r="WQI838" s="802"/>
      <c r="WQJ838" s="802"/>
      <c r="WQK838" s="802"/>
      <c r="WQL838" s="802"/>
      <c r="WQM838" s="802"/>
      <c r="WQN838" s="802"/>
      <c r="WQO838" s="802"/>
      <c r="WQP838" s="802"/>
      <c r="WQQ838" s="802"/>
      <c r="WQR838" s="802"/>
      <c r="WQS838" s="802"/>
      <c r="WQT838" s="802"/>
      <c r="WQU838" s="802"/>
      <c r="WQV838" s="802"/>
      <c r="WQW838" s="802"/>
      <c r="WQX838" s="802"/>
      <c r="WQY838" s="802"/>
      <c r="WQZ838" s="802"/>
      <c r="WRA838" s="802"/>
      <c r="WRB838" s="802"/>
      <c r="WRC838" s="802"/>
      <c r="WRD838" s="802"/>
      <c r="WRE838" s="802"/>
      <c r="WRF838" s="802"/>
      <c r="WRG838" s="802"/>
      <c r="WRH838" s="802"/>
      <c r="WRI838" s="802"/>
      <c r="WRJ838" s="802"/>
      <c r="WRK838" s="802"/>
      <c r="WRL838" s="802"/>
      <c r="WRM838" s="802"/>
      <c r="WRN838" s="802"/>
      <c r="WRO838" s="802"/>
      <c r="WRP838" s="802"/>
      <c r="WRQ838" s="802"/>
      <c r="WRR838" s="802"/>
      <c r="WRS838" s="802"/>
      <c r="WRT838" s="802"/>
      <c r="WRU838" s="802"/>
      <c r="WRV838" s="802"/>
      <c r="WRW838" s="802"/>
      <c r="WRX838" s="802"/>
      <c r="WRY838" s="802"/>
      <c r="WRZ838" s="802"/>
      <c r="WSA838" s="802"/>
      <c r="WSB838" s="802"/>
      <c r="WSC838" s="802"/>
      <c r="WSD838" s="802"/>
      <c r="WSE838" s="802"/>
      <c r="WSF838" s="802"/>
      <c r="WSG838" s="802"/>
      <c r="WSH838" s="802"/>
      <c r="WSI838" s="802"/>
      <c r="WSJ838" s="802"/>
      <c r="WSK838" s="802"/>
      <c r="WSL838" s="802"/>
      <c r="WSM838" s="802"/>
      <c r="WSN838" s="802"/>
      <c r="WSO838" s="802"/>
      <c r="WSP838" s="802"/>
      <c r="WSQ838" s="802"/>
      <c r="WSR838" s="802"/>
      <c r="WSS838" s="802"/>
      <c r="WST838" s="802"/>
      <c r="WSU838" s="802"/>
      <c r="WSV838" s="802"/>
      <c r="WSW838" s="802"/>
      <c r="WSX838" s="802"/>
      <c r="WSY838" s="802"/>
      <c r="WSZ838" s="802"/>
      <c r="WTA838" s="802"/>
      <c r="WTB838" s="802"/>
      <c r="WTC838" s="802"/>
      <c r="WTD838" s="802"/>
      <c r="WTE838" s="802"/>
      <c r="WTF838" s="802"/>
      <c r="WTG838" s="802"/>
      <c r="WTH838" s="802"/>
      <c r="WTI838" s="802"/>
      <c r="WTJ838" s="802"/>
      <c r="WTK838" s="802"/>
      <c r="WTL838" s="802"/>
      <c r="WTM838" s="802"/>
      <c r="WTN838" s="802"/>
      <c r="WTO838" s="802"/>
      <c r="WTP838" s="802"/>
      <c r="WTQ838" s="802"/>
      <c r="WTR838" s="802"/>
      <c r="WTS838" s="802"/>
      <c r="WTT838" s="802"/>
      <c r="WTU838" s="802"/>
      <c r="WTV838" s="802"/>
      <c r="WTW838" s="802"/>
      <c r="WTX838" s="802"/>
      <c r="WTY838" s="802"/>
      <c r="WTZ838" s="802"/>
      <c r="WUA838" s="802"/>
      <c r="WUB838" s="802"/>
      <c r="WUC838" s="802"/>
      <c r="WUD838" s="802"/>
      <c r="WUE838" s="802"/>
      <c r="WUF838" s="802"/>
      <c r="WUG838" s="802"/>
      <c r="WUH838" s="802"/>
      <c r="WUI838" s="802"/>
      <c r="WUJ838" s="802"/>
      <c r="WUK838" s="802"/>
      <c r="WUL838" s="802"/>
      <c r="WUM838" s="802"/>
      <c r="WUN838" s="802"/>
      <c r="WUO838" s="802"/>
      <c r="WUP838" s="802"/>
      <c r="WUQ838" s="802"/>
      <c r="WUR838" s="802"/>
      <c r="WUS838" s="802"/>
      <c r="WUT838" s="802"/>
      <c r="WUU838" s="802"/>
      <c r="WUV838" s="802"/>
      <c r="WUW838" s="802"/>
      <c r="WUX838" s="802"/>
      <c r="WUY838" s="802"/>
      <c r="WUZ838" s="802"/>
      <c r="WVA838" s="802"/>
      <c r="WVB838" s="802"/>
      <c r="WVC838" s="802"/>
      <c r="WVD838" s="802"/>
      <c r="WVE838" s="802"/>
      <c r="WVF838" s="802"/>
      <c r="WVG838" s="802"/>
      <c r="WVH838" s="802"/>
      <c r="WVI838" s="802"/>
      <c r="WVJ838" s="802"/>
      <c r="WVK838" s="802"/>
      <c r="WVL838" s="802"/>
      <c r="WVM838" s="802"/>
      <c r="WVN838" s="802"/>
      <c r="WVO838" s="802"/>
      <c r="WVP838" s="802"/>
      <c r="WVQ838" s="802"/>
      <c r="WVR838" s="802"/>
    </row>
    <row r="839" spans="1:16138" s="1336" customFormat="1">
      <c r="A839" s="802"/>
      <c r="B839" s="802"/>
      <c r="C839" s="803"/>
      <c r="D839" s="1338"/>
      <c r="E839" s="1334"/>
      <c r="F839" s="1334"/>
      <c r="G839" s="1333"/>
      <c r="H839" s="1333"/>
      <c r="I839" s="802"/>
      <c r="J839" s="802"/>
      <c r="K839" s="802"/>
      <c r="L839" s="802"/>
      <c r="M839" s="802"/>
      <c r="N839" s="802"/>
      <c r="O839" s="802"/>
      <c r="P839" s="802"/>
      <c r="Q839" s="802"/>
      <c r="R839" s="802"/>
      <c r="S839" s="802"/>
      <c r="T839" s="802"/>
      <c r="U839" s="802"/>
      <c r="V839" s="802"/>
      <c r="W839" s="802"/>
      <c r="X839" s="802"/>
      <c r="Y839" s="802"/>
      <c r="Z839" s="802"/>
      <c r="AA839" s="802"/>
      <c r="AB839" s="802"/>
      <c r="AC839" s="802"/>
      <c r="AD839" s="802"/>
      <c r="AE839" s="802"/>
      <c r="AF839" s="802"/>
      <c r="AG839" s="802"/>
      <c r="AH839" s="802"/>
      <c r="AI839" s="802"/>
      <c r="AJ839" s="802"/>
      <c r="AK839" s="802"/>
      <c r="AL839" s="802"/>
      <c r="AM839" s="802"/>
      <c r="AN839" s="802"/>
      <c r="AO839" s="802"/>
      <c r="AP839" s="802"/>
      <c r="AQ839" s="802"/>
      <c r="AR839" s="802"/>
      <c r="AS839" s="802"/>
      <c r="AT839" s="802"/>
      <c r="AU839" s="802"/>
      <c r="AV839" s="802"/>
      <c r="AW839" s="802"/>
      <c r="AX839" s="802"/>
      <c r="AY839" s="802"/>
      <c r="AZ839" s="802"/>
      <c r="BA839" s="802"/>
      <c r="BB839" s="802"/>
      <c r="BC839" s="802"/>
      <c r="BD839" s="802"/>
      <c r="BE839" s="802"/>
      <c r="BF839" s="802"/>
      <c r="BG839" s="802"/>
      <c r="BH839" s="802"/>
      <c r="BI839" s="802"/>
      <c r="BJ839" s="802"/>
      <c r="BK839" s="802"/>
      <c r="BL839" s="802"/>
      <c r="BM839" s="802"/>
      <c r="BN839" s="802"/>
      <c r="BO839" s="802"/>
      <c r="BP839" s="802"/>
      <c r="BQ839" s="802"/>
      <c r="BR839" s="802"/>
      <c r="BS839" s="802"/>
      <c r="BT839" s="802"/>
      <c r="BU839" s="802"/>
      <c r="BV839" s="802"/>
      <c r="BW839" s="802"/>
      <c r="BX839" s="802"/>
      <c r="BY839" s="802"/>
      <c r="BZ839" s="802"/>
      <c r="CA839" s="802"/>
      <c r="CB839" s="802"/>
      <c r="CC839" s="802"/>
      <c r="CD839" s="802"/>
      <c r="CE839" s="802"/>
      <c r="CF839" s="802"/>
      <c r="CG839" s="802"/>
      <c r="CH839" s="802"/>
      <c r="CI839" s="802"/>
      <c r="CJ839" s="802"/>
      <c r="CK839" s="802"/>
      <c r="CL839" s="802"/>
      <c r="CM839" s="802"/>
      <c r="CN839" s="802"/>
      <c r="CO839" s="802"/>
      <c r="CP839" s="802"/>
      <c r="CQ839" s="802"/>
      <c r="CR839" s="802"/>
      <c r="CS839" s="802"/>
      <c r="CT839" s="802"/>
      <c r="CU839" s="802"/>
      <c r="CV839" s="802"/>
      <c r="CW839" s="802"/>
      <c r="CX839" s="802"/>
      <c r="CY839" s="802"/>
      <c r="CZ839" s="802"/>
      <c r="DA839" s="802"/>
      <c r="DB839" s="802"/>
      <c r="DC839" s="802"/>
      <c r="DD839" s="802"/>
      <c r="DE839" s="802"/>
      <c r="DF839" s="802"/>
      <c r="DG839" s="802"/>
      <c r="DH839" s="802"/>
      <c r="DI839" s="802"/>
      <c r="DJ839" s="802"/>
      <c r="DK839" s="802"/>
      <c r="DL839" s="802"/>
      <c r="DM839" s="802"/>
      <c r="DN839" s="802"/>
      <c r="DO839" s="802"/>
      <c r="DP839" s="802"/>
      <c r="DQ839" s="802"/>
      <c r="DR839" s="802"/>
      <c r="DS839" s="802"/>
      <c r="DT839" s="802"/>
      <c r="DU839" s="802"/>
      <c r="DV839" s="802"/>
      <c r="DW839" s="802"/>
      <c r="DX839" s="802"/>
      <c r="DY839" s="802"/>
      <c r="DZ839" s="802"/>
      <c r="EA839" s="802"/>
      <c r="EB839" s="802"/>
      <c r="EC839" s="802"/>
      <c r="ED839" s="802"/>
      <c r="EE839" s="802"/>
      <c r="EF839" s="802"/>
      <c r="EG839" s="802"/>
      <c r="EH839" s="802"/>
      <c r="EI839" s="802"/>
      <c r="EJ839" s="802"/>
      <c r="EK839" s="802"/>
      <c r="EL839" s="802"/>
      <c r="EM839" s="802"/>
      <c r="EN839" s="802"/>
      <c r="EO839" s="802"/>
      <c r="EP839" s="802"/>
      <c r="EQ839" s="802"/>
      <c r="ER839" s="802"/>
      <c r="ES839" s="802"/>
      <c r="ET839" s="802"/>
      <c r="EU839" s="802"/>
      <c r="EV839" s="802"/>
      <c r="EW839" s="802"/>
      <c r="EX839" s="802"/>
      <c r="EY839" s="802"/>
      <c r="EZ839" s="802"/>
      <c r="FA839" s="802"/>
      <c r="FB839" s="802"/>
      <c r="FC839" s="802"/>
      <c r="FD839" s="802"/>
      <c r="FE839" s="802"/>
      <c r="FF839" s="802"/>
      <c r="FG839" s="802"/>
      <c r="FH839" s="802"/>
      <c r="FI839" s="802"/>
      <c r="FJ839" s="802"/>
      <c r="FK839" s="802"/>
      <c r="FL839" s="802"/>
      <c r="FM839" s="802"/>
      <c r="FN839" s="802"/>
      <c r="FO839" s="802"/>
      <c r="FP839" s="802"/>
      <c r="FQ839" s="802"/>
      <c r="FR839" s="802"/>
      <c r="FS839" s="802"/>
      <c r="FT839" s="802"/>
      <c r="FU839" s="802"/>
      <c r="FV839" s="802"/>
      <c r="FW839" s="802"/>
      <c r="FX839" s="802"/>
      <c r="FY839" s="802"/>
      <c r="FZ839" s="802"/>
      <c r="GA839" s="802"/>
      <c r="GB839" s="802"/>
      <c r="GC839" s="802"/>
      <c r="GD839" s="802"/>
      <c r="GE839" s="802"/>
      <c r="GF839" s="802"/>
      <c r="GG839" s="802"/>
      <c r="GH839" s="802"/>
      <c r="GI839" s="802"/>
      <c r="GJ839" s="802"/>
      <c r="GK839" s="802"/>
      <c r="GL839" s="802"/>
      <c r="GM839" s="802"/>
      <c r="GN839" s="802"/>
      <c r="GO839" s="802"/>
      <c r="GP839" s="802"/>
      <c r="GQ839" s="802"/>
      <c r="GR839" s="802"/>
      <c r="GS839" s="802"/>
      <c r="GT839" s="802"/>
      <c r="GU839" s="802"/>
      <c r="GV839" s="802"/>
      <c r="GW839" s="802"/>
      <c r="GX839" s="802"/>
      <c r="GY839" s="802"/>
      <c r="GZ839" s="802"/>
      <c r="HA839" s="802"/>
      <c r="HB839" s="802"/>
      <c r="HC839" s="802"/>
      <c r="HD839" s="802"/>
      <c r="HE839" s="802"/>
      <c r="HF839" s="802"/>
      <c r="HG839" s="802"/>
      <c r="HH839" s="802"/>
      <c r="HI839" s="802"/>
      <c r="HJ839" s="802"/>
      <c r="HK839" s="802"/>
      <c r="HL839" s="802"/>
      <c r="HM839" s="802"/>
      <c r="HN839" s="802"/>
      <c r="HO839" s="802"/>
      <c r="HP839" s="802"/>
      <c r="HQ839" s="802"/>
      <c r="HR839" s="802"/>
      <c r="HS839" s="802"/>
      <c r="HT839" s="802"/>
      <c r="HU839" s="802"/>
      <c r="HV839" s="802"/>
      <c r="HW839" s="802"/>
      <c r="HX839" s="802"/>
      <c r="HY839" s="802"/>
      <c r="HZ839" s="802"/>
      <c r="IA839" s="802"/>
      <c r="IB839" s="802"/>
      <c r="IC839" s="802"/>
      <c r="ID839" s="802"/>
      <c r="IE839" s="802"/>
      <c r="IF839" s="802"/>
      <c r="IG839" s="802"/>
      <c r="IH839" s="802"/>
      <c r="II839" s="802"/>
      <c r="IJ839" s="802"/>
      <c r="IK839" s="802"/>
      <c r="IL839" s="802"/>
      <c r="IM839" s="802"/>
      <c r="IN839" s="802"/>
      <c r="IO839" s="802"/>
      <c r="IP839" s="802"/>
      <c r="IQ839" s="802"/>
      <c r="IR839" s="802"/>
      <c r="IS839" s="802"/>
      <c r="IT839" s="802"/>
      <c r="IU839" s="802"/>
      <c r="IV839" s="802"/>
      <c r="IW839" s="802"/>
      <c r="IX839" s="802"/>
      <c r="IY839" s="802"/>
      <c r="IZ839" s="802"/>
      <c r="JA839" s="802"/>
      <c r="JB839" s="802"/>
      <c r="JC839" s="802"/>
      <c r="JD839" s="802"/>
      <c r="JE839" s="802"/>
      <c r="JF839" s="802"/>
      <c r="JG839" s="802"/>
      <c r="JH839" s="802"/>
      <c r="JI839" s="802"/>
      <c r="JJ839" s="802"/>
      <c r="JK839" s="802"/>
      <c r="JL839" s="802"/>
      <c r="JM839" s="802"/>
      <c r="JN839" s="802"/>
      <c r="JO839" s="802"/>
      <c r="JP839" s="802"/>
      <c r="JQ839" s="802"/>
      <c r="JR839" s="802"/>
      <c r="JS839" s="802"/>
      <c r="JT839" s="802"/>
      <c r="JU839" s="802"/>
      <c r="JV839" s="802"/>
      <c r="JW839" s="802"/>
      <c r="JX839" s="802"/>
      <c r="JY839" s="802"/>
      <c r="JZ839" s="802"/>
      <c r="KA839" s="802"/>
      <c r="KB839" s="802"/>
      <c r="KC839" s="802"/>
      <c r="KD839" s="802"/>
      <c r="KE839" s="802"/>
      <c r="KF839" s="802"/>
      <c r="KG839" s="802"/>
      <c r="KH839" s="802"/>
      <c r="KI839" s="802"/>
      <c r="KJ839" s="802"/>
      <c r="KK839" s="802"/>
      <c r="KL839" s="802"/>
      <c r="KM839" s="802"/>
      <c r="KN839" s="802"/>
      <c r="KO839" s="802"/>
      <c r="KP839" s="802"/>
      <c r="KQ839" s="802"/>
      <c r="KR839" s="802"/>
      <c r="KS839" s="802"/>
      <c r="KT839" s="802"/>
      <c r="KU839" s="802"/>
      <c r="KV839" s="802"/>
      <c r="KW839" s="802"/>
      <c r="KX839" s="802"/>
      <c r="KY839" s="802"/>
      <c r="KZ839" s="802"/>
      <c r="LA839" s="802"/>
      <c r="LB839" s="802"/>
      <c r="LC839" s="802"/>
      <c r="LD839" s="802"/>
      <c r="LE839" s="802"/>
      <c r="LF839" s="802"/>
      <c r="LG839" s="802"/>
      <c r="LH839" s="802"/>
      <c r="LI839" s="802"/>
      <c r="LJ839" s="802"/>
      <c r="LK839" s="802"/>
      <c r="LL839" s="802"/>
      <c r="LM839" s="802"/>
      <c r="LN839" s="802"/>
      <c r="LO839" s="802"/>
      <c r="LP839" s="802"/>
      <c r="LQ839" s="802"/>
      <c r="LR839" s="802"/>
      <c r="LS839" s="802"/>
      <c r="LT839" s="802"/>
      <c r="LU839" s="802"/>
      <c r="LV839" s="802"/>
      <c r="LW839" s="802"/>
      <c r="LX839" s="802"/>
      <c r="LY839" s="802"/>
      <c r="LZ839" s="802"/>
      <c r="MA839" s="802"/>
      <c r="MB839" s="802"/>
      <c r="MC839" s="802"/>
      <c r="MD839" s="802"/>
      <c r="ME839" s="802"/>
      <c r="MF839" s="802"/>
      <c r="MG839" s="802"/>
      <c r="MH839" s="802"/>
      <c r="MI839" s="802"/>
      <c r="MJ839" s="802"/>
      <c r="MK839" s="802"/>
      <c r="ML839" s="802"/>
      <c r="MM839" s="802"/>
      <c r="MN839" s="802"/>
      <c r="MO839" s="802"/>
      <c r="MP839" s="802"/>
      <c r="MQ839" s="802"/>
      <c r="MR839" s="802"/>
      <c r="MS839" s="802"/>
      <c r="MT839" s="802"/>
      <c r="MU839" s="802"/>
      <c r="MV839" s="802"/>
      <c r="MW839" s="802"/>
      <c r="MX839" s="802"/>
      <c r="MY839" s="802"/>
      <c r="MZ839" s="802"/>
      <c r="NA839" s="802"/>
      <c r="NB839" s="802"/>
      <c r="NC839" s="802"/>
      <c r="ND839" s="802"/>
      <c r="NE839" s="802"/>
      <c r="NF839" s="802"/>
      <c r="NG839" s="802"/>
      <c r="NH839" s="802"/>
      <c r="NI839" s="802"/>
      <c r="NJ839" s="802"/>
      <c r="NK839" s="802"/>
      <c r="NL839" s="802"/>
      <c r="NM839" s="802"/>
      <c r="NN839" s="802"/>
      <c r="NO839" s="802"/>
      <c r="NP839" s="802"/>
      <c r="NQ839" s="802"/>
      <c r="NR839" s="802"/>
      <c r="NS839" s="802"/>
      <c r="NT839" s="802"/>
      <c r="NU839" s="802"/>
      <c r="NV839" s="802"/>
      <c r="NW839" s="802"/>
      <c r="NX839" s="802"/>
      <c r="NY839" s="802"/>
      <c r="NZ839" s="802"/>
      <c r="OA839" s="802"/>
      <c r="OB839" s="802"/>
      <c r="OC839" s="802"/>
      <c r="OD839" s="802"/>
      <c r="OE839" s="802"/>
      <c r="OF839" s="802"/>
      <c r="OG839" s="802"/>
      <c r="OH839" s="802"/>
      <c r="OI839" s="802"/>
      <c r="OJ839" s="802"/>
      <c r="OK839" s="802"/>
      <c r="OL839" s="802"/>
      <c r="OM839" s="802"/>
      <c r="ON839" s="802"/>
      <c r="OO839" s="802"/>
      <c r="OP839" s="802"/>
      <c r="OQ839" s="802"/>
      <c r="OR839" s="802"/>
      <c r="OS839" s="802"/>
      <c r="OT839" s="802"/>
      <c r="OU839" s="802"/>
      <c r="OV839" s="802"/>
      <c r="OW839" s="802"/>
      <c r="OX839" s="802"/>
      <c r="OY839" s="802"/>
      <c r="OZ839" s="802"/>
      <c r="PA839" s="802"/>
      <c r="PB839" s="802"/>
      <c r="PC839" s="802"/>
      <c r="PD839" s="802"/>
      <c r="PE839" s="802"/>
      <c r="PF839" s="802"/>
      <c r="PG839" s="802"/>
      <c r="PH839" s="802"/>
      <c r="PI839" s="802"/>
      <c r="PJ839" s="802"/>
      <c r="PK839" s="802"/>
      <c r="PL839" s="802"/>
      <c r="PM839" s="802"/>
      <c r="PN839" s="802"/>
      <c r="PO839" s="802"/>
      <c r="PP839" s="802"/>
      <c r="PQ839" s="802"/>
      <c r="PR839" s="802"/>
      <c r="PS839" s="802"/>
      <c r="PT839" s="802"/>
      <c r="PU839" s="802"/>
      <c r="PV839" s="802"/>
      <c r="PW839" s="802"/>
      <c r="PX839" s="802"/>
      <c r="PY839" s="802"/>
      <c r="PZ839" s="802"/>
      <c r="QA839" s="802"/>
      <c r="QB839" s="802"/>
      <c r="QC839" s="802"/>
      <c r="QD839" s="802"/>
      <c r="QE839" s="802"/>
      <c r="QF839" s="802"/>
      <c r="QG839" s="802"/>
      <c r="QH839" s="802"/>
      <c r="QI839" s="802"/>
      <c r="QJ839" s="802"/>
      <c r="QK839" s="802"/>
      <c r="QL839" s="802"/>
      <c r="QM839" s="802"/>
      <c r="QN839" s="802"/>
      <c r="QO839" s="802"/>
      <c r="QP839" s="802"/>
      <c r="QQ839" s="802"/>
      <c r="QR839" s="802"/>
      <c r="QS839" s="802"/>
      <c r="QT839" s="802"/>
      <c r="QU839" s="802"/>
      <c r="QV839" s="802"/>
      <c r="QW839" s="802"/>
      <c r="QX839" s="802"/>
      <c r="QY839" s="802"/>
      <c r="QZ839" s="802"/>
      <c r="RA839" s="802"/>
      <c r="RB839" s="802"/>
      <c r="RC839" s="802"/>
      <c r="RD839" s="802"/>
      <c r="RE839" s="802"/>
      <c r="RF839" s="802"/>
      <c r="RG839" s="802"/>
      <c r="RH839" s="802"/>
      <c r="RI839" s="802"/>
      <c r="RJ839" s="802"/>
      <c r="RK839" s="802"/>
      <c r="RL839" s="802"/>
      <c r="RM839" s="802"/>
      <c r="RN839" s="802"/>
      <c r="RO839" s="802"/>
      <c r="RP839" s="802"/>
      <c r="RQ839" s="802"/>
      <c r="RR839" s="802"/>
      <c r="RS839" s="802"/>
      <c r="RT839" s="802"/>
      <c r="RU839" s="802"/>
      <c r="RV839" s="802"/>
      <c r="RW839" s="802"/>
      <c r="RX839" s="802"/>
      <c r="RY839" s="802"/>
      <c r="RZ839" s="802"/>
      <c r="SA839" s="802"/>
      <c r="SB839" s="802"/>
      <c r="SC839" s="802"/>
      <c r="SD839" s="802"/>
      <c r="SE839" s="802"/>
      <c r="SF839" s="802"/>
      <c r="SG839" s="802"/>
      <c r="SH839" s="802"/>
      <c r="SI839" s="802"/>
      <c r="SJ839" s="802"/>
      <c r="SK839" s="802"/>
      <c r="SL839" s="802"/>
      <c r="SM839" s="802"/>
      <c r="SN839" s="802"/>
      <c r="SO839" s="802"/>
      <c r="SP839" s="802"/>
      <c r="SQ839" s="802"/>
      <c r="SR839" s="802"/>
      <c r="SS839" s="802"/>
      <c r="ST839" s="802"/>
      <c r="SU839" s="802"/>
      <c r="SV839" s="802"/>
      <c r="SW839" s="802"/>
      <c r="SX839" s="802"/>
      <c r="SY839" s="802"/>
      <c r="SZ839" s="802"/>
      <c r="TA839" s="802"/>
      <c r="TB839" s="802"/>
      <c r="TC839" s="802"/>
      <c r="TD839" s="802"/>
      <c r="TE839" s="802"/>
      <c r="TF839" s="802"/>
      <c r="TG839" s="802"/>
      <c r="TH839" s="802"/>
      <c r="TI839" s="802"/>
      <c r="TJ839" s="802"/>
      <c r="TK839" s="802"/>
      <c r="TL839" s="802"/>
      <c r="TM839" s="802"/>
      <c r="TN839" s="802"/>
      <c r="TO839" s="802"/>
      <c r="TP839" s="802"/>
      <c r="TQ839" s="802"/>
      <c r="TR839" s="802"/>
      <c r="TS839" s="802"/>
      <c r="TT839" s="802"/>
      <c r="TU839" s="802"/>
      <c r="TV839" s="802"/>
      <c r="TW839" s="802"/>
      <c r="TX839" s="802"/>
      <c r="TY839" s="802"/>
      <c r="TZ839" s="802"/>
      <c r="UA839" s="802"/>
      <c r="UB839" s="802"/>
      <c r="UC839" s="802"/>
      <c r="UD839" s="802"/>
      <c r="UE839" s="802"/>
      <c r="UF839" s="802"/>
      <c r="UG839" s="802"/>
      <c r="UH839" s="802"/>
      <c r="UI839" s="802"/>
      <c r="UJ839" s="802"/>
      <c r="UK839" s="802"/>
      <c r="UL839" s="802"/>
      <c r="UM839" s="802"/>
      <c r="UN839" s="802"/>
      <c r="UO839" s="802"/>
      <c r="UP839" s="802"/>
      <c r="UQ839" s="802"/>
      <c r="UR839" s="802"/>
      <c r="US839" s="802"/>
      <c r="UT839" s="802"/>
      <c r="UU839" s="802"/>
      <c r="UV839" s="802"/>
      <c r="UW839" s="802"/>
      <c r="UX839" s="802"/>
      <c r="UY839" s="802"/>
      <c r="UZ839" s="802"/>
      <c r="VA839" s="802"/>
      <c r="VB839" s="802"/>
      <c r="VC839" s="802"/>
      <c r="VD839" s="802"/>
      <c r="VE839" s="802"/>
      <c r="VF839" s="802"/>
      <c r="VG839" s="802"/>
      <c r="VH839" s="802"/>
      <c r="VI839" s="802"/>
      <c r="VJ839" s="802"/>
      <c r="VK839" s="802"/>
      <c r="VL839" s="802"/>
      <c r="VM839" s="802"/>
      <c r="VN839" s="802"/>
      <c r="VO839" s="802"/>
      <c r="VP839" s="802"/>
      <c r="VQ839" s="802"/>
      <c r="VR839" s="802"/>
      <c r="VS839" s="802"/>
      <c r="VT839" s="802"/>
      <c r="VU839" s="802"/>
      <c r="VV839" s="802"/>
      <c r="VW839" s="802"/>
      <c r="VX839" s="802"/>
      <c r="VY839" s="802"/>
      <c r="VZ839" s="802"/>
      <c r="WA839" s="802"/>
      <c r="WB839" s="802"/>
      <c r="WC839" s="802"/>
      <c r="WD839" s="802"/>
      <c r="WE839" s="802"/>
      <c r="WF839" s="802"/>
      <c r="WG839" s="802"/>
      <c r="WH839" s="802"/>
      <c r="WI839" s="802"/>
      <c r="WJ839" s="802"/>
      <c r="WK839" s="802"/>
      <c r="WL839" s="802"/>
      <c r="WM839" s="802"/>
      <c r="WN839" s="802"/>
      <c r="WO839" s="802"/>
      <c r="WP839" s="802"/>
      <c r="WQ839" s="802"/>
      <c r="WR839" s="802"/>
      <c r="WS839" s="802"/>
      <c r="WT839" s="802"/>
      <c r="WU839" s="802"/>
      <c r="WV839" s="802"/>
      <c r="WW839" s="802"/>
      <c r="WX839" s="802"/>
      <c r="WY839" s="802"/>
      <c r="WZ839" s="802"/>
      <c r="XA839" s="802"/>
      <c r="XB839" s="802"/>
      <c r="XC839" s="802"/>
      <c r="XD839" s="802"/>
      <c r="XE839" s="802"/>
      <c r="XF839" s="802"/>
      <c r="XG839" s="802"/>
      <c r="XH839" s="802"/>
      <c r="XI839" s="802"/>
      <c r="XJ839" s="802"/>
      <c r="XK839" s="802"/>
      <c r="XL839" s="802"/>
      <c r="XM839" s="802"/>
      <c r="XN839" s="802"/>
      <c r="XO839" s="802"/>
      <c r="XP839" s="802"/>
      <c r="XQ839" s="802"/>
      <c r="XR839" s="802"/>
      <c r="XS839" s="802"/>
      <c r="XT839" s="802"/>
      <c r="XU839" s="802"/>
      <c r="XV839" s="802"/>
      <c r="XW839" s="802"/>
      <c r="XX839" s="802"/>
      <c r="XY839" s="802"/>
      <c r="XZ839" s="802"/>
      <c r="YA839" s="802"/>
      <c r="YB839" s="802"/>
      <c r="YC839" s="802"/>
      <c r="YD839" s="802"/>
      <c r="YE839" s="802"/>
      <c r="YF839" s="802"/>
      <c r="YG839" s="802"/>
      <c r="YH839" s="802"/>
      <c r="YI839" s="802"/>
      <c r="YJ839" s="802"/>
      <c r="YK839" s="802"/>
      <c r="YL839" s="802"/>
      <c r="YM839" s="802"/>
      <c r="YN839" s="802"/>
      <c r="YO839" s="802"/>
      <c r="YP839" s="802"/>
      <c r="YQ839" s="802"/>
      <c r="YR839" s="802"/>
      <c r="YS839" s="802"/>
      <c r="YT839" s="802"/>
      <c r="YU839" s="802"/>
      <c r="YV839" s="802"/>
      <c r="YW839" s="802"/>
      <c r="YX839" s="802"/>
      <c r="YY839" s="802"/>
      <c r="YZ839" s="802"/>
      <c r="ZA839" s="802"/>
      <c r="ZB839" s="802"/>
      <c r="ZC839" s="802"/>
      <c r="ZD839" s="802"/>
      <c r="ZE839" s="802"/>
      <c r="ZF839" s="802"/>
      <c r="ZG839" s="802"/>
      <c r="ZH839" s="802"/>
      <c r="ZI839" s="802"/>
      <c r="ZJ839" s="802"/>
      <c r="ZK839" s="802"/>
      <c r="ZL839" s="802"/>
      <c r="ZM839" s="802"/>
      <c r="ZN839" s="802"/>
      <c r="ZO839" s="802"/>
      <c r="ZP839" s="802"/>
      <c r="ZQ839" s="802"/>
      <c r="ZR839" s="802"/>
      <c r="ZS839" s="802"/>
      <c r="ZT839" s="802"/>
      <c r="ZU839" s="802"/>
      <c r="ZV839" s="802"/>
      <c r="ZW839" s="802"/>
      <c r="ZX839" s="802"/>
      <c r="ZY839" s="802"/>
      <c r="ZZ839" s="802"/>
      <c r="AAA839" s="802"/>
      <c r="AAB839" s="802"/>
      <c r="AAC839" s="802"/>
      <c r="AAD839" s="802"/>
      <c r="AAE839" s="802"/>
      <c r="AAF839" s="802"/>
      <c r="AAG839" s="802"/>
      <c r="AAH839" s="802"/>
      <c r="AAI839" s="802"/>
      <c r="AAJ839" s="802"/>
      <c r="AAK839" s="802"/>
      <c r="AAL839" s="802"/>
      <c r="AAM839" s="802"/>
      <c r="AAN839" s="802"/>
      <c r="AAO839" s="802"/>
      <c r="AAP839" s="802"/>
      <c r="AAQ839" s="802"/>
      <c r="AAR839" s="802"/>
      <c r="AAS839" s="802"/>
      <c r="AAT839" s="802"/>
      <c r="AAU839" s="802"/>
      <c r="AAV839" s="802"/>
      <c r="AAW839" s="802"/>
      <c r="AAX839" s="802"/>
      <c r="AAY839" s="802"/>
      <c r="AAZ839" s="802"/>
      <c r="ABA839" s="802"/>
      <c r="ABB839" s="802"/>
      <c r="ABC839" s="802"/>
      <c r="ABD839" s="802"/>
      <c r="ABE839" s="802"/>
      <c r="ABF839" s="802"/>
      <c r="ABG839" s="802"/>
      <c r="ABH839" s="802"/>
      <c r="ABI839" s="802"/>
      <c r="ABJ839" s="802"/>
      <c r="ABK839" s="802"/>
      <c r="ABL839" s="802"/>
      <c r="ABM839" s="802"/>
      <c r="ABN839" s="802"/>
      <c r="ABO839" s="802"/>
      <c r="ABP839" s="802"/>
      <c r="ABQ839" s="802"/>
      <c r="ABR839" s="802"/>
      <c r="ABS839" s="802"/>
      <c r="ABT839" s="802"/>
      <c r="ABU839" s="802"/>
      <c r="ABV839" s="802"/>
      <c r="ABW839" s="802"/>
      <c r="ABX839" s="802"/>
      <c r="ABY839" s="802"/>
      <c r="ABZ839" s="802"/>
      <c r="ACA839" s="802"/>
      <c r="ACB839" s="802"/>
      <c r="ACC839" s="802"/>
      <c r="ACD839" s="802"/>
      <c r="ACE839" s="802"/>
      <c r="ACF839" s="802"/>
      <c r="ACG839" s="802"/>
      <c r="ACH839" s="802"/>
      <c r="ACI839" s="802"/>
      <c r="ACJ839" s="802"/>
      <c r="ACK839" s="802"/>
      <c r="ACL839" s="802"/>
      <c r="ACM839" s="802"/>
      <c r="ACN839" s="802"/>
      <c r="ACO839" s="802"/>
      <c r="ACP839" s="802"/>
      <c r="ACQ839" s="802"/>
      <c r="ACR839" s="802"/>
      <c r="ACS839" s="802"/>
      <c r="ACT839" s="802"/>
      <c r="ACU839" s="802"/>
      <c r="ACV839" s="802"/>
      <c r="ACW839" s="802"/>
      <c r="ACX839" s="802"/>
      <c r="ACY839" s="802"/>
      <c r="ACZ839" s="802"/>
      <c r="ADA839" s="802"/>
      <c r="ADB839" s="802"/>
      <c r="ADC839" s="802"/>
      <c r="ADD839" s="802"/>
      <c r="ADE839" s="802"/>
      <c r="ADF839" s="802"/>
      <c r="ADG839" s="802"/>
      <c r="ADH839" s="802"/>
      <c r="ADI839" s="802"/>
      <c r="ADJ839" s="802"/>
      <c r="ADK839" s="802"/>
      <c r="ADL839" s="802"/>
      <c r="ADM839" s="802"/>
      <c r="ADN839" s="802"/>
      <c r="ADO839" s="802"/>
      <c r="ADP839" s="802"/>
      <c r="ADQ839" s="802"/>
      <c r="ADR839" s="802"/>
      <c r="ADS839" s="802"/>
      <c r="ADT839" s="802"/>
      <c r="ADU839" s="802"/>
      <c r="ADV839" s="802"/>
      <c r="ADW839" s="802"/>
      <c r="ADX839" s="802"/>
      <c r="ADY839" s="802"/>
      <c r="ADZ839" s="802"/>
      <c r="AEA839" s="802"/>
      <c r="AEB839" s="802"/>
      <c r="AEC839" s="802"/>
      <c r="AED839" s="802"/>
      <c r="AEE839" s="802"/>
      <c r="AEF839" s="802"/>
      <c r="AEG839" s="802"/>
      <c r="AEH839" s="802"/>
      <c r="AEI839" s="802"/>
      <c r="AEJ839" s="802"/>
      <c r="AEK839" s="802"/>
      <c r="AEL839" s="802"/>
      <c r="AEM839" s="802"/>
      <c r="AEN839" s="802"/>
      <c r="AEO839" s="802"/>
      <c r="AEP839" s="802"/>
      <c r="AEQ839" s="802"/>
      <c r="AER839" s="802"/>
      <c r="AES839" s="802"/>
      <c r="AET839" s="802"/>
      <c r="AEU839" s="802"/>
      <c r="AEV839" s="802"/>
      <c r="AEW839" s="802"/>
      <c r="AEX839" s="802"/>
      <c r="AEY839" s="802"/>
      <c r="AEZ839" s="802"/>
      <c r="AFA839" s="802"/>
      <c r="AFB839" s="802"/>
      <c r="AFC839" s="802"/>
      <c r="AFD839" s="802"/>
      <c r="AFE839" s="802"/>
      <c r="AFF839" s="802"/>
      <c r="AFG839" s="802"/>
      <c r="AFH839" s="802"/>
      <c r="AFI839" s="802"/>
      <c r="AFJ839" s="802"/>
      <c r="AFK839" s="802"/>
      <c r="AFL839" s="802"/>
      <c r="AFM839" s="802"/>
      <c r="AFN839" s="802"/>
      <c r="AFO839" s="802"/>
      <c r="AFP839" s="802"/>
      <c r="AFQ839" s="802"/>
      <c r="AFR839" s="802"/>
      <c r="AFS839" s="802"/>
      <c r="AFT839" s="802"/>
      <c r="AFU839" s="802"/>
      <c r="AFV839" s="802"/>
      <c r="AFW839" s="802"/>
      <c r="AFX839" s="802"/>
      <c r="AFY839" s="802"/>
      <c r="AFZ839" s="802"/>
      <c r="AGA839" s="802"/>
      <c r="AGB839" s="802"/>
      <c r="AGC839" s="802"/>
      <c r="AGD839" s="802"/>
      <c r="AGE839" s="802"/>
      <c r="AGF839" s="802"/>
      <c r="AGG839" s="802"/>
      <c r="AGH839" s="802"/>
      <c r="AGI839" s="802"/>
      <c r="AGJ839" s="802"/>
      <c r="AGK839" s="802"/>
      <c r="AGL839" s="802"/>
      <c r="AGM839" s="802"/>
      <c r="AGN839" s="802"/>
      <c r="AGO839" s="802"/>
      <c r="AGP839" s="802"/>
      <c r="AGQ839" s="802"/>
      <c r="AGR839" s="802"/>
      <c r="AGS839" s="802"/>
      <c r="AGT839" s="802"/>
      <c r="AGU839" s="802"/>
      <c r="AGV839" s="802"/>
      <c r="AGW839" s="802"/>
      <c r="AGX839" s="802"/>
      <c r="AGY839" s="802"/>
      <c r="AGZ839" s="802"/>
      <c r="AHA839" s="802"/>
      <c r="AHB839" s="802"/>
      <c r="AHC839" s="802"/>
      <c r="AHD839" s="802"/>
      <c r="AHE839" s="802"/>
      <c r="AHF839" s="802"/>
      <c r="AHG839" s="802"/>
      <c r="AHH839" s="802"/>
      <c r="AHI839" s="802"/>
      <c r="AHJ839" s="802"/>
      <c r="AHK839" s="802"/>
      <c r="AHL839" s="802"/>
      <c r="AHM839" s="802"/>
      <c r="AHN839" s="802"/>
      <c r="AHO839" s="802"/>
      <c r="AHP839" s="802"/>
      <c r="AHQ839" s="802"/>
      <c r="AHR839" s="802"/>
      <c r="AHS839" s="802"/>
      <c r="AHT839" s="802"/>
      <c r="AHU839" s="802"/>
      <c r="AHV839" s="802"/>
      <c r="AHW839" s="802"/>
      <c r="AHX839" s="802"/>
      <c r="AHY839" s="802"/>
      <c r="AHZ839" s="802"/>
      <c r="AIA839" s="802"/>
      <c r="AIB839" s="802"/>
      <c r="AIC839" s="802"/>
      <c r="AID839" s="802"/>
      <c r="AIE839" s="802"/>
      <c r="AIF839" s="802"/>
      <c r="AIG839" s="802"/>
      <c r="AIH839" s="802"/>
      <c r="AII839" s="802"/>
      <c r="AIJ839" s="802"/>
      <c r="AIK839" s="802"/>
      <c r="AIL839" s="802"/>
      <c r="AIM839" s="802"/>
      <c r="AIN839" s="802"/>
      <c r="AIO839" s="802"/>
      <c r="AIP839" s="802"/>
      <c r="AIQ839" s="802"/>
      <c r="AIR839" s="802"/>
      <c r="AIS839" s="802"/>
      <c r="AIT839" s="802"/>
      <c r="AIU839" s="802"/>
      <c r="AIV839" s="802"/>
      <c r="AIW839" s="802"/>
      <c r="AIX839" s="802"/>
      <c r="AIY839" s="802"/>
      <c r="AIZ839" s="802"/>
      <c r="AJA839" s="802"/>
      <c r="AJB839" s="802"/>
      <c r="AJC839" s="802"/>
      <c r="AJD839" s="802"/>
      <c r="AJE839" s="802"/>
      <c r="AJF839" s="802"/>
      <c r="AJG839" s="802"/>
      <c r="AJH839" s="802"/>
      <c r="AJI839" s="802"/>
      <c r="AJJ839" s="802"/>
      <c r="AJK839" s="802"/>
      <c r="AJL839" s="802"/>
      <c r="AJM839" s="802"/>
      <c r="AJN839" s="802"/>
      <c r="AJO839" s="802"/>
      <c r="AJP839" s="802"/>
      <c r="AJQ839" s="802"/>
      <c r="AJR839" s="802"/>
      <c r="AJS839" s="802"/>
      <c r="AJT839" s="802"/>
      <c r="AJU839" s="802"/>
      <c r="AJV839" s="802"/>
      <c r="AJW839" s="802"/>
      <c r="AJX839" s="802"/>
      <c r="AJY839" s="802"/>
      <c r="AJZ839" s="802"/>
      <c r="AKA839" s="802"/>
      <c r="AKB839" s="802"/>
      <c r="AKC839" s="802"/>
      <c r="AKD839" s="802"/>
      <c r="AKE839" s="802"/>
      <c r="AKF839" s="802"/>
      <c r="AKG839" s="802"/>
      <c r="AKH839" s="802"/>
      <c r="AKI839" s="802"/>
      <c r="AKJ839" s="802"/>
      <c r="AKK839" s="802"/>
      <c r="AKL839" s="802"/>
      <c r="AKM839" s="802"/>
      <c r="AKN839" s="802"/>
      <c r="AKO839" s="802"/>
      <c r="AKP839" s="802"/>
      <c r="AKQ839" s="802"/>
      <c r="AKR839" s="802"/>
      <c r="AKS839" s="802"/>
      <c r="AKT839" s="802"/>
      <c r="AKU839" s="802"/>
      <c r="AKV839" s="802"/>
      <c r="AKW839" s="802"/>
      <c r="AKX839" s="802"/>
      <c r="AKY839" s="802"/>
      <c r="AKZ839" s="802"/>
      <c r="ALA839" s="802"/>
      <c r="ALB839" s="802"/>
      <c r="ALC839" s="802"/>
      <c r="ALD839" s="802"/>
      <c r="ALE839" s="802"/>
      <c r="ALF839" s="802"/>
      <c r="ALG839" s="802"/>
      <c r="ALH839" s="802"/>
      <c r="ALI839" s="802"/>
      <c r="ALJ839" s="802"/>
      <c r="ALK839" s="802"/>
      <c r="ALL839" s="802"/>
      <c r="ALM839" s="802"/>
      <c r="ALN839" s="802"/>
      <c r="ALO839" s="802"/>
      <c r="ALP839" s="802"/>
      <c r="ALQ839" s="802"/>
      <c r="ALR839" s="802"/>
      <c r="ALS839" s="802"/>
      <c r="ALT839" s="802"/>
      <c r="ALU839" s="802"/>
      <c r="ALV839" s="802"/>
      <c r="ALW839" s="802"/>
      <c r="ALX839" s="802"/>
      <c r="ALY839" s="802"/>
      <c r="ALZ839" s="802"/>
      <c r="AMA839" s="802"/>
      <c r="AMB839" s="802"/>
      <c r="AMC839" s="802"/>
      <c r="AMD839" s="802"/>
      <c r="AME839" s="802"/>
      <c r="AMF839" s="802"/>
      <c r="AMG839" s="802"/>
      <c r="AMH839" s="802"/>
      <c r="AMI839" s="802"/>
      <c r="AMJ839" s="802"/>
      <c r="AMK839" s="802"/>
      <c r="AML839" s="802"/>
      <c r="AMM839" s="802"/>
      <c r="AMN839" s="802"/>
      <c r="AMO839" s="802"/>
      <c r="AMP839" s="802"/>
      <c r="AMQ839" s="802"/>
      <c r="AMR839" s="802"/>
      <c r="AMS839" s="802"/>
      <c r="AMT839" s="802"/>
      <c r="AMU839" s="802"/>
      <c r="AMV839" s="802"/>
      <c r="AMW839" s="802"/>
      <c r="AMX839" s="802"/>
      <c r="AMY839" s="802"/>
      <c r="AMZ839" s="802"/>
      <c r="ANA839" s="802"/>
      <c r="ANB839" s="802"/>
      <c r="ANC839" s="802"/>
      <c r="AND839" s="802"/>
      <c r="ANE839" s="802"/>
      <c r="ANF839" s="802"/>
      <c r="ANG839" s="802"/>
      <c r="ANH839" s="802"/>
      <c r="ANI839" s="802"/>
      <c r="ANJ839" s="802"/>
      <c r="ANK839" s="802"/>
      <c r="ANL839" s="802"/>
      <c r="ANM839" s="802"/>
      <c r="ANN839" s="802"/>
      <c r="ANO839" s="802"/>
      <c r="ANP839" s="802"/>
      <c r="ANQ839" s="802"/>
      <c r="ANR839" s="802"/>
      <c r="ANS839" s="802"/>
      <c r="ANT839" s="802"/>
      <c r="ANU839" s="802"/>
      <c r="ANV839" s="802"/>
      <c r="ANW839" s="802"/>
      <c r="ANX839" s="802"/>
      <c r="ANY839" s="802"/>
      <c r="ANZ839" s="802"/>
      <c r="AOA839" s="802"/>
      <c r="AOB839" s="802"/>
      <c r="AOC839" s="802"/>
      <c r="AOD839" s="802"/>
      <c r="AOE839" s="802"/>
      <c r="AOF839" s="802"/>
      <c r="AOG839" s="802"/>
      <c r="AOH839" s="802"/>
      <c r="AOI839" s="802"/>
      <c r="AOJ839" s="802"/>
      <c r="AOK839" s="802"/>
      <c r="AOL839" s="802"/>
      <c r="AOM839" s="802"/>
      <c r="AON839" s="802"/>
      <c r="AOO839" s="802"/>
      <c r="AOP839" s="802"/>
      <c r="AOQ839" s="802"/>
      <c r="AOR839" s="802"/>
      <c r="AOS839" s="802"/>
      <c r="AOT839" s="802"/>
      <c r="AOU839" s="802"/>
      <c r="AOV839" s="802"/>
      <c r="AOW839" s="802"/>
      <c r="AOX839" s="802"/>
      <c r="AOY839" s="802"/>
      <c r="AOZ839" s="802"/>
      <c r="APA839" s="802"/>
      <c r="APB839" s="802"/>
      <c r="APC839" s="802"/>
      <c r="APD839" s="802"/>
      <c r="APE839" s="802"/>
      <c r="APF839" s="802"/>
      <c r="APG839" s="802"/>
      <c r="APH839" s="802"/>
      <c r="API839" s="802"/>
      <c r="APJ839" s="802"/>
      <c r="APK839" s="802"/>
      <c r="APL839" s="802"/>
      <c r="APM839" s="802"/>
      <c r="APN839" s="802"/>
      <c r="APO839" s="802"/>
      <c r="APP839" s="802"/>
      <c r="APQ839" s="802"/>
      <c r="APR839" s="802"/>
      <c r="APS839" s="802"/>
      <c r="APT839" s="802"/>
      <c r="APU839" s="802"/>
      <c r="APV839" s="802"/>
      <c r="APW839" s="802"/>
      <c r="APX839" s="802"/>
      <c r="APY839" s="802"/>
      <c r="APZ839" s="802"/>
      <c r="AQA839" s="802"/>
      <c r="AQB839" s="802"/>
      <c r="AQC839" s="802"/>
      <c r="AQD839" s="802"/>
      <c r="AQE839" s="802"/>
      <c r="AQF839" s="802"/>
      <c r="AQG839" s="802"/>
      <c r="AQH839" s="802"/>
      <c r="AQI839" s="802"/>
      <c r="AQJ839" s="802"/>
      <c r="AQK839" s="802"/>
      <c r="AQL839" s="802"/>
      <c r="AQM839" s="802"/>
      <c r="AQN839" s="802"/>
      <c r="AQO839" s="802"/>
      <c r="AQP839" s="802"/>
      <c r="AQQ839" s="802"/>
      <c r="AQR839" s="802"/>
      <c r="AQS839" s="802"/>
      <c r="AQT839" s="802"/>
      <c r="AQU839" s="802"/>
      <c r="AQV839" s="802"/>
      <c r="AQW839" s="802"/>
      <c r="AQX839" s="802"/>
      <c r="AQY839" s="802"/>
      <c r="AQZ839" s="802"/>
      <c r="ARA839" s="802"/>
      <c r="ARB839" s="802"/>
      <c r="ARC839" s="802"/>
      <c r="ARD839" s="802"/>
      <c r="ARE839" s="802"/>
      <c r="ARF839" s="802"/>
      <c r="ARG839" s="802"/>
      <c r="ARH839" s="802"/>
      <c r="ARI839" s="802"/>
      <c r="ARJ839" s="802"/>
      <c r="ARK839" s="802"/>
      <c r="ARL839" s="802"/>
      <c r="ARM839" s="802"/>
      <c r="ARN839" s="802"/>
      <c r="ARO839" s="802"/>
      <c r="ARP839" s="802"/>
      <c r="ARQ839" s="802"/>
      <c r="ARR839" s="802"/>
      <c r="ARS839" s="802"/>
      <c r="ART839" s="802"/>
      <c r="ARU839" s="802"/>
      <c r="ARV839" s="802"/>
      <c r="ARW839" s="802"/>
      <c r="ARX839" s="802"/>
      <c r="ARY839" s="802"/>
      <c r="ARZ839" s="802"/>
      <c r="ASA839" s="802"/>
      <c r="ASB839" s="802"/>
      <c r="ASC839" s="802"/>
      <c r="ASD839" s="802"/>
      <c r="ASE839" s="802"/>
      <c r="ASF839" s="802"/>
      <c r="ASG839" s="802"/>
      <c r="ASH839" s="802"/>
      <c r="ASI839" s="802"/>
      <c r="ASJ839" s="802"/>
      <c r="ASK839" s="802"/>
      <c r="ASL839" s="802"/>
      <c r="ASM839" s="802"/>
      <c r="ASN839" s="802"/>
      <c r="ASO839" s="802"/>
      <c r="ASP839" s="802"/>
      <c r="ASQ839" s="802"/>
      <c r="ASR839" s="802"/>
      <c r="ASS839" s="802"/>
      <c r="AST839" s="802"/>
      <c r="ASU839" s="802"/>
      <c r="ASV839" s="802"/>
      <c r="ASW839" s="802"/>
      <c r="ASX839" s="802"/>
      <c r="ASY839" s="802"/>
      <c r="ASZ839" s="802"/>
      <c r="ATA839" s="802"/>
      <c r="ATB839" s="802"/>
      <c r="ATC839" s="802"/>
      <c r="ATD839" s="802"/>
      <c r="ATE839" s="802"/>
      <c r="ATF839" s="802"/>
      <c r="ATG839" s="802"/>
      <c r="ATH839" s="802"/>
      <c r="ATI839" s="802"/>
      <c r="ATJ839" s="802"/>
      <c r="ATK839" s="802"/>
      <c r="ATL839" s="802"/>
      <c r="ATM839" s="802"/>
      <c r="ATN839" s="802"/>
      <c r="ATO839" s="802"/>
      <c r="ATP839" s="802"/>
      <c r="ATQ839" s="802"/>
      <c r="ATR839" s="802"/>
      <c r="ATS839" s="802"/>
      <c r="ATT839" s="802"/>
      <c r="ATU839" s="802"/>
      <c r="ATV839" s="802"/>
      <c r="ATW839" s="802"/>
      <c r="ATX839" s="802"/>
      <c r="ATY839" s="802"/>
      <c r="ATZ839" s="802"/>
      <c r="AUA839" s="802"/>
      <c r="AUB839" s="802"/>
      <c r="AUC839" s="802"/>
      <c r="AUD839" s="802"/>
      <c r="AUE839" s="802"/>
      <c r="AUF839" s="802"/>
      <c r="AUG839" s="802"/>
      <c r="AUH839" s="802"/>
      <c r="AUI839" s="802"/>
      <c r="AUJ839" s="802"/>
      <c r="AUK839" s="802"/>
      <c r="AUL839" s="802"/>
      <c r="AUM839" s="802"/>
      <c r="AUN839" s="802"/>
      <c r="AUO839" s="802"/>
      <c r="AUP839" s="802"/>
      <c r="AUQ839" s="802"/>
      <c r="AUR839" s="802"/>
      <c r="AUS839" s="802"/>
      <c r="AUT839" s="802"/>
      <c r="AUU839" s="802"/>
      <c r="AUV839" s="802"/>
      <c r="AUW839" s="802"/>
      <c r="AUX839" s="802"/>
      <c r="AUY839" s="802"/>
      <c r="AUZ839" s="802"/>
      <c r="AVA839" s="802"/>
      <c r="AVB839" s="802"/>
      <c r="AVC839" s="802"/>
      <c r="AVD839" s="802"/>
      <c r="AVE839" s="802"/>
      <c r="AVF839" s="802"/>
      <c r="AVG839" s="802"/>
      <c r="AVH839" s="802"/>
      <c r="AVI839" s="802"/>
      <c r="AVJ839" s="802"/>
      <c r="AVK839" s="802"/>
      <c r="AVL839" s="802"/>
      <c r="AVM839" s="802"/>
      <c r="AVN839" s="802"/>
      <c r="AVO839" s="802"/>
      <c r="AVP839" s="802"/>
      <c r="AVQ839" s="802"/>
      <c r="AVR839" s="802"/>
      <c r="AVS839" s="802"/>
      <c r="AVT839" s="802"/>
      <c r="AVU839" s="802"/>
      <c r="AVV839" s="802"/>
      <c r="AVW839" s="802"/>
      <c r="AVX839" s="802"/>
      <c r="AVY839" s="802"/>
      <c r="AVZ839" s="802"/>
      <c r="AWA839" s="802"/>
      <c r="AWB839" s="802"/>
      <c r="AWC839" s="802"/>
      <c r="AWD839" s="802"/>
      <c r="AWE839" s="802"/>
      <c r="AWF839" s="802"/>
      <c r="AWG839" s="802"/>
      <c r="AWH839" s="802"/>
      <c r="AWI839" s="802"/>
      <c r="AWJ839" s="802"/>
      <c r="AWK839" s="802"/>
      <c r="AWL839" s="802"/>
      <c r="AWM839" s="802"/>
      <c r="AWN839" s="802"/>
      <c r="AWO839" s="802"/>
      <c r="AWP839" s="802"/>
      <c r="AWQ839" s="802"/>
      <c r="AWR839" s="802"/>
      <c r="AWS839" s="802"/>
      <c r="AWT839" s="802"/>
      <c r="AWU839" s="802"/>
      <c r="AWV839" s="802"/>
      <c r="AWW839" s="802"/>
      <c r="AWX839" s="802"/>
      <c r="AWY839" s="802"/>
      <c r="AWZ839" s="802"/>
      <c r="AXA839" s="802"/>
      <c r="AXB839" s="802"/>
      <c r="AXC839" s="802"/>
      <c r="AXD839" s="802"/>
      <c r="AXE839" s="802"/>
      <c r="AXF839" s="802"/>
      <c r="AXG839" s="802"/>
      <c r="AXH839" s="802"/>
      <c r="AXI839" s="802"/>
      <c r="AXJ839" s="802"/>
      <c r="AXK839" s="802"/>
      <c r="AXL839" s="802"/>
      <c r="AXM839" s="802"/>
      <c r="AXN839" s="802"/>
      <c r="AXO839" s="802"/>
      <c r="AXP839" s="802"/>
      <c r="AXQ839" s="802"/>
      <c r="AXR839" s="802"/>
      <c r="AXS839" s="802"/>
      <c r="AXT839" s="802"/>
      <c r="AXU839" s="802"/>
      <c r="AXV839" s="802"/>
      <c r="AXW839" s="802"/>
      <c r="AXX839" s="802"/>
      <c r="AXY839" s="802"/>
      <c r="AXZ839" s="802"/>
      <c r="AYA839" s="802"/>
      <c r="AYB839" s="802"/>
      <c r="AYC839" s="802"/>
      <c r="AYD839" s="802"/>
      <c r="AYE839" s="802"/>
      <c r="AYF839" s="802"/>
      <c r="AYG839" s="802"/>
      <c r="AYH839" s="802"/>
      <c r="AYI839" s="802"/>
      <c r="AYJ839" s="802"/>
      <c r="AYK839" s="802"/>
      <c r="AYL839" s="802"/>
      <c r="AYM839" s="802"/>
      <c r="AYN839" s="802"/>
      <c r="AYO839" s="802"/>
      <c r="AYP839" s="802"/>
      <c r="AYQ839" s="802"/>
      <c r="AYR839" s="802"/>
      <c r="AYS839" s="802"/>
      <c r="AYT839" s="802"/>
      <c r="AYU839" s="802"/>
      <c r="AYV839" s="802"/>
      <c r="AYW839" s="802"/>
      <c r="AYX839" s="802"/>
      <c r="AYY839" s="802"/>
      <c r="AYZ839" s="802"/>
      <c r="AZA839" s="802"/>
      <c r="AZB839" s="802"/>
      <c r="AZC839" s="802"/>
      <c r="AZD839" s="802"/>
      <c r="AZE839" s="802"/>
      <c r="AZF839" s="802"/>
      <c r="AZG839" s="802"/>
      <c r="AZH839" s="802"/>
      <c r="AZI839" s="802"/>
      <c r="AZJ839" s="802"/>
      <c r="AZK839" s="802"/>
      <c r="AZL839" s="802"/>
      <c r="AZM839" s="802"/>
      <c r="AZN839" s="802"/>
      <c r="AZO839" s="802"/>
      <c r="AZP839" s="802"/>
      <c r="AZQ839" s="802"/>
      <c r="AZR839" s="802"/>
      <c r="AZS839" s="802"/>
      <c r="AZT839" s="802"/>
      <c r="AZU839" s="802"/>
      <c r="AZV839" s="802"/>
      <c r="AZW839" s="802"/>
      <c r="AZX839" s="802"/>
      <c r="AZY839" s="802"/>
      <c r="AZZ839" s="802"/>
      <c r="BAA839" s="802"/>
      <c r="BAB839" s="802"/>
      <c r="BAC839" s="802"/>
      <c r="BAD839" s="802"/>
      <c r="BAE839" s="802"/>
      <c r="BAF839" s="802"/>
      <c r="BAG839" s="802"/>
      <c r="BAH839" s="802"/>
      <c r="BAI839" s="802"/>
      <c r="BAJ839" s="802"/>
      <c r="BAK839" s="802"/>
      <c r="BAL839" s="802"/>
      <c r="BAM839" s="802"/>
      <c r="BAN839" s="802"/>
      <c r="BAO839" s="802"/>
      <c r="BAP839" s="802"/>
      <c r="BAQ839" s="802"/>
      <c r="BAR839" s="802"/>
      <c r="BAS839" s="802"/>
      <c r="BAT839" s="802"/>
      <c r="BAU839" s="802"/>
      <c r="BAV839" s="802"/>
      <c r="BAW839" s="802"/>
      <c r="BAX839" s="802"/>
      <c r="BAY839" s="802"/>
      <c r="BAZ839" s="802"/>
      <c r="BBA839" s="802"/>
      <c r="BBB839" s="802"/>
      <c r="BBC839" s="802"/>
      <c r="BBD839" s="802"/>
      <c r="BBE839" s="802"/>
      <c r="BBF839" s="802"/>
      <c r="BBG839" s="802"/>
      <c r="BBH839" s="802"/>
      <c r="BBI839" s="802"/>
      <c r="BBJ839" s="802"/>
      <c r="BBK839" s="802"/>
      <c r="BBL839" s="802"/>
      <c r="BBM839" s="802"/>
      <c r="BBN839" s="802"/>
      <c r="BBO839" s="802"/>
      <c r="BBP839" s="802"/>
      <c r="BBQ839" s="802"/>
      <c r="BBR839" s="802"/>
      <c r="BBS839" s="802"/>
      <c r="BBT839" s="802"/>
      <c r="BBU839" s="802"/>
      <c r="BBV839" s="802"/>
      <c r="BBW839" s="802"/>
      <c r="BBX839" s="802"/>
      <c r="BBY839" s="802"/>
      <c r="BBZ839" s="802"/>
      <c r="BCA839" s="802"/>
      <c r="BCB839" s="802"/>
      <c r="BCC839" s="802"/>
      <c r="BCD839" s="802"/>
      <c r="BCE839" s="802"/>
      <c r="BCF839" s="802"/>
      <c r="BCG839" s="802"/>
      <c r="BCH839" s="802"/>
      <c r="BCI839" s="802"/>
      <c r="BCJ839" s="802"/>
      <c r="BCK839" s="802"/>
      <c r="BCL839" s="802"/>
      <c r="BCM839" s="802"/>
      <c r="BCN839" s="802"/>
      <c r="BCO839" s="802"/>
      <c r="BCP839" s="802"/>
      <c r="BCQ839" s="802"/>
      <c r="BCR839" s="802"/>
      <c r="BCS839" s="802"/>
      <c r="BCT839" s="802"/>
      <c r="BCU839" s="802"/>
      <c r="BCV839" s="802"/>
      <c r="BCW839" s="802"/>
      <c r="BCX839" s="802"/>
      <c r="BCY839" s="802"/>
      <c r="BCZ839" s="802"/>
      <c r="BDA839" s="802"/>
      <c r="BDB839" s="802"/>
      <c r="BDC839" s="802"/>
      <c r="BDD839" s="802"/>
      <c r="BDE839" s="802"/>
      <c r="BDF839" s="802"/>
      <c r="BDG839" s="802"/>
      <c r="BDH839" s="802"/>
      <c r="BDI839" s="802"/>
      <c r="BDJ839" s="802"/>
      <c r="BDK839" s="802"/>
      <c r="BDL839" s="802"/>
      <c r="BDM839" s="802"/>
      <c r="BDN839" s="802"/>
      <c r="BDO839" s="802"/>
      <c r="BDP839" s="802"/>
      <c r="BDQ839" s="802"/>
      <c r="BDR839" s="802"/>
      <c r="BDS839" s="802"/>
      <c r="BDT839" s="802"/>
      <c r="BDU839" s="802"/>
      <c r="BDV839" s="802"/>
      <c r="BDW839" s="802"/>
      <c r="BDX839" s="802"/>
      <c r="BDY839" s="802"/>
      <c r="BDZ839" s="802"/>
      <c r="BEA839" s="802"/>
      <c r="BEB839" s="802"/>
      <c r="BEC839" s="802"/>
      <c r="BED839" s="802"/>
      <c r="BEE839" s="802"/>
      <c r="BEF839" s="802"/>
      <c r="BEG839" s="802"/>
      <c r="BEH839" s="802"/>
      <c r="BEI839" s="802"/>
      <c r="BEJ839" s="802"/>
      <c r="BEK839" s="802"/>
      <c r="BEL839" s="802"/>
      <c r="BEM839" s="802"/>
      <c r="BEN839" s="802"/>
      <c r="BEO839" s="802"/>
      <c r="BEP839" s="802"/>
      <c r="BEQ839" s="802"/>
      <c r="BER839" s="802"/>
      <c r="BES839" s="802"/>
      <c r="BET839" s="802"/>
      <c r="BEU839" s="802"/>
      <c r="BEV839" s="802"/>
      <c r="BEW839" s="802"/>
      <c r="BEX839" s="802"/>
      <c r="BEY839" s="802"/>
      <c r="BEZ839" s="802"/>
      <c r="BFA839" s="802"/>
      <c r="BFB839" s="802"/>
      <c r="BFC839" s="802"/>
      <c r="BFD839" s="802"/>
      <c r="BFE839" s="802"/>
      <c r="BFF839" s="802"/>
      <c r="BFG839" s="802"/>
      <c r="BFH839" s="802"/>
      <c r="BFI839" s="802"/>
      <c r="BFJ839" s="802"/>
      <c r="BFK839" s="802"/>
      <c r="BFL839" s="802"/>
      <c r="BFM839" s="802"/>
      <c r="BFN839" s="802"/>
      <c r="BFO839" s="802"/>
      <c r="BFP839" s="802"/>
      <c r="BFQ839" s="802"/>
      <c r="BFR839" s="802"/>
      <c r="BFS839" s="802"/>
      <c r="BFT839" s="802"/>
      <c r="BFU839" s="802"/>
      <c r="BFV839" s="802"/>
      <c r="BFW839" s="802"/>
      <c r="BFX839" s="802"/>
      <c r="BFY839" s="802"/>
      <c r="BFZ839" s="802"/>
      <c r="BGA839" s="802"/>
      <c r="BGB839" s="802"/>
      <c r="BGC839" s="802"/>
      <c r="BGD839" s="802"/>
      <c r="BGE839" s="802"/>
      <c r="BGF839" s="802"/>
      <c r="BGG839" s="802"/>
      <c r="BGH839" s="802"/>
      <c r="BGI839" s="802"/>
      <c r="BGJ839" s="802"/>
      <c r="BGK839" s="802"/>
      <c r="BGL839" s="802"/>
      <c r="BGM839" s="802"/>
      <c r="BGN839" s="802"/>
      <c r="BGO839" s="802"/>
      <c r="BGP839" s="802"/>
      <c r="BGQ839" s="802"/>
      <c r="BGR839" s="802"/>
      <c r="BGS839" s="802"/>
      <c r="BGT839" s="802"/>
      <c r="BGU839" s="802"/>
      <c r="BGV839" s="802"/>
      <c r="BGW839" s="802"/>
      <c r="BGX839" s="802"/>
      <c r="BGY839" s="802"/>
      <c r="BGZ839" s="802"/>
      <c r="BHA839" s="802"/>
      <c r="BHB839" s="802"/>
      <c r="BHC839" s="802"/>
      <c r="BHD839" s="802"/>
      <c r="BHE839" s="802"/>
      <c r="BHF839" s="802"/>
      <c r="BHG839" s="802"/>
      <c r="BHH839" s="802"/>
      <c r="BHI839" s="802"/>
      <c r="BHJ839" s="802"/>
      <c r="BHK839" s="802"/>
      <c r="BHL839" s="802"/>
      <c r="BHM839" s="802"/>
      <c r="BHN839" s="802"/>
      <c r="BHO839" s="802"/>
      <c r="BHP839" s="802"/>
      <c r="BHQ839" s="802"/>
      <c r="BHR839" s="802"/>
      <c r="BHS839" s="802"/>
      <c r="BHT839" s="802"/>
      <c r="BHU839" s="802"/>
      <c r="BHV839" s="802"/>
      <c r="BHW839" s="802"/>
      <c r="BHX839" s="802"/>
      <c r="BHY839" s="802"/>
      <c r="BHZ839" s="802"/>
      <c r="BIA839" s="802"/>
      <c r="BIB839" s="802"/>
      <c r="BIC839" s="802"/>
      <c r="BID839" s="802"/>
      <c r="BIE839" s="802"/>
      <c r="BIF839" s="802"/>
      <c r="BIG839" s="802"/>
      <c r="BIH839" s="802"/>
      <c r="BII839" s="802"/>
      <c r="BIJ839" s="802"/>
      <c r="BIK839" s="802"/>
      <c r="BIL839" s="802"/>
      <c r="BIM839" s="802"/>
      <c r="BIN839" s="802"/>
      <c r="BIO839" s="802"/>
      <c r="BIP839" s="802"/>
      <c r="BIQ839" s="802"/>
      <c r="BIR839" s="802"/>
      <c r="BIS839" s="802"/>
      <c r="BIT839" s="802"/>
      <c r="BIU839" s="802"/>
      <c r="BIV839" s="802"/>
      <c r="BIW839" s="802"/>
      <c r="BIX839" s="802"/>
      <c r="BIY839" s="802"/>
      <c r="BIZ839" s="802"/>
      <c r="BJA839" s="802"/>
      <c r="BJB839" s="802"/>
      <c r="BJC839" s="802"/>
      <c r="BJD839" s="802"/>
      <c r="BJE839" s="802"/>
      <c r="BJF839" s="802"/>
      <c r="BJG839" s="802"/>
      <c r="BJH839" s="802"/>
      <c r="BJI839" s="802"/>
      <c r="BJJ839" s="802"/>
      <c r="BJK839" s="802"/>
      <c r="BJL839" s="802"/>
      <c r="BJM839" s="802"/>
      <c r="BJN839" s="802"/>
      <c r="BJO839" s="802"/>
      <c r="BJP839" s="802"/>
      <c r="BJQ839" s="802"/>
      <c r="BJR839" s="802"/>
      <c r="BJS839" s="802"/>
      <c r="BJT839" s="802"/>
      <c r="BJU839" s="802"/>
      <c r="BJV839" s="802"/>
      <c r="BJW839" s="802"/>
      <c r="BJX839" s="802"/>
      <c r="BJY839" s="802"/>
      <c r="BJZ839" s="802"/>
      <c r="BKA839" s="802"/>
      <c r="BKB839" s="802"/>
      <c r="BKC839" s="802"/>
      <c r="BKD839" s="802"/>
      <c r="BKE839" s="802"/>
      <c r="BKF839" s="802"/>
      <c r="BKG839" s="802"/>
      <c r="BKH839" s="802"/>
      <c r="BKI839" s="802"/>
      <c r="BKJ839" s="802"/>
      <c r="BKK839" s="802"/>
      <c r="BKL839" s="802"/>
      <c r="BKM839" s="802"/>
      <c r="BKN839" s="802"/>
      <c r="BKO839" s="802"/>
      <c r="BKP839" s="802"/>
      <c r="BKQ839" s="802"/>
      <c r="BKR839" s="802"/>
      <c r="BKS839" s="802"/>
      <c r="BKT839" s="802"/>
      <c r="BKU839" s="802"/>
      <c r="BKV839" s="802"/>
      <c r="BKW839" s="802"/>
      <c r="BKX839" s="802"/>
      <c r="BKY839" s="802"/>
      <c r="BKZ839" s="802"/>
      <c r="BLA839" s="802"/>
      <c r="BLB839" s="802"/>
      <c r="BLC839" s="802"/>
      <c r="BLD839" s="802"/>
      <c r="BLE839" s="802"/>
      <c r="BLF839" s="802"/>
      <c r="BLG839" s="802"/>
      <c r="BLH839" s="802"/>
      <c r="BLI839" s="802"/>
      <c r="BLJ839" s="802"/>
      <c r="BLK839" s="802"/>
      <c r="BLL839" s="802"/>
      <c r="BLM839" s="802"/>
      <c r="BLN839" s="802"/>
      <c r="BLO839" s="802"/>
      <c r="BLP839" s="802"/>
      <c r="BLQ839" s="802"/>
      <c r="BLR839" s="802"/>
      <c r="BLS839" s="802"/>
      <c r="BLT839" s="802"/>
      <c r="BLU839" s="802"/>
      <c r="BLV839" s="802"/>
      <c r="BLW839" s="802"/>
      <c r="BLX839" s="802"/>
      <c r="BLY839" s="802"/>
      <c r="BLZ839" s="802"/>
      <c r="BMA839" s="802"/>
      <c r="BMB839" s="802"/>
      <c r="BMC839" s="802"/>
      <c r="BMD839" s="802"/>
      <c r="BME839" s="802"/>
      <c r="BMF839" s="802"/>
      <c r="BMG839" s="802"/>
      <c r="BMH839" s="802"/>
      <c r="BMI839" s="802"/>
      <c r="BMJ839" s="802"/>
      <c r="BMK839" s="802"/>
      <c r="BML839" s="802"/>
      <c r="BMM839" s="802"/>
      <c r="BMN839" s="802"/>
      <c r="BMO839" s="802"/>
      <c r="BMP839" s="802"/>
      <c r="BMQ839" s="802"/>
      <c r="BMR839" s="802"/>
      <c r="BMS839" s="802"/>
      <c r="BMT839" s="802"/>
      <c r="BMU839" s="802"/>
      <c r="BMV839" s="802"/>
      <c r="BMW839" s="802"/>
      <c r="BMX839" s="802"/>
      <c r="BMY839" s="802"/>
      <c r="BMZ839" s="802"/>
      <c r="BNA839" s="802"/>
      <c r="BNB839" s="802"/>
      <c r="BNC839" s="802"/>
      <c r="BND839" s="802"/>
      <c r="BNE839" s="802"/>
      <c r="BNF839" s="802"/>
      <c r="BNG839" s="802"/>
      <c r="BNH839" s="802"/>
      <c r="BNI839" s="802"/>
      <c r="BNJ839" s="802"/>
      <c r="BNK839" s="802"/>
      <c r="BNL839" s="802"/>
      <c r="BNM839" s="802"/>
      <c r="BNN839" s="802"/>
      <c r="BNO839" s="802"/>
      <c r="BNP839" s="802"/>
      <c r="BNQ839" s="802"/>
      <c r="BNR839" s="802"/>
      <c r="BNS839" s="802"/>
      <c r="BNT839" s="802"/>
      <c r="BNU839" s="802"/>
      <c r="BNV839" s="802"/>
      <c r="BNW839" s="802"/>
      <c r="BNX839" s="802"/>
      <c r="BNY839" s="802"/>
      <c r="BNZ839" s="802"/>
      <c r="BOA839" s="802"/>
      <c r="BOB839" s="802"/>
      <c r="BOC839" s="802"/>
      <c r="BOD839" s="802"/>
      <c r="BOE839" s="802"/>
      <c r="BOF839" s="802"/>
      <c r="BOG839" s="802"/>
      <c r="BOH839" s="802"/>
      <c r="BOI839" s="802"/>
      <c r="BOJ839" s="802"/>
      <c r="BOK839" s="802"/>
      <c r="BOL839" s="802"/>
      <c r="BOM839" s="802"/>
      <c r="BON839" s="802"/>
      <c r="BOO839" s="802"/>
      <c r="BOP839" s="802"/>
      <c r="BOQ839" s="802"/>
      <c r="BOR839" s="802"/>
      <c r="BOS839" s="802"/>
      <c r="BOT839" s="802"/>
      <c r="BOU839" s="802"/>
      <c r="BOV839" s="802"/>
      <c r="BOW839" s="802"/>
      <c r="BOX839" s="802"/>
      <c r="BOY839" s="802"/>
      <c r="BOZ839" s="802"/>
      <c r="BPA839" s="802"/>
      <c r="BPB839" s="802"/>
      <c r="BPC839" s="802"/>
      <c r="BPD839" s="802"/>
      <c r="BPE839" s="802"/>
      <c r="BPF839" s="802"/>
      <c r="BPG839" s="802"/>
      <c r="BPH839" s="802"/>
      <c r="BPI839" s="802"/>
      <c r="BPJ839" s="802"/>
      <c r="BPK839" s="802"/>
      <c r="BPL839" s="802"/>
      <c r="BPM839" s="802"/>
      <c r="BPN839" s="802"/>
      <c r="BPO839" s="802"/>
      <c r="BPP839" s="802"/>
      <c r="BPQ839" s="802"/>
      <c r="BPR839" s="802"/>
      <c r="BPS839" s="802"/>
      <c r="BPT839" s="802"/>
      <c r="BPU839" s="802"/>
      <c r="BPV839" s="802"/>
      <c r="BPW839" s="802"/>
      <c r="BPX839" s="802"/>
      <c r="BPY839" s="802"/>
      <c r="BPZ839" s="802"/>
      <c r="BQA839" s="802"/>
      <c r="BQB839" s="802"/>
      <c r="BQC839" s="802"/>
      <c r="BQD839" s="802"/>
      <c r="BQE839" s="802"/>
      <c r="BQF839" s="802"/>
      <c r="BQG839" s="802"/>
      <c r="BQH839" s="802"/>
      <c r="BQI839" s="802"/>
      <c r="BQJ839" s="802"/>
      <c r="BQK839" s="802"/>
      <c r="BQL839" s="802"/>
      <c r="BQM839" s="802"/>
      <c r="BQN839" s="802"/>
      <c r="BQO839" s="802"/>
      <c r="BQP839" s="802"/>
      <c r="BQQ839" s="802"/>
      <c r="BQR839" s="802"/>
      <c r="BQS839" s="802"/>
      <c r="BQT839" s="802"/>
      <c r="BQU839" s="802"/>
      <c r="BQV839" s="802"/>
      <c r="BQW839" s="802"/>
      <c r="BQX839" s="802"/>
      <c r="BQY839" s="802"/>
      <c r="BQZ839" s="802"/>
      <c r="BRA839" s="802"/>
      <c r="BRB839" s="802"/>
      <c r="BRC839" s="802"/>
      <c r="BRD839" s="802"/>
      <c r="BRE839" s="802"/>
      <c r="BRF839" s="802"/>
      <c r="BRG839" s="802"/>
      <c r="BRH839" s="802"/>
      <c r="BRI839" s="802"/>
      <c r="BRJ839" s="802"/>
      <c r="BRK839" s="802"/>
      <c r="BRL839" s="802"/>
      <c r="BRM839" s="802"/>
      <c r="BRN839" s="802"/>
      <c r="BRO839" s="802"/>
      <c r="BRP839" s="802"/>
      <c r="BRQ839" s="802"/>
      <c r="BRR839" s="802"/>
      <c r="BRS839" s="802"/>
      <c r="BRT839" s="802"/>
      <c r="BRU839" s="802"/>
      <c r="BRV839" s="802"/>
      <c r="BRW839" s="802"/>
      <c r="BRX839" s="802"/>
      <c r="BRY839" s="802"/>
      <c r="BRZ839" s="802"/>
      <c r="BSA839" s="802"/>
      <c r="BSB839" s="802"/>
      <c r="BSC839" s="802"/>
      <c r="BSD839" s="802"/>
      <c r="BSE839" s="802"/>
      <c r="BSF839" s="802"/>
      <c r="BSG839" s="802"/>
      <c r="BSH839" s="802"/>
      <c r="BSI839" s="802"/>
      <c r="BSJ839" s="802"/>
      <c r="BSK839" s="802"/>
      <c r="BSL839" s="802"/>
      <c r="BSM839" s="802"/>
      <c r="BSN839" s="802"/>
      <c r="BSO839" s="802"/>
      <c r="BSP839" s="802"/>
      <c r="BSQ839" s="802"/>
      <c r="BSR839" s="802"/>
      <c r="BSS839" s="802"/>
      <c r="BST839" s="802"/>
      <c r="BSU839" s="802"/>
      <c r="BSV839" s="802"/>
      <c r="BSW839" s="802"/>
      <c r="BSX839" s="802"/>
      <c r="BSY839" s="802"/>
      <c r="BSZ839" s="802"/>
      <c r="BTA839" s="802"/>
      <c r="BTB839" s="802"/>
      <c r="BTC839" s="802"/>
      <c r="BTD839" s="802"/>
      <c r="BTE839" s="802"/>
      <c r="BTF839" s="802"/>
      <c r="BTG839" s="802"/>
      <c r="BTH839" s="802"/>
      <c r="BTI839" s="802"/>
      <c r="BTJ839" s="802"/>
      <c r="BTK839" s="802"/>
      <c r="BTL839" s="802"/>
      <c r="BTM839" s="802"/>
      <c r="BTN839" s="802"/>
      <c r="BTO839" s="802"/>
      <c r="BTP839" s="802"/>
      <c r="BTQ839" s="802"/>
      <c r="BTR839" s="802"/>
      <c r="BTS839" s="802"/>
      <c r="BTT839" s="802"/>
      <c r="BTU839" s="802"/>
      <c r="BTV839" s="802"/>
      <c r="BTW839" s="802"/>
      <c r="BTX839" s="802"/>
      <c r="BTY839" s="802"/>
      <c r="BTZ839" s="802"/>
      <c r="BUA839" s="802"/>
      <c r="BUB839" s="802"/>
      <c r="BUC839" s="802"/>
      <c r="BUD839" s="802"/>
      <c r="BUE839" s="802"/>
      <c r="BUF839" s="802"/>
      <c r="BUG839" s="802"/>
      <c r="BUH839" s="802"/>
      <c r="BUI839" s="802"/>
      <c r="BUJ839" s="802"/>
      <c r="BUK839" s="802"/>
      <c r="BUL839" s="802"/>
      <c r="BUM839" s="802"/>
      <c r="BUN839" s="802"/>
      <c r="BUO839" s="802"/>
      <c r="BUP839" s="802"/>
      <c r="BUQ839" s="802"/>
      <c r="BUR839" s="802"/>
      <c r="BUS839" s="802"/>
      <c r="BUT839" s="802"/>
      <c r="BUU839" s="802"/>
      <c r="BUV839" s="802"/>
      <c r="BUW839" s="802"/>
      <c r="BUX839" s="802"/>
      <c r="BUY839" s="802"/>
      <c r="BUZ839" s="802"/>
      <c r="BVA839" s="802"/>
      <c r="BVB839" s="802"/>
      <c r="BVC839" s="802"/>
      <c r="BVD839" s="802"/>
      <c r="BVE839" s="802"/>
      <c r="BVF839" s="802"/>
      <c r="BVG839" s="802"/>
      <c r="BVH839" s="802"/>
      <c r="BVI839" s="802"/>
      <c r="BVJ839" s="802"/>
      <c r="BVK839" s="802"/>
      <c r="BVL839" s="802"/>
      <c r="BVM839" s="802"/>
      <c r="BVN839" s="802"/>
      <c r="BVO839" s="802"/>
      <c r="BVP839" s="802"/>
      <c r="BVQ839" s="802"/>
      <c r="BVR839" s="802"/>
      <c r="BVS839" s="802"/>
      <c r="BVT839" s="802"/>
      <c r="BVU839" s="802"/>
      <c r="BVV839" s="802"/>
      <c r="BVW839" s="802"/>
      <c r="BVX839" s="802"/>
      <c r="BVY839" s="802"/>
      <c r="BVZ839" s="802"/>
      <c r="BWA839" s="802"/>
      <c r="BWB839" s="802"/>
      <c r="BWC839" s="802"/>
      <c r="BWD839" s="802"/>
      <c r="BWE839" s="802"/>
      <c r="BWF839" s="802"/>
      <c r="BWG839" s="802"/>
      <c r="BWH839" s="802"/>
      <c r="BWI839" s="802"/>
      <c r="BWJ839" s="802"/>
      <c r="BWK839" s="802"/>
      <c r="BWL839" s="802"/>
      <c r="BWM839" s="802"/>
      <c r="BWN839" s="802"/>
      <c r="BWO839" s="802"/>
      <c r="BWP839" s="802"/>
      <c r="BWQ839" s="802"/>
      <c r="BWR839" s="802"/>
      <c r="BWS839" s="802"/>
      <c r="BWT839" s="802"/>
      <c r="BWU839" s="802"/>
      <c r="BWV839" s="802"/>
      <c r="BWW839" s="802"/>
      <c r="BWX839" s="802"/>
      <c r="BWY839" s="802"/>
      <c r="BWZ839" s="802"/>
      <c r="BXA839" s="802"/>
      <c r="BXB839" s="802"/>
      <c r="BXC839" s="802"/>
      <c r="BXD839" s="802"/>
      <c r="BXE839" s="802"/>
      <c r="BXF839" s="802"/>
      <c r="BXG839" s="802"/>
      <c r="BXH839" s="802"/>
      <c r="BXI839" s="802"/>
      <c r="BXJ839" s="802"/>
      <c r="BXK839" s="802"/>
      <c r="BXL839" s="802"/>
      <c r="BXM839" s="802"/>
      <c r="BXN839" s="802"/>
      <c r="BXO839" s="802"/>
      <c r="BXP839" s="802"/>
      <c r="BXQ839" s="802"/>
      <c r="BXR839" s="802"/>
      <c r="BXS839" s="802"/>
      <c r="BXT839" s="802"/>
      <c r="BXU839" s="802"/>
      <c r="BXV839" s="802"/>
      <c r="BXW839" s="802"/>
      <c r="BXX839" s="802"/>
      <c r="BXY839" s="802"/>
      <c r="BXZ839" s="802"/>
      <c r="BYA839" s="802"/>
      <c r="BYB839" s="802"/>
      <c r="BYC839" s="802"/>
      <c r="BYD839" s="802"/>
      <c r="BYE839" s="802"/>
      <c r="BYF839" s="802"/>
      <c r="BYG839" s="802"/>
      <c r="BYH839" s="802"/>
      <c r="BYI839" s="802"/>
      <c r="BYJ839" s="802"/>
      <c r="BYK839" s="802"/>
      <c r="BYL839" s="802"/>
      <c r="BYM839" s="802"/>
      <c r="BYN839" s="802"/>
      <c r="BYO839" s="802"/>
      <c r="BYP839" s="802"/>
      <c r="BYQ839" s="802"/>
      <c r="BYR839" s="802"/>
      <c r="BYS839" s="802"/>
      <c r="BYT839" s="802"/>
      <c r="BYU839" s="802"/>
      <c r="BYV839" s="802"/>
      <c r="BYW839" s="802"/>
      <c r="BYX839" s="802"/>
      <c r="BYY839" s="802"/>
      <c r="BYZ839" s="802"/>
      <c r="BZA839" s="802"/>
      <c r="BZB839" s="802"/>
      <c r="BZC839" s="802"/>
      <c r="BZD839" s="802"/>
      <c r="BZE839" s="802"/>
      <c r="BZF839" s="802"/>
      <c r="BZG839" s="802"/>
      <c r="BZH839" s="802"/>
      <c r="BZI839" s="802"/>
      <c r="BZJ839" s="802"/>
      <c r="BZK839" s="802"/>
      <c r="BZL839" s="802"/>
      <c r="BZM839" s="802"/>
      <c r="BZN839" s="802"/>
      <c r="BZO839" s="802"/>
      <c r="BZP839" s="802"/>
      <c r="BZQ839" s="802"/>
      <c r="BZR839" s="802"/>
      <c r="BZS839" s="802"/>
      <c r="BZT839" s="802"/>
      <c r="BZU839" s="802"/>
      <c r="BZV839" s="802"/>
      <c r="BZW839" s="802"/>
      <c r="BZX839" s="802"/>
      <c r="BZY839" s="802"/>
      <c r="BZZ839" s="802"/>
      <c r="CAA839" s="802"/>
      <c r="CAB839" s="802"/>
      <c r="CAC839" s="802"/>
      <c r="CAD839" s="802"/>
      <c r="CAE839" s="802"/>
      <c r="CAF839" s="802"/>
      <c r="CAG839" s="802"/>
      <c r="CAH839" s="802"/>
      <c r="CAI839" s="802"/>
      <c r="CAJ839" s="802"/>
      <c r="CAK839" s="802"/>
      <c r="CAL839" s="802"/>
      <c r="CAM839" s="802"/>
      <c r="CAN839" s="802"/>
      <c r="CAO839" s="802"/>
      <c r="CAP839" s="802"/>
      <c r="CAQ839" s="802"/>
      <c r="CAR839" s="802"/>
      <c r="CAS839" s="802"/>
      <c r="CAT839" s="802"/>
      <c r="CAU839" s="802"/>
      <c r="CAV839" s="802"/>
      <c r="CAW839" s="802"/>
      <c r="CAX839" s="802"/>
      <c r="CAY839" s="802"/>
      <c r="CAZ839" s="802"/>
      <c r="CBA839" s="802"/>
      <c r="CBB839" s="802"/>
      <c r="CBC839" s="802"/>
      <c r="CBD839" s="802"/>
      <c r="CBE839" s="802"/>
      <c r="CBF839" s="802"/>
      <c r="CBG839" s="802"/>
      <c r="CBH839" s="802"/>
      <c r="CBI839" s="802"/>
      <c r="CBJ839" s="802"/>
      <c r="CBK839" s="802"/>
      <c r="CBL839" s="802"/>
      <c r="CBM839" s="802"/>
      <c r="CBN839" s="802"/>
      <c r="CBO839" s="802"/>
      <c r="CBP839" s="802"/>
      <c r="CBQ839" s="802"/>
      <c r="CBR839" s="802"/>
      <c r="CBS839" s="802"/>
      <c r="CBT839" s="802"/>
      <c r="CBU839" s="802"/>
      <c r="CBV839" s="802"/>
      <c r="CBW839" s="802"/>
      <c r="CBX839" s="802"/>
      <c r="CBY839" s="802"/>
      <c r="CBZ839" s="802"/>
      <c r="CCA839" s="802"/>
      <c r="CCB839" s="802"/>
      <c r="CCC839" s="802"/>
      <c r="CCD839" s="802"/>
      <c r="CCE839" s="802"/>
      <c r="CCF839" s="802"/>
      <c r="CCG839" s="802"/>
      <c r="CCH839" s="802"/>
      <c r="CCI839" s="802"/>
      <c r="CCJ839" s="802"/>
      <c r="CCK839" s="802"/>
      <c r="CCL839" s="802"/>
      <c r="CCM839" s="802"/>
      <c r="CCN839" s="802"/>
      <c r="CCO839" s="802"/>
      <c r="CCP839" s="802"/>
      <c r="CCQ839" s="802"/>
      <c r="CCR839" s="802"/>
      <c r="CCS839" s="802"/>
      <c r="CCT839" s="802"/>
      <c r="CCU839" s="802"/>
      <c r="CCV839" s="802"/>
      <c r="CCW839" s="802"/>
      <c r="CCX839" s="802"/>
      <c r="CCY839" s="802"/>
      <c r="CCZ839" s="802"/>
      <c r="CDA839" s="802"/>
      <c r="CDB839" s="802"/>
      <c r="CDC839" s="802"/>
      <c r="CDD839" s="802"/>
      <c r="CDE839" s="802"/>
      <c r="CDF839" s="802"/>
      <c r="CDG839" s="802"/>
      <c r="CDH839" s="802"/>
      <c r="CDI839" s="802"/>
      <c r="CDJ839" s="802"/>
      <c r="CDK839" s="802"/>
      <c r="CDL839" s="802"/>
      <c r="CDM839" s="802"/>
      <c r="CDN839" s="802"/>
      <c r="CDO839" s="802"/>
      <c r="CDP839" s="802"/>
      <c r="CDQ839" s="802"/>
      <c r="CDR839" s="802"/>
      <c r="CDS839" s="802"/>
      <c r="CDT839" s="802"/>
      <c r="CDU839" s="802"/>
      <c r="CDV839" s="802"/>
      <c r="CDW839" s="802"/>
      <c r="CDX839" s="802"/>
      <c r="CDY839" s="802"/>
      <c r="CDZ839" s="802"/>
      <c r="CEA839" s="802"/>
      <c r="CEB839" s="802"/>
      <c r="CEC839" s="802"/>
      <c r="CED839" s="802"/>
      <c r="CEE839" s="802"/>
      <c r="CEF839" s="802"/>
      <c r="CEG839" s="802"/>
      <c r="CEH839" s="802"/>
      <c r="CEI839" s="802"/>
      <c r="CEJ839" s="802"/>
      <c r="CEK839" s="802"/>
      <c r="CEL839" s="802"/>
      <c r="CEM839" s="802"/>
      <c r="CEN839" s="802"/>
      <c r="CEO839" s="802"/>
      <c r="CEP839" s="802"/>
      <c r="CEQ839" s="802"/>
      <c r="CER839" s="802"/>
      <c r="CES839" s="802"/>
      <c r="CET839" s="802"/>
      <c r="CEU839" s="802"/>
      <c r="CEV839" s="802"/>
      <c r="CEW839" s="802"/>
      <c r="CEX839" s="802"/>
      <c r="CEY839" s="802"/>
      <c r="CEZ839" s="802"/>
      <c r="CFA839" s="802"/>
      <c r="CFB839" s="802"/>
      <c r="CFC839" s="802"/>
      <c r="CFD839" s="802"/>
      <c r="CFE839" s="802"/>
      <c r="CFF839" s="802"/>
      <c r="CFG839" s="802"/>
      <c r="CFH839" s="802"/>
      <c r="CFI839" s="802"/>
      <c r="CFJ839" s="802"/>
      <c r="CFK839" s="802"/>
      <c r="CFL839" s="802"/>
      <c r="CFM839" s="802"/>
      <c r="CFN839" s="802"/>
      <c r="CFO839" s="802"/>
      <c r="CFP839" s="802"/>
      <c r="CFQ839" s="802"/>
      <c r="CFR839" s="802"/>
      <c r="CFS839" s="802"/>
      <c r="CFT839" s="802"/>
      <c r="CFU839" s="802"/>
      <c r="CFV839" s="802"/>
      <c r="CFW839" s="802"/>
      <c r="CFX839" s="802"/>
      <c r="CFY839" s="802"/>
      <c r="CFZ839" s="802"/>
      <c r="CGA839" s="802"/>
      <c r="CGB839" s="802"/>
      <c r="CGC839" s="802"/>
      <c r="CGD839" s="802"/>
      <c r="CGE839" s="802"/>
      <c r="CGF839" s="802"/>
      <c r="CGG839" s="802"/>
      <c r="CGH839" s="802"/>
      <c r="CGI839" s="802"/>
      <c r="CGJ839" s="802"/>
      <c r="CGK839" s="802"/>
      <c r="CGL839" s="802"/>
      <c r="CGM839" s="802"/>
      <c r="CGN839" s="802"/>
      <c r="CGO839" s="802"/>
      <c r="CGP839" s="802"/>
      <c r="CGQ839" s="802"/>
      <c r="CGR839" s="802"/>
      <c r="CGS839" s="802"/>
      <c r="CGT839" s="802"/>
      <c r="CGU839" s="802"/>
      <c r="CGV839" s="802"/>
      <c r="CGW839" s="802"/>
      <c r="CGX839" s="802"/>
      <c r="CGY839" s="802"/>
      <c r="CGZ839" s="802"/>
      <c r="CHA839" s="802"/>
      <c r="CHB839" s="802"/>
      <c r="CHC839" s="802"/>
      <c r="CHD839" s="802"/>
      <c r="CHE839" s="802"/>
      <c r="CHF839" s="802"/>
      <c r="CHG839" s="802"/>
      <c r="CHH839" s="802"/>
      <c r="CHI839" s="802"/>
      <c r="CHJ839" s="802"/>
      <c r="CHK839" s="802"/>
      <c r="CHL839" s="802"/>
      <c r="CHM839" s="802"/>
      <c r="CHN839" s="802"/>
      <c r="CHO839" s="802"/>
      <c r="CHP839" s="802"/>
      <c r="CHQ839" s="802"/>
      <c r="CHR839" s="802"/>
      <c r="CHS839" s="802"/>
      <c r="CHT839" s="802"/>
      <c r="CHU839" s="802"/>
      <c r="CHV839" s="802"/>
      <c r="CHW839" s="802"/>
      <c r="CHX839" s="802"/>
      <c r="CHY839" s="802"/>
      <c r="CHZ839" s="802"/>
      <c r="CIA839" s="802"/>
      <c r="CIB839" s="802"/>
      <c r="CIC839" s="802"/>
      <c r="CID839" s="802"/>
      <c r="CIE839" s="802"/>
      <c r="CIF839" s="802"/>
      <c r="CIG839" s="802"/>
      <c r="CIH839" s="802"/>
      <c r="CII839" s="802"/>
      <c r="CIJ839" s="802"/>
      <c r="CIK839" s="802"/>
      <c r="CIL839" s="802"/>
      <c r="CIM839" s="802"/>
      <c r="CIN839" s="802"/>
      <c r="CIO839" s="802"/>
      <c r="CIP839" s="802"/>
      <c r="CIQ839" s="802"/>
      <c r="CIR839" s="802"/>
      <c r="CIS839" s="802"/>
      <c r="CIT839" s="802"/>
      <c r="CIU839" s="802"/>
      <c r="CIV839" s="802"/>
      <c r="CIW839" s="802"/>
      <c r="CIX839" s="802"/>
      <c r="CIY839" s="802"/>
      <c r="CIZ839" s="802"/>
      <c r="CJA839" s="802"/>
      <c r="CJB839" s="802"/>
      <c r="CJC839" s="802"/>
      <c r="CJD839" s="802"/>
      <c r="CJE839" s="802"/>
      <c r="CJF839" s="802"/>
      <c r="CJG839" s="802"/>
      <c r="CJH839" s="802"/>
      <c r="CJI839" s="802"/>
      <c r="CJJ839" s="802"/>
      <c r="CJK839" s="802"/>
      <c r="CJL839" s="802"/>
      <c r="CJM839" s="802"/>
      <c r="CJN839" s="802"/>
      <c r="CJO839" s="802"/>
      <c r="CJP839" s="802"/>
      <c r="CJQ839" s="802"/>
      <c r="CJR839" s="802"/>
      <c r="CJS839" s="802"/>
      <c r="CJT839" s="802"/>
      <c r="CJU839" s="802"/>
      <c r="CJV839" s="802"/>
      <c r="CJW839" s="802"/>
      <c r="CJX839" s="802"/>
      <c r="CJY839" s="802"/>
      <c r="CJZ839" s="802"/>
      <c r="CKA839" s="802"/>
      <c r="CKB839" s="802"/>
      <c r="CKC839" s="802"/>
      <c r="CKD839" s="802"/>
      <c r="CKE839" s="802"/>
      <c r="CKF839" s="802"/>
      <c r="CKG839" s="802"/>
      <c r="CKH839" s="802"/>
      <c r="CKI839" s="802"/>
      <c r="CKJ839" s="802"/>
      <c r="CKK839" s="802"/>
      <c r="CKL839" s="802"/>
      <c r="CKM839" s="802"/>
      <c r="CKN839" s="802"/>
      <c r="CKO839" s="802"/>
      <c r="CKP839" s="802"/>
      <c r="CKQ839" s="802"/>
      <c r="CKR839" s="802"/>
      <c r="CKS839" s="802"/>
      <c r="CKT839" s="802"/>
      <c r="CKU839" s="802"/>
      <c r="CKV839" s="802"/>
      <c r="CKW839" s="802"/>
      <c r="CKX839" s="802"/>
      <c r="CKY839" s="802"/>
      <c r="CKZ839" s="802"/>
      <c r="CLA839" s="802"/>
      <c r="CLB839" s="802"/>
      <c r="CLC839" s="802"/>
      <c r="CLD839" s="802"/>
      <c r="CLE839" s="802"/>
      <c r="CLF839" s="802"/>
      <c r="CLG839" s="802"/>
      <c r="CLH839" s="802"/>
      <c r="CLI839" s="802"/>
      <c r="CLJ839" s="802"/>
      <c r="CLK839" s="802"/>
      <c r="CLL839" s="802"/>
      <c r="CLM839" s="802"/>
      <c r="CLN839" s="802"/>
      <c r="CLO839" s="802"/>
      <c r="CLP839" s="802"/>
      <c r="CLQ839" s="802"/>
      <c r="CLR839" s="802"/>
      <c r="CLS839" s="802"/>
      <c r="CLT839" s="802"/>
      <c r="CLU839" s="802"/>
      <c r="CLV839" s="802"/>
      <c r="CLW839" s="802"/>
      <c r="CLX839" s="802"/>
      <c r="CLY839" s="802"/>
      <c r="CLZ839" s="802"/>
      <c r="CMA839" s="802"/>
      <c r="CMB839" s="802"/>
      <c r="CMC839" s="802"/>
      <c r="CMD839" s="802"/>
      <c r="CME839" s="802"/>
      <c r="CMF839" s="802"/>
      <c r="CMG839" s="802"/>
      <c r="CMH839" s="802"/>
      <c r="CMI839" s="802"/>
      <c r="CMJ839" s="802"/>
      <c r="CMK839" s="802"/>
      <c r="CML839" s="802"/>
      <c r="CMM839" s="802"/>
      <c r="CMN839" s="802"/>
      <c r="CMO839" s="802"/>
      <c r="CMP839" s="802"/>
      <c r="CMQ839" s="802"/>
      <c r="CMR839" s="802"/>
      <c r="CMS839" s="802"/>
      <c r="CMT839" s="802"/>
      <c r="CMU839" s="802"/>
      <c r="CMV839" s="802"/>
      <c r="CMW839" s="802"/>
      <c r="CMX839" s="802"/>
      <c r="CMY839" s="802"/>
      <c r="CMZ839" s="802"/>
      <c r="CNA839" s="802"/>
      <c r="CNB839" s="802"/>
      <c r="CNC839" s="802"/>
      <c r="CND839" s="802"/>
      <c r="CNE839" s="802"/>
      <c r="CNF839" s="802"/>
      <c r="CNG839" s="802"/>
      <c r="CNH839" s="802"/>
      <c r="CNI839" s="802"/>
      <c r="CNJ839" s="802"/>
      <c r="CNK839" s="802"/>
      <c r="CNL839" s="802"/>
      <c r="CNM839" s="802"/>
      <c r="CNN839" s="802"/>
      <c r="CNO839" s="802"/>
      <c r="CNP839" s="802"/>
      <c r="CNQ839" s="802"/>
      <c r="CNR839" s="802"/>
      <c r="CNS839" s="802"/>
      <c r="CNT839" s="802"/>
      <c r="CNU839" s="802"/>
      <c r="CNV839" s="802"/>
      <c r="CNW839" s="802"/>
      <c r="CNX839" s="802"/>
      <c r="CNY839" s="802"/>
      <c r="CNZ839" s="802"/>
      <c r="COA839" s="802"/>
      <c r="COB839" s="802"/>
      <c r="COC839" s="802"/>
      <c r="COD839" s="802"/>
      <c r="COE839" s="802"/>
      <c r="COF839" s="802"/>
      <c r="COG839" s="802"/>
      <c r="COH839" s="802"/>
      <c r="COI839" s="802"/>
      <c r="COJ839" s="802"/>
      <c r="COK839" s="802"/>
      <c r="COL839" s="802"/>
      <c r="COM839" s="802"/>
      <c r="CON839" s="802"/>
      <c r="COO839" s="802"/>
      <c r="COP839" s="802"/>
      <c r="COQ839" s="802"/>
      <c r="COR839" s="802"/>
      <c r="COS839" s="802"/>
      <c r="COT839" s="802"/>
      <c r="COU839" s="802"/>
      <c r="COV839" s="802"/>
      <c r="COW839" s="802"/>
      <c r="COX839" s="802"/>
      <c r="COY839" s="802"/>
      <c r="COZ839" s="802"/>
      <c r="CPA839" s="802"/>
      <c r="CPB839" s="802"/>
      <c r="CPC839" s="802"/>
      <c r="CPD839" s="802"/>
      <c r="CPE839" s="802"/>
      <c r="CPF839" s="802"/>
      <c r="CPG839" s="802"/>
      <c r="CPH839" s="802"/>
      <c r="CPI839" s="802"/>
      <c r="CPJ839" s="802"/>
      <c r="CPK839" s="802"/>
      <c r="CPL839" s="802"/>
      <c r="CPM839" s="802"/>
      <c r="CPN839" s="802"/>
      <c r="CPO839" s="802"/>
      <c r="CPP839" s="802"/>
      <c r="CPQ839" s="802"/>
      <c r="CPR839" s="802"/>
      <c r="CPS839" s="802"/>
      <c r="CPT839" s="802"/>
      <c r="CPU839" s="802"/>
      <c r="CPV839" s="802"/>
      <c r="CPW839" s="802"/>
      <c r="CPX839" s="802"/>
      <c r="CPY839" s="802"/>
      <c r="CPZ839" s="802"/>
      <c r="CQA839" s="802"/>
      <c r="CQB839" s="802"/>
      <c r="CQC839" s="802"/>
      <c r="CQD839" s="802"/>
      <c r="CQE839" s="802"/>
      <c r="CQF839" s="802"/>
      <c r="CQG839" s="802"/>
      <c r="CQH839" s="802"/>
      <c r="CQI839" s="802"/>
      <c r="CQJ839" s="802"/>
      <c r="CQK839" s="802"/>
      <c r="CQL839" s="802"/>
      <c r="CQM839" s="802"/>
      <c r="CQN839" s="802"/>
      <c r="CQO839" s="802"/>
      <c r="CQP839" s="802"/>
      <c r="CQQ839" s="802"/>
      <c r="CQR839" s="802"/>
      <c r="CQS839" s="802"/>
      <c r="CQT839" s="802"/>
      <c r="CQU839" s="802"/>
      <c r="CQV839" s="802"/>
      <c r="CQW839" s="802"/>
      <c r="CQX839" s="802"/>
      <c r="CQY839" s="802"/>
      <c r="CQZ839" s="802"/>
      <c r="CRA839" s="802"/>
      <c r="CRB839" s="802"/>
      <c r="CRC839" s="802"/>
      <c r="CRD839" s="802"/>
      <c r="CRE839" s="802"/>
      <c r="CRF839" s="802"/>
      <c r="CRG839" s="802"/>
      <c r="CRH839" s="802"/>
      <c r="CRI839" s="802"/>
      <c r="CRJ839" s="802"/>
      <c r="CRK839" s="802"/>
      <c r="CRL839" s="802"/>
      <c r="CRM839" s="802"/>
      <c r="CRN839" s="802"/>
      <c r="CRO839" s="802"/>
      <c r="CRP839" s="802"/>
      <c r="CRQ839" s="802"/>
      <c r="CRR839" s="802"/>
      <c r="CRS839" s="802"/>
      <c r="CRT839" s="802"/>
      <c r="CRU839" s="802"/>
      <c r="CRV839" s="802"/>
      <c r="CRW839" s="802"/>
      <c r="CRX839" s="802"/>
      <c r="CRY839" s="802"/>
      <c r="CRZ839" s="802"/>
      <c r="CSA839" s="802"/>
      <c r="CSB839" s="802"/>
      <c r="CSC839" s="802"/>
      <c r="CSD839" s="802"/>
      <c r="CSE839" s="802"/>
      <c r="CSF839" s="802"/>
      <c r="CSG839" s="802"/>
      <c r="CSH839" s="802"/>
      <c r="CSI839" s="802"/>
      <c r="CSJ839" s="802"/>
      <c r="CSK839" s="802"/>
      <c r="CSL839" s="802"/>
      <c r="CSM839" s="802"/>
      <c r="CSN839" s="802"/>
      <c r="CSO839" s="802"/>
      <c r="CSP839" s="802"/>
      <c r="CSQ839" s="802"/>
      <c r="CSR839" s="802"/>
      <c r="CSS839" s="802"/>
      <c r="CST839" s="802"/>
      <c r="CSU839" s="802"/>
      <c r="CSV839" s="802"/>
      <c r="CSW839" s="802"/>
      <c r="CSX839" s="802"/>
      <c r="CSY839" s="802"/>
      <c r="CSZ839" s="802"/>
      <c r="CTA839" s="802"/>
      <c r="CTB839" s="802"/>
      <c r="CTC839" s="802"/>
      <c r="CTD839" s="802"/>
      <c r="CTE839" s="802"/>
      <c r="CTF839" s="802"/>
      <c r="CTG839" s="802"/>
      <c r="CTH839" s="802"/>
      <c r="CTI839" s="802"/>
      <c r="CTJ839" s="802"/>
      <c r="CTK839" s="802"/>
      <c r="CTL839" s="802"/>
      <c r="CTM839" s="802"/>
      <c r="CTN839" s="802"/>
      <c r="CTO839" s="802"/>
      <c r="CTP839" s="802"/>
      <c r="CTQ839" s="802"/>
      <c r="CTR839" s="802"/>
      <c r="CTS839" s="802"/>
      <c r="CTT839" s="802"/>
      <c r="CTU839" s="802"/>
      <c r="CTV839" s="802"/>
      <c r="CTW839" s="802"/>
      <c r="CTX839" s="802"/>
      <c r="CTY839" s="802"/>
      <c r="CTZ839" s="802"/>
      <c r="CUA839" s="802"/>
      <c r="CUB839" s="802"/>
      <c r="CUC839" s="802"/>
      <c r="CUD839" s="802"/>
      <c r="CUE839" s="802"/>
      <c r="CUF839" s="802"/>
      <c r="CUG839" s="802"/>
      <c r="CUH839" s="802"/>
      <c r="CUI839" s="802"/>
      <c r="CUJ839" s="802"/>
      <c r="CUK839" s="802"/>
      <c r="CUL839" s="802"/>
      <c r="CUM839" s="802"/>
      <c r="CUN839" s="802"/>
      <c r="CUO839" s="802"/>
      <c r="CUP839" s="802"/>
      <c r="CUQ839" s="802"/>
      <c r="CUR839" s="802"/>
      <c r="CUS839" s="802"/>
      <c r="CUT839" s="802"/>
      <c r="CUU839" s="802"/>
      <c r="CUV839" s="802"/>
      <c r="CUW839" s="802"/>
      <c r="CUX839" s="802"/>
      <c r="CUY839" s="802"/>
      <c r="CUZ839" s="802"/>
      <c r="CVA839" s="802"/>
      <c r="CVB839" s="802"/>
      <c r="CVC839" s="802"/>
      <c r="CVD839" s="802"/>
      <c r="CVE839" s="802"/>
      <c r="CVF839" s="802"/>
      <c r="CVG839" s="802"/>
      <c r="CVH839" s="802"/>
      <c r="CVI839" s="802"/>
      <c r="CVJ839" s="802"/>
      <c r="CVK839" s="802"/>
      <c r="CVL839" s="802"/>
      <c r="CVM839" s="802"/>
      <c r="CVN839" s="802"/>
      <c r="CVO839" s="802"/>
      <c r="CVP839" s="802"/>
      <c r="CVQ839" s="802"/>
      <c r="CVR839" s="802"/>
      <c r="CVS839" s="802"/>
      <c r="CVT839" s="802"/>
      <c r="CVU839" s="802"/>
      <c r="CVV839" s="802"/>
      <c r="CVW839" s="802"/>
      <c r="CVX839" s="802"/>
      <c r="CVY839" s="802"/>
      <c r="CVZ839" s="802"/>
      <c r="CWA839" s="802"/>
      <c r="CWB839" s="802"/>
      <c r="CWC839" s="802"/>
      <c r="CWD839" s="802"/>
      <c r="CWE839" s="802"/>
      <c r="CWF839" s="802"/>
      <c r="CWG839" s="802"/>
      <c r="CWH839" s="802"/>
      <c r="CWI839" s="802"/>
      <c r="CWJ839" s="802"/>
      <c r="CWK839" s="802"/>
      <c r="CWL839" s="802"/>
      <c r="CWM839" s="802"/>
      <c r="CWN839" s="802"/>
      <c r="CWO839" s="802"/>
      <c r="CWP839" s="802"/>
      <c r="CWQ839" s="802"/>
      <c r="CWR839" s="802"/>
      <c r="CWS839" s="802"/>
      <c r="CWT839" s="802"/>
      <c r="CWU839" s="802"/>
      <c r="CWV839" s="802"/>
      <c r="CWW839" s="802"/>
      <c r="CWX839" s="802"/>
      <c r="CWY839" s="802"/>
      <c r="CWZ839" s="802"/>
      <c r="CXA839" s="802"/>
      <c r="CXB839" s="802"/>
      <c r="CXC839" s="802"/>
      <c r="CXD839" s="802"/>
      <c r="CXE839" s="802"/>
      <c r="CXF839" s="802"/>
      <c r="CXG839" s="802"/>
      <c r="CXH839" s="802"/>
      <c r="CXI839" s="802"/>
      <c r="CXJ839" s="802"/>
      <c r="CXK839" s="802"/>
      <c r="CXL839" s="802"/>
      <c r="CXM839" s="802"/>
      <c r="CXN839" s="802"/>
      <c r="CXO839" s="802"/>
      <c r="CXP839" s="802"/>
      <c r="CXQ839" s="802"/>
      <c r="CXR839" s="802"/>
      <c r="CXS839" s="802"/>
      <c r="CXT839" s="802"/>
      <c r="CXU839" s="802"/>
      <c r="CXV839" s="802"/>
      <c r="CXW839" s="802"/>
      <c r="CXX839" s="802"/>
      <c r="CXY839" s="802"/>
      <c r="CXZ839" s="802"/>
      <c r="CYA839" s="802"/>
      <c r="CYB839" s="802"/>
      <c r="CYC839" s="802"/>
      <c r="CYD839" s="802"/>
      <c r="CYE839" s="802"/>
      <c r="CYF839" s="802"/>
      <c r="CYG839" s="802"/>
      <c r="CYH839" s="802"/>
      <c r="CYI839" s="802"/>
      <c r="CYJ839" s="802"/>
      <c r="CYK839" s="802"/>
      <c r="CYL839" s="802"/>
      <c r="CYM839" s="802"/>
      <c r="CYN839" s="802"/>
      <c r="CYO839" s="802"/>
      <c r="CYP839" s="802"/>
      <c r="CYQ839" s="802"/>
      <c r="CYR839" s="802"/>
      <c r="CYS839" s="802"/>
      <c r="CYT839" s="802"/>
      <c r="CYU839" s="802"/>
      <c r="CYV839" s="802"/>
      <c r="CYW839" s="802"/>
      <c r="CYX839" s="802"/>
      <c r="CYY839" s="802"/>
      <c r="CYZ839" s="802"/>
      <c r="CZA839" s="802"/>
      <c r="CZB839" s="802"/>
      <c r="CZC839" s="802"/>
      <c r="CZD839" s="802"/>
      <c r="CZE839" s="802"/>
      <c r="CZF839" s="802"/>
      <c r="CZG839" s="802"/>
      <c r="CZH839" s="802"/>
      <c r="CZI839" s="802"/>
      <c r="CZJ839" s="802"/>
      <c r="CZK839" s="802"/>
      <c r="CZL839" s="802"/>
      <c r="CZM839" s="802"/>
      <c r="CZN839" s="802"/>
      <c r="CZO839" s="802"/>
      <c r="CZP839" s="802"/>
      <c r="CZQ839" s="802"/>
      <c r="CZR839" s="802"/>
      <c r="CZS839" s="802"/>
      <c r="CZT839" s="802"/>
      <c r="CZU839" s="802"/>
      <c r="CZV839" s="802"/>
      <c r="CZW839" s="802"/>
      <c r="CZX839" s="802"/>
      <c r="CZY839" s="802"/>
      <c r="CZZ839" s="802"/>
      <c r="DAA839" s="802"/>
      <c r="DAB839" s="802"/>
      <c r="DAC839" s="802"/>
      <c r="DAD839" s="802"/>
      <c r="DAE839" s="802"/>
      <c r="DAF839" s="802"/>
      <c r="DAG839" s="802"/>
      <c r="DAH839" s="802"/>
      <c r="DAI839" s="802"/>
      <c r="DAJ839" s="802"/>
      <c r="DAK839" s="802"/>
      <c r="DAL839" s="802"/>
      <c r="DAM839" s="802"/>
      <c r="DAN839" s="802"/>
      <c r="DAO839" s="802"/>
      <c r="DAP839" s="802"/>
      <c r="DAQ839" s="802"/>
      <c r="DAR839" s="802"/>
      <c r="DAS839" s="802"/>
      <c r="DAT839" s="802"/>
      <c r="DAU839" s="802"/>
      <c r="DAV839" s="802"/>
      <c r="DAW839" s="802"/>
      <c r="DAX839" s="802"/>
      <c r="DAY839" s="802"/>
      <c r="DAZ839" s="802"/>
      <c r="DBA839" s="802"/>
      <c r="DBB839" s="802"/>
      <c r="DBC839" s="802"/>
      <c r="DBD839" s="802"/>
      <c r="DBE839" s="802"/>
      <c r="DBF839" s="802"/>
      <c r="DBG839" s="802"/>
      <c r="DBH839" s="802"/>
      <c r="DBI839" s="802"/>
      <c r="DBJ839" s="802"/>
      <c r="DBK839" s="802"/>
      <c r="DBL839" s="802"/>
      <c r="DBM839" s="802"/>
      <c r="DBN839" s="802"/>
      <c r="DBO839" s="802"/>
      <c r="DBP839" s="802"/>
      <c r="DBQ839" s="802"/>
      <c r="DBR839" s="802"/>
      <c r="DBS839" s="802"/>
      <c r="DBT839" s="802"/>
      <c r="DBU839" s="802"/>
      <c r="DBV839" s="802"/>
      <c r="DBW839" s="802"/>
      <c r="DBX839" s="802"/>
      <c r="DBY839" s="802"/>
      <c r="DBZ839" s="802"/>
      <c r="DCA839" s="802"/>
      <c r="DCB839" s="802"/>
      <c r="DCC839" s="802"/>
      <c r="DCD839" s="802"/>
      <c r="DCE839" s="802"/>
      <c r="DCF839" s="802"/>
      <c r="DCG839" s="802"/>
      <c r="DCH839" s="802"/>
      <c r="DCI839" s="802"/>
      <c r="DCJ839" s="802"/>
      <c r="DCK839" s="802"/>
      <c r="DCL839" s="802"/>
      <c r="DCM839" s="802"/>
      <c r="DCN839" s="802"/>
      <c r="DCO839" s="802"/>
      <c r="DCP839" s="802"/>
      <c r="DCQ839" s="802"/>
      <c r="DCR839" s="802"/>
      <c r="DCS839" s="802"/>
      <c r="DCT839" s="802"/>
      <c r="DCU839" s="802"/>
      <c r="DCV839" s="802"/>
      <c r="DCW839" s="802"/>
      <c r="DCX839" s="802"/>
      <c r="DCY839" s="802"/>
      <c r="DCZ839" s="802"/>
      <c r="DDA839" s="802"/>
      <c r="DDB839" s="802"/>
      <c r="DDC839" s="802"/>
      <c r="DDD839" s="802"/>
      <c r="DDE839" s="802"/>
      <c r="DDF839" s="802"/>
      <c r="DDG839" s="802"/>
      <c r="DDH839" s="802"/>
      <c r="DDI839" s="802"/>
      <c r="DDJ839" s="802"/>
      <c r="DDK839" s="802"/>
      <c r="DDL839" s="802"/>
      <c r="DDM839" s="802"/>
      <c r="DDN839" s="802"/>
      <c r="DDO839" s="802"/>
      <c r="DDP839" s="802"/>
      <c r="DDQ839" s="802"/>
      <c r="DDR839" s="802"/>
      <c r="DDS839" s="802"/>
      <c r="DDT839" s="802"/>
      <c r="DDU839" s="802"/>
      <c r="DDV839" s="802"/>
      <c r="DDW839" s="802"/>
      <c r="DDX839" s="802"/>
      <c r="DDY839" s="802"/>
      <c r="DDZ839" s="802"/>
      <c r="DEA839" s="802"/>
      <c r="DEB839" s="802"/>
      <c r="DEC839" s="802"/>
      <c r="DED839" s="802"/>
      <c r="DEE839" s="802"/>
      <c r="DEF839" s="802"/>
      <c r="DEG839" s="802"/>
      <c r="DEH839" s="802"/>
      <c r="DEI839" s="802"/>
      <c r="DEJ839" s="802"/>
      <c r="DEK839" s="802"/>
      <c r="DEL839" s="802"/>
      <c r="DEM839" s="802"/>
      <c r="DEN839" s="802"/>
      <c r="DEO839" s="802"/>
      <c r="DEP839" s="802"/>
      <c r="DEQ839" s="802"/>
      <c r="DER839" s="802"/>
      <c r="DES839" s="802"/>
      <c r="DET839" s="802"/>
      <c r="DEU839" s="802"/>
      <c r="DEV839" s="802"/>
      <c r="DEW839" s="802"/>
      <c r="DEX839" s="802"/>
      <c r="DEY839" s="802"/>
      <c r="DEZ839" s="802"/>
      <c r="DFA839" s="802"/>
      <c r="DFB839" s="802"/>
      <c r="DFC839" s="802"/>
      <c r="DFD839" s="802"/>
      <c r="DFE839" s="802"/>
      <c r="DFF839" s="802"/>
      <c r="DFG839" s="802"/>
      <c r="DFH839" s="802"/>
      <c r="DFI839" s="802"/>
      <c r="DFJ839" s="802"/>
      <c r="DFK839" s="802"/>
      <c r="DFL839" s="802"/>
      <c r="DFM839" s="802"/>
      <c r="DFN839" s="802"/>
      <c r="DFO839" s="802"/>
      <c r="DFP839" s="802"/>
      <c r="DFQ839" s="802"/>
      <c r="DFR839" s="802"/>
      <c r="DFS839" s="802"/>
      <c r="DFT839" s="802"/>
      <c r="DFU839" s="802"/>
      <c r="DFV839" s="802"/>
      <c r="DFW839" s="802"/>
      <c r="DFX839" s="802"/>
      <c r="DFY839" s="802"/>
      <c r="DFZ839" s="802"/>
      <c r="DGA839" s="802"/>
      <c r="DGB839" s="802"/>
      <c r="DGC839" s="802"/>
      <c r="DGD839" s="802"/>
      <c r="DGE839" s="802"/>
      <c r="DGF839" s="802"/>
      <c r="DGG839" s="802"/>
      <c r="DGH839" s="802"/>
      <c r="DGI839" s="802"/>
      <c r="DGJ839" s="802"/>
      <c r="DGK839" s="802"/>
      <c r="DGL839" s="802"/>
      <c r="DGM839" s="802"/>
      <c r="DGN839" s="802"/>
      <c r="DGO839" s="802"/>
      <c r="DGP839" s="802"/>
      <c r="DGQ839" s="802"/>
      <c r="DGR839" s="802"/>
      <c r="DGS839" s="802"/>
      <c r="DGT839" s="802"/>
      <c r="DGU839" s="802"/>
      <c r="DGV839" s="802"/>
      <c r="DGW839" s="802"/>
      <c r="DGX839" s="802"/>
      <c r="DGY839" s="802"/>
      <c r="DGZ839" s="802"/>
      <c r="DHA839" s="802"/>
      <c r="DHB839" s="802"/>
      <c r="DHC839" s="802"/>
      <c r="DHD839" s="802"/>
      <c r="DHE839" s="802"/>
      <c r="DHF839" s="802"/>
      <c r="DHG839" s="802"/>
      <c r="DHH839" s="802"/>
      <c r="DHI839" s="802"/>
      <c r="DHJ839" s="802"/>
      <c r="DHK839" s="802"/>
      <c r="DHL839" s="802"/>
      <c r="DHM839" s="802"/>
      <c r="DHN839" s="802"/>
      <c r="DHO839" s="802"/>
      <c r="DHP839" s="802"/>
      <c r="DHQ839" s="802"/>
      <c r="DHR839" s="802"/>
      <c r="DHS839" s="802"/>
      <c r="DHT839" s="802"/>
      <c r="DHU839" s="802"/>
      <c r="DHV839" s="802"/>
      <c r="DHW839" s="802"/>
      <c r="DHX839" s="802"/>
      <c r="DHY839" s="802"/>
      <c r="DHZ839" s="802"/>
      <c r="DIA839" s="802"/>
      <c r="DIB839" s="802"/>
      <c r="DIC839" s="802"/>
      <c r="DID839" s="802"/>
      <c r="DIE839" s="802"/>
      <c r="DIF839" s="802"/>
      <c r="DIG839" s="802"/>
      <c r="DIH839" s="802"/>
      <c r="DII839" s="802"/>
      <c r="DIJ839" s="802"/>
      <c r="DIK839" s="802"/>
      <c r="DIL839" s="802"/>
      <c r="DIM839" s="802"/>
      <c r="DIN839" s="802"/>
      <c r="DIO839" s="802"/>
      <c r="DIP839" s="802"/>
      <c r="DIQ839" s="802"/>
      <c r="DIR839" s="802"/>
      <c r="DIS839" s="802"/>
      <c r="DIT839" s="802"/>
      <c r="DIU839" s="802"/>
      <c r="DIV839" s="802"/>
      <c r="DIW839" s="802"/>
      <c r="DIX839" s="802"/>
      <c r="DIY839" s="802"/>
      <c r="DIZ839" s="802"/>
      <c r="DJA839" s="802"/>
      <c r="DJB839" s="802"/>
      <c r="DJC839" s="802"/>
      <c r="DJD839" s="802"/>
      <c r="DJE839" s="802"/>
      <c r="DJF839" s="802"/>
      <c r="DJG839" s="802"/>
      <c r="DJH839" s="802"/>
      <c r="DJI839" s="802"/>
      <c r="DJJ839" s="802"/>
      <c r="DJK839" s="802"/>
      <c r="DJL839" s="802"/>
      <c r="DJM839" s="802"/>
      <c r="DJN839" s="802"/>
      <c r="DJO839" s="802"/>
      <c r="DJP839" s="802"/>
      <c r="DJQ839" s="802"/>
      <c r="DJR839" s="802"/>
      <c r="DJS839" s="802"/>
      <c r="DJT839" s="802"/>
      <c r="DJU839" s="802"/>
      <c r="DJV839" s="802"/>
      <c r="DJW839" s="802"/>
      <c r="DJX839" s="802"/>
      <c r="DJY839" s="802"/>
      <c r="DJZ839" s="802"/>
      <c r="DKA839" s="802"/>
      <c r="DKB839" s="802"/>
      <c r="DKC839" s="802"/>
      <c r="DKD839" s="802"/>
      <c r="DKE839" s="802"/>
      <c r="DKF839" s="802"/>
      <c r="DKG839" s="802"/>
      <c r="DKH839" s="802"/>
      <c r="DKI839" s="802"/>
      <c r="DKJ839" s="802"/>
      <c r="DKK839" s="802"/>
      <c r="DKL839" s="802"/>
      <c r="DKM839" s="802"/>
      <c r="DKN839" s="802"/>
      <c r="DKO839" s="802"/>
      <c r="DKP839" s="802"/>
      <c r="DKQ839" s="802"/>
      <c r="DKR839" s="802"/>
      <c r="DKS839" s="802"/>
      <c r="DKT839" s="802"/>
      <c r="DKU839" s="802"/>
      <c r="DKV839" s="802"/>
      <c r="DKW839" s="802"/>
      <c r="DKX839" s="802"/>
      <c r="DKY839" s="802"/>
      <c r="DKZ839" s="802"/>
      <c r="DLA839" s="802"/>
      <c r="DLB839" s="802"/>
      <c r="DLC839" s="802"/>
      <c r="DLD839" s="802"/>
      <c r="DLE839" s="802"/>
      <c r="DLF839" s="802"/>
      <c r="DLG839" s="802"/>
      <c r="DLH839" s="802"/>
      <c r="DLI839" s="802"/>
      <c r="DLJ839" s="802"/>
      <c r="DLK839" s="802"/>
      <c r="DLL839" s="802"/>
      <c r="DLM839" s="802"/>
      <c r="DLN839" s="802"/>
      <c r="DLO839" s="802"/>
      <c r="DLP839" s="802"/>
      <c r="DLQ839" s="802"/>
      <c r="DLR839" s="802"/>
      <c r="DLS839" s="802"/>
      <c r="DLT839" s="802"/>
      <c r="DLU839" s="802"/>
      <c r="DLV839" s="802"/>
      <c r="DLW839" s="802"/>
      <c r="DLX839" s="802"/>
      <c r="DLY839" s="802"/>
      <c r="DLZ839" s="802"/>
      <c r="DMA839" s="802"/>
      <c r="DMB839" s="802"/>
      <c r="DMC839" s="802"/>
      <c r="DMD839" s="802"/>
      <c r="DME839" s="802"/>
      <c r="DMF839" s="802"/>
      <c r="DMG839" s="802"/>
      <c r="DMH839" s="802"/>
      <c r="DMI839" s="802"/>
      <c r="DMJ839" s="802"/>
      <c r="DMK839" s="802"/>
      <c r="DML839" s="802"/>
      <c r="DMM839" s="802"/>
      <c r="DMN839" s="802"/>
      <c r="DMO839" s="802"/>
      <c r="DMP839" s="802"/>
      <c r="DMQ839" s="802"/>
      <c r="DMR839" s="802"/>
      <c r="DMS839" s="802"/>
      <c r="DMT839" s="802"/>
      <c r="DMU839" s="802"/>
      <c r="DMV839" s="802"/>
      <c r="DMW839" s="802"/>
      <c r="DMX839" s="802"/>
      <c r="DMY839" s="802"/>
      <c r="DMZ839" s="802"/>
      <c r="DNA839" s="802"/>
      <c r="DNB839" s="802"/>
      <c r="DNC839" s="802"/>
      <c r="DND839" s="802"/>
      <c r="DNE839" s="802"/>
      <c r="DNF839" s="802"/>
      <c r="DNG839" s="802"/>
      <c r="DNH839" s="802"/>
      <c r="DNI839" s="802"/>
      <c r="DNJ839" s="802"/>
      <c r="DNK839" s="802"/>
      <c r="DNL839" s="802"/>
      <c r="DNM839" s="802"/>
      <c r="DNN839" s="802"/>
      <c r="DNO839" s="802"/>
      <c r="DNP839" s="802"/>
      <c r="DNQ839" s="802"/>
      <c r="DNR839" s="802"/>
      <c r="DNS839" s="802"/>
      <c r="DNT839" s="802"/>
      <c r="DNU839" s="802"/>
      <c r="DNV839" s="802"/>
      <c r="DNW839" s="802"/>
      <c r="DNX839" s="802"/>
      <c r="DNY839" s="802"/>
      <c r="DNZ839" s="802"/>
      <c r="DOA839" s="802"/>
      <c r="DOB839" s="802"/>
      <c r="DOC839" s="802"/>
      <c r="DOD839" s="802"/>
      <c r="DOE839" s="802"/>
      <c r="DOF839" s="802"/>
      <c r="DOG839" s="802"/>
      <c r="DOH839" s="802"/>
      <c r="DOI839" s="802"/>
      <c r="DOJ839" s="802"/>
      <c r="DOK839" s="802"/>
      <c r="DOL839" s="802"/>
      <c r="DOM839" s="802"/>
      <c r="DON839" s="802"/>
      <c r="DOO839" s="802"/>
      <c r="DOP839" s="802"/>
      <c r="DOQ839" s="802"/>
      <c r="DOR839" s="802"/>
      <c r="DOS839" s="802"/>
      <c r="DOT839" s="802"/>
      <c r="DOU839" s="802"/>
      <c r="DOV839" s="802"/>
      <c r="DOW839" s="802"/>
      <c r="DOX839" s="802"/>
      <c r="DOY839" s="802"/>
      <c r="DOZ839" s="802"/>
      <c r="DPA839" s="802"/>
      <c r="DPB839" s="802"/>
      <c r="DPC839" s="802"/>
      <c r="DPD839" s="802"/>
      <c r="DPE839" s="802"/>
      <c r="DPF839" s="802"/>
      <c r="DPG839" s="802"/>
      <c r="DPH839" s="802"/>
      <c r="DPI839" s="802"/>
      <c r="DPJ839" s="802"/>
      <c r="DPK839" s="802"/>
      <c r="DPL839" s="802"/>
      <c r="DPM839" s="802"/>
      <c r="DPN839" s="802"/>
      <c r="DPO839" s="802"/>
      <c r="DPP839" s="802"/>
      <c r="DPQ839" s="802"/>
      <c r="DPR839" s="802"/>
      <c r="DPS839" s="802"/>
      <c r="DPT839" s="802"/>
      <c r="DPU839" s="802"/>
      <c r="DPV839" s="802"/>
      <c r="DPW839" s="802"/>
      <c r="DPX839" s="802"/>
      <c r="DPY839" s="802"/>
      <c r="DPZ839" s="802"/>
      <c r="DQA839" s="802"/>
      <c r="DQB839" s="802"/>
      <c r="DQC839" s="802"/>
      <c r="DQD839" s="802"/>
      <c r="DQE839" s="802"/>
      <c r="DQF839" s="802"/>
      <c r="DQG839" s="802"/>
      <c r="DQH839" s="802"/>
      <c r="DQI839" s="802"/>
      <c r="DQJ839" s="802"/>
      <c r="DQK839" s="802"/>
      <c r="DQL839" s="802"/>
      <c r="DQM839" s="802"/>
      <c r="DQN839" s="802"/>
      <c r="DQO839" s="802"/>
      <c r="DQP839" s="802"/>
      <c r="DQQ839" s="802"/>
      <c r="DQR839" s="802"/>
      <c r="DQS839" s="802"/>
      <c r="DQT839" s="802"/>
      <c r="DQU839" s="802"/>
      <c r="DQV839" s="802"/>
      <c r="DQW839" s="802"/>
      <c r="DQX839" s="802"/>
      <c r="DQY839" s="802"/>
      <c r="DQZ839" s="802"/>
      <c r="DRA839" s="802"/>
      <c r="DRB839" s="802"/>
      <c r="DRC839" s="802"/>
      <c r="DRD839" s="802"/>
      <c r="DRE839" s="802"/>
      <c r="DRF839" s="802"/>
      <c r="DRG839" s="802"/>
      <c r="DRH839" s="802"/>
      <c r="DRI839" s="802"/>
      <c r="DRJ839" s="802"/>
      <c r="DRK839" s="802"/>
      <c r="DRL839" s="802"/>
      <c r="DRM839" s="802"/>
      <c r="DRN839" s="802"/>
      <c r="DRO839" s="802"/>
      <c r="DRP839" s="802"/>
      <c r="DRQ839" s="802"/>
      <c r="DRR839" s="802"/>
      <c r="DRS839" s="802"/>
      <c r="DRT839" s="802"/>
      <c r="DRU839" s="802"/>
      <c r="DRV839" s="802"/>
      <c r="DRW839" s="802"/>
      <c r="DRX839" s="802"/>
      <c r="DRY839" s="802"/>
      <c r="DRZ839" s="802"/>
      <c r="DSA839" s="802"/>
      <c r="DSB839" s="802"/>
      <c r="DSC839" s="802"/>
      <c r="DSD839" s="802"/>
      <c r="DSE839" s="802"/>
      <c r="DSF839" s="802"/>
      <c r="DSG839" s="802"/>
      <c r="DSH839" s="802"/>
      <c r="DSI839" s="802"/>
      <c r="DSJ839" s="802"/>
      <c r="DSK839" s="802"/>
      <c r="DSL839" s="802"/>
      <c r="DSM839" s="802"/>
      <c r="DSN839" s="802"/>
      <c r="DSO839" s="802"/>
      <c r="DSP839" s="802"/>
      <c r="DSQ839" s="802"/>
      <c r="DSR839" s="802"/>
      <c r="DSS839" s="802"/>
      <c r="DST839" s="802"/>
      <c r="DSU839" s="802"/>
      <c r="DSV839" s="802"/>
      <c r="DSW839" s="802"/>
      <c r="DSX839" s="802"/>
      <c r="DSY839" s="802"/>
      <c r="DSZ839" s="802"/>
      <c r="DTA839" s="802"/>
      <c r="DTB839" s="802"/>
      <c r="DTC839" s="802"/>
      <c r="DTD839" s="802"/>
      <c r="DTE839" s="802"/>
      <c r="DTF839" s="802"/>
      <c r="DTG839" s="802"/>
      <c r="DTH839" s="802"/>
      <c r="DTI839" s="802"/>
      <c r="DTJ839" s="802"/>
      <c r="DTK839" s="802"/>
      <c r="DTL839" s="802"/>
      <c r="DTM839" s="802"/>
      <c r="DTN839" s="802"/>
      <c r="DTO839" s="802"/>
      <c r="DTP839" s="802"/>
      <c r="DTQ839" s="802"/>
      <c r="DTR839" s="802"/>
      <c r="DTS839" s="802"/>
      <c r="DTT839" s="802"/>
      <c r="DTU839" s="802"/>
      <c r="DTV839" s="802"/>
      <c r="DTW839" s="802"/>
      <c r="DTX839" s="802"/>
      <c r="DTY839" s="802"/>
      <c r="DTZ839" s="802"/>
      <c r="DUA839" s="802"/>
      <c r="DUB839" s="802"/>
      <c r="DUC839" s="802"/>
      <c r="DUD839" s="802"/>
      <c r="DUE839" s="802"/>
      <c r="DUF839" s="802"/>
      <c r="DUG839" s="802"/>
      <c r="DUH839" s="802"/>
      <c r="DUI839" s="802"/>
      <c r="DUJ839" s="802"/>
      <c r="DUK839" s="802"/>
      <c r="DUL839" s="802"/>
      <c r="DUM839" s="802"/>
      <c r="DUN839" s="802"/>
      <c r="DUO839" s="802"/>
      <c r="DUP839" s="802"/>
      <c r="DUQ839" s="802"/>
      <c r="DUR839" s="802"/>
      <c r="DUS839" s="802"/>
      <c r="DUT839" s="802"/>
      <c r="DUU839" s="802"/>
      <c r="DUV839" s="802"/>
      <c r="DUW839" s="802"/>
      <c r="DUX839" s="802"/>
      <c r="DUY839" s="802"/>
      <c r="DUZ839" s="802"/>
      <c r="DVA839" s="802"/>
      <c r="DVB839" s="802"/>
      <c r="DVC839" s="802"/>
      <c r="DVD839" s="802"/>
      <c r="DVE839" s="802"/>
      <c r="DVF839" s="802"/>
      <c r="DVG839" s="802"/>
      <c r="DVH839" s="802"/>
      <c r="DVI839" s="802"/>
      <c r="DVJ839" s="802"/>
      <c r="DVK839" s="802"/>
      <c r="DVL839" s="802"/>
      <c r="DVM839" s="802"/>
      <c r="DVN839" s="802"/>
      <c r="DVO839" s="802"/>
      <c r="DVP839" s="802"/>
      <c r="DVQ839" s="802"/>
      <c r="DVR839" s="802"/>
      <c r="DVS839" s="802"/>
      <c r="DVT839" s="802"/>
      <c r="DVU839" s="802"/>
      <c r="DVV839" s="802"/>
      <c r="DVW839" s="802"/>
      <c r="DVX839" s="802"/>
      <c r="DVY839" s="802"/>
      <c r="DVZ839" s="802"/>
      <c r="DWA839" s="802"/>
      <c r="DWB839" s="802"/>
      <c r="DWC839" s="802"/>
      <c r="DWD839" s="802"/>
      <c r="DWE839" s="802"/>
      <c r="DWF839" s="802"/>
      <c r="DWG839" s="802"/>
      <c r="DWH839" s="802"/>
      <c r="DWI839" s="802"/>
      <c r="DWJ839" s="802"/>
      <c r="DWK839" s="802"/>
      <c r="DWL839" s="802"/>
      <c r="DWM839" s="802"/>
      <c r="DWN839" s="802"/>
      <c r="DWO839" s="802"/>
      <c r="DWP839" s="802"/>
      <c r="DWQ839" s="802"/>
      <c r="DWR839" s="802"/>
      <c r="DWS839" s="802"/>
      <c r="DWT839" s="802"/>
      <c r="DWU839" s="802"/>
      <c r="DWV839" s="802"/>
      <c r="DWW839" s="802"/>
      <c r="DWX839" s="802"/>
      <c r="DWY839" s="802"/>
      <c r="DWZ839" s="802"/>
      <c r="DXA839" s="802"/>
      <c r="DXB839" s="802"/>
      <c r="DXC839" s="802"/>
      <c r="DXD839" s="802"/>
      <c r="DXE839" s="802"/>
      <c r="DXF839" s="802"/>
      <c r="DXG839" s="802"/>
      <c r="DXH839" s="802"/>
      <c r="DXI839" s="802"/>
      <c r="DXJ839" s="802"/>
      <c r="DXK839" s="802"/>
      <c r="DXL839" s="802"/>
      <c r="DXM839" s="802"/>
      <c r="DXN839" s="802"/>
      <c r="DXO839" s="802"/>
      <c r="DXP839" s="802"/>
      <c r="DXQ839" s="802"/>
      <c r="DXR839" s="802"/>
      <c r="DXS839" s="802"/>
      <c r="DXT839" s="802"/>
      <c r="DXU839" s="802"/>
      <c r="DXV839" s="802"/>
      <c r="DXW839" s="802"/>
      <c r="DXX839" s="802"/>
      <c r="DXY839" s="802"/>
      <c r="DXZ839" s="802"/>
      <c r="DYA839" s="802"/>
      <c r="DYB839" s="802"/>
      <c r="DYC839" s="802"/>
      <c r="DYD839" s="802"/>
      <c r="DYE839" s="802"/>
      <c r="DYF839" s="802"/>
      <c r="DYG839" s="802"/>
      <c r="DYH839" s="802"/>
      <c r="DYI839" s="802"/>
      <c r="DYJ839" s="802"/>
      <c r="DYK839" s="802"/>
      <c r="DYL839" s="802"/>
      <c r="DYM839" s="802"/>
      <c r="DYN839" s="802"/>
      <c r="DYO839" s="802"/>
      <c r="DYP839" s="802"/>
      <c r="DYQ839" s="802"/>
      <c r="DYR839" s="802"/>
      <c r="DYS839" s="802"/>
      <c r="DYT839" s="802"/>
      <c r="DYU839" s="802"/>
      <c r="DYV839" s="802"/>
      <c r="DYW839" s="802"/>
      <c r="DYX839" s="802"/>
      <c r="DYY839" s="802"/>
      <c r="DYZ839" s="802"/>
      <c r="DZA839" s="802"/>
      <c r="DZB839" s="802"/>
      <c r="DZC839" s="802"/>
      <c r="DZD839" s="802"/>
      <c r="DZE839" s="802"/>
      <c r="DZF839" s="802"/>
      <c r="DZG839" s="802"/>
      <c r="DZH839" s="802"/>
      <c r="DZI839" s="802"/>
      <c r="DZJ839" s="802"/>
      <c r="DZK839" s="802"/>
      <c r="DZL839" s="802"/>
      <c r="DZM839" s="802"/>
      <c r="DZN839" s="802"/>
      <c r="DZO839" s="802"/>
      <c r="DZP839" s="802"/>
      <c r="DZQ839" s="802"/>
      <c r="DZR839" s="802"/>
      <c r="DZS839" s="802"/>
      <c r="DZT839" s="802"/>
      <c r="DZU839" s="802"/>
      <c r="DZV839" s="802"/>
      <c r="DZW839" s="802"/>
      <c r="DZX839" s="802"/>
      <c r="DZY839" s="802"/>
      <c r="DZZ839" s="802"/>
      <c r="EAA839" s="802"/>
      <c r="EAB839" s="802"/>
      <c r="EAC839" s="802"/>
      <c r="EAD839" s="802"/>
      <c r="EAE839" s="802"/>
      <c r="EAF839" s="802"/>
      <c r="EAG839" s="802"/>
      <c r="EAH839" s="802"/>
      <c r="EAI839" s="802"/>
      <c r="EAJ839" s="802"/>
      <c r="EAK839" s="802"/>
      <c r="EAL839" s="802"/>
      <c r="EAM839" s="802"/>
      <c r="EAN839" s="802"/>
      <c r="EAO839" s="802"/>
      <c r="EAP839" s="802"/>
      <c r="EAQ839" s="802"/>
      <c r="EAR839" s="802"/>
      <c r="EAS839" s="802"/>
      <c r="EAT839" s="802"/>
      <c r="EAU839" s="802"/>
      <c r="EAV839" s="802"/>
      <c r="EAW839" s="802"/>
      <c r="EAX839" s="802"/>
      <c r="EAY839" s="802"/>
      <c r="EAZ839" s="802"/>
      <c r="EBA839" s="802"/>
      <c r="EBB839" s="802"/>
      <c r="EBC839" s="802"/>
      <c r="EBD839" s="802"/>
      <c r="EBE839" s="802"/>
      <c r="EBF839" s="802"/>
      <c r="EBG839" s="802"/>
      <c r="EBH839" s="802"/>
      <c r="EBI839" s="802"/>
      <c r="EBJ839" s="802"/>
      <c r="EBK839" s="802"/>
      <c r="EBL839" s="802"/>
      <c r="EBM839" s="802"/>
      <c r="EBN839" s="802"/>
      <c r="EBO839" s="802"/>
      <c r="EBP839" s="802"/>
      <c r="EBQ839" s="802"/>
      <c r="EBR839" s="802"/>
      <c r="EBS839" s="802"/>
      <c r="EBT839" s="802"/>
      <c r="EBU839" s="802"/>
      <c r="EBV839" s="802"/>
      <c r="EBW839" s="802"/>
      <c r="EBX839" s="802"/>
      <c r="EBY839" s="802"/>
      <c r="EBZ839" s="802"/>
      <c r="ECA839" s="802"/>
      <c r="ECB839" s="802"/>
      <c r="ECC839" s="802"/>
      <c r="ECD839" s="802"/>
      <c r="ECE839" s="802"/>
      <c r="ECF839" s="802"/>
      <c r="ECG839" s="802"/>
      <c r="ECH839" s="802"/>
      <c r="ECI839" s="802"/>
      <c r="ECJ839" s="802"/>
      <c r="ECK839" s="802"/>
      <c r="ECL839" s="802"/>
      <c r="ECM839" s="802"/>
      <c r="ECN839" s="802"/>
      <c r="ECO839" s="802"/>
      <c r="ECP839" s="802"/>
      <c r="ECQ839" s="802"/>
      <c r="ECR839" s="802"/>
      <c r="ECS839" s="802"/>
      <c r="ECT839" s="802"/>
      <c r="ECU839" s="802"/>
      <c r="ECV839" s="802"/>
      <c r="ECW839" s="802"/>
      <c r="ECX839" s="802"/>
      <c r="ECY839" s="802"/>
      <c r="ECZ839" s="802"/>
      <c r="EDA839" s="802"/>
      <c r="EDB839" s="802"/>
      <c r="EDC839" s="802"/>
      <c r="EDD839" s="802"/>
      <c r="EDE839" s="802"/>
      <c r="EDF839" s="802"/>
      <c r="EDG839" s="802"/>
      <c r="EDH839" s="802"/>
      <c r="EDI839" s="802"/>
      <c r="EDJ839" s="802"/>
      <c r="EDK839" s="802"/>
      <c r="EDL839" s="802"/>
      <c r="EDM839" s="802"/>
      <c r="EDN839" s="802"/>
      <c r="EDO839" s="802"/>
      <c r="EDP839" s="802"/>
      <c r="EDQ839" s="802"/>
      <c r="EDR839" s="802"/>
      <c r="EDS839" s="802"/>
      <c r="EDT839" s="802"/>
      <c r="EDU839" s="802"/>
      <c r="EDV839" s="802"/>
      <c r="EDW839" s="802"/>
      <c r="EDX839" s="802"/>
      <c r="EDY839" s="802"/>
      <c r="EDZ839" s="802"/>
      <c r="EEA839" s="802"/>
      <c r="EEB839" s="802"/>
      <c r="EEC839" s="802"/>
      <c r="EED839" s="802"/>
      <c r="EEE839" s="802"/>
      <c r="EEF839" s="802"/>
      <c r="EEG839" s="802"/>
      <c r="EEH839" s="802"/>
      <c r="EEI839" s="802"/>
      <c r="EEJ839" s="802"/>
      <c r="EEK839" s="802"/>
      <c r="EEL839" s="802"/>
      <c r="EEM839" s="802"/>
      <c r="EEN839" s="802"/>
      <c r="EEO839" s="802"/>
      <c r="EEP839" s="802"/>
      <c r="EEQ839" s="802"/>
      <c r="EER839" s="802"/>
      <c r="EES839" s="802"/>
      <c r="EET839" s="802"/>
      <c r="EEU839" s="802"/>
      <c r="EEV839" s="802"/>
      <c r="EEW839" s="802"/>
      <c r="EEX839" s="802"/>
      <c r="EEY839" s="802"/>
      <c r="EEZ839" s="802"/>
      <c r="EFA839" s="802"/>
      <c r="EFB839" s="802"/>
      <c r="EFC839" s="802"/>
      <c r="EFD839" s="802"/>
      <c r="EFE839" s="802"/>
      <c r="EFF839" s="802"/>
      <c r="EFG839" s="802"/>
      <c r="EFH839" s="802"/>
      <c r="EFI839" s="802"/>
      <c r="EFJ839" s="802"/>
      <c r="EFK839" s="802"/>
      <c r="EFL839" s="802"/>
      <c r="EFM839" s="802"/>
      <c r="EFN839" s="802"/>
      <c r="EFO839" s="802"/>
      <c r="EFP839" s="802"/>
      <c r="EFQ839" s="802"/>
      <c r="EFR839" s="802"/>
      <c r="EFS839" s="802"/>
      <c r="EFT839" s="802"/>
      <c r="EFU839" s="802"/>
      <c r="EFV839" s="802"/>
      <c r="EFW839" s="802"/>
      <c r="EFX839" s="802"/>
      <c r="EFY839" s="802"/>
      <c r="EFZ839" s="802"/>
      <c r="EGA839" s="802"/>
      <c r="EGB839" s="802"/>
      <c r="EGC839" s="802"/>
      <c r="EGD839" s="802"/>
      <c r="EGE839" s="802"/>
      <c r="EGF839" s="802"/>
      <c r="EGG839" s="802"/>
      <c r="EGH839" s="802"/>
      <c r="EGI839" s="802"/>
      <c r="EGJ839" s="802"/>
      <c r="EGK839" s="802"/>
      <c r="EGL839" s="802"/>
      <c r="EGM839" s="802"/>
      <c r="EGN839" s="802"/>
      <c r="EGO839" s="802"/>
      <c r="EGP839" s="802"/>
      <c r="EGQ839" s="802"/>
      <c r="EGR839" s="802"/>
      <c r="EGS839" s="802"/>
      <c r="EGT839" s="802"/>
      <c r="EGU839" s="802"/>
      <c r="EGV839" s="802"/>
      <c r="EGW839" s="802"/>
      <c r="EGX839" s="802"/>
      <c r="EGY839" s="802"/>
      <c r="EGZ839" s="802"/>
      <c r="EHA839" s="802"/>
      <c r="EHB839" s="802"/>
      <c r="EHC839" s="802"/>
      <c r="EHD839" s="802"/>
      <c r="EHE839" s="802"/>
      <c r="EHF839" s="802"/>
      <c r="EHG839" s="802"/>
      <c r="EHH839" s="802"/>
      <c r="EHI839" s="802"/>
      <c r="EHJ839" s="802"/>
      <c r="EHK839" s="802"/>
      <c r="EHL839" s="802"/>
      <c r="EHM839" s="802"/>
      <c r="EHN839" s="802"/>
      <c r="EHO839" s="802"/>
      <c r="EHP839" s="802"/>
      <c r="EHQ839" s="802"/>
      <c r="EHR839" s="802"/>
      <c r="EHS839" s="802"/>
      <c r="EHT839" s="802"/>
      <c r="EHU839" s="802"/>
      <c r="EHV839" s="802"/>
      <c r="EHW839" s="802"/>
      <c r="EHX839" s="802"/>
      <c r="EHY839" s="802"/>
      <c r="EHZ839" s="802"/>
      <c r="EIA839" s="802"/>
      <c r="EIB839" s="802"/>
      <c r="EIC839" s="802"/>
      <c r="EID839" s="802"/>
      <c r="EIE839" s="802"/>
      <c r="EIF839" s="802"/>
      <c r="EIG839" s="802"/>
      <c r="EIH839" s="802"/>
      <c r="EII839" s="802"/>
      <c r="EIJ839" s="802"/>
      <c r="EIK839" s="802"/>
      <c r="EIL839" s="802"/>
      <c r="EIM839" s="802"/>
      <c r="EIN839" s="802"/>
      <c r="EIO839" s="802"/>
      <c r="EIP839" s="802"/>
      <c r="EIQ839" s="802"/>
      <c r="EIR839" s="802"/>
      <c r="EIS839" s="802"/>
      <c r="EIT839" s="802"/>
      <c r="EIU839" s="802"/>
      <c r="EIV839" s="802"/>
      <c r="EIW839" s="802"/>
      <c r="EIX839" s="802"/>
      <c r="EIY839" s="802"/>
      <c r="EIZ839" s="802"/>
      <c r="EJA839" s="802"/>
      <c r="EJB839" s="802"/>
      <c r="EJC839" s="802"/>
      <c r="EJD839" s="802"/>
      <c r="EJE839" s="802"/>
      <c r="EJF839" s="802"/>
      <c r="EJG839" s="802"/>
      <c r="EJH839" s="802"/>
      <c r="EJI839" s="802"/>
      <c r="EJJ839" s="802"/>
      <c r="EJK839" s="802"/>
      <c r="EJL839" s="802"/>
      <c r="EJM839" s="802"/>
      <c r="EJN839" s="802"/>
      <c r="EJO839" s="802"/>
      <c r="EJP839" s="802"/>
      <c r="EJQ839" s="802"/>
      <c r="EJR839" s="802"/>
      <c r="EJS839" s="802"/>
      <c r="EJT839" s="802"/>
      <c r="EJU839" s="802"/>
      <c r="EJV839" s="802"/>
      <c r="EJW839" s="802"/>
      <c r="EJX839" s="802"/>
      <c r="EJY839" s="802"/>
      <c r="EJZ839" s="802"/>
      <c r="EKA839" s="802"/>
      <c r="EKB839" s="802"/>
      <c r="EKC839" s="802"/>
      <c r="EKD839" s="802"/>
      <c r="EKE839" s="802"/>
      <c r="EKF839" s="802"/>
      <c r="EKG839" s="802"/>
      <c r="EKH839" s="802"/>
      <c r="EKI839" s="802"/>
      <c r="EKJ839" s="802"/>
      <c r="EKK839" s="802"/>
      <c r="EKL839" s="802"/>
      <c r="EKM839" s="802"/>
      <c r="EKN839" s="802"/>
      <c r="EKO839" s="802"/>
      <c r="EKP839" s="802"/>
      <c r="EKQ839" s="802"/>
      <c r="EKR839" s="802"/>
      <c r="EKS839" s="802"/>
      <c r="EKT839" s="802"/>
      <c r="EKU839" s="802"/>
      <c r="EKV839" s="802"/>
      <c r="EKW839" s="802"/>
      <c r="EKX839" s="802"/>
      <c r="EKY839" s="802"/>
      <c r="EKZ839" s="802"/>
      <c r="ELA839" s="802"/>
      <c r="ELB839" s="802"/>
      <c r="ELC839" s="802"/>
      <c r="ELD839" s="802"/>
      <c r="ELE839" s="802"/>
      <c r="ELF839" s="802"/>
      <c r="ELG839" s="802"/>
      <c r="ELH839" s="802"/>
      <c r="ELI839" s="802"/>
      <c r="ELJ839" s="802"/>
      <c r="ELK839" s="802"/>
      <c r="ELL839" s="802"/>
      <c r="ELM839" s="802"/>
      <c r="ELN839" s="802"/>
      <c r="ELO839" s="802"/>
      <c r="ELP839" s="802"/>
      <c r="ELQ839" s="802"/>
      <c r="ELR839" s="802"/>
      <c r="ELS839" s="802"/>
      <c r="ELT839" s="802"/>
      <c r="ELU839" s="802"/>
      <c r="ELV839" s="802"/>
      <c r="ELW839" s="802"/>
      <c r="ELX839" s="802"/>
      <c r="ELY839" s="802"/>
      <c r="ELZ839" s="802"/>
      <c r="EMA839" s="802"/>
      <c r="EMB839" s="802"/>
      <c r="EMC839" s="802"/>
      <c r="EMD839" s="802"/>
      <c r="EME839" s="802"/>
      <c r="EMF839" s="802"/>
      <c r="EMG839" s="802"/>
      <c r="EMH839" s="802"/>
      <c r="EMI839" s="802"/>
      <c r="EMJ839" s="802"/>
      <c r="EMK839" s="802"/>
      <c r="EML839" s="802"/>
      <c r="EMM839" s="802"/>
      <c r="EMN839" s="802"/>
      <c r="EMO839" s="802"/>
      <c r="EMP839" s="802"/>
      <c r="EMQ839" s="802"/>
      <c r="EMR839" s="802"/>
      <c r="EMS839" s="802"/>
      <c r="EMT839" s="802"/>
      <c r="EMU839" s="802"/>
      <c r="EMV839" s="802"/>
      <c r="EMW839" s="802"/>
      <c r="EMX839" s="802"/>
      <c r="EMY839" s="802"/>
      <c r="EMZ839" s="802"/>
      <c r="ENA839" s="802"/>
      <c r="ENB839" s="802"/>
      <c r="ENC839" s="802"/>
      <c r="END839" s="802"/>
      <c r="ENE839" s="802"/>
      <c r="ENF839" s="802"/>
      <c r="ENG839" s="802"/>
      <c r="ENH839" s="802"/>
      <c r="ENI839" s="802"/>
      <c r="ENJ839" s="802"/>
      <c r="ENK839" s="802"/>
      <c r="ENL839" s="802"/>
      <c r="ENM839" s="802"/>
      <c r="ENN839" s="802"/>
      <c r="ENO839" s="802"/>
      <c r="ENP839" s="802"/>
      <c r="ENQ839" s="802"/>
      <c r="ENR839" s="802"/>
      <c r="ENS839" s="802"/>
      <c r="ENT839" s="802"/>
      <c r="ENU839" s="802"/>
      <c r="ENV839" s="802"/>
      <c r="ENW839" s="802"/>
      <c r="ENX839" s="802"/>
      <c r="ENY839" s="802"/>
      <c r="ENZ839" s="802"/>
      <c r="EOA839" s="802"/>
      <c r="EOB839" s="802"/>
      <c r="EOC839" s="802"/>
      <c r="EOD839" s="802"/>
      <c r="EOE839" s="802"/>
      <c r="EOF839" s="802"/>
      <c r="EOG839" s="802"/>
      <c r="EOH839" s="802"/>
      <c r="EOI839" s="802"/>
      <c r="EOJ839" s="802"/>
      <c r="EOK839" s="802"/>
      <c r="EOL839" s="802"/>
      <c r="EOM839" s="802"/>
      <c r="EON839" s="802"/>
      <c r="EOO839" s="802"/>
      <c r="EOP839" s="802"/>
      <c r="EOQ839" s="802"/>
      <c r="EOR839" s="802"/>
      <c r="EOS839" s="802"/>
      <c r="EOT839" s="802"/>
      <c r="EOU839" s="802"/>
      <c r="EOV839" s="802"/>
      <c r="EOW839" s="802"/>
      <c r="EOX839" s="802"/>
      <c r="EOY839" s="802"/>
      <c r="EOZ839" s="802"/>
      <c r="EPA839" s="802"/>
      <c r="EPB839" s="802"/>
      <c r="EPC839" s="802"/>
      <c r="EPD839" s="802"/>
      <c r="EPE839" s="802"/>
      <c r="EPF839" s="802"/>
      <c r="EPG839" s="802"/>
      <c r="EPH839" s="802"/>
      <c r="EPI839" s="802"/>
      <c r="EPJ839" s="802"/>
      <c r="EPK839" s="802"/>
      <c r="EPL839" s="802"/>
      <c r="EPM839" s="802"/>
      <c r="EPN839" s="802"/>
      <c r="EPO839" s="802"/>
      <c r="EPP839" s="802"/>
      <c r="EPQ839" s="802"/>
      <c r="EPR839" s="802"/>
      <c r="EPS839" s="802"/>
      <c r="EPT839" s="802"/>
      <c r="EPU839" s="802"/>
      <c r="EPV839" s="802"/>
      <c r="EPW839" s="802"/>
      <c r="EPX839" s="802"/>
      <c r="EPY839" s="802"/>
      <c r="EPZ839" s="802"/>
      <c r="EQA839" s="802"/>
      <c r="EQB839" s="802"/>
      <c r="EQC839" s="802"/>
      <c r="EQD839" s="802"/>
      <c r="EQE839" s="802"/>
      <c r="EQF839" s="802"/>
      <c r="EQG839" s="802"/>
      <c r="EQH839" s="802"/>
      <c r="EQI839" s="802"/>
      <c r="EQJ839" s="802"/>
      <c r="EQK839" s="802"/>
      <c r="EQL839" s="802"/>
      <c r="EQM839" s="802"/>
      <c r="EQN839" s="802"/>
      <c r="EQO839" s="802"/>
      <c r="EQP839" s="802"/>
      <c r="EQQ839" s="802"/>
      <c r="EQR839" s="802"/>
      <c r="EQS839" s="802"/>
      <c r="EQT839" s="802"/>
      <c r="EQU839" s="802"/>
      <c r="EQV839" s="802"/>
      <c r="EQW839" s="802"/>
      <c r="EQX839" s="802"/>
      <c r="EQY839" s="802"/>
      <c r="EQZ839" s="802"/>
      <c r="ERA839" s="802"/>
      <c r="ERB839" s="802"/>
      <c r="ERC839" s="802"/>
      <c r="ERD839" s="802"/>
      <c r="ERE839" s="802"/>
      <c r="ERF839" s="802"/>
      <c r="ERG839" s="802"/>
      <c r="ERH839" s="802"/>
      <c r="ERI839" s="802"/>
      <c r="ERJ839" s="802"/>
      <c r="ERK839" s="802"/>
      <c r="ERL839" s="802"/>
      <c r="ERM839" s="802"/>
      <c r="ERN839" s="802"/>
      <c r="ERO839" s="802"/>
      <c r="ERP839" s="802"/>
      <c r="ERQ839" s="802"/>
      <c r="ERR839" s="802"/>
      <c r="ERS839" s="802"/>
      <c r="ERT839" s="802"/>
      <c r="ERU839" s="802"/>
      <c r="ERV839" s="802"/>
      <c r="ERW839" s="802"/>
      <c r="ERX839" s="802"/>
      <c r="ERY839" s="802"/>
      <c r="ERZ839" s="802"/>
      <c r="ESA839" s="802"/>
      <c r="ESB839" s="802"/>
      <c r="ESC839" s="802"/>
      <c r="ESD839" s="802"/>
      <c r="ESE839" s="802"/>
      <c r="ESF839" s="802"/>
      <c r="ESG839" s="802"/>
      <c r="ESH839" s="802"/>
      <c r="ESI839" s="802"/>
      <c r="ESJ839" s="802"/>
      <c r="ESK839" s="802"/>
      <c r="ESL839" s="802"/>
      <c r="ESM839" s="802"/>
      <c r="ESN839" s="802"/>
      <c r="ESO839" s="802"/>
      <c r="ESP839" s="802"/>
      <c r="ESQ839" s="802"/>
      <c r="ESR839" s="802"/>
      <c r="ESS839" s="802"/>
      <c r="EST839" s="802"/>
      <c r="ESU839" s="802"/>
      <c r="ESV839" s="802"/>
      <c r="ESW839" s="802"/>
      <c r="ESX839" s="802"/>
      <c r="ESY839" s="802"/>
      <c r="ESZ839" s="802"/>
      <c r="ETA839" s="802"/>
      <c r="ETB839" s="802"/>
      <c r="ETC839" s="802"/>
      <c r="ETD839" s="802"/>
      <c r="ETE839" s="802"/>
      <c r="ETF839" s="802"/>
      <c r="ETG839" s="802"/>
      <c r="ETH839" s="802"/>
      <c r="ETI839" s="802"/>
      <c r="ETJ839" s="802"/>
      <c r="ETK839" s="802"/>
      <c r="ETL839" s="802"/>
      <c r="ETM839" s="802"/>
      <c r="ETN839" s="802"/>
      <c r="ETO839" s="802"/>
      <c r="ETP839" s="802"/>
      <c r="ETQ839" s="802"/>
      <c r="ETR839" s="802"/>
      <c r="ETS839" s="802"/>
      <c r="ETT839" s="802"/>
      <c r="ETU839" s="802"/>
      <c r="ETV839" s="802"/>
      <c r="ETW839" s="802"/>
      <c r="ETX839" s="802"/>
      <c r="ETY839" s="802"/>
      <c r="ETZ839" s="802"/>
      <c r="EUA839" s="802"/>
      <c r="EUB839" s="802"/>
      <c r="EUC839" s="802"/>
      <c r="EUD839" s="802"/>
      <c r="EUE839" s="802"/>
      <c r="EUF839" s="802"/>
      <c r="EUG839" s="802"/>
      <c r="EUH839" s="802"/>
      <c r="EUI839" s="802"/>
      <c r="EUJ839" s="802"/>
      <c r="EUK839" s="802"/>
      <c r="EUL839" s="802"/>
      <c r="EUM839" s="802"/>
      <c r="EUN839" s="802"/>
      <c r="EUO839" s="802"/>
      <c r="EUP839" s="802"/>
      <c r="EUQ839" s="802"/>
      <c r="EUR839" s="802"/>
      <c r="EUS839" s="802"/>
      <c r="EUT839" s="802"/>
      <c r="EUU839" s="802"/>
      <c r="EUV839" s="802"/>
      <c r="EUW839" s="802"/>
      <c r="EUX839" s="802"/>
      <c r="EUY839" s="802"/>
      <c r="EUZ839" s="802"/>
      <c r="EVA839" s="802"/>
      <c r="EVB839" s="802"/>
      <c r="EVC839" s="802"/>
      <c r="EVD839" s="802"/>
      <c r="EVE839" s="802"/>
      <c r="EVF839" s="802"/>
      <c r="EVG839" s="802"/>
      <c r="EVH839" s="802"/>
      <c r="EVI839" s="802"/>
      <c r="EVJ839" s="802"/>
      <c r="EVK839" s="802"/>
      <c r="EVL839" s="802"/>
      <c r="EVM839" s="802"/>
      <c r="EVN839" s="802"/>
      <c r="EVO839" s="802"/>
      <c r="EVP839" s="802"/>
      <c r="EVQ839" s="802"/>
      <c r="EVR839" s="802"/>
      <c r="EVS839" s="802"/>
      <c r="EVT839" s="802"/>
      <c r="EVU839" s="802"/>
      <c r="EVV839" s="802"/>
      <c r="EVW839" s="802"/>
      <c r="EVX839" s="802"/>
      <c r="EVY839" s="802"/>
      <c r="EVZ839" s="802"/>
      <c r="EWA839" s="802"/>
      <c r="EWB839" s="802"/>
      <c r="EWC839" s="802"/>
      <c r="EWD839" s="802"/>
      <c r="EWE839" s="802"/>
      <c r="EWF839" s="802"/>
      <c r="EWG839" s="802"/>
      <c r="EWH839" s="802"/>
      <c r="EWI839" s="802"/>
      <c r="EWJ839" s="802"/>
      <c r="EWK839" s="802"/>
      <c r="EWL839" s="802"/>
      <c r="EWM839" s="802"/>
      <c r="EWN839" s="802"/>
      <c r="EWO839" s="802"/>
      <c r="EWP839" s="802"/>
      <c r="EWQ839" s="802"/>
      <c r="EWR839" s="802"/>
      <c r="EWS839" s="802"/>
      <c r="EWT839" s="802"/>
      <c r="EWU839" s="802"/>
      <c r="EWV839" s="802"/>
      <c r="EWW839" s="802"/>
      <c r="EWX839" s="802"/>
      <c r="EWY839" s="802"/>
      <c r="EWZ839" s="802"/>
      <c r="EXA839" s="802"/>
      <c r="EXB839" s="802"/>
      <c r="EXC839" s="802"/>
      <c r="EXD839" s="802"/>
      <c r="EXE839" s="802"/>
      <c r="EXF839" s="802"/>
      <c r="EXG839" s="802"/>
      <c r="EXH839" s="802"/>
      <c r="EXI839" s="802"/>
      <c r="EXJ839" s="802"/>
      <c r="EXK839" s="802"/>
      <c r="EXL839" s="802"/>
      <c r="EXM839" s="802"/>
      <c r="EXN839" s="802"/>
      <c r="EXO839" s="802"/>
      <c r="EXP839" s="802"/>
      <c r="EXQ839" s="802"/>
      <c r="EXR839" s="802"/>
      <c r="EXS839" s="802"/>
      <c r="EXT839" s="802"/>
      <c r="EXU839" s="802"/>
      <c r="EXV839" s="802"/>
      <c r="EXW839" s="802"/>
      <c r="EXX839" s="802"/>
      <c r="EXY839" s="802"/>
      <c r="EXZ839" s="802"/>
      <c r="EYA839" s="802"/>
      <c r="EYB839" s="802"/>
      <c r="EYC839" s="802"/>
      <c r="EYD839" s="802"/>
      <c r="EYE839" s="802"/>
      <c r="EYF839" s="802"/>
      <c r="EYG839" s="802"/>
      <c r="EYH839" s="802"/>
      <c r="EYI839" s="802"/>
      <c r="EYJ839" s="802"/>
      <c r="EYK839" s="802"/>
      <c r="EYL839" s="802"/>
      <c r="EYM839" s="802"/>
      <c r="EYN839" s="802"/>
      <c r="EYO839" s="802"/>
      <c r="EYP839" s="802"/>
      <c r="EYQ839" s="802"/>
      <c r="EYR839" s="802"/>
      <c r="EYS839" s="802"/>
      <c r="EYT839" s="802"/>
      <c r="EYU839" s="802"/>
      <c r="EYV839" s="802"/>
      <c r="EYW839" s="802"/>
      <c r="EYX839" s="802"/>
      <c r="EYY839" s="802"/>
      <c r="EYZ839" s="802"/>
      <c r="EZA839" s="802"/>
      <c r="EZB839" s="802"/>
      <c r="EZC839" s="802"/>
      <c r="EZD839" s="802"/>
      <c r="EZE839" s="802"/>
      <c r="EZF839" s="802"/>
      <c r="EZG839" s="802"/>
      <c r="EZH839" s="802"/>
      <c r="EZI839" s="802"/>
      <c r="EZJ839" s="802"/>
      <c r="EZK839" s="802"/>
      <c r="EZL839" s="802"/>
      <c r="EZM839" s="802"/>
      <c r="EZN839" s="802"/>
      <c r="EZO839" s="802"/>
      <c r="EZP839" s="802"/>
      <c r="EZQ839" s="802"/>
      <c r="EZR839" s="802"/>
      <c r="EZS839" s="802"/>
      <c r="EZT839" s="802"/>
      <c r="EZU839" s="802"/>
      <c r="EZV839" s="802"/>
      <c r="EZW839" s="802"/>
      <c r="EZX839" s="802"/>
      <c r="EZY839" s="802"/>
      <c r="EZZ839" s="802"/>
      <c r="FAA839" s="802"/>
      <c r="FAB839" s="802"/>
      <c r="FAC839" s="802"/>
      <c r="FAD839" s="802"/>
      <c r="FAE839" s="802"/>
      <c r="FAF839" s="802"/>
      <c r="FAG839" s="802"/>
      <c r="FAH839" s="802"/>
      <c r="FAI839" s="802"/>
      <c r="FAJ839" s="802"/>
      <c r="FAK839" s="802"/>
      <c r="FAL839" s="802"/>
      <c r="FAM839" s="802"/>
      <c r="FAN839" s="802"/>
      <c r="FAO839" s="802"/>
      <c r="FAP839" s="802"/>
      <c r="FAQ839" s="802"/>
      <c r="FAR839" s="802"/>
      <c r="FAS839" s="802"/>
      <c r="FAT839" s="802"/>
      <c r="FAU839" s="802"/>
      <c r="FAV839" s="802"/>
      <c r="FAW839" s="802"/>
      <c r="FAX839" s="802"/>
      <c r="FAY839" s="802"/>
      <c r="FAZ839" s="802"/>
      <c r="FBA839" s="802"/>
      <c r="FBB839" s="802"/>
      <c r="FBC839" s="802"/>
      <c r="FBD839" s="802"/>
      <c r="FBE839" s="802"/>
      <c r="FBF839" s="802"/>
      <c r="FBG839" s="802"/>
      <c r="FBH839" s="802"/>
      <c r="FBI839" s="802"/>
      <c r="FBJ839" s="802"/>
      <c r="FBK839" s="802"/>
      <c r="FBL839" s="802"/>
      <c r="FBM839" s="802"/>
      <c r="FBN839" s="802"/>
      <c r="FBO839" s="802"/>
      <c r="FBP839" s="802"/>
      <c r="FBQ839" s="802"/>
      <c r="FBR839" s="802"/>
      <c r="FBS839" s="802"/>
      <c r="FBT839" s="802"/>
      <c r="FBU839" s="802"/>
      <c r="FBV839" s="802"/>
      <c r="FBW839" s="802"/>
      <c r="FBX839" s="802"/>
      <c r="FBY839" s="802"/>
      <c r="FBZ839" s="802"/>
      <c r="FCA839" s="802"/>
      <c r="FCB839" s="802"/>
      <c r="FCC839" s="802"/>
      <c r="FCD839" s="802"/>
      <c r="FCE839" s="802"/>
      <c r="FCF839" s="802"/>
      <c r="FCG839" s="802"/>
      <c r="FCH839" s="802"/>
      <c r="FCI839" s="802"/>
      <c r="FCJ839" s="802"/>
      <c r="FCK839" s="802"/>
      <c r="FCL839" s="802"/>
      <c r="FCM839" s="802"/>
      <c r="FCN839" s="802"/>
      <c r="FCO839" s="802"/>
      <c r="FCP839" s="802"/>
      <c r="FCQ839" s="802"/>
      <c r="FCR839" s="802"/>
      <c r="FCS839" s="802"/>
      <c r="FCT839" s="802"/>
      <c r="FCU839" s="802"/>
      <c r="FCV839" s="802"/>
      <c r="FCW839" s="802"/>
      <c r="FCX839" s="802"/>
      <c r="FCY839" s="802"/>
      <c r="FCZ839" s="802"/>
      <c r="FDA839" s="802"/>
      <c r="FDB839" s="802"/>
      <c r="FDC839" s="802"/>
      <c r="FDD839" s="802"/>
      <c r="FDE839" s="802"/>
      <c r="FDF839" s="802"/>
      <c r="FDG839" s="802"/>
      <c r="FDH839" s="802"/>
      <c r="FDI839" s="802"/>
      <c r="FDJ839" s="802"/>
      <c r="FDK839" s="802"/>
      <c r="FDL839" s="802"/>
      <c r="FDM839" s="802"/>
      <c r="FDN839" s="802"/>
      <c r="FDO839" s="802"/>
      <c r="FDP839" s="802"/>
      <c r="FDQ839" s="802"/>
      <c r="FDR839" s="802"/>
      <c r="FDS839" s="802"/>
      <c r="FDT839" s="802"/>
      <c r="FDU839" s="802"/>
      <c r="FDV839" s="802"/>
      <c r="FDW839" s="802"/>
      <c r="FDX839" s="802"/>
      <c r="FDY839" s="802"/>
      <c r="FDZ839" s="802"/>
      <c r="FEA839" s="802"/>
      <c r="FEB839" s="802"/>
      <c r="FEC839" s="802"/>
      <c r="FED839" s="802"/>
      <c r="FEE839" s="802"/>
      <c r="FEF839" s="802"/>
      <c r="FEG839" s="802"/>
      <c r="FEH839" s="802"/>
      <c r="FEI839" s="802"/>
      <c r="FEJ839" s="802"/>
      <c r="FEK839" s="802"/>
      <c r="FEL839" s="802"/>
      <c r="FEM839" s="802"/>
      <c r="FEN839" s="802"/>
      <c r="FEO839" s="802"/>
      <c r="FEP839" s="802"/>
      <c r="FEQ839" s="802"/>
      <c r="FER839" s="802"/>
      <c r="FES839" s="802"/>
      <c r="FET839" s="802"/>
      <c r="FEU839" s="802"/>
      <c r="FEV839" s="802"/>
      <c r="FEW839" s="802"/>
      <c r="FEX839" s="802"/>
      <c r="FEY839" s="802"/>
      <c r="FEZ839" s="802"/>
      <c r="FFA839" s="802"/>
      <c r="FFB839" s="802"/>
      <c r="FFC839" s="802"/>
      <c r="FFD839" s="802"/>
      <c r="FFE839" s="802"/>
      <c r="FFF839" s="802"/>
      <c r="FFG839" s="802"/>
      <c r="FFH839" s="802"/>
      <c r="FFI839" s="802"/>
      <c r="FFJ839" s="802"/>
      <c r="FFK839" s="802"/>
      <c r="FFL839" s="802"/>
      <c r="FFM839" s="802"/>
      <c r="FFN839" s="802"/>
      <c r="FFO839" s="802"/>
      <c r="FFP839" s="802"/>
      <c r="FFQ839" s="802"/>
      <c r="FFR839" s="802"/>
      <c r="FFS839" s="802"/>
      <c r="FFT839" s="802"/>
      <c r="FFU839" s="802"/>
      <c r="FFV839" s="802"/>
      <c r="FFW839" s="802"/>
      <c r="FFX839" s="802"/>
      <c r="FFY839" s="802"/>
      <c r="FFZ839" s="802"/>
      <c r="FGA839" s="802"/>
      <c r="FGB839" s="802"/>
      <c r="FGC839" s="802"/>
      <c r="FGD839" s="802"/>
      <c r="FGE839" s="802"/>
      <c r="FGF839" s="802"/>
      <c r="FGG839" s="802"/>
      <c r="FGH839" s="802"/>
      <c r="FGI839" s="802"/>
      <c r="FGJ839" s="802"/>
      <c r="FGK839" s="802"/>
      <c r="FGL839" s="802"/>
      <c r="FGM839" s="802"/>
      <c r="FGN839" s="802"/>
      <c r="FGO839" s="802"/>
      <c r="FGP839" s="802"/>
      <c r="FGQ839" s="802"/>
      <c r="FGR839" s="802"/>
      <c r="FGS839" s="802"/>
      <c r="FGT839" s="802"/>
      <c r="FGU839" s="802"/>
      <c r="FGV839" s="802"/>
      <c r="FGW839" s="802"/>
      <c r="FGX839" s="802"/>
      <c r="FGY839" s="802"/>
      <c r="FGZ839" s="802"/>
      <c r="FHA839" s="802"/>
      <c r="FHB839" s="802"/>
      <c r="FHC839" s="802"/>
      <c r="FHD839" s="802"/>
      <c r="FHE839" s="802"/>
      <c r="FHF839" s="802"/>
      <c r="FHG839" s="802"/>
      <c r="FHH839" s="802"/>
      <c r="FHI839" s="802"/>
      <c r="FHJ839" s="802"/>
      <c r="FHK839" s="802"/>
      <c r="FHL839" s="802"/>
      <c r="FHM839" s="802"/>
      <c r="FHN839" s="802"/>
      <c r="FHO839" s="802"/>
      <c r="FHP839" s="802"/>
      <c r="FHQ839" s="802"/>
      <c r="FHR839" s="802"/>
      <c r="FHS839" s="802"/>
      <c r="FHT839" s="802"/>
      <c r="FHU839" s="802"/>
      <c r="FHV839" s="802"/>
      <c r="FHW839" s="802"/>
      <c r="FHX839" s="802"/>
      <c r="FHY839" s="802"/>
      <c r="FHZ839" s="802"/>
      <c r="FIA839" s="802"/>
      <c r="FIB839" s="802"/>
      <c r="FIC839" s="802"/>
      <c r="FID839" s="802"/>
      <c r="FIE839" s="802"/>
      <c r="FIF839" s="802"/>
      <c r="FIG839" s="802"/>
      <c r="FIH839" s="802"/>
      <c r="FII839" s="802"/>
      <c r="FIJ839" s="802"/>
      <c r="FIK839" s="802"/>
      <c r="FIL839" s="802"/>
      <c r="FIM839" s="802"/>
      <c r="FIN839" s="802"/>
      <c r="FIO839" s="802"/>
      <c r="FIP839" s="802"/>
      <c r="FIQ839" s="802"/>
      <c r="FIR839" s="802"/>
      <c r="FIS839" s="802"/>
      <c r="FIT839" s="802"/>
      <c r="FIU839" s="802"/>
      <c r="FIV839" s="802"/>
      <c r="FIW839" s="802"/>
      <c r="FIX839" s="802"/>
      <c r="FIY839" s="802"/>
      <c r="FIZ839" s="802"/>
      <c r="FJA839" s="802"/>
      <c r="FJB839" s="802"/>
      <c r="FJC839" s="802"/>
      <c r="FJD839" s="802"/>
      <c r="FJE839" s="802"/>
      <c r="FJF839" s="802"/>
      <c r="FJG839" s="802"/>
      <c r="FJH839" s="802"/>
      <c r="FJI839" s="802"/>
      <c r="FJJ839" s="802"/>
      <c r="FJK839" s="802"/>
      <c r="FJL839" s="802"/>
      <c r="FJM839" s="802"/>
      <c r="FJN839" s="802"/>
      <c r="FJO839" s="802"/>
      <c r="FJP839" s="802"/>
      <c r="FJQ839" s="802"/>
      <c r="FJR839" s="802"/>
      <c r="FJS839" s="802"/>
      <c r="FJT839" s="802"/>
      <c r="FJU839" s="802"/>
      <c r="FJV839" s="802"/>
      <c r="FJW839" s="802"/>
      <c r="FJX839" s="802"/>
      <c r="FJY839" s="802"/>
      <c r="FJZ839" s="802"/>
      <c r="FKA839" s="802"/>
      <c r="FKB839" s="802"/>
      <c r="FKC839" s="802"/>
      <c r="FKD839" s="802"/>
      <c r="FKE839" s="802"/>
      <c r="FKF839" s="802"/>
      <c r="FKG839" s="802"/>
      <c r="FKH839" s="802"/>
      <c r="FKI839" s="802"/>
      <c r="FKJ839" s="802"/>
      <c r="FKK839" s="802"/>
      <c r="FKL839" s="802"/>
      <c r="FKM839" s="802"/>
      <c r="FKN839" s="802"/>
      <c r="FKO839" s="802"/>
      <c r="FKP839" s="802"/>
      <c r="FKQ839" s="802"/>
      <c r="FKR839" s="802"/>
      <c r="FKS839" s="802"/>
      <c r="FKT839" s="802"/>
      <c r="FKU839" s="802"/>
      <c r="FKV839" s="802"/>
      <c r="FKW839" s="802"/>
      <c r="FKX839" s="802"/>
      <c r="FKY839" s="802"/>
      <c r="FKZ839" s="802"/>
      <c r="FLA839" s="802"/>
      <c r="FLB839" s="802"/>
      <c r="FLC839" s="802"/>
      <c r="FLD839" s="802"/>
      <c r="FLE839" s="802"/>
      <c r="FLF839" s="802"/>
      <c r="FLG839" s="802"/>
      <c r="FLH839" s="802"/>
      <c r="FLI839" s="802"/>
      <c r="FLJ839" s="802"/>
      <c r="FLK839" s="802"/>
      <c r="FLL839" s="802"/>
      <c r="FLM839" s="802"/>
      <c r="FLN839" s="802"/>
      <c r="FLO839" s="802"/>
      <c r="FLP839" s="802"/>
      <c r="FLQ839" s="802"/>
      <c r="FLR839" s="802"/>
      <c r="FLS839" s="802"/>
      <c r="FLT839" s="802"/>
      <c r="FLU839" s="802"/>
      <c r="FLV839" s="802"/>
      <c r="FLW839" s="802"/>
      <c r="FLX839" s="802"/>
      <c r="FLY839" s="802"/>
      <c r="FLZ839" s="802"/>
      <c r="FMA839" s="802"/>
      <c r="FMB839" s="802"/>
      <c r="FMC839" s="802"/>
      <c r="FMD839" s="802"/>
      <c r="FME839" s="802"/>
      <c r="FMF839" s="802"/>
      <c r="FMG839" s="802"/>
      <c r="FMH839" s="802"/>
      <c r="FMI839" s="802"/>
      <c r="FMJ839" s="802"/>
      <c r="FMK839" s="802"/>
      <c r="FML839" s="802"/>
      <c r="FMM839" s="802"/>
      <c r="FMN839" s="802"/>
      <c r="FMO839" s="802"/>
      <c r="FMP839" s="802"/>
      <c r="FMQ839" s="802"/>
      <c r="FMR839" s="802"/>
      <c r="FMS839" s="802"/>
      <c r="FMT839" s="802"/>
      <c r="FMU839" s="802"/>
      <c r="FMV839" s="802"/>
      <c r="FMW839" s="802"/>
      <c r="FMX839" s="802"/>
      <c r="FMY839" s="802"/>
      <c r="FMZ839" s="802"/>
      <c r="FNA839" s="802"/>
      <c r="FNB839" s="802"/>
      <c r="FNC839" s="802"/>
      <c r="FND839" s="802"/>
      <c r="FNE839" s="802"/>
      <c r="FNF839" s="802"/>
      <c r="FNG839" s="802"/>
      <c r="FNH839" s="802"/>
      <c r="FNI839" s="802"/>
      <c r="FNJ839" s="802"/>
      <c r="FNK839" s="802"/>
      <c r="FNL839" s="802"/>
      <c r="FNM839" s="802"/>
      <c r="FNN839" s="802"/>
      <c r="FNO839" s="802"/>
      <c r="FNP839" s="802"/>
      <c r="FNQ839" s="802"/>
      <c r="FNR839" s="802"/>
      <c r="FNS839" s="802"/>
      <c r="FNT839" s="802"/>
      <c r="FNU839" s="802"/>
      <c r="FNV839" s="802"/>
      <c r="FNW839" s="802"/>
      <c r="FNX839" s="802"/>
      <c r="FNY839" s="802"/>
      <c r="FNZ839" s="802"/>
      <c r="FOA839" s="802"/>
      <c r="FOB839" s="802"/>
      <c r="FOC839" s="802"/>
      <c r="FOD839" s="802"/>
      <c r="FOE839" s="802"/>
      <c r="FOF839" s="802"/>
      <c r="FOG839" s="802"/>
      <c r="FOH839" s="802"/>
      <c r="FOI839" s="802"/>
      <c r="FOJ839" s="802"/>
      <c r="FOK839" s="802"/>
      <c r="FOL839" s="802"/>
      <c r="FOM839" s="802"/>
      <c r="FON839" s="802"/>
      <c r="FOO839" s="802"/>
      <c r="FOP839" s="802"/>
      <c r="FOQ839" s="802"/>
      <c r="FOR839" s="802"/>
      <c r="FOS839" s="802"/>
      <c r="FOT839" s="802"/>
      <c r="FOU839" s="802"/>
      <c r="FOV839" s="802"/>
      <c r="FOW839" s="802"/>
      <c r="FOX839" s="802"/>
      <c r="FOY839" s="802"/>
      <c r="FOZ839" s="802"/>
      <c r="FPA839" s="802"/>
      <c r="FPB839" s="802"/>
      <c r="FPC839" s="802"/>
      <c r="FPD839" s="802"/>
      <c r="FPE839" s="802"/>
      <c r="FPF839" s="802"/>
      <c r="FPG839" s="802"/>
      <c r="FPH839" s="802"/>
      <c r="FPI839" s="802"/>
      <c r="FPJ839" s="802"/>
      <c r="FPK839" s="802"/>
      <c r="FPL839" s="802"/>
      <c r="FPM839" s="802"/>
      <c r="FPN839" s="802"/>
      <c r="FPO839" s="802"/>
      <c r="FPP839" s="802"/>
      <c r="FPQ839" s="802"/>
      <c r="FPR839" s="802"/>
      <c r="FPS839" s="802"/>
      <c r="FPT839" s="802"/>
      <c r="FPU839" s="802"/>
      <c r="FPV839" s="802"/>
      <c r="FPW839" s="802"/>
      <c r="FPX839" s="802"/>
      <c r="FPY839" s="802"/>
      <c r="FPZ839" s="802"/>
      <c r="FQA839" s="802"/>
      <c r="FQB839" s="802"/>
      <c r="FQC839" s="802"/>
      <c r="FQD839" s="802"/>
      <c r="FQE839" s="802"/>
      <c r="FQF839" s="802"/>
      <c r="FQG839" s="802"/>
      <c r="FQH839" s="802"/>
      <c r="FQI839" s="802"/>
      <c r="FQJ839" s="802"/>
      <c r="FQK839" s="802"/>
      <c r="FQL839" s="802"/>
      <c r="FQM839" s="802"/>
      <c r="FQN839" s="802"/>
      <c r="FQO839" s="802"/>
      <c r="FQP839" s="802"/>
      <c r="FQQ839" s="802"/>
      <c r="FQR839" s="802"/>
      <c r="FQS839" s="802"/>
      <c r="FQT839" s="802"/>
      <c r="FQU839" s="802"/>
      <c r="FQV839" s="802"/>
      <c r="FQW839" s="802"/>
      <c r="FQX839" s="802"/>
      <c r="FQY839" s="802"/>
      <c r="FQZ839" s="802"/>
      <c r="FRA839" s="802"/>
      <c r="FRB839" s="802"/>
      <c r="FRC839" s="802"/>
      <c r="FRD839" s="802"/>
      <c r="FRE839" s="802"/>
      <c r="FRF839" s="802"/>
      <c r="FRG839" s="802"/>
      <c r="FRH839" s="802"/>
      <c r="FRI839" s="802"/>
      <c r="FRJ839" s="802"/>
      <c r="FRK839" s="802"/>
      <c r="FRL839" s="802"/>
      <c r="FRM839" s="802"/>
      <c r="FRN839" s="802"/>
      <c r="FRO839" s="802"/>
      <c r="FRP839" s="802"/>
      <c r="FRQ839" s="802"/>
      <c r="FRR839" s="802"/>
      <c r="FRS839" s="802"/>
      <c r="FRT839" s="802"/>
      <c r="FRU839" s="802"/>
      <c r="FRV839" s="802"/>
      <c r="FRW839" s="802"/>
      <c r="FRX839" s="802"/>
      <c r="FRY839" s="802"/>
      <c r="FRZ839" s="802"/>
      <c r="FSA839" s="802"/>
      <c r="FSB839" s="802"/>
      <c r="FSC839" s="802"/>
      <c r="FSD839" s="802"/>
      <c r="FSE839" s="802"/>
      <c r="FSF839" s="802"/>
      <c r="FSG839" s="802"/>
      <c r="FSH839" s="802"/>
      <c r="FSI839" s="802"/>
      <c r="FSJ839" s="802"/>
      <c r="FSK839" s="802"/>
      <c r="FSL839" s="802"/>
      <c r="FSM839" s="802"/>
      <c r="FSN839" s="802"/>
      <c r="FSO839" s="802"/>
      <c r="FSP839" s="802"/>
      <c r="FSQ839" s="802"/>
      <c r="FSR839" s="802"/>
      <c r="FSS839" s="802"/>
      <c r="FST839" s="802"/>
      <c r="FSU839" s="802"/>
      <c r="FSV839" s="802"/>
      <c r="FSW839" s="802"/>
      <c r="FSX839" s="802"/>
      <c r="FSY839" s="802"/>
      <c r="FSZ839" s="802"/>
      <c r="FTA839" s="802"/>
      <c r="FTB839" s="802"/>
      <c r="FTC839" s="802"/>
      <c r="FTD839" s="802"/>
      <c r="FTE839" s="802"/>
      <c r="FTF839" s="802"/>
      <c r="FTG839" s="802"/>
      <c r="FTH839" s="802"/>
      <c r="FTI839" s="802"/>
      <c r="FTJ839" s="802"/>
      <c r="FTK839" s="802"/>
      <c r="FTL839" s="802"/>
      <c r="FTM839" s="802"/>
      <c r="FTN839" s="802"/>
      <c r="FTO839" s="802"/>
      <c r="FTP839" s="802"/>
      <c r="FTQ839" s="802"/>
      <c r="FTR839" s="802"/>
      <c r="FTS839" s="802"/>
      <c r="FTT839" s="802"/>
      <c r="FTU839" s="802"/>
      <c r="FTV839" s="802"/>
      <c r="FTW839" s="802"/>
      <c r="FTX839" s="802"/>
      <c r="FTY839" s="802"/>
      <c r="FTZ839" s="802"/>
      <c r="FUA839" s="802"/>
      <c r="FUB839" s="802"/>
      <c r="FUC839" s="802"/>
      <c r="FUD839" s="802"/>
      <c r="FUE839" s="802"/>
      <c r="FUF839" s="802"/>
      <c r="FUG839" s="802"/>
      <c r="FUH839" s="802"/>
      <c r="FUI839" s="802"/>
      <c r="FUJ839" s="802"/>
      <c r="FUK839" s="802"/>
      <c r="FUL839" s="802"/>
      <c r="FUM839" s="802"/>
      <c r="FUN839" s="802"/>
      <c r="FUO839" s="802"/>
      <c r="FUP839" s="802"/>
      <c r="FUQ839" s="802"/>
      <c r="FUR839" s="802"/>
      <c r="FUS839" s="802"/>
      <c r="FUT839" s="802"/>
      <c r="FUU839" s="802"/>
      <c r="FUV839" s="802"/>
      <c r="FUW839" s="802"/>
      <c r="FUX839" s="802"/>
      <c r="FUY839" s="802"/>
      <c r="FUZ839" s="802"/>
      <c r="FVA839" s="802"/>
      <c r="FVB839" s="802"/>
      <c r="FVC839" s="802"/>
      <c r="FVD839" s="802"/>
      <c r="FVE839" s="802"/>
      <c r="FVF839" s="802"/>
      <c r="FVG839" s="802"/>
      <c r="FVH839" s="802"/>
      <c r="FVI839" s="802"/>
      <c r="FVJ839" s="802"/>
      <c r="FVK839" s="802"/>
      <c r="FVL839" s="802"/>
      <c r="FVM839" s="802"/>
      <c r="FVN839" s="802"/>
      <c r="FVO839" s="802"/>
      <c r="FVP839" s="802"/>
      <c r="FVQ839" s="802"/>
      <c r="FVR839" s="802"/>
      <c r="FVS839" s="802"/>
      <c r="FVT839" s="802"/>
      <c r="FVU839" s="802"/>
      <c r="FVV839" s="802"/>
      <c r="FVW839" s="802"/>
      <c r="FVX839" s="802"/>
      <c r="FVY839" s="802"/>
      <c r="FVZ839" s="802"/>
      <c r="FWA839" s="802"/>
      <c r="FWB839" s="802"/>
      <c r="FWC839" s="802"/>
      <c r="FWD839" s="802"/>
      <c r="FWE839" s="802"/>
      <c r="FWF839" s="802"/>
      <c r="FWG839" s="802"/>
      <c r="FWH839" s="802"/>
      <c r="FWI839" s="802"/>
      <c r="FWJ839" s="802"/>
      <c r="FWK839" s="802"/>
      <c r="FWL839" s="802"/>
      <c r="FWM839" s="802"/>
      <c r="FWN839" s="802"/>
      <c r="FWO839" s="802"/>
      <c r="FWP839" s="802"/>
      <c r="FWQ839" s="802"/>
      <c r="FWR839" s="802"/>
      <c r="FWS839" s="802"/>
      <c r="FWT839" s="802"/>
      <c r="FWU839" s="802"/>
      <c r="FWV839" s="802"/>
      <c r="FWW839" s="802"/>
      <c r="FWX839" s="802"/>
      <c r="FWY839" s="802"/>
      <c r="FWZ839" s="802"/>
      <c r="FXA839" s="802"/>
      <c r="FXB839" s="802"/>
      <c r="FXC839" s="802"/>
      <c r="FXD839" s="802"/>
      <c r="FXE839" s="802"/>
      <c r="FXF839" s="802"/>
      <c r="FXG839" s="802"/>
      <c r="FXH839" s="802"/>
      <c r="FXI839" s="802"/>
      <c r="FXJ839" s="802"/>
      <c r="FXK839" s="802"/>
      <c r="FXL839" s="802"/>
      <c r="FXM839" s="802"/>
      <c r="FXN839" s="802"/>
      <c r="FXO839" s="802"/>
      <c r="FXP839" s="802"/>
      <c r="FXQ839" s="802"/>
      <c r="FXR839" s="802"/>
      <c r="FXS839" s="802"/>
      <c r="FXT839" s="802"/>
      <c r="FXU839" s="802"/>
      <c r="FXV839" s="802"/>
      <c r="FXW839" s="802"/>
      <c r="FXX839" s="802"/>
      <c r="FXY839" s="802"/>
      <c r="FXZ839" s="802"/>
      <c r="FYA839" s="802"/>
      <c r="FYB839" s="802"/>
      <c r="FYC839" s="802"/>
      <c r="FYD839" s="802"/>
      <c r="FYE839" s="802"/>
      <c r="FYF839" s="802"/>
      <c r="FYG839" s="802"/>
      <c r="FYH839" s="802"/>
      <c r="FYI839" s="802"/>
      <c r="FYJ839" s="802"/>
      <c r="FYK839" s="802"/>
      <c r="FYL839" s="802"/>
      <c r="FYM839" s="802"/>
      <c r="FYN839" s="802"/>
      <c r="FYO839" s="802"/>
      <c r="FYP839" s="802"/>
      <c r="FYQ839" s="802"/>
      <c r="FYR839" s="802"/>
      <c r="FYS839" s="802"/>
      <c r="FYT839" s="802"/>
      <c r="FYU839" s="802"/>
      <c r="FYV839" s="802"/>
      <c r="FYW839" s="802"/>
      <c r="FYX839" s="802"/>
      <c r="FYY839" s="802"/>
      <c r="FYZ839" s="802"/>
      <c r="FZA839" s="802"/>
      <c r="FZB839" s="802"/>
      <c r="FZC839" s="802"/>
      <c r="FZD839" s="802"/>
      <c r="FZE839" s="802"/>
      <c r="FZF839" s="802"/>
      <c r="FZG839" s="802"/>
      <c r="FZH839" s="802"/>
      <c r="FZI839" s="802"/>
      <c r="FZJ839" s="802"/>
      <c r="FZK839" s="802"/>
      <c r="FZL839" s="802"/>
      <c r="FZM839" s="802"/>
      <c r="FZN839" s="802"/>
      <c r="FZO839" s="802"/>
      <c r="FZP839" s="802"/>
      <c r="FZQ839" s="802"/>
      <c r="FZR839" s="802"/>
      <c r="FZS839" s="802"/>
      <c r="FZT839" s="802"/>
      <c r="FZU839" s="802"/>
      <c r="FZV839" s="802"/>
      <c r="FZW839" s="802"/>
      <c r="FZX839" s="802"/>
      <c r="FZY839" s="802"/>
      <c r="FZZ839" s="802"/>
      <c r="GAA839" s="802"/>
      <c r="GAB839" s="802"/>
      <c r="GAC839" s="802"/>
      <c r="GAD839" s="802"/>
      <c r="GAE839" s="802"/>
      <c r="GAF839" s="802"/>
      <c r="GAG839" s="802"/>
      <c r="GAH839" s="802"/>
      <c r="GAI839" s="802"/>
      <c r="GAJ839" s="802"/>
      <c r="GAK839" s="802"/>
      <c r="GAL839" s="802"/>
      <c r="GAM839" s="802"/>
      <c r="GAN839" s="802"/>
      <c r="GAO839" s="802"/>
      <c r="GAP839" s="802"/>
      <c r="GAQ839" s="802"/>
      <c r="GAR839" s="802"/>
      <c r="GAS839" s="802"/>
      <c r="GAT839" s="802"/>
      <c r="GAU839" s="802"/>
      <c r="GAV839" s="802"/>
      <c r="GAW839" s="802"/>
      <c r="GAX839" s="802"/>
      <c r="GAY839" s="802"/>
      <c r="GAZ839" s="802"/>
      <c r="GBA839" s="802"/>
      <c r="GBB839" s="802"/>
      <c r="GBC839" s="802"/>
      <c r="GBD839" s="802"/>
      <c r="GBE839" s="802"/>
      <c r="GBF839" s="802"/>
      <c r="GBG839" s="802"/>
      <c r="GBH839" s="802"/>
      <c r="GBI839" s="802"/>
      <c r="GBJ839" s="802"/>
      <c r="GBK839" s="802"/>
      <c r="GBL839" s="802"/>
      <c r="GBM839" s="802"/>
      <c r="GBN839" s="802"/>
      <c r="GBO839" s="802"/>
      <c r="GBP839" s="802"/>
      <c r="GBQ839" s="802"/>
      <c r="GBR839" s="802"/>
      <c r="GBS839" s="802"/>
      <c r="GBT839" s="802"/>
      <c r="GBU839" s="802"/>
      <c r="GBV839" s="802"/>
      <c r="GBW839" s="802"/>
      <c r="GBX839" s="802"/>
      <c r="GBY839" s="802"/>
      <c r="GBZ839" s="802"/>
      <c r="GCA839" s="802"/>
      <c r="GCB839" s="802"/>
      <c r="GCC839" s="802"/>
      <c r="GCD839" s="802"/>
      <c r="GCE839" s="802"/>
      <c r="GCF839" s="802"/>
      <c r="GCG839" s="802"/>
      <c r="GCH839" s="802"/>
      <c r="GCI839" s="802"/>
      <c r="GCJ839" s="802"/>
      <c r="GCK839" s="802"/>
      <c r="GCL839" s="802"/>
      <c r="GCM839" s="802"/>
      <c r="GCN839" s="802"/>
      <c r="GCO839" s="802"/>
      <c r="GCP839" s="802"/>
      <c r="GCQ839" s="802"/>
      <c r="GCR839" s="802"/>
      <c r="GCS839" s="802"/>
      <c r="GCT839" s="802"/>
      <c r="GCU839" s="802"/>
      <c r="GCV839" s="802"/>
      <c r="GCW839" s="802"/>
      <c r="GCX839" s="802"/>
      <c r="GCY839" s="802"/>
      <c r="GCZ839" s="802"/>
      <c r="GDA839" s="802"/>
      <c r="GDB839" s="802"/>
      <c r="GDC839" s="802"/>
      <c r="GDD839" s="802"/>
      <c r="GDE839" s="802"/>
      <c r="GDF839" s="802"/>
      <c r="GDG839" s="802"/>
      <c r="GDH839" s="802"/>
      <c r="GDI839" s="802"/>
      <c r="GDJ839" s="802"/>
      <c r="GDK839" s="802"/>
      <c r="GDL839" s="802"/>
      <c r="GDM839" s="802"/>
      <c r="GDN839" s="802"/>
      <c r="GDO839" s="802"/>
      <c r="GDP839" s="802"/>
      <c r="GDQ839" s="802"/>
      <c r="GDR839" s="802"/>
      <c r="GDS839" s="802"/>
      <c r="GDT839" s="802"/>
      <c r="GDU839" s="802"/>
      <c r="GDV839" s="802"/>
      <c r="GDW839" s="802"/>
      <c r="GDX839" s="802"/>
      <c r="GDY839" s="802"/>
      <c r="GDZ839" s="802"/>
      <c r="GEA839" s="802"/>
      <c r="GEB839" s="802"/>
      <c r="GEC839" s="802"/>
      <c r="GED839" s="802"/>
      <c r="GEE839" s="802"/>
      <c r="GEF839" s="802"/>
      <c r="GEG839" s="802"/>
      <c r="GEH839" s="802"/>
      <c r="GEI839" s="802"/>
      <c r="GEJ839" s="802"/>
      <c r="GEK839" s="802"/>
      <c r="GEL839" s="802"/>
      <c r="GEM839" s="802"/>
      <c r="GEN839" s="802"/>
      <c r="GEO839" s="802"/>
      <c r="GEP839" s="802"/>
      <c r="GEQ839" s="802"/>
      <c r="GER839" s="802"/>
      <c r="GES839" s="802"/>
      <c r="GET839" s="802"/>
      <c r="GEU839" s="802"/>
      <c r="GEV839" s="802"/>
      <c r="GEW839" s="802"/>
      <c r="GEX839" s="802"/>
      <c r="GEY839" s="802"/>
      <c r="GEZ839" s="802"/>
      <c r="GFA839" s="802"/>
      <c r="GFB839" s="802"/>
      <c r="GFC839" s="802"/>
      <c r="GFD839" s="802"/>
      <c r="GFE839" s="802"/>
      <c r="GFF839" s="802"/>
      <c r="GFG839" s="802"/>
      <c r="GFH839" s="802"/>
      <c r="GFI839" s="802"/>
      <c r="GFJ839" s="802"/>
      <c r="GFK839" s="802"/>
      <c r="GFL839" s="802"/>
      <c r="GFM839" s="802"/>
      <c r="GFN839" s="802"/>
      <c r="GFO839" s="802"/>
      <c r="GFP839" s="802"/>
      <c r="GFQ839" s="802"/>
      <c r="GFR839" s="802"/>
      <c r="GFS839" s="802"/>
      <c r="GFT839" s="802"/>
      <c r="GFU839" s="802"/>
      <c r="GFV839" s="802"/>
      <c r="GFW839" s="802"/>
      <c r="GFX839" s="802"/>
      <c r="GFY839" s="802"/>
      <c r="GFZ839" s="802"/>
      <c r="GGA839" s="802"/>
      <c r="GGB839" s="802"/>
      <c r="GGC839" s="802"/>
      <c r="GGD839" s="802"/>
      <c r="GGE839" s="802"/>
      <c r="GGF839" s="802"/>
      <c r="GGG839" s="802"/>
      <c r="GGH839" s="802"/>
      <c r="GGI839" s="802"/>
      <c r="GGJ839" s="802"/>
      <c r="GGK839" s="802"/>
      <c r="GGL839" s="802"/>
      <c r="GGM839" s="802"/>
      <c r="GGN839" s="802"/>
      <c r="GGO839" s="802"/>
      <c r="GGP839" s="802"/>
      <c r="GGQ839" s="802"/>
      <c r="GGR839" s="802"/>
      <c r="GGS839" s="802"/>
      <c r="GGT839" s="802"/>
      <c r="GGU839" s="802"/>
      <c r="GGV839" s="802"/>
      <c r="GGW839" s="802"/>
      <c r="GGX839" s="802"/>
      <c r="GGY839" s="802"/>
      <c r="GGZ839" s="802"/>
      <c r="GHA839" s="802"/>
      <c r="GHB839" s="802"/>
      <c r="GHC839" s="802"/>
      <c r="GHD839" s="802"/>
      <c r="GHE839" s="802"/>
      <c r="GHF839" s="802"/>
      <c r="GHG839" s="802"/>
      <c r="GHH839" s="802"/>
      <c r="GHI839" s="802"/>
      <c r="GHJ839" s="802"/>
      <c r="GHK839" s="802"/>
      <c r="GHL839" s="802"/>
      <c r="GHM839" s="802"/>
      <c r="GHN839" s="802"/>
      <c r="GHO839" s="802"/>
      <c r="GHP839" s="802"/>
      <c r="GHQ839" s="802"/>
      <c r="GHR839" s="802"/>
      <c r="GHS839" s="802"/>
      <c r="GHT839" s="802"/>
      <c r="GHU839" s="802"/>
      <c r="GHV839" s="802"/>
      <c r="GHW839" s="802"/>
      <c r="GHX839" s="802"/>
      <c r="GHY839" s="802"/>
      <c r="GHZ839" s="802"/>
      <c r="GIA839" s="802"/>
      <c r="GIB839" s="802"/>
      <c r="GIC839" s="802"/>
      <c r="GID839" s="802"/>
      <c r="GIE839" s="802"/>
      <c r="GIF839" s="802"/>
      <c r="GIG839" s="802"/>
      <c r="GIH839" s="802"/>
      <c r="GII839" s="802"/>
      <c r="GIJ839" s="802"/>
      <c r="GIK839" s="802"/>
      <c r="GIL839" s="802"/>
      <c r="GIM839" s="802"/>
      <c r="GIN839" s="802"/>
      <c r="GIO839" s="802"/>
      <c r="GIP839" s="802"/>
      <c r="GIQ839" s="802"/>
      <c r="GIR839" s="802"/>
      <c r="GIS839" s="802"/>
      <c r="GIT839" s="802"/>
      <c r="GIU839" s="802"/>
      <c r="GIV839" s="802"/>
      <c r="GIW839" s="802"/>
      <c r="GIX839" s="802"/>
      <c r="GIY839" s="802"/>
      <c r="GIZ839" s="802"/>
      <c r="GJA839" s="802"/>
      <c r="GJB839" s="802"/>
      <c r="GJC839" s="802"/>
      <c r="GJD839" s="802"/>
      <c r="GJE839" s="802"/>
      <c r="GJF839" s="802"/>
      <c r="GJG839" s="802"/>
      <c r="GJH839" s="802"/>
      <c r="GJI839" s="802"/>
      <c r="GJJ839" s="802"/>
      <c r="GJK839" s="802"/>
      <c r="GJL839" s="802"/>
      <c r="GJM839" s="802"/>
      <c r="GJN839" s="802"/>
      <c r="GJO839" s="802"/>
      <c r="GJP839" s="802"/>
      <c r="GJQ839" s="802"/>
      <c r="GJR839" s="802"/>
      <c r="GJS839" s="802"/>
      <c r="GJT839" s="802"/>
      <c r="GJU839" s="802"/>
      <c r="GJV839" s="802"/>
      <c r="GJW839" s="802"/>
      <c r="GJX839" s="802"/>
      <c r="GJY839" s="802"/>
      <c r="GJZ839" s="802"/>
      <c r="GKA839" s="802"/>
      <c r="GKB839" s="802"/>
      <c r="GKC839" s="802"/>
      <c r="GKD839" s="802"/>
      <c r="GKE839" s="802"/>
      <c r="GKF839" s="802"/>
      <c r="GKG839" s="802"/>
      <c r="GKH839" s="802"/>
      <c r="GKI839" s="802"/>
      <c r="GKJ839" s="802"/>
      <c r="GKK839" s="802"/>
      <c r="GKL839" s="802"/>
      <c r="GKM839" s="802"/>
      <c r="GKN839" s="802"/>
      <c r="GKO839" s="802"/>
      <c r="GKP839" s="802"/>
      <c r="GKQ839" s="802"/>
      <c r="GKR839" s="802"/>
      <c r="GKS839" s="802"/>
      <c r="GKT839" s="802"/>
      <c r="GKU839" s="802"/>
      <c r="GKV839" s="802"/>
      <c r="GKW839" s="802"/>
      <c r="GKX839" s="802"/>
      <c r="GKY839" s="802"/>
      <c r="GKZ839" s="802"/>
      <c r="GLA839" s="802"/>
      <c r="GLB839" s="802"/>
      <c r="GLC839" s="802"/>
      <c r="GLD839" s="802"/>
      <c r="GLE839" s="802"/>
      <c r="GLF839" s="802"/>
      <c r="GLG839" s="802"/>
      <c r="GLH839" s="802"/>
      <c r="GLI839" s="802"/>
      <c r="GLJ839" s="802"/>
      <c r="GLK839" s="802"/>
      <c r="GLL839" s="802"/>
      <c r="GLM839" s="802"/>
      <c r="GLN839" s="802"/>
      <c r="GLO839" s="802"/>
      <c r="GLP839" s="802"/>
      <c r="GLQ839" s="802"/>
      <c r="GLR839" s="802"/>
      <c r="GLS839" s="802"/>
      <c r="GLT839" s="802"/>
      <c r="GLU839" s="802"/>
      <c r="GLV839" s="802"/>
      <c r="GLW839" s="802"/>
      <c r="GLX839" s="802"/>
      <c r="GLY839" s="802"/>
      <c r="GLZ839" s="802"/>
      <c r="GMA839" s="802"/>
      <c r="GMB839" s="802"/>
      <c r="GMC839" s="802"/>
      <c r="GMD839" s="802"/>
      <c r="GME839" s="802"/>
      <c r="GMF839" s="802"/>
      <c r="GMG839" s="802"/>
      <c r="GMH839" s="802"/>
      <c r="GMI839" s="802"/>
      <c r="GMJ839" s="802"/>
      <c r="GMK839" s="802"/>
      <c r="GML839" s="802"/>
      <c r="GMM839" s="802"/>
      <c r="GMN839" s="802"/>
      <c r="GMO839" s="802"/>
      <c r="GMP839" s="802"/>
      <c r="GMQ839" s="802"/>
      <c r="GMR839" s="802"/>
      <c r="GMS839" s="802"/>
      <c r="GMT839" s="802"/>
      <c r="GMU839" s="802"/>
      <c r="GMV839" s="802"/>
      <c r="GMW839" s="802"/>
      <c r="GMX839" s="802"/>
      <c r="GMY839" s="802"/>
      <c r="GMZ839" s="802"/>
      <c r="GNA839" s="802"/>
      <c r="GNB839" s="802"/>
      <c r="GNC839" s="802"/>
      <c r="GND839" s="802"/>
      <c r="GNE839" s="802"/>
      <c r="GNF839" s="802"/>
      <c r="GNG839" s="802"/>
      <c r="GNH839" s="802"/>
      <c r="GNI839" s="802"/>
      <c r="GNJ839" s="802"/>
      <c r="GNK839" s="802"/>
      <c r="GNL839" s="802"/>
      <c r="GNM839" s="802"/>
      <c r="GNN839" s="802"/>
      <c r="GNO839" s="802"/>
      <c r="GNP839" s="802"/>
      <c r="GNQ839" s="802"/>
      <c r="GNR839" s="802"/>
      <c r="GNS839" s="802"/>
      <c r="GNT839" s="802"/>
      <c r="GNU839" s="802"/>
      <c r="GNV839" s="802"/>
      <c r="GNW839" s="802"/>
      <c r="GNX839" s="802"/>
      <c r="GNY839" s="802"/>
      <c r="GNZ839" s="802"/>
      <c r="GOA839" s="802"/>
      <c r="GOB839" s="802"/>
      <c r="GOC839" s="802"/>
      <c r="GOD839" s="802"/>
      <c r="GOE839" s="802"/>
      <c r="GOF839" s="802"/>
      <c r="GOG839" s="802"/>
      <c r="GOH839" s="802"/>
      <c r="GOI839" s="802"/>
      <c r="GOJ839" s="802"/>
      <c r="GOK839" s="802"/>
      <c r="GOL839" s="802"/>
      <c r="GOM839" s="802"/>
      <c r="GON839" s="802"/>
      <c r="GOO839" s="802"/>
      <c r="GOP839" s="802"/>
      <c r="GOQ839" s="802"/>
      <c r="GOR839" s="802"/>
      <c r="GOS839" s="802"/>
      <c r="GOT839" s="802"/>
      <c r="GOU839" s="802"/>
      <c r="GOV839" s="802"/>
      <c r="GOW839" s="802"/>
      <c r="GOX839" s="802"/>
      <c r="GOY839" s="802"/>
      <c r="GOZ839" s="802"/>
      <c r="GPA839" s="802"/>
      <c r="GPB839" s="802"/>
      <c r="GPC839" s="802"/>
      <c r="GPD839" s="802"/>
      <c r="GPE839" s="802"/>
      <c r="GPF839" s="802"/>
      <c r="GPG839" s="802"/>
      <c r="GPH839" s="802"/>
      <c r="GPI839" s="802"/>
      <c r="GPJ839" s="802"/>
      <c r="GPK839" s="802"/>
      <c r="GPL839" s="802"/>
      <c r="GPM839" s="802"/>
      <c r="GPN839" s="802"/>
      <c r="GPO839" s="802"/>
      <c r="GPP839" s="802"/>
      <c r="GPQ839" s="802"/>
      <c r="GPR839" s="802"/>
      <c r="GPS839" s="802"/>
      <c r="GPT839" s="802"/>
      <c r="GPU839" s="802"/>
      <c r="GPV839" s="802"/>
      <c r="GPW839" s="802"/>
      <c r="GPX839" s="802"/>
      <c r="GPY839" s="802"/>
      <c r="GPZ839" s="802"/>
      <c r="GQA839" s="802"/>
      <c r="GQB839" s="802"/>
      <c r="GQC839" s="802"/>
      <c r="GQD839" s="802"/>
      <c r="GQE839" s="802"/>
      <c r="GQF839" s="802"/>
      <c r="GQG839" s="802"/>
      <c r="GQH839" s="802"/>
      <c r="GQI839" s="802"/>
      <c r="GQJ839" s="802"/>
      <c r="GQK839" s="802"/>
      <c r="GQL839" s="802"/>
      <c r="GQM839" s="802"/>
      <c r="GQN839" s="802"/>
      <c r="GQO839" s="802"/>
      <c r="GQP839" s="802"/>
      <c r="GQQ839" s="802"/>
      <c r="GQR839" s="802"/>
      <c r="GQS839" s="802"/>
      <c r="GQT839" s="802"/>
      <c r="GQU839" s="802"/>
      <c r="GQV839" s="802"/>
      <c r="GQW839" s="802"/>
      <c r="GQX839" s="802"/>
      <c r="GQY839" s="802"/>
      <c r="GQZ839" s="802"/>
      <c r="GRA839" s="802"/>
      <c r="GRB839" s="802"/>
      <c r="GRC839" s="802"/>
      <c r="GRD839" s="802"/>
      <c r="GRE839" s="802"/>
      <c r="GRF839" s="802"/>
      <c r="GRG839" s="802"/>
      <c r="GRH839" s="802"/>
      <c r="GRI839" s="802"/>
      <c r="GRJ839" s="802"/>
      <c r="GRK839" s="802"/>
      <c r="GRL839" s="802"/>
      <c r="GRM839" s="802"/>
      <c r="GRN839" s="802"/>
      <c r="GRO839" s="802"/>
      <c r="GRP839" s="802"/>
      <c r="GRQ839" s="802"/>
      <c r="GRR839" s="802"/>
      <c r="GRS839" s="802"/>
      <c r="GRT839" s="802"/>
      <c r="GRU839" s="802"/>
      <c r="GRV839" s="802"/>
      <c r="GRW839" s="802"/>
      <c r="GRX839" s="802"/>
      <c r="GRY839" s="802"/>
      <c r="GRZ839" s="802"/>
      <c r="GSA839" s="802"/>
      <c r="GSB839" s="802"/>
      <c r="GSC839" s="802"/>
      <c r="GSD839" s="802"/>
      <c r="GSE839" s="802"/>
      <c r="GSF839" s="802"/>
      <c r="GSG839" s="802"/>
      <c r="GSH839" s="802"/>
      <c r="GSI839" s="802"/>
      <c r="GSJ839" s="802"/>
      <c r="GSK839" s="802"/>
      <c r="GSL839" s="802"/>
      <c r="GSM839" s="802"/>
      <c r="GSN839" s="802"/>
      <c r="GSO839" s="802"/>
      <c r="GSP839" s="802"/>
      <c r="GSQ839" s="802"/>
      <c r="GSR839" s="802"/>
      <c r="GSS839" s="802"/>
      <c r="GST839" s="802"/>
      <c r="GSU839" s="802"/>
      <c r="GSV839" s="802"/>
      <c r="GSW839" s="802"/>
      <c r="GSX839" s="802"/>
      <c r="GSY839" s="802"/>
      <c r="GSZ839" s="802"/>
      <c r="GTA839" s="802"/>
      <c r="GTB839" s="802"/>
      <c r="GTC839" s="802"/>
      <c r="GTD839" s="802"/>
      <c r="GTE839" s="802"/>
      <c r="GTF839" s="802"/>
      <c r="GTG839" s="802"/>
      <c r="GTH839" s="802"/>
      <c r="GTI839" s="802"/>
      <c r="GTJ839" s="802"/>
      <c r="GTK839" s="802"/>
      <c r="GTL839" s="802"/>
      <c r="GTM839" s="802"/>
      <c r="GTN839" s="802"/>
      <c r="GTO839" s="802"/>
      <c r="GTP839" s="802"/>
      <c r="GTQ839" s="802"/>
      <c r="GTR839" s="802"/>
      <c r="GTS839" s="802"/>
      <c r="GTT839" s="802"/>
      <c r="GTU839" s="802"/>
      <c r="GTV839" s="802"/>
      <c r="GTW839" s="802"/>
      <c r="GTX839" s="802"/>
      <c r="GTY839" s="802"/>
      <c r="GTZ839" s="802"/>
      <c r="GUA839" s="802"/>
      <c r="GUB839" s="802"/>
      <c r="GUC839" s="802"/>
      <c r="GUD839" s="802"/>
      <c r="GUE839" s="802"/>
      <c r="GUF839" s="802"/>
      <c r="GUG839" s="802"/>
      <c r="GUH839" s="802"/>
      <c r="GUI839" s="802"/>
      <c r="GUJ839" s="802"/>
      <c r="GUK839" s="802"/>
      <c r="GUL839" s="802"/>
      <c r="GUM839" s="802"/>
      <c r="GUN839" s="802"/>
      <c r="GUO839" s="802"/>
      <c r="GUP839" s="802"/>
      <c r="GUQ839" s="802"/>
      <c r="GUR839" s="802"/>
      <c r="GUS839" s="802"/>
      <c r="GUT839" s="802"/>
      <c r="GUU839" s="802"/>
      <c r="GUV839" s="802"/>
      <c r="GUW839" s="802"/>
      <c r="GUX839" s="802"/>
      <c r="GUY839" s="802"/>
      <c r="GUZ839" s="802"/>
      <c r="GVA839" s="802"/>
      <c r="GVB839" s="802"/>
      <c r="GVC839" s="802"/>
      <c r="GVD839" s="802"/>
      <c r="GVE839" s="802"/>
      <c r="GVF839" s="802"/>
      <c r="GVG839" s="802"/>
      <c r="GVH839" s="802"/>
      <c r="GVI839" s="802"/>
      <c r="GVJ839" s="802"/>
      <c r="GVK839" s="802"/>
      <c r="GVL839" s="802"/>
      <c r="GVM839" s="802"/>
      <c r="GVN839" s="802"/>
      <c r="GVO839" s="802"/>
      <c r="GVP839" s="802"/>
      <c r="GVQ839" s="802"/>
      <c r="GVR839" s="802"/>
      <c r="GVS839" s="802"/>
      <c r="GVT839" s="802"/>
      <c r="GVU839" s="802"/>
      <c r="GVV839" s="802"/>
      <c r="GVW839" s="802"/>
      <c r="GVX839" s="802"/>
      <c r="GVY839" s="802"/>
      <c r="GVZ839" s="802"/>
      <c r="GWA839" s="802"/>
      <c r="GWB839" s="802"/>
      <c r="GWC839" s="802"/>
      <c r="GWD839" s="802"/>
      <c r="GWE839" s="802"/>
      <c r="GWF839" s="802"/>
      <c r="GWG839" s="802"/>
      <c r="GWH839" s="802"/>
      <c r="GWI839" s="802"/>
      <c r="GWJ839" s="802"/>
      <c r="GWK839" s="802"/>
      <c r="GWL839" s="802"/>
      <c r="GWM839" s="802"/>
      <c r="GWN839" s="802"/>
      <c r="GWO839" s="802"/>
      <c r="GWP839" s="802"/>
      <c r="GWQ839" s="802"/>
      <c r="GWR839" s="802"/>
      <c r="GWS839" s="802"/>
      <c r="GWT839" s="802"/>
      <c r="GWU839" s="802"/>
      <c r="GWV839" s="802"/>
      <c r="GWW839" s="802"/>
      <c r="GWX839" s="802"/>
      <c r="GWY839" s="802"/>
      <c r="GWZ839" s="802"/>
      <c r="GXA839" s="802"/>
      <c r="GXB839" s="802"/>
      <c r="GXC839" s="802"/>
      <c r="GXD839" s="802"/>
      <c r="GXE839" s="802"/>
      <c r="GXF839" s="802"/>
      <c r="GXG839" s="802"/>
      <c r="GXH839" s="802"/>
      <c r="GXI839" s="802"/>
      <c r="GXJ839" s="802"/>
      <c r="GXK839" s="802"/>
      <c r="GXL839" s="802"/>
      <c r="GXM839" s="802"/>
      <c r="GXN839" s="802"/>
      <c r="GXO839" s="802"/>
      <c r="GXP839" s="802"/>
      <c r="GXQ839" s="802"/>
      <c r="GXR839" s="802"/>
      <c r="GXS839" s="802"/>
      <c r="GXT839" s="802"/>
      <c r="GXU839" s="802"/>
      <c r="GXV839" s="802"/>
      <c r="GXW839" s="802"/>
      <c r="GXX839" s="802"/>
      <c r="GXY839" s="802"/>
      <c r="GXZ839" s="802"/>
      <c r="GYA839" s="802"/>
      <c r="GYB839" s="802"/>
      <c r="GYC839" s="802"/>
      <c r="GYD839" s="802"/>
      <c r="GYE839" s="802"/>
      <c r="GYF839" s="802"/>
      <c r="GYG839" s="802"/>
      <c r="GYH839" s="802"/>
      <c r="GYI839" s="802"/>
      <c r="GYJ839" s="802"/>
      <c r="GYK839" s="802"/>
      <c r="GYL839" s="802"/>
      <c r="GYM839" s="802"/>
      <c r="GYN839" s="802"/>
      <c r="GYO839" s="802"/>
      <c r="GYP839" s="802"/>
      <c r="GYQ839" s="802"/>
      <c r="GYR839" s="802"/>
      <c r="GYS839" s="802"/>
      <c r="GYT839" s="802"/>
      <c r="GYU839" s="802"/>
      <c r="GYV839" s="802"/>
      <c r="GYW839" s="802"/>
      <c r="GYX839" s="802"/>
      <c r="GYY839" s="802"/>
      <c r="GYZ839" s="802"/>
      <c r="GZA839" s="802"/>
      <c r="GZB839" s="802"/>
      <c r="GZC839" s="802"/>
      <c r="GZD839" s="802"/>
      <c r="GZE839" s="802"/>
      <c r="GZF839" s="802"/>
      <c r="GZG839" s="802"/>
      <c r="GZH839" s="802"/>
      <c r="GZI839" s="802"/>
      <c r="GZJ839" s="802"/>
      <c r="GZK839" s="802"/>
      <c r="GZL839" s="802"/>
      <c r="GZM839" s="802"/>
      <c r="GZN839" s="802"/>
      <c r="GZO839" s="802"/>
      <c r="GZP839" s="802"/>
      <c r="GZQ839" s="802"/>
      <c r="GZR839" s="802"/>
      <c r="GZS839" s="802"/>
      <c r="GZT839" s="802"/>
      <c r="GZU839" s="802"/>
      <c r="GZV839" s="802"/>
      <c r="GZW839" s="802"/>
      <c r="GZX839" s="802"/>
      <c r="GZY839" s="802"/>
      <c r="GZZ839" s="802"/>
      <c r="HAA839" s="802"/>
      <c r="HAB839" s="802"/>
      <c r="HAC839" s="802"/>
      <c r="HAD839" s="802"/>
      <c r="HAE839" s="802"/>
      <c r="HAF839" s="802"/>
      <c r="HAG839" s="802"/>
      <c r="HAH839" s="802"/>
      <c r="HAI839" s="802"/>
      <c r="HAJ839" s="802"/>
      <c r="HAK839" s="802"/>
      <c r="HAL839" s="802"/>
      <c r="HAM839" s="802"/>
      <c r="HAN839" s="802"/>
      <c r="HAO839" s="802"/>
      <c r="HAP839" s="802"/>
      <c r="HAQ839" s="802"/>
      <c r="HAR839" s="802"/>
      <c r="HAS839" s="802"/>
      <c r="HAT839" s="802"/>
      <c r="HAU839" s="802"/>
      <c r="HAV839" s="802"/>
      <c r="HAW839" s="802"/>
      <c r="HAX839" s="802"/>
      <c r="HAY839" s="802"/>
      <c r="HAZ839" s="802"/>
      <c r="HBA839" s="802"/>
      <c r="HBB839" s="802"/>
      <c r="HBC839" s="802"/>
      <c r="HBD839" s="802"/>
      <c r="HBE839" s="802"/>
      <c r="HBF839" s="802"/>
      <c r="HBG839" s="802"/>
      <c r="HBH839" s="802"/>
      <c r="HBI839" s="802"/>
      <c r="HBJ839" s="802"/>
      <c r="HBK839" s="802"/>
      <c r="HBL839" s="802"/>
      <c r="HBM839" s="802"/>
      <c r="HBN839" s="802"/>
      <c r="HBO839" s="802"/>
      <c r="HBP839" s="802"/>
      <c r="HBQ839" s="802"/>
      <c r="HBR839" s="802"/>
      <c r="HBS839" s="802"/>
      <c r="HBT839" s="802"/>
      <c r="HBU839" s="802"/>
      <c r="HBV839" s="802"/>
      <c r="HBW839" s="802"/>
      <c r="HBX839" s="802"/>
      <c r="HBY839" s="802"/>
      <c r="HBZ839" s="802"/>
      <c r="HCA839" s="802"/>
      <c r="HCB839" s="802"/>
      <c r="HCC839" s="802"/>
      <c r="HCD839" s="802"/>
      <c r="HCE839" s="802"/>
      <c r="HCF839" s="802"/>
      <c r="HCG839" s="802"/>
      <c r="HCH839" s="802"/>
      <c r="HCI839" s="802"/>
      <c r="HCJ839" s="802"/>
      <c r="HCK839" s="802"/>
      <c r="HCL839" s="802"/>
      <c r="HCM839" s="802"/>
      <c r="HCN839" s="802"/>
      <c r="HCO839" s="802"/>
      <c r="HCP839" s="802"/>
      <c r="HCQ839" s="802"/>
      <c r="HCR839" s="802"/>
      <c r="HCS839" s="802"/>
      <c r="HCT839" s="802"/>
      <c r="HCU839" s="802"/>
      <c r="HCV839" s="802"/>
      <c r="HCW839" s="802"/>
      <c r="HCX839" s="802"/>
      <c r="HCY839" s="802"/>
      <c r="HCZ839" s="802"/>
      <c r="HDA839" s="802"/>
      <c r="HDB839" s="802"/>
      <c r="HDC839" s="802"/>
      <c r="HDD839" s="802"/>
      <c r="HDE839" s="802"/>
      <c r="HDF839" s="802"/>
      <c r="HDG839" s="802"/>
      <c r="HDH839" s="802"/>
      <c r="HDI839" s="802"/>
      <c r="HDJ839" s="802"/>
      <c r="HDK839" s="802"/>
      <c r="HDL839" s="802"/>
      <c r="HDM839" s="802"/>
      <c r="HDN839" s="802"/>
      <c r="HDO839" s="802"/>
      <c r="HDP839" s="802"/>
      <c r="HDQ839" s="802"/>
      <c r="HDR839" s="802"/>
      <c r="HDS839" s="802"/>
      <c r="HDT839" s="802"/>
      <c r="HDU839" s="802"/>
      <c r="HDV839" s="802"/>
      <c r="HDW839" s="802"/>
      <c r="HDX839" s="802"/>
      <c r="HDY839" s="802"/>
      <c r="HDZ839" s="802"/>
      <c r="HEA839" s="802"/>
      <c r="HEB839" s="802"/>
      <c r="HEC839" s="802"/>
      <c r="HED839" s="802"/>
      <c r="HEE839" s="802"/>
      <c r="HEF839" s="802"/>
      <c r="HEG839" s="802"/>
      <c r="HEH839" s="802"/>
      <c r="HEI839" s="802"/>
      <c r="HEJ839" s="802"/>
      <c r="HEK839" s="802"/>
      <c r="HEL839" s="802"/>
      <c r="HEM839" s="802"/>
      <c r="HEN839" s="802"/>
      <c r="HEO839" s="802"/>
      <c r="HEP839" s="802"/>
      <c r="HEQ839" s="802"/>
      <c r="HER839" s="802"/>
      <c r="HES839" s="802"/>
      <c r="HET839" s="802"/>
      <c r="HEU839" s="802"/>
      <c r="HEV839" s="802"/>
      <c r="HEW839" s="802"/>
      <c r="HEX839" s="802"/>
      <c r="HEY839" s="802"/>
      <c r="HEZ839" s="802"/>
      <c r="HFA839" s="802"/>
      <c r="HFB839" s="802"/>
      <c r="HFC839" s="802"/>
      <c r="HFD839" s="802"/>
      <c r="HFE839" s="802"/>
      <c r="HFF839" s="802"/>
      <c r="HFG839" s="802"/>
      <c r="HFH839" s="802"/>
      <c r="HFI839" s="802"/>
      <c r="HFJ839" s="802"/>
      <c r="HFK839" s="802"/>
      <c r="HFL839" s="802"/>
      <c r="HFM839" s="802"/>
      <c r="HFN839" s="802"/>
      <c r="HFO839" s="802"/>
      <c r="HFP839" s="802"/>
      <c r="HFQ839" s="802"/>
      <c r="HFR839" s="802"/>
      <c r="HFS839" s="802"/>
      <c r="HFT839" s="802"/>
      <c r="HFU839" s="802"/>
      <c r="HFV839" s="802"/>
      <c r="HFW839" s="802"/>
      <c r="HFX839" s="802"/>
      <c r="HFY839" s="802"/>
      <c r="HFZ839" s="802"/>
      <c r="HGA839" s="802"/>
      <c r="HGB839" s="802"/>
      <c r="HGC839" s="802"/>
      <c r="HGD839" s="802"/>
      <c r="HGE839" s="802"/>
      <c r="HGF839" s="802"/>
      <c r="HGG839" s="802"/>
      <c r="HGH839" s="802"/>
      <c r="HGI839" s="802"/>
      <c r="HGJ839" s="802"/>
      <c r="HGK839" s="802"/>
      <c r="HGL839" s="802"/>
      <c r="HGM839" s="802"/>
      <c r="HGN839" s="802"/>
      <c r="HGO839" s="802"/>
      <c r="HGP839" s="802"/>
      <c r="HGQ839" s="802"/>
      <c r="HGR839" s="802"/>
      <c r="HGS839" s="802"/>
      <c r="HGT839" s="802"/>
      <c r="HGU839" s="802"/>
      <c r="HGV839" s="802"/>
      <c r="HGW839" s="802"/>
      <c r="HGX839" s="802"/>
      <c r="HGY839" s="802"/>
      <c r="HGZ839" s="802"/>
      <c r="HHA839" s="802"/>
      <c r="HHB839" s="802"/>
      <c r="HHC839" s="802"/>
      <c r="HHD839" s="802"/>
      <c r="HHE839" s="802"/>
      <c r="HHF839" s="802"/>
      <c r="HHG839" s="802"/>
      <c r="HHH839" s="802"/>
      <c r="HHI839" s="802"/>
      <c r="HHJ839" s="802"/>
      <c r="HHK839" s="802"/>
      <c r="HHL839" s="802"/>
      <c r="HHM839" s="802"/>
      <c r="HHN839" s="802"/>
      <c r="HHO839" s="802"/>
      <c r="HHP839" s="802"/>
      <c r="HHQ839" s="802"/>
      <c r="HHR839" s="802"/>
      <c r="HHS839" s="802"/>
      <c r="HHT839" s="802"/>
      <c r="HHU839" s="802"/>
      <c r="HHV839" s="802"/>
      <c r="HHW839" s="802"/>
      <c r="HHX839" s="802"/>
      <c r="HHY839" s="802"/>
      <c r="HHZ839" s="802"/>
      <c r="HIA839" s="802"/>
      <c r="HIB839" s="802"/>
      <c r="HIC839" s="802"/>
      <c r="HID839" s="802"/>
      <c r="HIE839" s="802"/>
      <c r="HIF839" s="802"/>
      <c r="HIG839" s="802"/>
      <c r="HIH839" s="802"/>
      <c r="HII839" s="802"/>
      <c r="HIJ839" s="802"/>
      <c r="HIK839" s="802"/>
      <c r="HIL839" s="802"/>
      <c r="HIM839" s="802"/>
      <c r="HIN839" s="802"/>
      <c r="HIO839" s="802"/>
      <c r="HIP839" s="802"/>
      <c r="HIQ839" s="802"/>
      <c r="HIR839" s="802"/>
      <c r="HIS839" s="802"/>
      <c r="HIT839" s="802"/>
      <c r="HIU839" s="802"/>
      <c r="HIV839" s="802"/>
      <c r="HIW839" s="802"/>
      <c r="HIX839" s="802"/>
      <c r="HIY839" s="802"/>
      <c r="HIZ839" s="802"/>
      <c r="HJA839" s="802"/>
      <c r="HJB839" s="802"/>
      <c r="HJC839" s="802"/>
      <c r="HJD839" s="802"/>
      <c r="HJE839" s="802"/>
      <c r="HJF839" s="802"/>
      <c r="HJG839" s="802"/>
      <c r="HJH839" s="802"/>
      <c r="HJI839" s="802"/>
      <c r="HJJ839" s="802"/>
      <c r="HJK839" s="802"/>
      <c r="HJL839" s="802"/>
      <c r="HJM839" s="802"/>
      <c r="HJN839" s="802"/>
      <c r="HJO839" s="802"/>
      <c r="HJP839" s="802"/>
      <c r="HJQ839" s="802"/>
      <c r="HJR839" s="802"/>
      <c r="HJS839" s="802"/>
      <c r="HJT839" s="802"/>
      <c r="HJU839" s="802"/>
      <c r="HJV839" s="802"/>
      <c r="HJW839" s="802"/>
      <c r="HJX839" s="802"/>
      <c r="HJY839" s="802"/>
      <c r="HJZ839" s="802"/>
      <c r="HKA839" s="802"/>
      <c r="HKB839" s="802"/>
      <c r="HKC839" s="802"/>
      <c r="HKD839" s="802"/>
      <c r="HKE839" s="802"/>
      <c r="HKF839" s="802"/>
      <c r="HKG839" s="802"/>
      <c r="HKH839" s="802"/>
      <c r="HKI839" s="802"/>
      <c r="HKJ839" s="802"/>
      <c r="HKK839" s="802"/>
      <c r="HKL839" s="802"/>
      <c r="HKM839" s="802"/>
      <c r="HKN839" s="802"/>
      <c r="HKO839" s="802"/>
      <c r="HKP839" s="802"/>
      <c r="HKQ839" s="802"/>
      <c r="HKR839" s="802"/>
      <c r="HKS839" s="802"/>
      <c r="HKT839" s="802"/>
      <c r="HKU839" s="802"/>
      <c r="HKV839" s="802"/>
      <c r="HKW839" s="802"/>
      <c r="HKX839" s="802"/>
      <c r="HKY839" s="802"/>
      <c r="HKZ839" s="802"/>
      <c r="HLA839" s="802"/>
      <c r="HLB839" s="802"/>
      <c r="HLC839" s="802"/>
      <c r="HLD839" s="802"/>
      <c r="HLE839" s="802"/>
      <c r="HLF839" s="802"/>
      <c r="HLG839" s="802"/>
      <c r="HLH839" s="802"/>
      <c r="HLI839" s="802"/>
      <c r="HLJ839" s="802"/>
      <c r="HLK839" s="802"/>
      <c r="HLL839" s="802"/>
      <c r="HLM839" s="802"/>
      <c r="HLN839" s="802"/>
      <c r="HLO839" s="802"/>
      <c r="HLP839" s="802"/>
      <c r="HLQ839" s="802"/>
      <c r="HLR839" s="802"/>
      <c r="HLS839" s="802"/>
      <c r="HLT839" s="802"/>
      <c r="HLU839" s="802"/>
      <c r="HLV839" s="802"/>
      <c r="HLW839" s="802"/>
      <c r="HLX839" s="802"/>
      <c r="HLY839" s="802"/>
      <c r="HLZ839" s="802"/>
      <c r="HMA839" s="802"/>
      <c r="HMB839" s="802"/>
      <c r="HMC839" s="802"/>
      <c r="HMD839" s="802"/>
      <c r="HME839" s="802"/>
      <c r="HMF839" s="802"/>
      <c r="HMG839" s="802"/>
      <c r="HMH839" s="802"/>
      <c r="HMI839" s="802"/>
      <c r="HMJ839" s="802"/>
      <c r="HMK839" s="802"/>
      <c r="HML839" s="802"/>
      <c r="HMM839" s="802"/>
      <c r="HMN839" s="802"/>
      <c r="HMO839" s="802"/>
      <c r="HMP839" s="802"/>
      <c r="HMQ839" s="802"/>
      <c r="HMR839" s="802"/>
      <c r="HMS839" s="802"/>
      <c r="HMT839" s="802"/>
      <c r="HMU839" s="802"/>
      <c r="HMV839" s="802"/>
      <c r="HMW839" s="802"/>
      <c r="HMX839" s="802"/>
      <c r="HMY839" s="802"/>
      <c r="HMZ839" s="802"/>
      <c r="HNA839" s="802"/>
      <c r="HNB839" s="802"/>
      <c r="HNC839" s="802"/>
      <c r="HND839" s="802"/>
      <c r="HNE839" s="802"/>
      <c r="HNF839" s="802"/>
      <c r="HNG839" s="802"/>
      <c r="HNH839" s="802"/>
      <c r="HNI839" s="802"/>
      <c r="HNJ839" s="802"/>
      <c r="HNK839" s="802"/>
      <c r="HNL839" s="802"/>
      <c r="HNM839" s="802"/>
      <c r="HNN839" s="802"/>
      <c r="HNO839" s="802"/>
      <c r="HNP839" s="802"/>
      <c r="HNQ839" s="802"/>
      <c r="HNR839" s="802"/>
      <c r="HNS839" s="802"/>
      <c r="HNT839" s="802"/>
      <c r="HNU839" s="802"/>
      <c r="HNV839" s="802"/>
      <c r="HNW839" s="802"/>
      <c r="HNX839" s="802"/>
      <c r="HNY839" s="802"/>
      <c r="HNZ839" s="802"/>
      <c r="HOA839" s="802"/>
      <c r="HOB839" s="802"/>
      <c r="HOC839" s="802"/>
      <c r="HOD839" s="802"/>
      <c r="HOE839" s="802"/>
      <c r="HOF839" s="802"/>
      <c r="HOG839" s="802"/>
      <c r="HOH839" s="802"/>
      <c r="HOI839" s="802"/>
      <c r="HOJ839" s="802"/>
      <c r="HOK839" s="802"/>
      <c r="HOL839" s="802"/>
      <c r="HOM839" s="802"/>
      <c r="HON839" s="802"/>
      <c r="HOO839" s="802"/>
      <c r="HOP839" s="802"/>
      <c r="HOQ839" s="802"/>
      <c r="HOR839" s="802"/>
      <c r="HOS839" s="802"/>
      <c r="HOT839" s="802"/>
      <c r="HOU839" s="802"/>
      <c r="HOV839" s="802"/>
      <c r="HOW839" s="802"/>
      <c r="HOX839" s="802"/>
      <c r="HOY839" s="802"/>
      <c r="HOZ839" s="802"/>
      <c r="HPA839" s="802"/>
      <c r="HPB839" s="802"/>
      <c r="HPC839" s="802"/>
      <c r="HPD839" s="802"/>
      <c r="HPE839" s="802"/>
      <c r="HPF839" s="802"/>
      <c r="HPG839" s="802"/>
      <c r="HPH839" s="802"/>
      <c r="HPI839" s="802"/>
      <c r="HPJ839" s="802"/>
      <c r="HPK839" s="802"/>
      <c r="HPL839" s="802"/>
      <c r="HPM839" s="802"/>
      <c r="HPN839" s="802"/>
      <c r="HPO839" s="802"/>
      <c r="HPP839" s="802"/>
      <c r="HPQ839" s="802"/>
      <c r="HPR839" s="802"/>
      <c r="HPS839" s="802"/>
      <c r="HPT839" s="802"/>
      <c r="HPU839" s="802"/>
      <c r="HPV839" s="802"/>
      <c r="HPW839" s="802"/>
      <c r="HPX839" s="802"/>
      <c r="HPY839" s="802"/>
      <c r="HPZ839" s="802"/>
      <c r="HQA839" s="802"/>
      <c r="HQB839" s="802"/>
      <c r="HQC839" s="802"/>
      <c r="HQD839" s="802"/>
      <c r="HQE839" s="802"/>
      <c r="HQF839" s="802"/>
      <c r="HQG839" s="802"/>
      <c r="HQH839" s="802"/>
      <c r="HQI839" s="802"/>
      <c r="HQJ839" s="802"/>
      <c r="HQK839" s="802"/>
      <c r="HQL839" s="802"/>
      <c r="HQM839" s="802"/>
      <c r="HQN839" s="802"/>
      <c r="HQO839" s="802"/>
      <c r="HQP839" s="802"/>
      <c r="HQQ839" s="802"/>
      <c r="HQR839" s="802"/>
      <c r="HQS839" s="802"/>
      <c r="HQT839" s="802"/>
      <c r="HQU839" s="802"/>
      <c r="HQV839" s="802"/>
      <c r="HQW839" s="802"/>
      <c r="HQX839" s="802"/>
      <c r="HQY839" s="802"/>
      <c r="HQZ839" s="802"/>
      <c r="HRA839" s="802"/>
      <c r="HRB839" s="802"/>
      <c r="HRC839" s="802"/>
      <c r="HRD839" s="802"/>
      <c r="HRE839" s="802"/>
      <c r="HRF839" s="802"/>
      <c r="HRG839" s="802"/>
      <c r="HRH839" s="802"/>
      <c r="HRI839" s="802"/>
      <c r="HRJ839" s="802"/>
      <c r="HRK839" s="802"/>
      <c r="HRL839" s="802"/>
      <c r="HRM839" s="802"/>
      <c r="HRN839" s="802"/>
      <c r="HRO839" s="802"/>
      <c r="HRP839" s="802"/>
      <c r="HRQ839" s="802"/>
      <c r="HRR839" s="802"/>
      <c r="HRS839" s="802"/>
      <c r="HRT839" s="802"/>
      <c r="HRU839" s="802"/>
      <c r="HRV839" s="802"/>
      <c r="HRW839" s="802"/>
      <c r="HRX839" s="802"/>
      <c r="HRY839" s="802"/>
      <c r="HRZ839" s="802"/>
      <c r="HSA839" s="802"/>
      <c r="HSB839" s="802"/>
      <c r="HSC839" s="802"/>
      <c r="HSD839" s="802"/>
      <c r="HSE839" s="802"/>
      <c r="HSF839" s="802"/>
      <c r="HSG839" s="802"/>
      <c r="HSH839" s="802"/>
      <c r="HSI839" s="802"/>
      <c r="HSJ839" s="802"/>
      <c r="HSK839" s="802"/>
      <c r="HSL839" s="802"/>
      <c r="HSM839" s="802"/>
      <c r="HSN839" s="802"/>
      <c r="HSO839" s="802"/>
      <c r="HSP839" s="802"/>
      <c r="HSQ839" s="802"/>
      <c r="HSR839" s="802"/>
      <c r="HSS839" s="802"/>
      <c r="HST839" s="802"/>
      <c r="HSU839" s="802"/>
      <c r="HSV839" s="802"/>
      <c r="HSW839" s="802"/>
      <c r="HSX839" s="802"/>
      <c r="HSY839" s="802"/>
      <c r="HSZ839" s="802"/>
      <c r="HTA839" s="802"/>
      <c r="HTB839" s="802"/>
      <c r="HTC839" s="802"/>
      <c r="HTD839" s="802"/>
      <c r="HTE839" s="802"/>
      <c r="HTF839" s="802"/>
      <c r="HTG839" s="802"/>
      <c r="HTH839" s="802"/>
      <c r="HTI839" s="802"/>
      <c r="HTJ839" s="802"/>
      <c r="HTK839" s="802"/>
      <c r="HTL839" s="802"/>
      <c r="HTM839" s="802"/>
      <c r="HTN839" s="802"/>
      <c r="HTO839" s="802"/>
      <c r="HTP839" s="802"/>
      <c r="HTQ839" s="802"/>
      <c r="HTR839" s="802"/>
      <c r="HTS839" s="802"/>
      <c r="HTT839" s="802"/>
      <c r="HTU839" s="802"/>
      <c r="HTV839" s="802"/>
      <c r="HTW839" s="802"/>
      <c r="HTX839" s="802"/>
      <c r="HTY839" s="802"/>
      <c r="HTZ839" s="802"/>
      <c r="HUA839" s="802"/>
      <c r="HUB839" s="802"/>
      <c r="HUC839" s="802"/>
      <c r="HUD839" s="802"/>
      <c r="HUE839" s="802"/>
      <c r="HUF839" s="802"/>
      <c r="HUG839" s="802"/>
      <c r="HUH839" s="802"/>
      <c r="HUI839" s="802"/>
      <c r="HUJ839" s="802"/>
      <c r="HUK839" s="802"/>
      <c r="HUL839" s="802"/>
      <c r="HUM839" s="802"/>
      <c r="HUN839" s="802"/>
      <c r="HUO839" s="802"/>
      <c r="HUP839" s="802"/>
      <c r="HUQ839" s="802"/>
      <c r="HUR839" s="802"/>
      <c r="HUS839" s="802"/>
      <c r="HUT839" s="802"/>
      <c r="HUU839" s="802"/>
      <c r="HUV839" s="802"/>
      <c r="HUW839" s="802"/>
      <c r="HUX839" s="802"/>
      <c r="HUY839" s="802"/>
      <c r="HUZ839" s="802"/>
      <c r="HVA839" s="802"/>
      <c r="HVB839" s="802"/>
      <c r="HVC839" s="802"/>
      <c r="HVD839" s="802"/>
      <c r="HVE839" s="802"/>
      <c r="HVF839" s="802"/>
      <c r="HVG839" s="802"/>
      <c r="HVH839" s="802"/>
      <c r="HVI839" s="802"/>
      <c r="HVJ839" s="802"/>
      <c r="HVK839" s="802"/>
      <c r="HVL839" s="802"/>
      <c r="HVM839" s="802"/>
      <c r="HVN839" s="802"/>
      <c r="HVO839" s="802"/>
      <c r="HVP839" s="802"/>
      <c r="HVQ839" s="802"/>
      <c r="HVR839" s="802"/>
      <c r="HVS839" s="802"/>
      <c r="HVT839" s="802"/>
      <c r="HVU839" s="802"/>
      <c r="HVV839" s="802"/>
      <c r="HVW839" s="802"/>
      <c r="HVX839" s="802"/>
      <c r="HVY839" s="802"/>
      <c r="HVZ839" s="802"/>
      <c r="HWA839" s="802"/>
      <c r="HWB839" s="802"/>
      <c r="HWC839" s="802"/>
      <c r="HWD839" s="802"/>
      <c r="HWE839" s="802"/>
      <c r="HWF839" s="802"/>
      <c r="HWG839" s="802"/>
      <c r="HWH839" s="802"/>
      <c r="HWI839" s="802"/>
      <c r="HWJ839" s="802"/>
      <c r="HWK839" s="802"/>
      <c r="HWL839" s="802"/>
      <c r="HWM839" s="802"/>
      <c r="HWN839" s="802"/>
      <c r="HWO839" s="802"/>
      <c r="HWP839" s="802"/>
      <c r="HWQ839" s="802"/>
      <c r="HWR839" s="802"/>
      <c r="HWS839" s="802"/>
      <c r="HWT839" s="802"/>
      <c r="HWU839" s="802"/>
      <c r="HWV839" s="802"/>
      <c r="HWW839" s="802"/>
      <c r="HWX839" s="802"/>
      <c r="HWY839" s="802"/>
      <c r="HWZ839" s="802"/>
      <c r="HXA839" s="802"/>
      <c r="HXB839" s="802"/>
      <c r="HXC839" s="802"/>
      <c r="HXD839" s="802"/>
      <c r="HXE839" s="802"/>
      <c r="HXF839" s="802"/>
      <c r="HXG839" s="802"/>
      <c r="HXH839" s="802"/>
      <c r="HXI839" s="802"/>
      <c r="HXJ839" s="802"/>
      <c r="HXK839" s="802"/>
      <c r="HXL839" s="802"/>
      <c r="HXM839" s="802"/>
      <c r="HXN839" s="802"/>
      <c r="HXO839" s="802"/>
      <c r="HXP839" s="802"/>
      <c r="HXQ839" s="802"/>
      <c r="HXR839" s="802"/>
      <c r="HXS839" s="802"/>
      <c r="HXT839" s="802"/>
      <c r="HXU839" s="802"/>
      <c r="HXV839" s="802"/>
      <c r="HXW839" s="802"/>
      <c r="HXX839" s="802"/>
      <c r="HXY839" s="802"/>
      <c r="HXZ839" s="802"/>
      <c r="HYA839" s="802"/>
      <c r="HYB839" s="802"/>
      <c r="HYC839" s="802"/>
      <c r="HYD839" s="802"/>
      <c r="HYE839" s="802"/>
      <c r="HYF839" s="802"/>
      <c r="HYG839" s="802"/>
      <c r="HYH839" s="802"/>
      <c r="HYI839" s="802"/>
      <c r="HYJ839" s="802"/>
      <c r="HYK839" s="802"/>
      <c r="HYL839" s="802"/>
      <c r="HYM839" s="802"/>
      <c r="HYN839" s="802"/>
      <c r="HYO839" s="802"/>
      <c r="HYP839" s="802"/>
      <c r="HYQ839" s="802"/>
      <c r="HYR839" s="802"/>
      <c r="HYS839" s="802"/>
      <c r="HYT839" s="802"/>
      <c r="HYU839" s="802"/>
      <c r="HYV839" s="802"/>
      <c r="HYW839" s="802"/>
      <c r="HYX839" s="802"/>
      <c r="HYY839" s="802"/>
      <c r="HYZ839" s="802"/>
      <c r="HZA839" s="802"/>
      <c r="HZB839" s="802"/>
      <c r="HZC839" s="802"/>
      <c r="HZD839" s="802"/>
      <c r="HZE839" s="802"/>
      <c r="HZF839" s="802"/>
      <c r="HZG839" s="802"/>
      <c r="HZH839" s="802"/>
      <c r="HZI839" s="802"/>
      <c r="HZJ839" s="802"/>
      <c r="HZK839" s="802"/>
      <c r="HZL839" s="802"/>
      <c r="HZM839" s="802"/>
      <c r="HZN839" s="802"/>
      <c r="HZO839" s="802"/>
      <c r="HZP839" s="802"/>
      <c r="HZQ839" s="802"/>
      <c r="HZR839" s="802"/>
      <c r="HZS839" s="802"/>
      <c r="HZT839" s="802"/>
      <c r="HZU839" s="802"/>
      <c r="HZV839" s="802"/>
      <c r="HZW839" s="802"/>
      <c r="HZX839" s="802"/>
      <c r="HZY839" s="802"/>
      <c r="HZZ839" s="802"/>
      <c r="IAA839" s="802"/>
      <c r="IAB839" s="802"/>
      <c r="IAC839" s="802"/>
      <c r="IAD839" s="802"/>
      <c r="IAE839" s="802"/>
      <c r="IAF839" s="802"/>
      <c r="IAG839" s="802"/>
      <c r="IAH839" s="802"/>
      <c r="IAI839" s="802"/>
      <c r="IAJ839" s="802"/>
      <c r="IAK839" s="802"/>
      <c r="IAL839" s="802"/>
      <c r="IAM839" s="802"/>
      <c r="IAN839" s="802"/>
      <c r="IAO839" s="802"/>
      <c r="IAP839" s="802"/>
      <c r="IAQ839" s="802"/>
      <c r="IAR839" s="802"/>
      <c r="IAS839" s="802"/>
      <c r="IAT839" s="802"/>
      <c r="IAU839" s="802"/>
      <c r="IAV839" s="802"/>
      <c r="IAW839" s="802"/>
      <c r="IAX839" s="802"/>
      <c r="IAY839" s="802"/>
      <c r="IAZ839" s="802"/>
      <c r="IBA839" s="802"/>
      <c r="IBB839" s="802"/>
      <c r="IBC839" s="802"/>
      <c r="IBD839" s="802"/>
      <c r="IBE839" s="802"/>
      <c r="IBF839" s="802"/>
      <c r="IBG839" s="802"/>
      <c r="IBH839" s="802"/>
      <c r="IBI839" s="802"/>
      <c r="IBJ839" s="802"/>
      <c r="IBK839" s="802"/>
      <c r="IBL839" s="802"/>
      <c r="IBM839" s="802"/>
      <c r="IBN839" s="802"/>
      <c r="IBO839" s="802"/>
      <c r="IBP839" s="802"/>
      <c r="IBQ839" s="802"/>
      <c r="IBR839" s="802"/>
      <c r="IBS839" s="802"/>
      <c r="IBT839" s="802"/>
      <c r="IBU839" s="802"/>
      <c r="IBV839" s="802"/>
      <c r="IBW839" s="802"/>
      <c r="IBX839" s="802"/>
      <c r="IBY839" s="802"/>
      <c r="IBZ839" s="802"/>
      <c r="ICA839" s="802"/>
      <c r="ICB839" s="802"/>
      <c r="ICC839" s="802"/>
      <c r="ICD839" s="802"/>
      <c r="ICE839" s="802"/>
      <c r="ICF839" s="802"/>
      <c r="ICG839" s="802"/>
      <c r="ICH839" s="802"/>
      <c r="ICI839" s="802"/>
      <c r="ICJ839" s="802"/>
      <c r="ICK839" s="802"/>
      <c r="ICL839" s="802"/>
      <c r="ICM839" s="802"/>
      <c r="ICN839" s="802"/>
      <c r="ICO839" s="802"/>
      <c r="ICP839" s="802"/>
      <c r="ICQ839" s="802"/>
      <c r="ICR839" s="802"/>
      <c r="ICS839" s="802"/>
      <c r="ICT839" s="802"/>
      <c r="ICU839" s="802"/>
      <c r="ICV839" s="802"/>
      <c r="ICW839" s="802"/>
      <c r="ICX839" s="802"/>
      <c r="ICY839" s="802"/>
      <c r="ICZ839" s="802"/>
      <c r="IDA839" s="802"/>
      <c r="IDB839" s="802"/>
      <c r="IDC839" s="802"/>
      <c r="IDD839" s="802"/>
      <c r="IDE839" s="802"/>
      <c r="IDF839" s="802"/>
      <c r="IDG839" s="802"/>
      <c r="IDH839" s="802"/>
      <c r="IDI839" s="802"/>
      <c r="IDJ839" s="802"/>
      <c r="IDK839" s="802"/>
      <c r="IDL839" s="802"/>
      <c r="IDM839" s="802"/>
      <c r="IDN839" s="802"/>
      <c r="IDO839" s="802"/>
      <c r="IDP839" s="802"/>
      <c r="IDQ839" s="802"/>
      <c r="IDR839" s="802"/>
      <c r="IDS839" s="802"/>
      <c r="IDT839" s="802"/>
      <c r="IDU839" s="802"/>
      <c r="IDV839" s="802"/>
      <c r="IDW839" s="802"/>
      <c r="IDX839" s="802"/>
      <c r="IDY839" s="802"/>
      <c r="IDZ839" s="802"/>
      <c r="IEA839" s="802"/>
      <c r="IEB839" s="802"/>
      <c r="IEC839" s="802"/>
      <c r="IED839" s="802"/>
      <c r="IEE839" s="802"/>
      <c r="IEF839" s="802"/>
      <c r="IEG839" s="802"/>
      <c r="IEH839" s="802"/>
      <c r="IEI839" s="802"/>
      <c r="IEJ839" s="802"/>
      <c r="IEK839" s="802"/>
      <c r="IEL839" s="802"/>
      <c r="IEM839" s="802"/>
      <c r="IEN839" s="802"/>
      <c r="IEO839" s="802"/>
      <c r="IEP839" s="802"/>
      <c r="IEQ839" s="802"/>
      <c r="IER839" s="802"/>
      <c r="IES839" s="802"/>
      <c r="IET839" s="802"/>
      <c r="IEU839" s="802"/>
      <c r="IEV839" s="802"/>
      <c r="IEW839" s="802"/>
      <c r="IEX839" s="802"/>
      <c r="IEY839" s="802"/>
      <c r="IEZ839" s="802"/>
      <c r="IFA839" s="802"/>
      <c r="IFB839" s="802"/>
      <c r="IFC839" s="802"/>
      <c r="IFD839" s="802"/>
      <c r="IFE839" s="802"/>
      <c r="IFF839" s="802"/>
      <c r="IFG839" s="802"/>
      <c r="IFH839" s="802"/>
      <c r="IFI839" s="802"/>
      <c r="IFJ839" s="802"/>
      <c r="IFK839" s="802"/>
      <c r="IFL839" s="802"/>
      <c r="IFM839" s="802"/>
      <c r="IFN839" s="802"/>
      <c r="IFO839" s="802"/>
      <c r="IFP839" s="802"/>
      <c r="IFQ839" s="802"/>
      <c r="IFR839" s="802"/>
      <c r="IFS839" s="802"/>
      <c r="IFT839" s="802"/>
      <c r="IFU839" s="802"/>
      <c r="IFV839" s="802"/>
      <c r="IFW839" s="802"/>
      <c r="IFX839" s="802"/>
      <c r="IFY839" s="802"/>
      <c r="IFZ839" s="802"/>
      <c r="IGA839" s="802"/>
      <c r="IGB839" s="802"/>
      <c r="IGC839" s="802"/>
      <c r="IGD839" s="802"/>
      <c r="IGE839" s="802"/>
      <c r="IGF839" s="802"/>
      <c r="IGG839" s="802"/>
      <c r="IGH839" s="802"/>
      <c r="IGI839" s="802"/>
      <c r="IGJ839" s="802"/>
      <c r="IGK839" s="802"/>
      <c r="IGL839" s="802"/>
      <c r="IGM839" s="802"/>
      <c r="IGN839" s="802"/>
      <c r="IGO839" s="802"/>
      <c r="IGP839" s="802"/>
      <c r="IGQ839" s="802"/>
      <c r="IGR839" s="802"/>
      <c r="IGS839" s="802"/>
      <c r="IGT839" s="802"/>
      <c r="IGU839" s="802"/>
      <c r="IGV839" s="802"/>
      <c r="IGW839" s="802"/>
      <c r="IGX839" s="802"/>
      <c r="IGY839" s="802"/>
      <c r="IGZ839" s="802"/>
      <c r="IHA839" s="802"/>
      <c r="IHB839" s="802"/>
      <c r="IHC839" s="802"/>
      <c r="IHD839" s="802"/>
      <c r="IHE839" s="802"/>
      <c r="IHF839" s="802"/>
      <c r="IHG839" s="802"/>
      <c r="IHH839" s="802"/>
      <c r="IHI839" s="802"/>
      <c r="IHJ839" s="802"/>
      <c r="IHK839" s="802"/>
      <c r="IHL839" s="802"/>
      <c r="IHM839" s="802"/>
      <c r="IHN839" s="802"/>
      <c r="IHO839" s="802"/>
      <c r="IHP839" s="802"/>
      <c r="IHQ839" s="802"/>
      <c r="IHR839" s="802"/>
      <c r="IHS839" s="802"/>
      <c r="IHT839" s="802"/>
      <c r="IHU839" s="802"/>
      <c r="IHV839" s="802"/>
      <c r="IHW839" s="802"/>
      <c r="IHX839" s="802"/>
      <c r="IHY839" s="802"/>
      <c r="IHZ839" s="802"/>
      <c r="IIA839" s="802"/>
      <c r="IIB839" s="802"/>
      <c r="IIC839" s="802"/>
      <c r="IID839" s="802"/>
      <c r="IIE839" s="802"/>
      <c r="IIF839" s="802"/>
      <c r="IIG839" s="802"/>
      <c r="IIH839" s="802"/>
      <c r="III839" s="802"/>
      <c r="IIJ839" s="802"/>
      <c r="IIK839" s="802"/>
      <c r="IIL839" s="802"/>
      <c r="IIM839" s="802"/>
      <c r="IIN839" s="802"/>
      <c r="IIO839" s="802"/>
      <c r="IIP839" s="802"/>
      <c r="IIQ839" s="802"/>
      <c r="IIR839" s="802"/>
      <c r="IIS839" s="802"/>
      <c r="IIT839" s="802"/>
      <c r="IIU839" s="802"/>
      <c r="IIV839" s="802"/>
      <c r="IIW839" s="802"/>
      <c r="IIX839" s="802"/>
      <c r="IIY839" s="802"/>
      <c r="IIZ839" s="802"/>
      <c r="IJA839" s="802"/>
      <c r="IJB839" s="802"/>
      <c r="IJC839" s="802"/>
      <c r="IJD839" s="802"/>
      <c r="IJE839" s="802"/>
      <c r="IJF839" s="802"/>
      <c r="IJG839" s="802"/>
      <c r="IJH839" s="802"/>
      <c r="IJI839" s="802"/>
      <c r="IJJ839" s="802"/>
      <c r="IJK839" s="802"/>
      <c r="IJL839" s="802"/>
      <c r="IJM839" s="802"/>
      <c r="IJN839" s="802"/>
      <c r="IJO839" s="802"/>
      <c r="IJP839" s="802"/>
      <c r="IJQ839" s="802"/>
      <c r="IJR839" s="802"/>
      <c r="IJS839" s="802"/>
      <c r="IJT839" s="802"/>
      <c r="IJU839" s="802"/>
      <c r="IJV839" s="802"/>
      <c r="IJW839" s="802"/>
      <c r="IJX839" s="802"/>
      <c r="IJY839" s="802"/>
      <c r="IJZ839" s="802"/>
      <c r="IKA839" s="802"/>
      <c r="IKB839" s="802"/>
      <c r="IKC839" s="802"/>
      <c r="IKD839" s="802"/>
      <c r="IKE839" s="802"/>
      <c r="IKF839" s="802"/>
      <c r="IKG839" s="802"/>
      <c r="IKH839" s="802"/>
      <c r="IKI839" s="802"/>
      <c r="IKJ839" s="802"/>
      <c r="IKK839" s="802"/>
      <c r="IKL839" s="802"/>
      <c r="IKM839" s="802"/>
      <c r="IKN839" s="802"/>
      <c r="IKO839" s="802"/>
      <c r="IKP839" s="802"/>
      <c r="IKQ839" s="802"/>
      <c r="IKR839" s="802"/>
      <c r="IKS839" s="802"/>
      <c r="IKT839" s="802"/>
      <c r="IKU839" s="802"/>
      <c r="IKV839" s="802"/>
      <c r="IKW839" s="802"/>
      <c r="IKX839" s="802"/>
      <c r="IKY839" s="802"/>
      <c r="IKZ839" s="802"/>
      <c r="ILA839" s="802"/>
      <c r="ILB839" s="802"/>
      <c r="ILC839" s="802"/>
      <c r="ILD839" s="802"/>
      <c r="ILE839" s="802"/>
      <c r="ILF839" s="802"/>
      <c r="ILG839" s="802"/>
      <c r="ILH839" s="802"/>
      <c r="ILI839" s="802"/>
      <c r="ILJ839" s="802"/>
      <c r="ILK839" s="802"/>
      <c r="ILL839" s="802"/>
      <c r="ILM839" s="802"/>
      <c r="ILN839" s="802"/>
      <c r="ILO839" s="802"/>
      <c r="ILP839" s="802"/>
      <c r="ILQ839" s="802"/>
      <c r="ILR839" s="802"/>
      <c r="ILS839" s="802"/>
      <c r="ILT839" s="802"/>
      <c r="ILU839" s="802"/>
      <c r="ILV839" s="802"/>
      <c r="ILW839" s="802"/>
      <c r="ILX839" s="802"/>
      <c r="ILY839" s="802"/>
      <c r="ILZ839" s="802"/>
      <c r="IMA839" s="802"/>
      <c r="IMB839" s="802"/>
      <c r="IMC839" s="802"/>
      <c r="IMD839" s="802"/>
      <c r="IME839" s="802"/>
      <c r="IMF839" s="802"/>
      <c r="IMG839" s="802"/>
      <c r="IMH839" s="802"/>
      <c r="IMI839" s="802"/>
      <c r="IMJ839" s="802"/>
      <c r="IMK839" s="802"/>
      <c r="IML839" s="802"/>
      <c r="IMM839" s="802"/>
      <c r="IMN839" s="802"/>
      <c r="IMO839" s="802"/>
      <c r="IMP839" s="802"/>
      <c r="IMQ839" s="802"/>
      <c r="IMR839" s="802"/>
      <c r="IMS839" s="802"/>
      <c r="IMT839" s="802"/>
      <c r="IMU839" s="802"/>
      <c r="IMV839" s="802"/>
      <c r="IMW839" s="802"/>
      <c r="IMX839" s="802"/>
      <c r="IMY839" s="802"/>
      <c r="IMZ839" s="802"/>
      <c r="INA839" s="802"/>
      <c r="INB839" s="802"/>
      <c r="INC839" s="802"/>
      <c r="IND839" s="802"/>
      <c r="INE839" s="802"/>
      <c r="INF839" s="802"/>
      <c r="ING839" s="802"/>
      <c r="INH839" s="802"/>
      <c r="INI839" s="802"/>
      <c r="INJ839" s="802"/>
      <c r="INK839" s="802"/>
      <c r="INL839" s="802"/>
      <c r="INM839" s="802"/>
      <c r="INN839" s="802"/>
      <c r="INO839" s="802"/>
      <c r="INP839" s="802"/>
      <c r="INQ839" s="802"/>
      <c r="INR839" s="802"/>
      <c r="INS839" s="802"/>
      <c r="INT839" s="802"/>
      <c r="INU839" s="802"/>
      <c r="INV839" s="802"/>
      <c r="INW839" s="802"/>
      <c r="INX839" s="802"/>
      <c r="INY839" s="802"/>
      <c r="INZ839" s="802"/>
      <c r="IOA839" s="802"/>
      <c r="IOB839" s="802"/>
      <c r="IOC839" s="802"/>
      <c r="IOD839" s="802"/>
      <c r="IOE839" s="802"/>
      <c r="IOF839" s="802"/>
      <c r="IOG839" s="802"/>
      <c r="IOH839" s="802"/>
      <c r="IOI839" s="802"/>
      <c r="IOJ839" s="802"/>
      <c r="IOK839" s="802"/>
      <c r="IOL839" s="802"/>
      <c r="IOM839" s="802"/>
      <c r="ION839" s="802"/>
      <c r="IOO839" s="802"/>
      <c r="IOP839" s="802"/>
      <c r="IOQ839" s="802"/>
      <c r="IOR839" s="802"/>
      <c r="IOS839" s="802"/>
      <c r="IOT839" s="802"/>
      <c r="IOU839" s="802"/>
      <c r="IOV839" s="802"/>
      <c r="IOW839" s="802"/>
      <c r="IOX839" s="802"/>
      <c r="IOY839" s="802"/>
      <c r="IOZ839" s="802"/>
      <c r="IPA839" s="802"/>
      <c r="IPB839" s="802"/>
      <c r="IPC839" s="802"/>
      <c r="IPD839" s="802"/>
      <c r="IPE839" s="802"/>
      <c r="IPF839" s="802"/>
      <c r="IPG839" s="802"/>
      <c r="IPH839" s="802"/>
      <c r="IPI839" s="802"/>
      <c r="IPJ839" s="802"/>
      <c r="IPK839" s="802"/>
      <c r="IPL839" s="802"/>
      <c r="IPM839" s="802"/>
      <c r="IPN839" s="802"/>
      <c r="IPO839" s="802"/>
      <c r="IPP839" s="802"/>
      <c r="IPQ839" s="802"/>
      <c r="IPR839" s="802"/>
      <c r="IPS839" s="802"/>
      <c r="IPT839" s="802"/>
      <c r="IPU839" s="802"/>
      <c r="IPV839" s="802"/>
      <c r="IPW839" s="802"/>
      <c r="IPX839" s="802"/>
      <c r="IPY839" s="802"/>
      <c r="IPZ839" s="802"/>
      <c r="IQA839" s="802"/>
      <c r="IQB839" s="802"/>
      <c r="IQC839" s="802"/>
      <c r="IQD839" s="802"/>
      <c r="IQE839" s="802"/>
      <c r="IQF839" s="802"/>
      <c r="IQG839" s="802"/>
      <c r="IQH839" s="802"/>
      <c r="IQI839" s="802"/>
      <c r="IQJ839" s="802"/>
      <c r="IQK839" s="802"/>
      <c r="IQL839" s="802"/>
      <c r="IQM839" s="802"/>
      <c r="IQN839" s="802"/>
      <c r="IQO839" s="802"/>
      <c r="IQP839" s="802"/>
      <c r="IQQ839" s="802"/>
      <c r="IQR839" s="802"/>
      <c r="IQS839" s="802"/>
      <c r="IQT839" s="802"/>
      <c r="IQU839" s="802"/>
      <c r="IQV839" s="802"/>
      <c r="IQW839" s="802"/>
      <c r="IQX839" s="802"/>
      <c r="IQY839" s="802"/>
      <c r="IQZ839" s="802"/>
      <c r="IRA839" s="802"/>
      <c r="IRB839" s="802"/>
      <c r="IRC839" s="802"/>
      <c r="IRD839" s="802"/>
      <c r="IRE839" s="802"/>
      <c r="IRF839" s="802"/>
      <c r="IRG839" s="802"/>
      <c r="IRH839" s="802"/>
      <c r="IRI839" s="802"/>
      <c r="IRJ839" s="802"/>
      <c r="IRK839" s="802"/>
      <c r="IRL839" s="802"/>
      <c r="IRM839" s="802"/>
      <c r="IRN839" s="802"/>
      <c r="IRO839" s="802"/>
      <c r="IRP839" s="802"/>
      <c r="IRQ839" s="802"/>
      <c r="IRR839" s="802"/>
      <c r="IRS839" s="802"/>
      <c r="IRT839" s="802"/>
      <c r="IRU839" s="802"/>
      <c r="IRV839" s="802"/>
      <c r="IRW839" s="802"/>
      <c r="IRX839" s="802"/>
      <c r="IRY839" s="802"/>
      <c r="IRZ839" s="802"/>
      <c r="ISA839" s="802"/>
      <c r="ISB839" s="802"/>
      <c r="ISC839" s="802"/>
      <c r="ISD839" s="802"/>
      <c r="ISE839" s="802"/>
      <c r="ISF839" s="802"/>
      <c r="ISG839" s="802"/>
      <c r="ISH839" s="802"/>
      <c r="ISI839" s="802"/>
      <c r="ISJ839" s="802"/>
      <c r="ISK839" s="802"/>
      <c r="ISL839" s="802"/>
      <c r="ISM839" s="802"/>
      <c r="ISN839" s="802"/>
      <c r="ISO839" s="802"/>
      <c r="ISP839" s="802"/>
      <c r="ISQ839" s="802"/>
      <c r="ISR839" s="802"/>
      <c r="ISS839" s="802"/>
      <c r="IST839" s="802"/>
      <c r="ISU839" s="802"/>
      <c r="ISV839" s="802"/>
      <c r="ISW839" s="802"/>
      <c r="ISX839" s="802"/>
      <c r="ISY839" s="802"/>
      <c r="ISZ839" s="802"/>
      <c r="ITA839" s="802"/>
      <c r="ITB839" s="802"/>
      <c r="ITC839" s="802"/>
      <c r="ITD839" s="802"/>
      <c r="ITE839" s="802"/>
      <c r="ITF839" s="802"/>
      <c r="ITG839" s="802"/>
      <c r="ITH839" s="802"/>
      <c r="ITI839" s="802"/>
      <c r="ITJ839" s="802"/>
      <c r="ITK839" s="802"/>
      <c r="ITL839" s="802"/>
      <c r="ITM839" s="802"/>
      <c r="ITN839" s="802"/>
      <c r="ITO839" s="802"/>
      <c r="ITP839" s="802"/>
      <c r="ITQ839" s="802"/>
      <c r="ITR839" s="802"/>
      <c r="ITS839" s="802"/>
      <c r="ITT839" s="802"/>
      <c r="ITU839" s="802"/>
      <c r="ITV839" s="802"/>
      <c r="ITW839" s="802"/>
      <c r="ITX839" s="802"/>
      <c r="ITY839" s="802"/>
      <c r="ITZ839" s="802"/>
      <c r="IUA839" s="802"/>
      <c r="IUB839" s="802"/>
      <c r="IUC839" s="802"/>
      <c r="IUD839" s="802"/>
      <c r="IUE839" s="802"/>
      <c r="IUF839" s="802"/>
      <c r="IUG839" s="802"/>
      <c r="IUH839" s="802"/>
      <c r="IUI839" s="802"/>
      <c r="IUJ839" s="802"/>
      <c r="IUK839" s="802"/>
      <c r="IUL839" s="802"/>
      <c r="IUM839" s="802"/>
      <c r="IUN839" s="802"/>
      <c r="IUO839" s="802"/>
      <c r="IUP839" s="802"/>
      <c r="IUQ839" s="802"/>
      <c r="IUR839" s="802"/>
      <c r="IUS839" s="802"/>
      <c r="IUT839" s="802"/>
      <c r="IUU839" s="802"/>
      <c r="IUV839" s="802"/>
      <c r="IUW839" s="802"/>
      <c r="IUX839" s="802"/>
      <c r="IUY839" s="802"/>
      <c r="IUZ839" s="802"/>
      <c r="IVA839" s="802"/>
      <c r="IVB839" s="802"/>
      <c r="IVC839" s="802"/>
      <c r="IVD839" s="802"/>
      <c r="IVE839" s="802"/>
      <c r="IVF839" s="802"/>
      <c r="IVG839" s="802"/>
      <c r="IVH839" s="802"/>
      <c r="IVI839" s="802"/>
      <c r="IVJ839" s="802"/>
      <c r="IVK839" s="802"/>
      <c r="IVL839" s="802"/>
      <c r="IVM839" s="802"/>
      <c r="IVN839" s="802"/>
      <c r="IVO839" s="802"/>
      <c r="IVP839" s="802"/>
      <c r="IVQ839" s="802"/>
      <c r="IVR839" s="802"/>
      <c r="IVS839" s="802"/>
      <c r="IVT839" s="802"/>
      <c r="IVU839" s="802"/>
      <c r="IVV839" s="802"/>
      <c r="IVW839" s="802"/>
      <c r="IVX839" s="802"/>
      <c r="IVY839" s="802"/>
      <c r="IVZ839" s="802"/>
      <c r="IWA839" s="802"/>
      <c r="IWB839" s="802"/>
      <c r="IWC839" s="802"/>
      <c r="IWD839" s="802"/>
      <c r="IWE839" s="802"/>
      <c r="IWF839" s="802"/>
      <c r="IWG839" s="802"/>
      <c r="IWH839" s="802"/>
      <c r="IWI839" s="802"/>
      <c r="IWJ839" s="802"/>
      <c r="IWK839" s="802"/>
      <c r="IWL839" s="802"/>
      <c r="IWM839" s="802"/>
      <c r="IWN839" s="802"/>
      <c r="IWO839" s="802"/>
      <c r="IWP839" s="802"/>
      <c r="IWQ839" s="802"/>
      <c r="IWR839" s="802"/>
      <c r="IWS839" s="802"/>
      <c r="IWT839" s="802"/>
      <c r="IWU839" s="802"/>
      <c r="IWV839" s="802"/>
      <c r="IWW839" s="802"/>
      <c r="IWX839" s="802"/>
      <c r="IWY839" s="802"/>
      <c r="IWZ839" s="802"/>
      <c r="IXA839" s="802"/>
      <c r="IXB839" s="802"/>
      <c r="IXC839" s="802"/>
      <c r="IXD839" s="802"/>
      <c r="IXE839" s="802"/>
      <c r="IXF839" s="802"/>
      <c r="IXG839" s="802"/>
      <c r="IXH839" s="802"/>
      <c r="IXI839" s="802"/>
      <c r="IXJ839" s="802"/>
      <c r="IXK839" s="802"/>
      <c r="IXL839" s="802"/>
      <c r="IXM839" s="802"/>
      <c r="IXN839" s="802"/>
      <c r="IXO839" s="802"/>
      <c r="IXP839" s="802"/>
      <c r="IXQ839" s="802"/>
      <c r="IXR839" s="802"/>
      <c r="IXS839" s="802"/>
      <c r="IXT839" s="802"/>
      <c r="IXU839" s="802"/>
      <c r="IXV839" s="802"/>
      <c r="IXW839" s="802"/>
      <c r="IXX839" s="802"/>
      <c r="IXY839" s="802"/>
      <c r="IXZ839" s="802"/>
      <c r="IYA839" s="802"/>
      <c r="IYB839" s="802"/>
      <c r="IYC839" s="802"/>
      <c r="IYD839" s="802"/>
      <c r="IYE839" s="802"/>
      <c r="IYF839" s="802"/>
      <c r="IYG839" s="802"/>
      <c r="IYH839" s="802"/>
      <c r="IYI839" s="802"/>
      <c r="IYJ839" s="802"/>
      <c r="IYK839" s="802"/>
      <c r="IYL839" s="802"/>
      <c r="IYM839" s="802"/>
      <c r="IYN839" s="802"/>
      <c r="IYO839" s="802"/>
      <c r="IYP839" s="802"/>
      <c r="IYQ839" s="802"/>
      <c r="IYR839" s="802"/>
      <c r="IYS839" s="802"/>
      <c r="IYT839" s="802"/>
      <c r="IYU839" s="802"/>
      <c r="IYV839" s="802"/>
      <c r="IYW839" s="802"/>
      <c r="IYX839" s="802"/>
      <c r="IYY839" s="802"/>
      <c r="IYZ839" s="802"/>
      <c r="IZA839" s="802"/>
      <c r="IZB839" s="802"/>
      <c r="IZC839" s="802"/>
      <c r="IZD839" s="802"/>
      <c r="IZE839" s="802"/>
      <c r="IZF839" s="802"/>
      <c r="IZG839" s="802"/>
      <c r="IZH839" s="802"/>
      <c r="IZI839" s="802"/>
      <c r="IZJ839" s="802"/>
      <c r="IZK839" s="802"/>
      <c r="IZL839" s="802"/>
      <c r="IZM839" s="802"/>
      <c r="IZN839" s="802"/>
      <c r="IZO839" s="802"/>
      <c r="IZP839" s="802"/>
      <c r="IZQ839" s="802"/>
      <c r="IZR839" s="802"/>
      <c r="IZS839" s="802"/>
      <c r="IZT839" s="802"/>
      <c r="IZU839" s="802"/>
      <c r="IZV839" s="802"/>
      <c r="IZW839" s="802"/>
      <c r="IZX839" s="802"/>
      <c r="IZY839" s="802"/>
      <c r="IZZ839" s="802"/>
      <c r="JAA839" s="802"/>
      <c r="JAB839" s="802"/>
      <c r="JAC839" s="802"/>
      <c r="JAD839" s="802"/>
      <c r="JAE839" s="802"/>
      <c r="JAF839" s="802"/>
      <c r="JAG839" s="802"/>
      <c r="JAH839" s="802"/>
      <c r="JAI839" s="802"/>
      <c r="JAJ839" s="802"/>
      <c r="JAK839" s="802"/>
      <c r="JAL839" s="802"/>
      <c r="JAM839" s="802"/>
      <c r="JAN839" s="802"/>
      <c r="JAO839" s="802"/>
      <c r="JAP839" s="802"/>
      <c r="JAQ839" s="802"/>
      <c r="JAR839" s="802"/>
      <c r="JAS839" s="802"/>
      <c r="JAT839" s="802"/>
      <c r="JAU839" s="802"/>
      <c r="JAV839" s="802"/>
      <c r="JAW839" s="802"/>
      <c r="JAX839" s="802"/>
      <c r="JAY839" s="802"/>
      <c r="JAZ839" s="802"/>
      <c r="JBA839" s="802"/>
      <c r="JBB839" s="802"/>
      <c r="JBC839" s="802"/>
      <c r="JBD839" s="802"/>
      <c r="JBE839" s="802"/>
      <c r="JBF839" s="802"/>
      <c r="JBG839" s="802"/>
      <c r="JBH839" s="802"/>
      <c r="JBI839" s="802"/>
      <c r="JBJ839" s="802"/>
      <c r="JBK839" s="802"/>
      <c r="JBL839" s="802"/>
      <c r="JBM839" s="802"/>
      <c r="JBN839" s="802"/>
      <c r="JBO839" s="802"/>
      <c r="JBP839" s="802"/>
      <c r="JBQ839" s="802"/>
      <c r="JBR839" s="802"/>
      <c r="JBS839" s="802"/>
      <c r="JBT839" s="802"/>
      <c r="JBU839" s="802"/>
      <c r="JBV839" s="802"/>
      <c r="JBW839" s="802"/>
      <c r="JBX839" s="802"/>
      <c r="JBY839" s="802"/>
      <c r="JBZ839" s="802"/>
      <c r="JCA839" s="802"/>
      <c r="JCB839" s="802"/>
      <c r="JCC839" s="802"/>
      <c r="JCD839" s="802"/>
      <c r="JCE839" s="802"/>
      <c r="JCF839" s="802"/>
      <c r="JCG839" s="802"/>
      <c r="JCH839" s="802"/>
      <c r="JCI839" s="802"/>
      <c r="JCJ839" s="802"/>
      <c r="JCK839" s="802"/>
      <c r="JCL839" s="802"/>
      <c r="JCM839" s="802"/>
      <c r="JCN839" s="802"/>
      <c r="JCO839" s="802"/>
      <c r="JCP839" s="802"/>
      <c r="JCQ839" s="802"/>
      <c r="JCR839" s="802"/>
      <c r="JCS839" s="802"/>
      <c r="JCT839" s="802"/>
      <c r="JCU839" s="802"/>
      <c r="JCV839" s="802"/>
      <c r="JCW839" s="802"/>
      <c r="JCX839" s="802"/>
      <c r="JCY839" s="802"/>
      <c r="JCZ839" s="802"/>
      <c r="JDA839" s="802"/>
      <c r="JDB839" s="802"/>
      <c r="JDC839" s="802"/>
      <c r="JDD839" s="802"/>
      <c r="JDE839" s="802"/>
      <c r="JDF839" s="802"/>
      <c r="JDG839" s="802"/>
      <c r="JDH839" s="802"/>
      <c r="JDI839" s="802"/>
      <c r="JDJ839" s="802"/>
      <c r="JDK839" s="802"/>
      <c r="JDL839" s="802"/>
      <c r="JDM839" s="802"/>
      <c r="JDN839" s="802"/>
      <c r="JDO839" s="802"/>
      <c r="JDP839" s="802"/>
      <c r="JDQ839" s="802"/>
      <c r="JDR839" s="802"/>
      <c r="JDS839" s="802"/>
      <c r="JDT839" s="802"/>
      <c r="JDU839" s="802"/>
      <c r="JDV839" s="802"/>
      <c r="JDW839" s="802"/>
      <c r="JDX839" s="802"/>
      <c r="JDY839" s="802"/>
      <c r="JDZ839" s="802"/>
      <c r="JEA839" s="802"/>
      <c r="JEB839" s="802"/>
      <c r="JEC839" s="802"/>
      <c r="JED839" s="802"/>
      <c r="JEE839" s="802"/>
      <c r="JEF839" s="802"/>
      <c r="JEG839" s="802"/>
      <c r="JEH839" s="802"/>
      <c r="JEI839" s="802"/>
      <c r="JEJ839" s="802"/>
      <c r="JEK839" s="802"/>
      <c r="JEL839" s="802"/>
      <c r="JEM839" s="802"/>
      <c r="JEN839" s="802"/>
      <c r="JEO839" s="802"/>
      <c r="JEP839" s="802"/>
      <c r="JEQ839" s="802"/>
      <c r="JER839" s="802"/>
      <c r="JES839" s="802"/>
      <c r="JET839" s="802"/>
      <c r="JEU839" s="802"/>
      <c r="JEV839" s="802"/>
      <c r="JEW839" s="802"/>
      <c r="JEX839" s="802"/>
      <c r="JEY839" s="802"/>
      <c r="JEZ839" s="802"/>
      <c r="JFA839" s="802"/>
      <c r="JFB839" s="802"/>
      <c r="JFC839" s="802"/>
      <c r="JFD839" s="802"/>
      <c r="JFE839" s="802"/>
      <c r="JFF839" s="802"/>
      <c r="JFG839" s="802"/>
      <c r="JFH839" s="802"/>
      <c r="JFI839" s="802"/>
      <c r="JFJ839" s="802"/>
      <c r="JFK839" s="802"/>
      <c r="JFL839" s="802"/>
      <c r="JFM839" s="802"/>
      <c r="JFN839" s="802"/>
      <c r="JFO839" s="802"/>
      <c r="JFP839" s="802"/>
      <c r="JFQ839" s="802"/>
      <c r="JFR839" s="802"/>
      <c r="JFS839" s="802"/>
      <c r="JFT839" s="802"/>
      <c r="JFU839" s="802"/>
      <c r="JFV839" s="802"/>
      <c r="JFW839" s="802"/>
      <c r="JFX839" s="802"/>
      <c r="JFY839" s="802"/>
      <c r="JFZ839" s="802"/>
      <c r="JGA839" s="802"/>
      <c r="JGB839" s="802"/>
      <c r="JGC839" s="802"/>
      <c r="JGD839" s="802"/>
      <c r="JGE839" s="802"/>
      <c r="JGF839" s="802"/>
      <c r="JGG839" s="802"/>
      <c r="JGH839" s="802"/>
      <c r="JGI839" s="802"/>
      <c r="JGJ839" s="802"/>
      <c r="JGK839" s="802"/>
      <c r="JGL839" s="802"/>
      <c r="JGM839" s="802"/>
      <c r="JGN839" s="802"/>
      <c r="JGO839" s="802"/>
      <c r="JGP839" s="802"/>
      <c r="JGQ839" s="802"/>
      <c r="JGR839" s="802"/>
      <c r="JGS839" s="802"/>
      <c r="JGT839" s="802"/>
      <c r="JGU839" s="802"/>
      <c r="JGV839" s="802"/>
      <c r="JGW839" s="802"/>
      <c r="JGX839" s="802"/>
      <c r="JGY839" s="802"/>
      <c r="JGZ839" s="802"/>
      <c r="JHA839" s="802"/>
      <c r="JHB839" s="802"/>
      <c r="JHC839" s="802"/>
      <c r="JHD839" s="802"/>
      <c r="JHE839" s="802"/>
      <c r="JHF839" s="802"/>
      <c r="JHG839" s="802"/>
      <c r="JHH839" s="802"/>
      <c r="JHI839" s="802"/>
      <c r="JHJ839" s="802"/>
      <c r="JHK839" s="802"/>
      <c r="JHL839" s="802"/>
      <c r="JHM839" s="802"/>
      <c r="JHN839" s="802"/>
      <c r="JHO839" s="802"/>
      <c r="JHP839" s="802"/>
      <c r="JHQ839" s="802"/>
      <c r="JHR839" s="802"/>
      <c r="JHS839" s="802"/>
      <c r="JHT839" s="802"/>
      <c r="JHU839" s="802"/>
      <c r="JHV839" s="802"/>
      <c r="JHW839" s="802"/>
      <c r="JHX839" s="802"/>
      <c r="JHY839" s="802"/>
      <c r="JHZ839" s="802"/>
      <c r="JIA839" s="802"/>
      <c r="JIB839" s="802"/>
      <c r="JIC839" s="802"/>
      <c r="JID839" s="802"/>
      <c r="JIE839" s="802"/>
      <c r="JIF839" s="802"/>
      <c r="JIG839" s="802"/>
      <c r="JIH839" s="802"/>
      <c r="JII839" s="802"/>
      <c r="JIJ839" s="802"/>
      <c r="JIK839" s="802"/>
      <c r="JIL839" s="802"/>
      <c r="JIM839" s="802"/>
      <c r="JIN839" s="802"/>
      <c r="JIO839" s="802"/>
      <c r="JIP839" s="802"/>
      <c r="JIQ839" s="802"/>
      <c r="JIR839" s="802"/>
      <c r="JIS839" s="802"/>
      <c r="JIT839" s="802"/>
      <c r="JIU839" s="802"/>
      <c r="JIV839" s="802"/>
      <c r="JIW839" s="802"/>
      <c r="JIX839" s="802"/>
      <c r="JIY839" s="802"/>
      <c r="JIZ839" s="802"/>
      <c r="JJA839" s="802"/>
      <c r="JJB839" s="802"/>
      <c r="JJC839" s="802"/>
      <c r="JJD839" s="802"/>
      <c r="JJE839" s="802"/>
      <c r="JJF839" s="802"/>
      <c r="JJG839" s="802"/>
      <c r="JJH839" s="802"/>
      <c r="JJI839" s="802"/>
      <c r="JJJ839" s="802"/>
      <c r="JJK839" s="802"/>
      <c r="JJL839" s="802"/>
      <c r="JJM839" s="802"/>
      <c r="JJN839" s="802"/>
      <c r="JJO839" s="802"/>
      <c r="JJP839" s="802"/>
      <c r="JJQ839" s="802"/>
      <c r="JJR839" s="802"/>
      <c r="JJS839" s="802"/>
      <c r="JJT839" s="802"/>
      <c r="JJU839" s="802"/>
      <c r="JJV839" s="802"/>
      <c r="JJW839" s="802"/>
      <c r="JJX839" s="802"/>
      <c r="JJY839" s="802"/>
      <c r="JJZ839" s="802"/>
      <c r="JKA839" s="802"/>
      <c r="JKB839" s="802"/>
      <c r="JKC839" s="802"/>
      <c r="JKD839" s="802"/>
      <c r="JKE839" s="802"/>
      <c r="JKF839" s="802"/>
      <c r="JKG839" s="802"/>
      <c r="JKH839" s="802"/>
      <c r="JKI839" s="802"/>
      <c r="JKJ839" s="802"/>
      <c r="JKK839" s="802"/>
      <c r="JKL839" s="802"/>
      <c r="JKM839" s="802"/>
      <c r="JKN839" s="802"/>
      <c r="JKO839" s="802"/>
      <c r="JKP839" s="802"/>
      <c r="JKQ839" s="802"/>
      <c r="JKR839" s="802"/>
      <c r="JKS839" s="802"/>
      <c r="JKT839" s="802"/>
      <c r="JKU839" s="802"/>
      <c r="JKV839" s="802"/>
      <c r="JKW839" s="802"/>
      <c r="JKX839" s="802"/>
      <c r="JKY839" s="802"/>
      <c r="JKZ839" s="802"/>
      <c r="JLA839" s="802"/>
      <c r="JLB839" s="802"/>
      <c r="JLC839" s="802"/>
      <c r="JLD839" s="802"/>
      <c r="JLE839" s="802"/>
      <c r="JLF839" s="802"/>
      <c r="JLG839" s="802"/>
      <c r="JLH839" s="802"/>
      <c r="JLI839" s="802"/>
      <c r="JLJ839" s="802"/>
      <c r="JLK839" s="802"/>
      <c r="JLL839" s="802"/>
      <c r="JLM839" s="802"/>
      <c r="JLN839" s="802"/>
      <c r="JLO839" s="802"/>
      <c r="JLP839" s="802"/>
      <c r="JLQ839" s="802"/>
      <c r="JLR839" s="802"/>
      <c r="JLS839" s="802"/>
      <c r="JLT839" s="802"/>
      <c r="JLU839" s="802"/>
      <c r="JLV839" s="802"/>
      <c r="JLW839" s="802"/>
      <c r="JLX839" s="802"/>
      <c r="JLY839" s="802"/>
      <c r="JLZ839" s="802"/>
      <c r="JMA839" s="802"/>
      <c r="JMB839" s="802"/>
      <c r="JMC839" s="802"/>
      <c r="JMD839" s="802"/>
      <c r="JME839" s="802"/>
      <c r="JMF839" s="802"/>
      <c r="JMG839" s="802"/>
      <c r="JMH839" s="802"/>
      <c r="JMI839" s="802"/>
      <c r="JMJ839" s="802"/>
      <c r="JMK839" s="802"/>
      <c r="JML839" s="802"/>
      <c r="JMM839" s="802"/>
      <c r="JMN839" s="802"/>
      <c r="JMO839" s="802"/>
      <c r="JMP839" s="802"/>
      <c r="JMQ839" s="802"/>
      <c r="JMR839" s="802"/>
      <c r="JMS839" s="802"/>
      <c r="JMT839" s="802"/>
      <c r="JMU839" s="802"/>
      <c r="JMV839" s="802"/>
      <c r="JMW839" s="802"/>
      <c r="JMX839" s="802"/>
      <c r="JMY839" s="802"/>
      <c r="JMZ839" s="802"/>
      <c r="JNA839" s="802"/>
      <c r="JNB839" s="802"/>
      <c r="JNC839" s="802"/>
      <c r="JND839" s="802"/>
      <c r="JNE839" s="802"/>
      <c r="JNF839" s="802"/>
      <c r="JNG839" s="802"/>
      <c r="JNH839" s="802"/>
      <c r="JNI839" s="802"/>
      <c r="JNJ839" s="802"/>
      <c r="JNK839" s="802"/>
      <c r="JNL839" s="802"/>
      <c r="JNM839" s="802"/>
      <c r="JNN839" s="802"/>
      <c r="JNO839" s="802"/>
      <c r="JNP839" s="802"/>
      <c r="JNQ839" s="802"/>
      <c r="JNR839" s="802"/>
      <c r="JNS839" s="802"/>
      <c r="JNT839" s="802"/>
      <c r="JNU839" s="802"/>
      <c r="JNV839" s="802"/>
      <c r="JNW839" s="802"/>
      <c r="JNX839" s="802"/>
      <c r="JNY839" s="802"/>
      <c r="JNZ839" s="802"/>
      <c r="JOA839" s="802"/>
      <c r="JOB839" s="802"/>
      <c r="JOC839" s="802"/>
      <c r="JOD839" s="802"/>
      <c r="JOE839" s="802"/>
      <c r="JOF839" s="802"/>
      <c r="JOG839" s="802"/>
      <c r="JOH839" s="802"/>
      <c r="JOI839" s="802"/>
      <c r="JOJ839" s="802"/>
      <c r="JOK839" s="802"/>
      <c r="JOL839" s="802"/>
      <c r="JOM839" s="802"/>
      <c r="JON839" s="802"/>
      <c r="JOO839" s="802"/>
      <c r="JOP839" s="802"/>
      <c r="JOQ839" s="802"/>
      <c r="JOR839" s="802"/>
      <c r="JOS839" s="802"/>
      <c r="JOT839" s="802"/>
      <c r="JOU839" s="802"/>
      <c r="JOV839" s="802"/>
      <c r="JOW839" s="802"/>
      <c r="JOX839" s="802"/>
      <c r="JOY839" s="802"/>
      <c r="JOZ839" s="802"/>
      <c r="JPA839" s="802"/>
      <c r="JPB839" s="802"/>
      <c r="JPC839" s="802"/>
      <c r="JPD839" s="802"/>
      <c r="JPE839" s="802"/>
      <c r="JPF839" s="802"/>
      <c r="JPG839" s="802"/>
      <c r="JPH839" s="802"/>
      <c r="JPI839" s="802"/>
      <c r="JPJ839" s="802"/>
      <c r="JPK839" s="802"/>
      <c r="JPL839" s="802"/>
      <c r="JPM839" s="802"/>
      <c r="JPN839" s="802"/>
      <c r="JPO839" s="802"/>
      <c r="JPP839" s="802"/>
      <c r="JPQ839" s="802"/>
      <c r="JPR839" s="802"/>
      <c r="JPS839" s="802"/>
      <c r="JPT839" s="802"/>
      <c r="JPU839" s="802"/>
      <c r="JPV839" s="802"/>
      <c r="JPW839" s="802"/>
      <c r="JPX839" s="802"/>
      <c r="JPY839" s="802"/>
      <c r="JPZ839" s="802"/>
      <c r="JQA839" s="802"/>
      <c r="JQB839" s="802"/>
      <c r="JQC839" s="802"/>
      <c r="JQD839" s="802"/>
      <c r="JQE839" s="802"/>
      <c r="JQF839" s="802"/>
      <c r="JQG839" s="802"/>
      <c r="JQH839" s="802"/>
      <c r="JQI839" s="802"/>
      <c r="JQJ839" s="802"/>
      <c r="JQK839" s="802"/>
      <c r="JQL839" s="802"/>
      <c r="JQM839" s="802"/>
      <c r="JQN839" s="802"/>
      <c r="JQO839" s="802"/>
      <c r="JQP839" s="802"/>
      <c r="JQQ839" s="802"/>
      <c r="JQR839" s="802"/>
      <c r="JQS839" s="802"/>
      <c r="JQT839" s="802"/>
      <c r="JQU839" s="802"/>
      <c r="JQV839" s="802"/>
      <c r="JQW839" s="802"/>
      <c r="JQX839" s="802"/>
      <c r="JQY839" s="802"/>
      <c r="JQZ839" s="802"/>
      <c r="JRA839" s="802"/>
      <c r="JRB839" s="802"/>
      <c r="JRC839" s="802"/>
      <c r="JRD839" s="802"/>
      <c r="JRE839" s="802"/>
      <c r="JRF839" s="802"/>
      <c r="JRG839" s="802"/>
      <c r="JRH839" s="802"/>
      <c r="JRI839" s="802"/>
      <c r="JRJ839" s="802"/>
      <c r="JRK839" s="802"/>
      <c r="JRL839" s="802"/>
      <c r="JRM839" s="802"/>
      <c r="JRN839" s="802"/>
      <c r="JRO839" s="802"/>
      <c r="JRP839" s="802"/>
      <c r="JRQ839" s="802"/>
      <c r="JRR839" s="802"/>
      <c r="JRS839" s="802"/>
      <c r="JRT839" s="802"/>
      <c r="JRU839" s="802"/>
      <c r="JRV839" s="802"/>
      <c r="JRW839" s="802"/>
      <c r="JRX839" s="802"/>
      <c r="JRY839" s="802"/>
      <c r="JRZ839" s="802"/>
      <c r="JSA839" s="802"/>
      <c r="JSB839" s="802"/>
      <c r="JSC839" s="802"/>
      <c r="JSD839" s="802"/>
      <c r="JSE839" s="802"/>
      <c r="JSF839" s="802"/>
      <c r="JSG839" s="802"/>
      <c r="JSH839" s="802"/>
      <c r="JSI839" s="802"/>
      <c r="JSJ839" s="802"/>
      <c r="JSK839" s="802"/>
      <c r="JSL839" s="802"/>
      <c r="JSM839" s="802"/>
      <c r="JSN839" s="802"/>
      <c r="JSO839" s="802"/>
      <c r="JSP839" s="802"/>
      <c r="JSQ839" s="802"/>
      <c r="JSR839" s="802"/>
      <c r="JSS839" s="802"/>
      <c r="JST839" s="802"/>
      <c r="JSU839" s="802"/>
      <c r="JSV839" s="802"/>
      <c r="JSW839" s="802"/>
      <c r="JSX839" s="802"/>
      <c r="JSY839" s="802"/>
      <c r="JSZ839" s="802"/>
      <c r="JTA839" s="802"/>
      <c r="JTB839" s="802"/>
      <c r="JTC839" s="802"/>
      <c r="JTD839" s="802"/>
      <c r="JTE839" s="802"/>
      <c r="JTF839" s="802"/>
      <c r="JTG839" s="802"/>
      <c r="JTH839" s="802"/>
      <c r="JTI839" s="802"/>
      <c r="JTJ839" s="802"/>
      <c r="JTK839" s="802"/>
      <c r="JTL839" s="802"/>
      <c r="JTM839" s="802"/>
      <c r="JTN839" s="802"/>
      <c r="JTO839" s="802"/>
      <c r="JTP839" s="802"/>
      <c r="JTQ839" s="802"/>
      <c r="JTR839" s="802"/>
      <c r="JTS839" s="802"/>
      <c r="JTT839" s="802"/>
      <c r="JTU839" s="802"/>
      <c r="JTV839" s="802"/>
      <c r="JTW839" s="802"/>
      <c r="JTX839" s="802"/>
      <c r="JTY839" s="802"/>
      <c r="JTZ839" s="802"/>
      <c r="JUA839" s="802"/>
      <c r="JUB839" s="802"/>
      <c r="JUC839" s="802"/>
      <c r="JUD839" s="802"/>
      <c r="JUE839" s="802"/>
      <c r="JUF839" s="802"/>
      <c r="JUG839" s="802"/>
      <c r="JUH839" s="802"/>
      <c r="JUI839" s="802"/>
      <c r="JUJ839" s="802"/>
      <c r="JUK839" s="802"/>
      <c r="JUL839" s="802"/>
      <c r="JUM839" s="802"/>
      <c r="JUN839" s="802"/>
      <c r="JUO839" s="802"/>
      <c r="JUP839" s="802"/>
      <c r="JUQ839" s="802"/>
      <c r="JUR839" s="802"/>
      <c r="JUS839" s="802"/>
      <c r="JUT839" s="802"/>
      <c r="JUU839" s="802"/>
      <c r="JUV839" s="802"/>
      <c r="JUW839" s="802"/>
      <c r="JUX839" s="802"/>
      <c r="JUY839" s="802"/>
      <c r="JUZ839" s="802"/>
      <c r="JVA839" s="802"/>
      <c r="JVB839" s="802"/>
      <c r="JVC839" s="802"/>
      <c r="JVD839" s="802"/>
      <c r="JVE839" s="802"/>
      <c r="JVF839" s="802"/>
      <c r="JVG839" s="802"/>
      <c r="JVH839" s="802"/>
      <c r="JVI839" s="802"/>
      <c r="JVJ839" s="802"/>
      <c r="JVK839" s="802"/>
      <c r="JVL839" s="802"/>
      <c r="JVM839" s="802"/>
      <c r="JVN839" s="802"/>
      <c r="JVO839" s="802"/>
      <c r="JVP839" s="802"/>
      <c r="JVQ839" s="802"/>
      <c r="JVR839" s="802"/>
      <c r="JVS839" s="802"/>
      <c r="JVT839" s="802"/>
      <c r="JVU839" s="802"/>
      <c r="JVV839" s="802"/>
      <c r="JVW839" s="802"/>
      <c r="JVX839" s="802"/>
      <c r="JVY839" s="802"/>
      <c r="JVZ839" s="802"/>
      <c r="JWA839" s="802"/>
      <c r="JWB839" s="802"/>
      <c r="JWC839" s="802"/>
      <c r="JWD839" s="802"/>
      <c r="JWE839" s="802"/>
      <c r="JWF839" s="802"/>
      <c r="JWG839" s="802"/>
      <c r="JWH839" s="802"/>
      <c r="JWI839" s="802"/>
      <c r="JWJ839" s="802"/>
      <c r="JWK839" s="802"/>
      <c r="JWL839" s="802"/>
      <c r="JWM839" s="802"/>
      <c r="JWN839" s="802"/>
      <c r="JWO839" s="802"/>
      <c r="JWP839" s="802"/>
      <c r="JWQ839" s="802"/>
      <c r="JWR839" s="802"/>
      <c r="JWS839" s="802"/>
      <c r="JWT839" s="802"/>
      <c r="JWU839" s="802"/>
      <c r="JWV839" s="802"/>
      <c r="JWW839" s="802"/>
      <c r="JWX839" s="802"/>
      <c r="JWY839" s="802"/>
      <c r="JWZ839" s="802"/>
      <c r="JXA839" s="802"/>
      <c r="JXB839" s="802"/>
      <c r="JXC839" s="802"/>
      <c r="JXD839" s="802"/>
      <c r="JXE839" s="802"/>
      <c r="JXF839" s="802"/>
      <c r="JXG839" s="802"/>
      <c r="JXH839" s="802"/>
      <c r="JXI839" s="802"/>
      <c r="JXJ839" s="802"/>
      <c r="JXK839" s="802"/>
      <c r="JXL839" s="802"/>
      <c r="JXM839" s="802"/>
      <c r="JXN839" s="802"/>
      <c r="JXO839" s="802"/>
      <c r="JXP839" s="802"/>
      <c r="JXQ839" s="802"/>
      <c r="JXR839" s="802"/>
      <c r="JXS839" s="802"/>
      <c r="JXT839" s="802"/>
      <c r="JXU839" s="802"/>
      <c r="JXV839" s="802"/>
      <c r="JXW839" s="802"/>
      <c r="JXX839" s="802"/>
      <c r="JXY839" s="802"/>
      <c r="JXZ839" s="802"/>
      <c r="JYA839" s="802"/>
      <c r="JYB839" s="802"/>
      <c r="JYC839" s="802"/>
      <c r="JYD839" s="802"/>
      <c r="JYE839" s="802"/>
      <c r="JYF839" s="802"/>
      <c r="JYG839" s="802"/>
      <c r="JYH839" s="802"/>
      <c r="JYI839" s="802"/>
      <c r="JYJ839" s="802"/>
      <c r="JYK839" s="802"/>
      <c r="JYL839" s="802"/>
      <c r="JYM839" s="802"/>
      <c r="JYN839" s="802"/>
      <c r="JYO839" s="802"/>
      <c r="JYP839" s="802"/>
      <c r="JYQ839" s="802"/>
      <c r="JYR839" s="802"/>
      <c r="JYS839" s="802"/>
      <c r="JYT839" s="802"/>
      <c r="JYU839" s="802"/>
      <c r="JYV839" s="802"/>
      <c r="JYW839" s="802"/>
      <c r="JYX839" s="802"/>
      <c r="JYY839" s="802"/>
      <c r="JYZ839" s="802"/>
      <c r="JZA839" s="802"/>
      <c r="JZB839" s="802"/>
      <c r="JZC839" s="802"/>
      <c r="JZD839" s="802"/>
      <c r="JZE839" s="802"/>
      <c r="JZF839" s="802"/>
      <c r="JZG839" s="802"/>
      <c r="JZH839" s="802"/>
      <c r="JZI839" s="802"/>
      <c r="JZJ839" s="802"/>
      <c r="JZK839" s="802"/>
      <c r="JZL839" s="802"/>
      <c r="JZM839" s="802"/>
      <c r="JZN839" s="802"/>
      <c r="JZO839" s="802"/>
      <c r="JZP839" s="802"/>
      <c r="JZQ839" s="802"/>
      <c r="JZR839" s="802"/>
      <c r="JZS839" s="802"/>
      <c r="JZT839" s="802"/>
      <c r="JZU839" s="802"/>
      <c r="JZV839" s="802"/>
      <c r="JZW839" s="802"/>
      <c r="JZX839" s="802"/>
      <c r="JZY839" s="802"/>
      <c r="JZZ839" s="802"/>
      <c r="KAA839" s="802"/>
      <c r="KAB839" s="802"/>
      <c r="KAC839" s="802"/>
      <c r="KAD839" s="802"/>
      <c r="KAE839" s="802"/>
      <c r="KAF839" s="802"/>
      <c r="KAG839" s="802"/>
      <c r="KAH839" s="802"/>
      <c r="KAI839" s="802"/>
      <c r="KAJ839" s="802"/>
      <c r="KAK839" s="802"/>
      <c r="KAL839" s="802"/>
      <c r="KAM839" s="802"/>
      <c r="KAN839" s="802"/>
      <c r="KAO839" s="802"/>
      <c r="KAP839" s="802"/>
      <c r="KAQ839" s="802"/>
      <c r="KAR839" s="802"/>
      <c r="KAS839" s="802"/>
      <c r="KAT839" s="802"/>
      <c r="KAU839" s="802"/>
      <c r="KAV839" s="802"/>
      <c r="KAW839" s="802"/>
      <c r="KAX839" s="802"/>
      <c r="KAY839" s="802"/>
      <c r="KAZ839" s="802"/>
      <c r="KBA839" s="802"/>
      <c r="KBB839" s="802"/>
      <c r="KBC839" s="802"/>
      <c r="KBD839" s="802"/>
      <c r="KBE839" s="802"/>
      <c r="KBF839" s="802"/>
      <c r="KBG839" s="802"/>
      <c r="KBH839" s="802"/>
      <c r="KBI839" s="802"/>
      <c r="KBJ839" s="802"/>
      <c r="KBK839" s="802"/>
      <c r="KBL839" s="802"/>
      <c r="KBM839" s="802"/>
      <c r="KBN839" s="802"/>
      <c r="KBO839" s="802"/>
      <c r="KBP839" s="802"/>
      <c r="KBQ839" s="802"/>
      <c r="KBR839" s="802"/>
      <c r="KBS839" s="802"/>
      <c r="KBT839" s="802"/>
      <c r="KBU839" s="802"/>
      <c r="KBV839" s="802"/>
      <c r="KBW839" s="802"/>
      <c r="KBX839" s="802"/>
      <c r="KBY839" s="802"/>
      <c r="KBZ839" s="802"/>
      <c r="KCA839" s="802"/>
      <c r="KCB839" s="802"/>
      <c r="KCC839" s="802"/>
      <c r="KCD839" s="802"/>
      <c r="KCE839" s="802"/>
      <c r="KCF839" s="802"/>
      <c r="KCG839" s="802"/>
      <c r="KCH839" s="802"/>
      <c r="KCI839" s="802"/>
      <c r="KCJ839" s="802"/>
      <c r="KCK839" s="802"/>
      <c r="KCL839" s="802"/>
      <c r="KCM839" s="802"/>
      <c r="KCN839" s="802"/>
      <c r="KCO839" s="802"/>
      <c r="KCP839" s="802"/>
      <c r="KCQ839" s="802"/>
      <c r="KCR839" s="802"/>
      <c r="KCS839" s="802"/>
      <c r="KCT839" s="802"/>
      <c r="KCU839" s="802"/>
      <c r="KCV839" s="802"/>
      <c r="KCW839" s="802"/>
      <c r="KCX839" s="802"/>
      <c r="KCY839" s="802"/>
      <c r="KCZ839" s="802"/>
      <c r="KDA839" s="802"/>
      <c r="KDB839" s="802"/>
      <c r="KDC839" s="802"/>
      <c r="KDD839" s="802"/>
      <c r="KDE839" s="802"/>
      <c r="KDF839" s="802"/>
      <c r="KDG839" s="802"/>
      <c r="KDH839" s="802"/>
      <c r="KDI839" s="802"/>
      <c r="KDJ839" s="802"/>
      <c r="KDK839" s="802"/>
      <c r="KDL839" s="802"/>
      <c r="KDM839" s="802"/>
      <c r="KDN839" s="802"/>
      <c r="KDO839" s="802"/>
      <c r="KDP839" s="802"/>
      <c r="KDQ839" s="802"/>
      <c r="KDR839" s="802"/>
      <c r="KDS839" s="802"/>
      <c r="KDT839" s="802"/>
      <c r="KDU839" s="802"/>
      <c r="KDV839" s="802"/>
      <c r="KDW839" s="802"/>
      <c r="KDX839" s="802"/>
      <c r="KDY839" s="802"/>
      <c r="KDZ839" s="802"/>
      <c r="KEA839" s="802"/>
      <c r="KEB839" s="802"/>
      <c r="KEC839" s="802"/>
      <c r="KED839" s="802"/>
      <c r="KEE839" s="802"/>
      <c r="KEF839" s="802"/>
      <c r="KEG839" s="802"/>
      <c r="KEH839" s="802"/>
      <c r="KEI839" s="802"/>
      <c r="KEJ839" s="802"/>
      <c r="KEK839" s="802"/>
      <c r="KEL839" s="802"/>
      <c r="KEM839" s="802"/>
      <c r="KEN839" s="802"/>
      <c r="KEO839" s="802"/>
      <c r="KEP839" s="802"/>
      <c r="KEQ839" s="802"/>
      <c r="KER839" s="802"/>
      <c r="KES839" s="802"/>
      <c r="KET839" s="802"/>
      <c r="KEU839" s="802"/>
      <c r="KEV839" s="802"/>
      <c r="KEW839" s="802"/>
      <c r="KEX839" s="802"/>
      <c r="KEY839" s="802"/>
      <c r="KEZ839" s="802"/>
      <c r="KFA839" s="802"/>
      <c r="KFB839" s="802"/>
      <c r="KFC839" s="802"/>
      <c r="KFD839" s="802"/>
      <c r="KFE839" s="802"/>
      <c r="KFF839" s="802"/>
      <c r="KFG839" s="802"/>
      <c r="KFH839" s="802"/>
      <c r="KFI839" s="802"/>
      <c r="KFJ839" s="802"/>
      <c r="KFK839" s="802"/>
      <c r="KFL839" s="802"/>
      <c r="KFM839" s="802"/>
      <c r="KFN839" s="802"/>
      <c r="KFO839" s="802"/>
      <c r="KFP839" s="802"/>
      <c r="KFQ839" s="802"/>
      <c r="KFR839" s="802"/>
      <c r="KFS839" s="802"/>
      <c r="KFT839" s="802"/>
      <c r="KFU839" s="802"/>
      <c r="KFV839" s="802"/>
      <c r="KFW839" s="802"/>
      <c r="KFX839" s="802"/>
      <c r="KFY839" s="802"/>
      <c r="KFZ839" s="802"/>
      <c r="KGA839" s="802"/>
      <c r="KGB839" s="802"/>
      <c r="KGC839" s="802"/>
      <c r="KGD839" s="802"/>
      <c r="KGE839" s="802"/>
      <c r="KGF839" s="802"/>
      <c r="KGG839" s="802"/>
      <c r="KGH839" s="802"/>
      <c r="KGI839" s="802"/>
      <c r="KGJ839" s="802"/>
      <c r="KGK839" s="802"/>
      <c r="KGL839" s="802"/>
      <c r="KGM839" s="802"/>
      <c r="KGN839" s="802"/>
      <c r="KGO839" s="802"/>
      <c r="KGP839" s="802"/>
      <c r="KGQ839" s="802"/>
      <c r="KGR839" s="802"/>
      <c r="KGS839" s="802"/>
      <c r="KGT839" s="802"/>
      <c r="KGU839" s="802"/>
      <c r="KGV839" s="802"/>
      <c r="KGW839" s="802"/>
      <c r="KGX839" s="802"/>
      <c r="KGY839" s="802"/>
      <c r="KGZ839" s="802"/>
      <c r="KHA839" s="802"/>
      <c r="KHB839" s="802"/>
      <c r="KHC839" s="802"/>
      <c r="KHD839" s="802"/>
      <c r="KHE839" s="802"/>
      <c r="KHF839" s="802"/>
      <c r="KHG839" s="802"/>
      <c r="KHH839" s="802"/>
      <c r="KHI839" s="802"/>
      <c r="KHJ839" s="802"/>
      <c r="KHK839" s="802"/>
      <c r="KHL839" s="802"/>
      <c r="KHM839" s="802"/>
      <c r="KHN839" s="802"/>
      <c r="KHO839" s="802"/>
      <c r="KHP839" s="802"/>
      <c r="KHQ839" s="802"/>
      <c r="KHR839" s="802"/>
      <c r="KHS839" s="802"/>
      <c r="KHT839" s="802"/>
      <c r="KHU839" s="802"/>
      <c r="KHV839" s="802"/>
      <c r="KHW839" s="802"/>
      <c r="KHX839" s="802"/>
      <c r="KHY839" s="802"/>
      <c r="KHZ839" s="802"/>
      <c r="KIA839" s="802"/>
      <c r="KIB839" s="802"/>
      <c r="KIC839" s="802"/>
      <c r="KID839" s="802"/>
      <c r="KIE839" s="802"/>
      <c r="KIF839" s="802"/>
      <c r="KIG839" s="802"/>
      <c r="KIH839" s="802"/>
      <c r="KII839" s="802"/>
      <c r="KIJ839" s="802"/>
      <c r="KIK839" s="802"/>
      <c r="KIL839" s="802"/>
      <c r="KIM839" s="802"/>
      <c r="KIN839" s="802"/>
      <c r="KIO839" s="802"/>
      <c r="KIP839" s="802"/>
      <c r="KIQ839" s="802"/>
      <c r="KIR839" s="802"/>
      <c r="KIS839" s="802"/>
      <c r="KIT839" s="802"/>
      <c r="KIU839" s="802"/>
      <c r="KIV839" s="802"/>
      <c r="KIW839" s="802"/>
      <c r="KIX839" s="802"/>
      <c r="KIY839" s="802"/>
      <c r="KIZ839" s="802"/>
      <c r="KJA839" s="802"/>
      <c r="KJB839" s="802"/>
      <c r="KJC839" s="802"/>
      <c r="KJD839" s="802"/>
      <c r="KJE839" s="802"/>
      <c r="KJF839" s="802"/>
      <c r="KJG839" s="802"/>
      <c r="KJH839" s="802"/>
      <c r="KJI839" s="802"/>
      <c r="KJJ839" s="802"/>
      <c r="KJK839" s="802"/>
      <c r="KJL839" s="802"/>
      <c r="KJM839" s="802"/>
      <c r="KJN839" s="802"/>
      <c r="KJO839" s="802"/>
      <c r="KJP839" s="802"/>
      <c r="KJQ839" s="802"/>
      <c r="KJR839" s="802"/>
      <c r="KJS839" s="802"/>
      <c r="KJT839" s="802"/>
      <c r="KJU839" s="802"/>
      <c r="KJV839" s="802"/>
      <c r="KJW839" s="802"/>
      <c r="KJX839" s="802"/>
      <c r="KJY839" s="802"/>
      <c r="KJZ839" s="802"/>
      <c r="KKA839" s="802"/>
      <c r="KKB839" s="802"/>
      <c r="KKC839" s="802"/>
      <c r="KKD839" s="802"/>
      <c r="KKE839" s="802"/>
      <c r="KKF839" s="802"/>
      <c r="KKG839" s="802"/>
      <c r="KKH839" s="802"/>
      <c r="KKI839" s="802"/>
      <c r="KKJ839" s="802"/>
      <c r="KKK839" s="802"/>
      <c r="KKL839" s="802"/>
      <c r="KKM839" s="802"/>
      <c r="KKN839" s="802"/>
      <c r="KKO839" s="802"/>
      <c r="KKP839" s="802"/>
      <c r="KKQ839" s="802"/>
      <c r="KKR839" s="802"/>
      <c r="KKS839" s="802"/>
      <c r="KKT839" s="802"/>
      <c r="KKU839" s="802"/>
      <c r="KKV839" s="802"/>
      <c r="KKW839" s="802"/>
      <c r="KKX839" s="802"/>
      <c r="KKY839" s="802"/>
      <c r="KKZ839" s="802"/>
      <c r="KLA839" s="802"/>
      <c r="KLB839" s="802"/>
      <c r="KLC839" s="802"/>
      <c r="KLD839" s="802"/>
      <c r="KLE839" s="802"/>
      <c r="KLF839" s="802"/>
      <c r="KLG839" s="802"/>
      <c r="KLH839" s="802"/>
      <c r="KLI839" s="802"/>
      <c r="KLJ839" s="802"/>
      <c r="KLK839" s="802"/>
      <c r="KLL839" s="802"/>
      <c r="KLM839" s="802"/>
      <c r="KLN839" s="802"/>
      <c r="KLO839" s="802"/>
      <c r="KLP839" s="802"/>
      <c r="KLQ839" s="802"/>
      <c r="KLR839" s="802"/>
      <c r="KLS839" s="802"/>
      <c r="KLT839" s="802"/>
      <c r="KLU839" s="802"/>
      <c r="KLV839" s="802"/>
      <c r="KLW839" s="802"/>
      <c r="KLX839" s="802"/>
      <c r="KLY839" s="802"/>
      <c r="KLZ839" s="802"/>
      <c r="KMA839" s="802"/>
      <c r="KMB839" s="802"/>
      <c r="KMC839" s="802"/>
      <c r="KMD839" s="802"/>
      <c r="KME839" s="802"/>
      <c r="KMF839" s="802"/>
      <c r="KMG839" s="802"/>
      <c r="KMH839" s="802"/>
      <c r="KMI839" s="802"/>
      <c r="KMJ839" s="802"/>
      <c r="KMK839" s="802"/>
      <c r="KML839" s="802"/>
      <c r="KMM839" s="802"/>
      <c r="KMN839" s="802"/>
      <c r="KMO839" s="802"/>
      <c r="KMP839" s="802"/>
      <c r="KMQ839" s="802"/>
      <c r="KMR839" s="802"/>
      <c r="KMS839" s="802"/>
      <c r="KMT839" s="802"/>
      <c r="KMU839" s="802"/>
      <c r="KMV839" s="802"/>
      <c r="KMW839" s="802"/>
      <c r="KMX839" s="802"/>
      <c r="KMY839" s="802"/>
      <c r="KMZ839" s="802"/>
      <c r="KNA839" s="802"/>
      <c r="KNB839" s="802"/>
      <c r="KNC839" s="802"/>
      <c r="KND839" s="802"/>
      <c r="KNE839" s="802"/>
      <c r="KNF839" s="802"/>
      <c r="KNG839" s="802"/>
      <c r="KNH839" s="802"/>
      <c r="KNI839" s="802"/>
      <c r="KNJ839" s="802"/>
      <c r="KNK839" s="802"/>
      <c r="KNL839" s="802"/>
      <c r="KNM839" s="802"/>
      <c r="KNN839" s="802"/>
      <c r="KNO839" s="802"/>
      <c r="KNP839" s="802"/>
      <c r="KNQ839" s="802"/>
      <c r="KNR839" s="802"/>
      <c r="KNS839" s="802"/>
      <c r="KNT839" s="802"/>
      <c r="KNU839" s="802"/>
      <c r="KNV839" s="802"/>
      <c r="KNW839" s="802"/>
      <c r="KNX839" s="802"/>
      <c r="KNY839" s="802"/>
      <c r="KNZ839" s="802"/>
      <c r="KOA839" s="802"/>
      <c r="KOB839" s="802"/>
      <c r="KOC839" s="802"/>
      <c r="KOD839" s="802"/>
      <c r="KOE839" s="802"/>
      <c r="KOF839" s="802"/>
      <c r="KOG839" s="802"/>
      <c r="KOH839" s="802"/>
      <c r="KOI839" s="802"/>
      <c r="KOJ839" s="802"/>
      <c r="KOK839" s="802"/>
      <c r="KOL839" s="802"/>
      <c r="KOM839" s="802"/>
      <c r="KON839" s="802"/>
      <c r="KOO839" s="802"/>
      <c r="KOP839" s="802"/>
      <c r="KOQ839" s="802"/>
      <c r="KOR839" s="802"/>
      <c r="KOS839" s="802"/>
      <c r="KOT839" s="802"/>
      <c r="KOU839" s="802"/>
      <c r="KOV839" s="802"/>
      <c r="KOW839" s="802"/>
      <c r="KOX839" s="802"/>
      <c r="KOY839" s="802"/>
      <c r="KOZ839" s="802"/>
      <c r="KPA839" s="802"/>
      <c r="KPB839" s="802"/>
      <c r="KPC839" s="802"/>
      <c r="KPD839" s="802"/>
      <c r="KPE839" s="802"/>
      <c r="KPF839" s="802"/>
      <c r="KPG839" s="802"/>
      <c r="KPH839" s="802"/>
      <c r="KPI839" s="802"/>
      <c r="KPJ839" s="802"/>
      <c r="KPK839" s="802"/>
      <c r="KPL839" s="802"/>
      <c r="KPM839" s="802"/>
      <c r="KPN839" s="802"/>
      <c r="KPO839" s="802"/>
      <c r="KPP839" s="802"/>
      <c r="KPQ839" s="802"/>
      <c r="KPR839" s="802"/>
      <c r="KPS839" s="802"/>
      <c r="KPT839" s="802"/>
      <c r="KPU839" s="802"/>
      <c r="KPV839" s="802"/>
      <c r="KPW839" s="802"/>
      <c r="KPX839" s="802"/>
      <c r="KPY839" s="802"/>
      <c r="KPZ839" s="802"/>
      <c r="KQA839" s="802"/>
      <c r="KQB839" s="802"/>
      <c r="KQC839" s="802"/>
      <c r="KQD839" s="802"/>
      <c r="KQE839" s="802"/>
      <c r="KQF839" s="802"/>
      <c r="KQG839" s="802"/>
      <c r="KQH839" s="802"/>
      <c r="KQI839" s="802"/>
      <c r="KQJ839" s="802"/>
      <c r="KQK839" s="802"/>
      <c r="KQL839" s="802"/>
      <c r="KQM839" s="802"/>
      <c r="KQN839" s="802"/>
      <c r="KQO839" s="802"/>
      <c r="KQP839" s="802"/>
      <c r="KQQ839" s="802"/>
      <c r="KQR839" s="802"/>
      <c r="KQS839" s="802"/>
      <c r="KQT839" s="802"/>
      <c r="KQU839" s="802"/>
      <c r="KQV839" s="802"/>
      <c r="KQW839" s="802"/>
      <c r="KQX839" s="802"/>
      <c r="KQY839" s="802"/>
      <c r="KQZ839" s="802"/>
      <c r="KRA839" s="802"/>
      <c r="KRB839" s="802"/>
      <c r="KRC839" s="802"/>
      <c r="KRD839" s="802"/>
      <c r="KRE839" s="802"/>
      <c r="KRF839" s="802"/>
      <c r="KRG839" s="802"/>
      <c r="KRH839" s="802"/>
      <c r="KRI839" s="802"/>
      <c r="KRJ839" s="802"/>
      <c r="KRK839" s="802"/>
      <c r="KRL839" s="802"/>
      <c r="KRM839" s="802"/>
      <c r="KRN839" s="802"/>
      <c r="KRO839" s="802"/>
      <c r="KRP839" s="802"/>
      <c r="KRQ839" s="802"/>
      <c r="KRR839" s="802"/>
      <c r="KRS839" s="802"/>
      <c r="KRT839" s="802"/>
      <c r="KRU839" s="802"/>
      <c r="KRV839" s="802"/>
      <c r="KRW839" s="802"/>
      <c r="KRX839" s="802"/>
      <c r="KRY839" s="802"/>
      <c r="KRZ839" s="802"/>
      <c r="KSA839" s="802"/>
      <c r="KSB839" s="802"/>
      <c r="KSC839" s="802"/>
      <c r="KSD839" s="802"/>
      <c r="KSE839" s="802"/>
      <c r="KSF839" s="802"/>
      <c r="KSG839" s="802"/>
      <c r="KSH839" s="802"/>
      <c r="KSI839" s="802"/>
      <c r="KSJ839" s="802"/>
      <c r="KSK839" s="802"/>
      <c r="KSL839" s="802"/>
      <c r="KSM839" s="802"/>
      <c r="KSN839" s="802"/>
      <c r="KSO839" s="802"/>
      <c r="KSP839" s="802"/>
      <c r="KSQ839" s="802"/>
      <c r="KSR839" s="802"/>
      <c r="KSS839" s="802"/>
      <c r="KST839" s="802"/>
      <c r="KSU839" s="802"/>
      <c r="KSV839" s="802"/>
      <c r="KSW839" s="802"/>
      <c r="KSX839" s="802"/>
      <c r="KSY839" s="802"/>
      <c r="KSZ839" s="802"/>
      <c r="KTA839" s="802"/>
      <c r="KTB839" s="802"/>
      <c r="KTC839" s="802"/>
      <c r="KTD839" s="802"/>
      <c r="KTE839" s="802"/>
      <c r="KTF839" s="802"/>
      <c r="KTG839" s="802"/>
      <c r="KTH839" s="802"/>
      <c r="KTI839" s="802"/>
      <c r="KTJ839" s="802"/>
      <c r="KTK839" s="802"/>
      <c r="KTL839" s="802"/>
      <c r="KTM839" s="802"/>
      <c r="KTN839" s="802"/>
      <c r="KTO839" s="802"/>
      <c r="KTP839" s="802"/>
      <c r="KTQ839" s="802"/>
      <c r="KTR839" s="802"/>
      <c r="KTS839" s="802"/>
      <c r="KTT839" s="802"/>
      <c r="KTU839" s="802"/>
      <c r="KTV839" s="802"/>
      <c r="KTW839" s="802"/>
      <c r="KTX839" s="802"/>
      <c r="KTY839" s="802"/>
      <c r="KTZ839" s="802"/>
      <c r="KUA839" s="802"/>
      <c r="KUB839" s="802"/>
      <c r="KUC839" s="802"/>
      <c r="KUD839" s="802"/>
      <c r="KUE839" s="802"/>
      <c r="KUF839" s="802"/>
      <c r="KUG839" s="802"/>
      <c r="KUH839" s="802"/>
      <c r="KUI839" s="802"/>
      <c r="KUJ839" s="802"/>
      <c r="KUK839" s="802"/>
      <c r="KUL839" s="802"/>
      <c r="KUM839" s="802"/>
      <c r="KUN839" s="802"/>
      <c r="KUO839" s="802"/>
      <c r="KUP839" s="802"/>
      <c r="KUQ839" s="802"/>
      <c r="KUR839" s="802"/>
      <c r="KUS839" s="802"/>
      <c r="KUT839" s="802"/>
      <c r="KUU839" s="802"/>
      <c r="KUV839" s="802"/>
      <c r="KUW839" s="802"/>
      <c r="KUX839" s="802"/>
      <c r="KUY839" s="802"/>
      <c r="KUZ839" s="802"/>
      <c r="KVA839" s="802"/>
      <c r="KVB839" s="802"/>
      <c r="KVC839" s="802"/>
      <c r="KVD839" s="802"/>
      <c r="KVE839" s="802"/>
      <c r="KVF839" s="802"/>
      <c r="KVG839" s="802"/>
      <c r="KVH839" s="802"/>
      <c r="KVI839" s="802"/>
      <c r="KVJ839" s="802"/>
      <c r="KVK839" s="802"/>
      <c r="KVL839" s="802"/>
      <c r="KVM839" s="802"/>
      <c r="KVN839" s="802"/>
      <c r="KVO839" s="802"/>
      <c r="KVP839" s="802"/>
      <c r="KVQ839" s="802"/>
      <c r="KVR839" s="802"/>
      <c r="KVS839" s="802"/>
      <c r="KVT839" s="802"/>
      <c r="KVU839" s="802"/>
      <c r="KVV839" s="802"/>
      <c r="KVW839" s="802"/>
      <c r="KVX839" s="802"/>
      <c r="KVY839" s="802"/>
      <c r="KVZ839" s="802"/>
      <c r="KWA839" s="802"/>
      <c r="KWB839" s="802"/>
      <c r="KWC839" s="802"/>
      <c r="KWD839" s="802"/>
      <c r="KWE839" s="802"/>
      <c r="KWF839" s="802"/>
      <c r="KWG839" s="802"/>
      <c r="KWH839" s="802"/>
      <c r="KWI839" s="802"/>
      <c r="KWJ839" s="802"/>
      <c r="KWK839" s="802"/>
      <c r="KWL839" s="802"/>
      <c r="KWM839" s="802"/>
      <c r="KWN839" s="802"/>
      <c r="KWO839" s="802"/>
      <c r="KWP839" s="802"/>
      <c r="KWQ839" s="802"/>
      <c r="KWR839" s="802"/>
      <c r="KWS839" s="802"/>
      <c r="KWT839" s="802"/>
      <c r="KWU839" s="802"/>
      <c r="KWV839" s="802"/>
      <c r="KWW839" s="802"/>
      <c r="KWX839" s="802"/>
      <c r="KWY839" s="802"/>
      <c r="KWZ839" s="802"/>
      <c r="KXA839" s="802"/>
      <c r="KXB839" s="802"/>
      <c r="KXC839" s="802"/>
      <c r="KXD839" s="802"/>
      <c r="KXE839" s="802"/>
      <c r="KXF839" s="802"/>
      <c r="KXG839" s="802"/>
      <c r="KXH839" s="802"/>
      <c r="KXI839" s="802"/>
      <c r="KXJ839" s="802"/>
      <c r="KXK839" s="802"/>
      <c r="KXL839" s="802"/>
      <c r="KXM839" s="802"/>
      <c r="KXN839" s="802"/>
      <c r="KXO839" s="802"/>
      <c r="KXP839" s="802"/>
      <c r="KXQ839" s="802"/>
      <c r="KXR839" s="802"/>
      <c r="KXS839" s="802"/>
      <c r="KXT839" s="802"/>
      <c r="KXU839" s="802"/>
      <c r="KXV839" s="802"/>
      <c r="KXW839" s="802"/>
      <c r="KXX839" s="802"/>
      <c r="KXY839" s="802"/>
      <c r="KXZ839" s="802"/>
      <c r="KYA839" s="802"/>
      <c r="KYB839" s="802"/>
      <c r="KYC839" s="802"/>
      <c r="KYD839" s="802"/>
      <c r="KYE839" s="802"/>
      <c r="KYF839" s="802"/>
      <c r="KYG839" s="802"/>
      <c r="KYH839" s="802"/>
      <c r="KYI839" s="802"/>
      <c r="KYJ839" s="802"/>
      <c r="KYK839" s="802"/>
      <c r="KYL839" s="802"/>
      <c r="KYM839" s="802"/>
      <c r="KYN839" s="802"/>
      <c r="KYO839" s="802"/>
      <c r="KYP839" s="802"/>
      <c r="KYQ839" s="802"/>
      <c r="KYR839" s="802"/>
      <c r="KYS839" s="802"/>
      <c r="KYT839" s="802"/>
      <c r="KYU839" s="802"/>
      <c r="KYV839" s="802"/>
      <c r="KYW839" s="802"/>
      <c r="KYX839" s="802"/>
      <c r="KYY839" s="802"/>
      <c r="KYZ839" s="802"/>
      <c r="KZA839" s="802"/>
      <c r="KZB839" s="802"/>
      <c r="KZC839" s="802"/>
      <c r="KZD839" s="802"/>
      <c r="KZE839" s="802"/>
      <c r="KZF839" s="802"/>
      <c r="KZG839" s="802"/>
      <c r="KZH839" s="802"/>
      <c r="KZI839" s="802"/>
      <c r="KZJ839" s="802"/>
      <c r="KZK839" s="802"/>
      <c r="KZL839" s="802"/>
      <c r="KZM839" s="802"/>
      <c r="KZN839" s="802"/>
      <c r="KZO839" s="802"/>
      <c r="KZP839" s="802"/>
      <c r="KZQ839" s="802"/>
      <c r="KZR839" s="802"/>
      <c r="KZS839" s="802"/>
      <c r="KZT839" s="802"/>
      <c r="KZU839" s="802"/>
      <c r="KZV839" s="802"/>
      <c r="KZW839" s="802"/>
      <c r="KZX839" s="802"/>
      <c r="KZY839" s="802"/>
      <c r="KZZ839" s="802"/>
      <c r="LAA839" s="802"/>
      <c r="LAB839" s="802"/>
      <c r="LAC839" s="802"/>
      <c r="LAD839" s="802"/>
      <c r="LAE839" s="802"/>
      <c r="LAF839" s="802"/>
      <c r="LAG839" s="802"/>
      <c r="LAH839" s="802"/>
      <c r="LAI839" s="802"/>
      <c r="LAJ839" s="802"/>
      <c r="LAK839" s="802"/>
      <c r="LAL839" s="802"/>
      <c r="LAM839" s="802"/>
      <c r="LAN839" s="802"/>
      <c r="LAO839" s="802"/>
      <c r="LAP839" s="802"/>
      <c r="LAQ839" s="802"/>
      <c r="LAR839" s="802"/>
      <c r="LAS839" s="802"/>
      <c r="LAT839" s="802"/>
      <c r="LAU839" s="802"/>
      <c r="LAV839" s="802"/>
      <c r="LAW839" s="802"/>
      <c r="LAX839" s="802"/>
      <c r="LAY839" s="802"/>
      <c r="LAZ839" s="802"/>
      <c r="LBA839" s="802"/>
      <c r="LBB839" s="802"/>
      <c r="LBC839" s="802"/>
      <c r="LBD839" s="802"/>
      <c r="LBE839" s="802"/>
      <c r="LBF839" s="802"/>
      <c r="LBG839" s="802"/>
      <c r="LBH839" s="802"/>
      <c r="LBI839" s="802"/>
      <c r="LBJ839" s="802"/>
      <c r="LBK839" s="802"/>
      <c r="LBL839" s="802"/>
      <c r="LBM839" s="802"/>
      <c r="LBN839" s="802"/>
      <c r="LBO839" s="802"/>
      <c r="LBP839" s="802"/>
      <c r="LBQ839" s="802"/>
      <c r="LBR839" s="802"/>
      <c r="LBS839" s="802"/>
      <c r="LBT839" s="802"/>
      <c r="LBU839" s="802"/>
      <c r="LBV839" s="802"/>
      <c r="LBW839" s="802"/>
      <c r="LBX839" s="802"/>
      <c r="LBY839" s="802"/>
      <c r="LBZ839" s="802"/>
      <c r="LCA839" s="802"/>
      <c r="LCB839" s="802"/>
      <c r="LCC839" s="802"/>
      <c r="LCD839" s="802"/>
      <c r="LCE839" s="802"/>
      <c r="LCF839" s="802"/>
      <c r="LCG839" s="802"/>
      <c r="LCH839" s="802"/>
      <c r="LCI839" s="802"/>
      <c r="LCJ839" s="802"/>
      <c r="LCK839" s="802"/>
      <c r="LCL839" s="802"/>
      <c r="LCM839" s="802"/>
      <c r="LCN839" s="802"/>
      <c r="LCO839" s="802"/>
      <c r="LCP839" s="802"/>
      <c r="LCQ839" s="802"/>
      <c r="LCR839" s="802"/>
      <c r="LCS839" s="802"/>
      <c r="LCT839" s="802"/>
      <c r="LCU839" s="802"/>
      <c r="LCV839" s="802"/>
      <c r="LCW839" s="802"/>
      <c r="LCX839" s="802"/>
      <c r="LCY839" s="802"/>
      <c r="LCZ839" s="802"/>
      <c r="LDA839" s="802"/>
      <c r="LDB839" s="802"/>
      <c r="LDC839" s="802"/>
      <c r="LDD839" s="802"/>
      <c r="LDE839" s="802"/>
      <c r="LDF839" s="802"/>
      <c r="LDG839" s="802"/>
      <c r="LDH839" s="802"/>
      <c r="LDI839" s="802"/>
      <c r="LDJ839" s="802"/>
      <c r="LDK839" s="802"/>
      <c r="LDL839" s="802"/>
      <c r="LDM839" s="802"/>
      <c r="LDN839" s="802"/>
      <c r="LDO839" s="802"/>
      <c r="LDP839" s="802"/>
      <c r="LDQ839" s="802"/>
      <c r="LDR839" s="802"/>
      <c r="LDS839" s="802"/>
      <c r="LDT839" s="802"/>
      <c r="LDU839" s="802"/>
      <c r="LDV839" s="802"/>
      <c r="LDW839" s="802"/>
      <c r="LDX839" s="802"/>
      <c r="LDY839" s="802"/>
      <c r="LDZ839" s="802"/>
      <c r="LEA839" s="802"/>
      <c r="LEB839" s="802"/>
      <c r="LEC839" s="802"/>
      <c r="LED839" s="802"/>
      <c r="LEE839" s="802"/>
      <c r="LEF839" s="802"/>
      <c r="LEG839" s="802"/>
      <c r="LEH839" s="802"/>
      <c r="LEI839" s="802"/>
      <c r="LEJ839" s="802"/>
      <c r="LEK839" s="802"/>
      <c r="LEL839" s="802"/>
      <c r="LEM839" s="802"/>
      <c r="LEN839" s="802"/>
      <c r="LEO839" s="802"/>
      <c r="LEP839" s="802"/>
      <c r="LEQ839" s="802"/>
      <c r="LER839" s="802"/>
      <c r="LES839" s="802"/>
      <c r="LET839" s="802"/>
      <c r="LEU839" s="802"/>
      <c r="LEV839" s="802"/>
      <c r="LEW839" s="802"/>
      <c r="LEX839" s="802"/>
      <c r="LEY839" s="802"/>
      <c r="LEZ839" s="802"/>
      <c r="LFA839" s="802"/>
      <c r="LFB839" s="802"/>
      <c r="LFC839" s="802"/>
      <c r="LFD839" s="802"/>
      <c r="LFE839" s="802"/>
      <c r="LFF839" s="802"/>
      <c r="LFG839" s="802"/>
      <c r="LFH839" s="802"/>
      <c r="LFI839" s="802"/>
      <c r="LFJ839" s="802"/>
      <c r="LFK839" s="802"/>
      <c r="LFL839" s="802"/>
      <c r="LFM839" s="802"/>
      <c r="LFN839" s="802"/>
      <c r="LFO839" s="802"/>
      <c r="LFP839" s="802"/>
      <c r="LFQ839" s="802"/>
      <c r="LFR839" s="802"/>
      <c r="LFS839" s="802"/>
      <c r="LFT839" s="802"/>
      <c r="LFU839" s="802"/>
      <c r="LFV839" s="802"/>
      <c r="LFW839" s="802"/>
      <c r="LFX839" s="802"/>
      <c r="LFY839" s="802"/>
      <c r="LFZ839" s="802"/>
      <c r="LGA839" s="802"/>
      <c r="LGB839" s="802"/>
      <c r="LGC839" s="802"/>
      <c r="LGD839" s="802"/>
      <c r="LGE839" s="802"/>
      <c r="LGF839" s="802"/>
      <c r="LGG839" s="802"/>
      <c r="LGH839" s="802"/>
      <c r="LGI839" s="802"/>
      <c r="LGJ839" s="802"/>
      <c r="LGK839" s="802"/>
      <c r="LGL839" s="802"/>
      <c r="LGM839" s="802"/>
      <c r="LGN839" s="802"/>
      <c r="LGO839" s="802"/>
      <c r="LGP839" s="802"/>
      <c r="LGQ839" s="802"/>
      <c r="LGR839" s="802"/>
      <c r="LGS839" s="802"/>
      <c r="LGT839" s="802"/>
      <c r="LGU839" s="802"/>
      <c r="LGV839" s="802"/>
      <c r="LGW839" s="802"/>
      <c r="LGX839" s="802"/>
      <c r="LGY839" s="802"/>
      <c r="LGZ839" s="802"/>
      <c r="LHA839" s="802"/>
      <c r="LHB839" s="802"/>
      <c r="LHC839" s="802"/>
      <c r="LHD839" s="802"/>
      <c r="LHE839" s="802"/>
      <c r="LHF839" s="802"/>
      <c r="LHG839" s="802"/>
      <c r="LHH839" s="802"/>
      <c r="LHI839" s="802"/>
      <c r="LHJ839" s="802"/>
      <c r="LHK839" s="802"/>
      <c r="LHL839" s="802"/>
      <c r="LHM839" s="802"/>
      <c r="LHN839" s="802"/>
      <c r="LHO839" s="802"/>
      <c r="LHP839" s="802"/>
      <c r="LHQ839" s="802"/>
      <c r="LHR839" s="802"/>
      <c r="LHS839" s="802"/>
      <c r="LHT839" s="802"/>
      <c r="LHU839" s="802"/>
      <c r="LHV839" s="802"/>
      <c r="LHW839" s="802"/>
      <c r="LHX839" s="802"/>
      <c r="LHY839" s="802"/>
      <c r="LHZ839" s="802"/>
      <c r="LIA839" s="802"/>
      <c r="LIB839" s="802"/>
      <c r="LIC839" s="802"/>
      <c r="LID839" s="802"/>
      <c r="LIE839" s="802"/>
      <c r="LIF839" s="802"/>
      <c r="LIG839" s="802"/>
      <c r="LIH839" s="802"/>
      <c r="LII839" s="802"/>
      <c r="LIJ839" s="802"/>
      <c r="LIK839" s="802"/>
      <c r="LIL839" s="802"/>
      <c r="LIM839" s="802"/>
      <c r="LIN839" s="802"/>
      <c r="LIO839" s="802"/>
      <c r="LIP839" s="802"/>
      <c r="LIQ839" s="802"/>
      <c r="LIR839" s="802"/>
      <c r="LIS839" s="802"/>
      <c r="LIT839" s="802"/>
      <c r="LIU839" s="802"/>
      <c r="LIV839" s="802"/>
      <c r="LIW839" s="802"/>
      <c r="LIX839" s="802"/>
      <c r="LIY839" s="802"/>
      <c r="LIZ839" s="802"/>
      <c r="LJA839" s="802"/>
      <c r="LJB839" s="802"/>
      <c r="LJC839" s="802"/>
      <c r="LJD839" s="802"/>
      <c r="LJE839" s="802"/>
      <c r="LJF839" s="802"/>
      <c r="LJG839" s="802"/>
      <c r="LJH839" s="802"/>
      <c r="LJI839" s="802"/>
      <c r="LJJ839" s="802"/>
      <c r="LJK839" s="802"/>
      <c r="LJL839" s="802"/>
      <c r="LJM839" s="802"/>
      <c r="LJN839" s="802"/>
      <c r="LJO839" s="802"/>
      <c r="LJP839" s="802"/>
      <c r="LJQ839" s="802"/>
      <c r="LJR839" s="802"/>
      <c r="LJS839" s="802"/>
      <c r="LJT839" s="802"/>
      <c r="LJU839" s="802"/>
      <c r="LJV839" s="802"/>
      <c r="LJW839" s="802"/>
      <c r="LJX839" s="802"/>
      <c r="LJY839" s="802"/>
      <c r="LJZ839" s="802"/>
      <c r="LKA839" s="802"/>
      <c r="LKB839" s="802"/>
      <c r="LKC839" s="802"/>
      <c r="LKD839" s="802"/>
      <c r="LKE839" s="802"/>
      <c r="LKF839" s="802"/>
      <c r="LKG839" s="802"/>
      <c r="LKH839" s="802"/>
      <c r="LKI839" s="802"/>
      <c r="LKJ839" s="802"/>
      <c r="LKK839" s="802"/>
      <c r="LKL839" s="802"/>
      <c r="LKM839" s="802"/>
      <c r="LKN839" s="802"/>
      <c r="LKO839" s="802"/>
      <c r="LKP839" s="802"/>
      <c r="LKQ839" s="802"/>
      <c r="LKR839" s="802"/>
      <c r="LKS839" s="802"/>
      <c r="LKT839" s="802"/>
      <c r="LKU839" s="802"/>
      <c r="LKV839" s="802"/>
      <c r="LKW839" s="802"/>
      <c r="LKX839" s="802"/>
      <c r="LKY839" s="802"/>
      <c r="LKZ839" s="802"/>
      <c r="LLA839" s="802"/>
      <c r="LLB839" s="802"/>
      <c r="LLC839" s="802"/>
      <c r="LLD839" s="802"/>
      <c r="LLE839" s="802"/>
      <c r="LLF839" s="802"/>
      <c r="LLG839" s="802"/>
      <c r="LLH839" s="802"/>
      <c r="LLI839" s="802"/>
      <c r="LLJ839" s="802"/>
      <c r="LLK839" s="802"/>
      <c r="LLL839" s="802"/>
      <c r="LLM839" s="802"/>
      <c r="LLN839" s="802"/>
      <c r="LLO839" s="802"/>
      <c r="LLP839" s="802"/>
      <c r="LLQ839" s="802"/>
      <c r="LLR839" s="802"/>
      <c r="LLS839" s="802"/>
      <c r="LLT839" s="802"/>
      <c r="LLU839" s="802"/>
      <c r="LLV839" s="802"/>
      <c r="LLW839" s="802"/>
      <c r="LLX839" s="802"/>
      <c r="LLY839" s="802"/>
      <c r="LLZ839" s="802"/>
      <c r="LMA839" s="802"/>
      <c r="LMB839" s="802"/>
      <c r="LMC839" s="802"/>
      <c r="LMD839" s="802"/>
      <c r="LME839" s="802"/>
      <c r="LMF839" s="802"/>
      <c r="LMG839" s="802"/>
      <c r="LMH839" s="802"/>
      <c r="LMI839" s="802"/>
      <c r="LMJ839" s="802"/>
      <c r="LMK839" s="802"/>
      <c r="LML839" s="802"/>
      <c r="LMM839" s="802"/>
      <c r="LMN839" s="802"/>
      <c r="LMO839" s="802"/>
      <c r="LMP839" s="802"/>
      <c r="LMQ839" s="802"/>
      <c r="LMR839" s="802"/>
      <c r="LMS839" s="802"/>
      <c r="LMT839" s="802"/>
      <c r="LMU839" s="802"/>
      <c r="LMV839" s="802"/>
      <c r="LMW839" s="802"/>
      <c r="LMX839" s="802"/>
      <c r="LMY839" s="802"/>
      <c r="LMZ839" s="802"/>
      <c r="LNA839" s="802"/>
      <c r="LNB839" s="802"/>
      <c r="LNC839" s="802"/>
      <c r="LND839" s="802"/>
      <c r="LNE839" s="802"/>
      <c r="LNF839" s="802"/>
      <c r="LNG839" s="802"/>
      <c r="LNH839" s="802"/>
      <c r="LNI839" s="802"/>
      <c r="LNJ839" s="802"/>
      <c r="LNK839" s="802"/>
      <c r="LNL839" s="802"/>
      <c r="LNM839" s="802"/>
      <c r="LNN839" s="802"/>
      <c r="LNO839" s="802"/>
      <c r="LNP839" s="802"/>
      <c r="LNQ839" s="802"/>
      <c r="LNR839" s="802"/>
      <c r="LNS839" s="802"/>
      <c r="LNT839" s="802"/>
      <c r="LNU839" s="802"/>
      <c r="LNV839" s="802"/>
      <c r="LNW839" s="802"/>
      <c r="LNX839" s="802"/>
      <c r="LNY839" s="802"/>
      <c r="LNZ839" s="802"/>
      <c r="LOA839" s="802"/>
      <c r="LOB839" s="802"/>
      <c r="LOC839" s="802"/>
      <c r="LOD839" s="802"/>
      <c r="LOE839" s="802"/>
      <c r="LOF839" s="802"/>
      <c r="LOG839" s="802"/>
      <c r="LOH839" s="802"/>
      <c r="LOI839" s="802"/>
      <c r="LOJ839" s="802"/>
      <c r="LOK839" s="802"/>
      <c r="LOL839" s="802"/>
      <c r="LOM839" s="802"/>
      <c r="LON839" s="802"/>
      <c r="LOO839" s="802"/>
      <c r="LOP839" s="802"/>
      <c r="LOQ839" s="802"/>
      <c r="LOR839" s="802"/>
      <c r="LOS839" s="802"/>
      <c r="LOT839" s="802"/>
      <c r="LOU839" s="802"/>
      <c r="LOV839" s="802"/>
      <c r="LOW839" s="802"/>
      <c r="LOX839" s="802"/>
      <c r="LOY839" s="802"/>
      <c r="LOZ839" s="802"/>
      <c r="LPA839" s="802"/>
      <c r="LPB839" s="802"/>
      <c r="LPC839" s="802"/>
      <c r="LPD839" s="802"/>
      <c r="LPE839" s="802"/>
      <c r="LPF839" s="802"/>
      <c r="LPG839" s="802"/>
      <c r="LPH839" s="802"/>
      <c r="LPI839" s="802"/>
      <c r="LPJ839" s="802"/>
      <c r="LPK839" s="802"/>
      <c r="LPL839" s="802"/>
      <c r="LPM839" s="802"/>
      <c r="LPN839" s="802"/>
      <c r="LPO839" s="802"/>
      <c r="LPP839" s="802"/>
      <c r="LPQ839" s="802"/>
      <c r="LPR839" s="802"/>
      <c r="LPS839" s="802"/>
      <c r="LPT839" s="802"/>
      <c r="LPU839" s="802"/>
      <c r="LPV839" s="802"/>
      <c r="LPW839" s="802"/>
      <c r="LPX839" s="802"/>
      <c r="LPY839" s="802"/>
      <c r="LPZ839" s="802"/>
      <c r="LQA839" s="802"/>
      <c r="LQB839" s="802"/>
      <c r="LQC839" s="802"/>
      <c r="LQD839" s="802"/>
      <c r="LQE839" s="802"/>
      <c r="LQF839" s="802"/>
      <c r="LQG839" s="802"/>
      <c r="LQH839" s="802"/>
      <c r="LQI839" s="802"/>
      <c r="LQJ839" s="802"/>
      <c r="LQK839" s="802"/>
      <c r="LQL839" s="802"/>
      <c r="LQM839" s="802"/>
      <c r="LQN839" s="802"/>
      <c r="LQO839" s="802"/>
      <c r="LQP839" s="802"/>
      <c r="LQQ839" s="802"/>
      <c r="LQR839" s="802"/>
      <c r="LQS839" s="802"/>
      <c r="LQT839" s="802"/>
      <c r="LQU839" s="802"/>
      <c r="LQV839" s="802"/>
      <c r="LQW839" s="802"/>
      <c r="LQX839" s="802"/>
      <c r="LQY839" s="802"/>
      <c r="LQZ839" s="802"/>
      <c r="LRA839" s="802"/>
      <c r="LRB839" s="802"/>
      <c r="LRC839" s="802"/>
      <c r="LRD839" s="802"/>
      <c r="LRE839" s="802"/>
      <c r="LRF839" s="802"/>
      <c r="LRG839" s="802"/>
      <c r="LRH839" s="802"/>
      <c r="LRI839" s="802"/>
      <c r="LRJ839" s="802"/>
      <c r="LRK839" s="802"/>
      <c r="LRL839" s="802"/>
      <c r="LRM839" s="802"/>
      <c r="LRN839" s="802"/>
      <c r="LRO839" s="802"/>
      <c r="LRP839" s="802"/>
      <c r="LRQ839" s="802"/>
      <c r="LRR839" s="802"/>
      <c r="LRS839" s="802"/>
      <c r="LRT839" s="802"/>
      <c r="LRU839" s="802"/>
      <c r="LRV839" s="802"/>
      <c r="LRW839" s="802"/>
      <c r="LRX839" s="802"/>
      <c r="LRY839" s="802"/>
      <c r="LRZ839" s="802"/>
      <c r="LSA839" s="802"/>
      <c r="LSB839" s="802"/>
      <c r="LSC839" s="802"/>
      <c r="LSD839" s="802"/>
      <c r="LSE839" s="802"/>
      <c r="LSF839" s="802"/>
      <c r="LSG839" s="802"/>
      <c r="LSH839" s="802"/>
      <c r="LSI839" s="802"/>
      <c r="LSJ839" s="802"/>
      <c r="LSK839" s="802"/>
      <c r="LSL839" s="802"/>
      <c r="LSM839" s="802"/>
      <c r="LSN839" s="802"/>
      <c r="LSO839" s="802"/>
      <c r="LSP839" s="802"/>
      <c r="LSQ839" s="802"/>
      <c r="LSR839" s="802"/>
      <c r="LSS839" s="802"/>
      <c r="LST839" s="802"/>
      <c r="LSU839" s="802"/>
      <c r="LSV839" s="802"/>
      <c r="LSW839" s="802"/>
      <c r="LSX839" s="802"/>
      <c r="LSY839" s="802"/>
      <c r="LSZ839" s="802"/>
      <c r="LTA839" s="802"/>
      <c r="LTB839" s="802"/>
      <c r="LTC839" s="802"/>
      <c r="LTD839" s="802"/>
      <c r="LTE839" s="802"/>
      <c r="LTF839" s="802"/>
      <c r="LTG839" s="802"/>
      <c r="LTH839" s="802"/>
      <c r="LTI839" s="802"/>
      <c r="LTJ839" s="802"/>
      <c r="LTK839" s="802"/>
      <c r="LTL839" s="802"/>
      <c r="LTM839" s="802"/>
      <c r="LTN839" s="802"/>
      <c r="LTO839" s="802"/>
      <c r="LTP839" s="802"/>
      <c r="LTQ839" s="802"/>
      <c r="LTR839" s="802"/>
      <c r="LTS839" s="802"/>
      <c r="LTT839" s="802"/>
      <c r="LTU839" s="802"/>
      <c r="LTV839" s="802"/>
      <c r="LTW839" s="802"/>
      <c r="LTX839" s="802"/>
      <c r="LTY839" s="802"/>
      <c r="LTZ839" s="802"/>
      <c r="LUA839" s="802"/>
      <c r="LUB839" s="802"/>
      <c r="LUC839" s="802"/>
      <c r="LUD839" s="802"/>
      <c r="LUE839" s="802"/>
      <c r="LUF839" s="802"/>
      <c r="LUG839" s="802"/>
      <c r="LUH839" s="802"/>
      <c r="LUI839" s="802"/>
      <c r="LUJ839" s="802"/>
      <c r="LUK839" s="802"/>
      <c r="LUL839" s="802"/>
      <c r="LUM839" s="802"/>
      <c r="LUN839" s="802"/>
      <c r="LUO839" s="802"/>
      <c r="LUP839" s="802"/>
      <c r="LUQ839" s="802"/>
      <c r="LUR839" s="802"/>
      <c r="LUS839" s="802"/>
      <c r="LUT839" s="802"/>
      <c r="LUU839" s="802"/>
      <c r="LUV839" s="802"/>
      <c r="LUW839" s="802"/>
      <c r="LUX839" s="802"/>
      <c r="LUY839" s="802"/>
      <c r="LUZ839" s="802"/>
      <c r="LVA839" s="802"/>
      <c r="LVB839" s="802"/>
      <c r="LVC839" s="802"/>
      <c r="LVD839" s="802"/>
      <c r="LVE839" s="802"/>
      <c r="LVF839" s="802"/>
      <c r="LVG839" s="802"/>
      <c r="LVH839" s="802"/>
      <c r="LVI839" s="802"/>
      <c r="LVJ839" s="802"/>
      <c r="LVK839" s="802"/>
      <c r="LVL839" s="802"/>
      <c r="LVM839" s="802"/>
      <c r="LVN839" s="802"/>
      <c r="LVO839" s="802"/>
      <c r="LVP839" s="802"/>
      <c r="LVQ839" s="802"/>
      <c r="LVR839" s="802"/>
      <c r="LVS839" s="802"/>
      <c r="LVT839" s="802"/>
      <c r="LVU839" s="802"/>
      <c r="LVV839" s="802"/>
      <c r="LVW839" s="802"/>
      <c r="LVX839" s="802"/>
      <c r="LVY839" s="802"/>
      <c r="LVZ839" s="802"/>
      <c r="LWA839" s="802"/>
      <c r="LWB839" s="802"/>
      <c r="LWC839" s="802"/>
      <c r="LWD839" s="802"/>
      <c r="LWE839" s="802"/>
      <c r="LWF839" s="802"/>
      <c r="LWG839" s="802"/>
      <c r="LWH839" s="802"/>
      <c r="LWI839" s="802"/>
      <c r="LWJ839" s="802"/>
      <c r="LWK839" s="802"/>
      <c r="LWL839" s="802"/>
      <c r="LWM839" s="802"/>
      <c r="LWN839" s="802"/>
      <c r="LWO839" s="802"/>
      <c r="LWP839" s="802"/>
      <c r="LWQ839" s="802"/>
      <c r="LWR839" s="802"/>
      <c r="LWS839" s="802"/>
      <c r="LWT839" s="802"/>
      <c r="LWU839" s="802"/>
      <c r="LWV839" s="802"/>
      <c r="LWW839" s="802"/>
      <c r="LWX839" s="802"/>
      <c r="LWY839" s="802"/>
      <c r="LWZ839" s="802"/>
      <c r="LXA839" s="802"/>
      <c r="LXB839" s="802"/>
      <c r="LXC839" s="802"/>
      <c r="LXD839" s="802"/>
      <c r="LXE839" s="802"/>
      <c r="LXF839" s="802"/>
      <c r="LXG839" s="802"/>
      <c r="LXH839" s="802"/>
      <c r="LXI839" s="802"/>
      <c r="LXJ839" s="802"/>
      <c r="LXK839" s="802"/>
      <c r="LXL839" s="802"/>
      <c r="LXM839" s="802"/>
      <c r="LXN839" s="802"/>
      <c r="LXO839" s="802"/>
      <c r="LXP839" s="802"/>
      <c r="LXQ839" s="802"/>
      <c r="LXR839" s="802"/>
      <c r="LXS839" s="802"/>
      <c r="LXT839" s="802"/>
      <c r="LXU839" s="802"/>
      <c r="LXV839" s="802"/>
      <c r="LXW839" s="802"/>
      <c r="LXX839" s="802"/>
      <c r="LXY839" s="802"/>
      <c r="LXZ839" s="802"/>
      <c r="LYA839" s="802"/>
      <c r="LYB839" s="802"/>
      <c r="LYC839" s="802"/>
      <c r="LYD839" s="802"/>
      <c r="LYE839" s="802"/>
      <c r="LYF839" s="802"/>
      <c r="LYG839" s="802"/>
      <c r="LYH839" s="802"/>
      <c r="LYI839" s="802"/>
      <c r="LYJ839" s="802"/>
      <c r="LYK839" s="802"/>
      <c r="LYL839" s="802"/>
      <c r="LYM839" s="802"/>
      <c r="LYN839" s="802"/>
      <c r="LYO839" s="802"/>
      <c r="LYP839" s="802"/>
      <c r="LYQ839" s="802"/>
      <c r="LYR839" s="802"/>
      <c r="LYS839" s="802"/>
      <c r="LYT839" s="802"/>
      <c r="LYU839" s="802"/>
      <c r="LYV839" s="802"/>
      <c r="LYW839" s="802"/>
      <c r="LYX839" s="802"/>
      <c r="LYY839" s="802"/>
      <c r="LYZ839" s="802"/>
      <c r="LZA839" s="802"/>
      <c r="LZB839" s="802"/>
      <c r="LZC839" s="802"/>
      <c r="LZD839" s="802"/>
      <c r="LZE839" s="802"/>
      <c r="LZF839" s="802"/>
      <c r="LZG839" s="802"/>
      <c r="LZH839" s="802"/>
      <c r="LZI839" s="802"/>
      <c r="LZJ839" s="802"/>
      <c r="LZK839" s="802"/>
      <c r="LZL839" s="802"/>
      <c r="LZM839" s="802"/>
      <c r="LZN839" s="802"/>
      <c r="LZO839" s="802"/>
      <c r="LZP839" s="802"/>
      <c r="LZQ839" s="802"/>
      <c r="LZR839" s="802"/>
      <c r="LZS839" s="802"/>
      <c r="LZT839" s="802"/>
      <c r="LZU839" s="802"/>
      <c r="LZV839" s="802"/>
      <c r="LZW839" s="802"/>
      <c r="LZX839" s="802"/>
      <c r="LZY839" s="802"/>
      <c r="LZZ839" s="802"/>
      <c r="MAA839" s="802"/>
      <c r="MAB839" s="802"/>
      <c r="MAC839" s="802"/>
      <c r="MAD839" s="802"/>
      <c r="MAE839" s="802"/>
      <c r="MAF839" s="802"/>
      <c r="MAG839" s="802"/>
      <c r="MAH839" s="802"/>
      <c r="MAI839" s="802"/>
      <c r="MAJ839" s="802"/>
      <c r="MAK839" s="802"/>
      <c r="MAL839" s="802"/>
      <c r="MAM839" s="802"/>
      <c r="MAN839" s="802"/>
      <c r="MAO839" s="802"/>
      <c r="MAP839" s="802"/>
      <c r="MAQ839" s="802"/>
      <c r="MAR839" s="802"/>
      <c r="MAS839" s="802"/>
      <c r="MAT839" s="802"/>
      <c r="MAU839" s="802"/>
      <c r="MAV839" s="802"/>
      <c r="MAW839" s="802"/>
      <c r="MAX839" s="802"/>
      <c r="MAY839" s="802"/>
      <c r="MAZ839" s="802"/>
      <c r="MBA839" s="802"/>
      <c r="MBB839" s="802"/>
      <c r="MBC839" s="802"/>
      <c r="MBD839" s="802"/>
      <c r="MBE839" s="802"/>
      <c r="MBF839" s="802"/>
      <c r="MBG839" s="802"/>
      <c r="MBH839" s="802"/>
      <c r="MBI839" s="802"/>
      <c r="MBJ839" s="802"/>
      <c r="MBK839" s="802"/>
      <c r="MBL839" s="802"/>
      <c r="MBM839" s="802"/>
      <c r="MBN839" s="802"/>
      <c r="MBO839" s="802"/>
      <c r="MBP839" s="802"/>
      <c r="MBQ839" s="802"/>
      <c r="MBR839" s="802"/>
      <c r="MBS839" s="802"/>
      <c r="MBT839" s="802"/>
      <c r="MBU839" s="802"/>
      <c r="MBV839" s="802"/>
      <c r="MBW839" s="802"/>
      <c r="MBX839" s="802"/>
      <c r="MBY839" s="802"/>
      <c r="MBZ839" s="802"/>
      <c r="MCA839" s="802"/>
      <c r="MCB839" s="802"/>
      <c r="MCC839" s="802"/>
      <c r="MCD839" s="802"/>
      <c r="MCE839" s="802"/>
      <c r="MCF839" s="802"/>
      <c r="MCG839" s="802"/>
      <c r="MCH839" s="802"/>
      <c r="MCI839" s="802"/>
      <c r="MCJ839" s="802"/>
      <c r="MCK839" s="802"/>
      <c r="MCL839" s="802"/>
      <c r="MCM839" s="802"/>
      <c r="MCN839" s="802"/>
      <c r="MCO839" s="802"/>
      <c r="MCP839" s="802"/>
      <c r="MCQ839" s="802"/>
      <c r="MCR839" s="802"/>
      <c r="MCS839" s="802"/>
      <c r="MCT839" s="802"/>
      <c r="MCU839" s="802"/>
      <c r="MCV839" s="802"/>
      <c r="MCW839" s="802"/>
      <c r="MCX839" s="802"/>
      <c r="MCY839" s="802"/>
      <c r="MCZ839" s="802"/>
      <c r="MDA839" s="802"/>
      <c r="MDB839" s="802"/>
      <c r="MDC839" s="802"/>
      <c r="MDD839" s="802"/>
      <c r="MDE839" s="802"/>
      <c r="MDF839" s="802"/>
      <c r="MDG839" s="802"/>
      <c r="MDH839" s="802"/>
      <c r="MDI839" s="802"/>
      <c r="MDJ839" s="802"/>
      <c r="MDK839" s="802"/>
      <c r="MDL839" s="802"/>
      <c r="MDM839" s="802"/>
      <c r="MDN839" s="802"/>
      <c r="MDO839" s="802"/>
      <c r="MDP839" s="802"/>
      <c r="MDQ839" s="802"/>
      <c r="MDR839" s="802"/>
      <c r="MDS839" s="802"/>
      <c r="MDT839" s="802"/>
      <c r="MDU839" s="802"/>
      <c r="MDV839" s="802"/>
      <c r="MDW839" s="802"/>
      <c r="MDX839" s="802"/>
      <c r="MDY839" s="802"/>
      <c r="MDZ839" s="802"/>
      <c r="MEA839" s="802"/>
      <c r="MEB839" s="802"/>
      <c r="MEC839" s="802"/>
      <c r="MED839" s="802"/>
      <c r="MEE839" s="802"/>
      <c r="MEF839" s="802"/>
      <c r="MEG839" s="802"/>
      <c r="MEH839" s="802"/>
      <c r="MEI839" s="802"/>
      <c r="MEJ839" s="802"/>
      <c r="MEK839" s="802"/>
      <c r="MEL839" s="802"/>
      <c r="MEM839" s="802"/>
      <c r="MEN839" s="802"/>
      <c r="MEO839" s="802"/>
      <c r="MEP839" s="802"/>
      <c r="MEQ839" s="802"/>
      <c r="MER839" s="802"/>
      <c r="MES839" s="802"/>
      <c r="MET839" s="802"/>
      <c r="MEU839" s="802"/>
      <c r="MEV839" s="802"/>
      <c r="MEW839" s="802"/>
      <c r="MEX839" s="802"/>
      <c r="MEY839" s="802"/>
      <c r="MEZ839" s="802"/>
      <c r="MFA839" s="802"/>
      <c r="MFB839" s="802"/>
      <c r="MFC839" s="802"/>
      <c r="MFD839" s="802"/>
      <c r="MFE839" s="802"/>
      <c r="MFF839" s="802"/>
      <c r="MFG839" s="802"/>
      <c r="MFH839" s="802"/>
      <c r="MFI839" s="802"/>
      <c r="MFJ839" s="802"/>
      <c r="MFK839" s="802"/>
      <c r="MFL839" s="802"/>
      <c r="MFM839" s="802"/>
      <c r="MFN839" s="802"/>
      <c r="MFO839" s="802"/>
      <c r="MFP839" s="802"/>
      <c r="MFQ839" s="802"/>
      <c r="MFR839" s="802"/>
      <c r="MFS839" s="802"/>
      <c r="MFT839" s="802"/>
      <c r="MFU839" s="802"/>
      <c r="MFV839" s="802"/>
      <c r="MFW839" s="802"/>
      <c r="MFX839" s="802"/>
      <c r="MFY839" s="802"/>
      <c r="MFZ839" s="802"/>
      <c r="MGA839" s="802"/>
      <c r="MGB839" s="802"/>
      <c r="MGC839" s="802"/>
      <c r="MGD839" s="802"/>
      <c r="MGE839" s="802"/>
      <c r="MGF839" s="802"/>
      <c r="MGG839" s="802"/>
      <c r="MGH839" s="802"/>
      <c r="MGI839" s="802"/>
      <c r="MGJ839" s="802"/>
      <c r="MGK839" s="802"/>
      <c r="MGL839" s="802"/>
      <c r="MGM839" s="802"/>
      <c r="MGN839" s="802"/>
      <c r="MGO839" s="802"/>
      <c r="MGP839" s="802"/>
      <c r="MGQ839" s="802"/>
      <c r="MGR839" s="802"/>
      <c r="MGS839" s="802"/>
      <c r="MGT839" s="802"/>
      <c r="MGU839" s="802"/>
      <c r="MGV839" s="802"/>
      <c r="MGW839" s="802"/>
      <c r="MGX839" s="802"/>
      <c r="MGY839" s="802"/>
      <c r="MGZ839" s="802"/>
      <c r="MHA839" s="802"/>
      <c r="MHB839" s="802"/>
      <c r="MHC839" s="802"/>
      <c r="MHD839" s="802"/>
      <c r="MHE839" s="802"/>
      <c r="MHF839" s="802"/>
      <c r="MHG839" s="802"/>
      <c r="MHH839" s="802"/>
      <c r="MHI839" s="802"/>
      <c r="MHJ839" s="802"/>
      <c r="MHK839" s="802"/>
      <c r="MHL839" s="802"/>
      <c r="MHM839" s="802"/>
      <c r="MHN839" s="802"/>
      <c r="MHO839" s="802"/>
      <c r="MHP839" s="802"/>
      <c r="MHQ839" s="802"/>
      <c r="MHR839" s="802"/>
      <c r="MHS839" s="802"/>
      <c r="MHT839" s="802"/>
      <c r="MHU839" s="802"/>
      <c r="MHV839" s="802"/>
      <c r="MHW839" s="802"/>
      <c r="MHX839" s="802"/>
      <c r="MHY839" s="802"/>
      <c r="MHZ839" s="802"/>
      <c r="MIA839" s="802"/>
      <c r="MIB839" s="802"/>
      <c r="MIC839" s="802"/>
      <c r="MID839" s="802"/>
      <c r="MIE839" s="802"/>
      <c r="MIF839" s="802"/>
      <c r="MIG839" s="802"/>
      <c r="MIH839" s="802"/>
      <c r="MII839" s="802"/>
      <c r="MIJ839" s="802"/>
      <c r="MIK839" s="802"/>
      <c r="MIL839" s="802"/>
      <c r="MIM839" s="802"/>
      <c r="MIN839" s="802"/>
      <c r="MIO839" s="802"/>
      <c r="MIP839" s="802"/>
      <c r="MIQ839" s="802"/>
      <c r="MIR839" s="802"/>
      <c r="MIS839" s="802"/>
      <c r="MIT839" s="802"/>
      <c r="MIU839" s="802"/>
      <c r="MIV839" s="802"/>
      <c r="MIW839" s="802"/>
      <c r="MIX839" s="802"/>
      <c r="MIY839" s="802"/>
      <c r="MIZ839" s="802"/>
      <c r="MJA839" s="802"/>
      <c r="MJB839" s="802"/>
      <c r="MJC839" s="802"/>
      <c r="MJD839" s="802"/>
      <c r="MJE839" s="802"/>
      <c r="MJF839" s="802"/>
      <c r="MJG839" s="802"/>
      <c r="MJH839" s="802"/>
      <c r="MJI839" s="802"/>
      <c r="MJJ839" s="802"/>
      <c r="MJK839" s="802"/>
      <c r="MJL839" s="802"/>
      <c r="MJM839" s="802"/>
      <c r="MJN839" s="802"/>
      <c r="MJO839" s="802"/>
      <c r="MJP839" s="802"/>
      <c r="MJQ839" s="802"/>
      <c r="MJR839" s="802"/>
      <c r="MJS839" s="802"/>
      <c r="MJT839" s="802"/>
      <c r="MJU839" s="802"/>
      <c r="MJV839" s="802"/>
      <c r="MJW839" s="802"/>
      <c r="MJX839" s="802"/>
      <c r="MJY839" s="802"/>
      <c r="MJZ839" s="802"/>
      <c r="MKA839" s="802"/>
      <c r="MKB839" s="802"/>
      <c r="MKC839" s="802"/>
      <c r="MKD839" s="802"/>
      <c r="MKE839" s="802"/>
      <c r="MKF839" s="802"/>
      <c r="MKG839" s="802"/>
      <c r="MKH839" s="802"/>
      <c r="MKI839" s="802"/>
      <c r="MKJ839" s="802"/>
      <c r="MKK839" s="802"/>
      <c r="MKL839" s="802"/>
      <c r="MKM839" s="802"/>
      <c r="MKN839" s="802"/>
      <c r="MKO839" s="802"/>
      <c r="MKP839" s="802"/>
      <c r="MKQ839" s="802"/>
      <c r="MKR839" s="802"/>
      <c r="MKS839" s="802"/>
      <c r="MKT839" s="802"/>
      <c r="MKU839" s="802"/>
      <c r="MKV839" s="802"/>
      <c r="MKW839" s="802"/>
      <c r="MKX839" s="802"/>
      <c r="MKY839" s="802"/>
      <c r="MKZ839" s="802"/>
      <c r="MLA839" s="802"/>
      <c r="MLB839" s="802"/>
      <c r="MLC839" s="802"/>
      <c r="MLD839" s="802"/>
      <c r="MLE839" s="802"/>
      <c r="MLF839" s="802"/>
      <c r="MLG839" s="802"/>
      <c r="MLH839" s="802"/>
      <c r="MLI839" s="802"/>
      <c r="MLJ839" s="802"/>
      <c r="MLK839" s="802"/>
      <c r="MLL839" s="802"/>
      <c r="MLM839" s="802"/>
      <c r="MLN839" s="802"/>
      <c r="MLO839" s="802"/>
      <c r="MLP839" s="802"/>
      <c r="MLQ839" s="802"/>
      <c r="MLR839" s="802"/>
      <c r="MLS839" s="802"/>
      <c r="MLT839" s="802"/>
      <c r="MLU839" s="802"/>
      <c r="MLV839" s="802"/>
      <c r="MLW839" s="802"/>
      <c r="MLX839" s="802"/>
      <c r="MLY839" s="802"/>
      <c r="MLZ839" s="802"/>
      <c r="MMA839" s="802"/>
      <c r="MMB839" s="802"/>
      <c r="MMC839" s="802"/>
      <c r="MMD839" s="802"/>
      <c r="MME839" s="802"/>
      <c r="MMF839" s="802"/>
      <c r="MMG839" s="802"/>
      <c r="MMH839" s="802"/>
      <c r="MMI839" s="802"/>
      <c r="MMJ839" s="802"/>
      <c r="MMK839" s="802"/>
      <c r="MML839" s="802"/>
      <c r="MMM839" s="802"/>
      <c r="MMN839" s="802"/>
      <c r="MMO839" s="802"/>
      <c r="MMP839" s="802"/>
      <c r="MMQ839" s="802"/>
      <c r="MMR839" s="802"/>
      <c r="MMS839" s="802"/>
      <c r="MMT839" s="802"/>
      <c r="MMU839" s="802"/>
      <c r="MMV839" s="802"/>
      <c r="MMW839" s="802"/>
      <c r="MMX839" s="802"/>
      <c r="MMY839" s="802"/>
      <c r="MMZ839" s="802"/>
      <c r="MNA839" s="802"/>
      <c r="MNB839" s="802"/>
      <c r="MNC839" s="802"/>
      <c r="MND839" s="802"/>
      <c r="MNE839" s="802"/>
      <c r="MNF839" s="802"/>
      <c r="MNG839" s="802"/>
      <c r="MNH839" s="802"/>
      <c r="MNI839" s="802"/>
      <c r="MNJ839" s="802"/>
      <c r="MNK839" s="802"/>
      <c r="MNL839" s="802"/>
      <c r="MNM839" s="802"/>
      <c r="MNN839" s="802"/>
      <c r="MNO839" s="802"/>
      <c r="MNP839" s="802"/>
      <c r="MNQ839" s="802"/>
      <c r="MNR839" s="802"/>
      <c r="MNS839" s="802"/>
      <c r="MNT839" s="802"/>
      <c r="MNU839" s="802"/>
      <c r="MNV839" s="802"/>
      <c r="MNW839" s="802"/>
      <c r="MNX839" s="802"/>
      <c r="MNY839" s="802"/>
      <c r="MNZ839" s="802"/>
      <c r="MOA839" s="802"/>
      <c r="MOB839" s="802"/>
      <c r="MOC839" s="802"/>
      <c r="MOD839" s="802"/>
      <c r="MOE839" s="802"/>
      <c r="MOF839" s="802"/>
      <c r="MOG839" s="802"/>
      <c r="MOH839" s="802"/>
      <c r="MOI839" s="802"/>
      <c r="MOJ839" s="802"/>
      <c r="MOK839" s="802"/>
      <c r="MOL839" s="802"/>
      <c r="MOM839" s="802"/>
      <c r="MON839" s="802"/>
      <c r="MOO839" s="802"/>
      <c r="MOP839" s="802"/>
      <c r="MOQ839" s="802"/>
      <c r="MOR839" s="802"/>
      <c r="MOS839" s="802"/>
      <c r="MOT839" s="802"/>
      <c r="MOU839" s="802"/>
      <c r="MOV839" s="802"/>
      <c r="MOW839" s="802"/>
      <c r="MOX839" s="802"/>
      <c r="MOY839" s="802"/>
      <c r="MOZ839" s="802"/>
      <c r="MPA839" s="802"/>
      <c r="MPB839" s="802"/>
      <c r="MPC839" s="802"/>
      <c r="MPD839" s="802"/>
      <c r="MPE839" s="802"/>
      <c r="MPF839" s="802"/>
      <c r="MPG839" s="802"/>
      <c r="MPH839" s="802"/>
      <c r="MPI839" s="802"/>
      <c r="MPJ839" s="802"/>
      <c r="MPK839" s="802"/>
      <c r="MPL839" s="802"/>
      <c r="MPM839" s="802"/>
      <c r="MPN839" s="802"/>
      <c r="MPO839" s="802"/>
      <c r="MPP839" s="802"/>
      <c r="MPQ839" s="802"/>
      <c r="MPR839" s="802"/>
      <c r="MPS839" s="802"/>
      <c r="MPT839" s="802"/>
      <c r="MPU839" s="802"/>
      <c r="MPV839" s="802"/>
      <c r="MPW839" s="802"/>
      <c r="MPX839" s="802"/>
      <c r="MPY839" s="802"/>
      <c r="MPZ839" s="802"/>
      <c r="MQA839" s="802"/>
      <c r="MQB839" s="802"/>
      <c r="MQC839" s="802"/>
      <c r="MQD839" s="802"/>
      <c r="MQE839" s="802"/>
      <c r="MQF839" s="802"/>
      <c r="MQG839" s="802"/>
      <c r="MQH839" s="802"/>
      <c r="MQI839" s="802"/>
      <c r="MQJ839" s="802"/>
      <c r="MQK839" s="802"/>
      <c r="MQL839" s="802"/>
      <c r="MQM839" s="802"/>
      <c r="MQN839" s="802"/>
      <c r="MQO839" s="802"/>
      <c r="MQP839" s="802"/>
      <c r="MQQ839" s="802"/>
      <c r="MQR839" s="802"/>
      <c r="MQS839" s="802"/>
      <c r="MQT839" s="802"/>
      <c r="MQU839" s="802"/>
      <c r="MQV839" s="802"/>
      <c r="MQW839" s="802"/>
      <c r="MQX839" s="802"/>
      <c r="MQY839" s="802"/>
      <c r="MQZ839" s="802"/>
      <c r="MRA839" s="802"/>
      <c r="MRB839" s="802"/>
      <c r="MRC839" s="802"/>
      <c r="MRD839" s="802"/>
      <c r="MRE839" s="802"/>
      <c r="MRF839" s="802"/>
      <c r="MRG839" s="802"/>
      <c r="MRH839" s="802"/>
      <c r="MRI839" s="802"/>
      <c r="MRJ839" s="802"/>
      <c r="MRK839" s="802"/>
      <c r="MRL839" s="802"/>
      <c r="MRM839" s="802"/>
      <c r="MRN839" s="802"/>
      <c r="MRO839" s="802"/>
      <c r="MRP839" s="802"/>
      <c r="MRQ839" s="802"/>
      <c r="MRR839" s="802"/>
      <c r="MRS839" s="802"/>
      <c r="MRT839" s="802"/>
      <c r="MRU839" s="802"/>
      <c r="MRV839" s="802"/>
      <c r="MRW839" s="802"/>
      <c r="MRX839" s="802"/>
      <c r="MRY839" s="802"/>
      <c r="MRZ839" s="802"/>
      <c r="MSA839" s="802"/>
      <c r="MSB839" s="802"/>
      <c r="MSC839" s="802"/>
      <c r="MSD839" s="802"/>
      <c r="MSE839" s="802"/>
      <c r="MSF839" s="802"/>
      <c r="MSG839" s="802"/>
      <c r="MSH839" s="802"/>
      <c r="MSI839" s="802"/>
      <c r="MSJ839" s="802"/>
      <c r="MSK839" s="802"/>
      <c r="MSL839" s="802"/>
      <c r="MSM839" s="802"/>
      <c r="MSN839" s="802"/>
      <c r="MSO839" s="802"/>
      <c r="MSP839" s="802"/>
      <c r="MSQ839" s="802"/>
      <c r="MSR839" s="802"/>
      <c r="MSS839" s="802"/>
      <c r="MST839" s="802"/>
      <c r="MSU839" s="802"/>
      <c r="MSV839" s="802"/>
      <c r="MSW839" s="802"/>
      <c r="MSX839" s="802"/>
      <c r="MSY839" s="802"/>
      <c r="MSZ839" s="802"/>
      <c r="MTA839" s="802"/>
      <c r="MTB839" s="802"/>
      <c r="MTC839" s="802"/>
      <c r="MTD839" s="802"/>
      <c r="MTE839" s="802"/>
      <c r="MTF839" s="802"/>
      <c r="MTG839" s="802"/>
      <c r="MTH839" s="802"/>
      <c r="MTI839" s="802"/>
      <c r="MTJ839" s="802"/>
      <c r="MTK839" s="802"/>
      <c r="MTL839" s="802"/>
      <c r="MTM839" s="802"/>
      <c r="MTN839" s="802"/>
      <c r="MTO839" s="802"/>
      <c r="MTP839" s="802"/>
      <c r="MTQ839" s="802"/>
      <c r="MTR839" s="802"/>
      <c r="MTS839" s="802"/>
      <c r="MTT839" s="802"/>
      <c r="MTU839" s="802"/>
      <c r="MTV839" s="802"/>
      <c r="MTW839" s="802"/>
      <c r="MTX839" s="802"/>
      <c r="MTY839" s="802"/>
      <c r="MTZ839" s="802"/>
      <c r="MUA839" s="802"/>
      <c r="MUB839" s="802"/>
      <c r="MUC839" s="802"/>
      <c r="MUD839" s="802"/>
      <c r="MUE839" s="802"/>
      <c r="MUF839" s="802"/>
      <c r="MUG839" s="802"/>
      <c r="MUH839" s="802"/>
      <c r="MUI839" s="802"/>
      <c r="MUJ839" s="802"/>
      <c r="MUK839" s="802"/>
      <c r="MUL839" s="802"/>
      <c r="MUM839" s="802"/>
      <c r="MUN839" s="802"/>
      <c r="MUO839" s="802"/>
      <c r="MUP839" s="802"/>
      <c r="MUQ839" s="802"/>
      <c r="MUR839" s="802"/>
      <c r="MUS839" s="802"/>
      <c r="MUT839" s="802"/>
      <c r="MUU839" s="802"/>
      <c r="MUV839" s="802"/>
      <c r="MUW839" s="802"/>
      <c r="MUX839" s="802"/>
      <c r="MUY839" s="802"/>
      <c r="MUZ839" s="802"/>
      <c r="MVA839" s="802"/>
      <c r="MVB839" s="802"/>
      <c r="MVC839" s="802"/>
      <c r="MVD839" s="802"/>
      <c r="MVE839" s="802"/>
      <c r="MVF839" s="802"/>
      <c r="MVG839" s="802"/>
      <c r="MVH839" s="802"/>
      <c r="MVI839" s="802"/>
      <c r="MVJ839" s="802"/>
      <c r="MVK839" s="802"/>
      <c r="MVL839" s="802"/>
      <c r="MVM839" s="802"/>
      <c r="MVN839" s="802"/>
      <c r="MVO839" s="802"/>
      <c r="MVP839" s="802"/>
      <c r="MVQ839" s="802"/>
      <c r="MVR839" s="802"/>
      <c r="MVS839" s="802"/>
      <c r="MVT839" s="802"/>
      <c r="MVU839" s="802"/>
      <c r="MVV839" s="802"/>
      <c r="MVW839" s="802"/>
      <c r="MVX839" s="802"/>
      <c r="MVY839" s="802"/>
      <c r="MVZ839" s="802"/>
      <c r="MWA839" s="802"/>
      <c r="MWB839" s="802"/>
      <c r="MWC839" s="802"/>
      <c r="MWD839" s="802"/>
      <c r="MWE839" s="802"/>
      <c r="MWF839" s="802"/>
      <c r="MWG839" s="802"/>
      <c r="MWH839" s="802"/>
      <c r="MWI839" s="802"/>
      <c r="MWJ839" s="802"/>
      <c r="MWK839" s="802"/>
      <c r="MWL839" s="802"/>
      <c r="MWM839" s="802"/>
      <c r="MWN839" s="802"/>
      <c r="MWO839" s="802"/>
      <c r="MWP839" s="802"/>
      <c r="MWQ839" s="802"/>
      <c r="MWR839" s="802"/>
      <c r="MWS839" s="802"/>
      <c r="MWT839" s="802"/>
      <c r="MWU839" s="802"/>
      <c r="MWV839" s="802"/>
      <c r="MWW839" s="802"/>
      <c r="MWX839" s="802"/>
      <c r="MWY839" s="802"/>
      <c r="MWZ839" s="802"/>
      <c r="MXA839" s="802"/>
      <c r="MXB839" s="802"/>
      <c r="MXC839" s="802"/>
      <c r="MXD839" s="802"/>
      <c r="MXE839" s="802"/>
      <c r="MXF839" s="802"/>
      <c r="MXG839" s="802"/>
      <c r="MXH839" s="802"/>
      <c r="MXI839" s="802"/>
      <c r="MXJ839" s="802"/>
      <c r="MXK839" s="802"/>
      <c r="MXL839" s="802"/>
      <c r="MXM839" s="802"/>
      <c r="MXN839" s="802"/>
      <c r="MXO839" s="802"/>
      <c r="MXP839" s="802"/>
      <c r="MXQ839" s="802"/>
      <c r="MXR839" s="802"/>
      <c r="MXS839" s="802"/>
      <c r="MXT839" s="802"/>
      <c r="MXU839" s="802"/>
      <c r="MXV839" s="802"/>
      <c r="MXW839" s="802"/>
      <c r="MXX839" s="802"/>
      <c r="MXY839" s="802"/>
      <c r="MXZ839" s="802"/>
      <c r="MYA839" s="802"/>
      <c r="MYB839" s="802"/>
      <c r="MYC839" s="802"/>
      <c r="MYD839" s="802"/>
      <c r="MYE839" s="802"/>
      <c r="MYF839" s="802"/>
      <c r="MYG839" s="802"/>
      <c r="MYH839" s="802"/>
      <c r="MYI839" s="802"/>
      <c r="MYJ839" s="802"/>
      <c r="MYK839" s="802"/>
      <c r="MYL839" s="802"/>
      <c r="MYM839" s="802"/>
      <c r="MYN839" s="802"/>
      <c r="MYO839" s="802"/>
      <c r="MYP839" s="802"/>
      <c r="MYQ839" s="802"/>
      <c r="MYR839" s="802"/>
      <c r="MYS839" s="802"/>
      <c r="MYT839" s="802"/>
      <c r="MYU839" s="802"/>
      <c r="MYV839" s="802"/>
      <c r="MYW839" s="802"/>
      <c r="MYX839" s="802"/>
      <c r="MYY839" s="802"/>
      <c r="MYZ839" s="802"/>
      <c r="MZA839" s="802"/>
      <c r="MZB839" s="802"/>
      <c r="MZC839" s="802"/>
      <c r="MZD839" s="802"/>
      <c r="MZE839" s="802"/>
      <c r="MZF839" s="802"/>
      <c r="MZG839" s="802"/>
      <c r="MZH839" s="802"/>
      <c r="MZI839" s="802"/>
      <c r="MZJ839" s="802"/>
      <c r="MZK839" s="802"/>
      <c r="MZL839" s="802"/>
      <c r="MZM839" s="802"/>
      <c r="MZN839" s="802"/>
      <c r="MZO839" s="802"/>
      <c r="MZP839" s="802"/>
      <c r="MZQ839" s="802"/>
      <c r="MZR839" s="802"/>
      <c r="MZS839" s="802"/>
      <c r="MZT839" s="802"/>
      <c r="MZU839" s="802"/>
      <c r="MZV839" s="802"/>
      <c r="MZW839" s="802"/>
      <c r="MZX839" s="802"/>
      <c r="MZY839" s="802"/>
      <c r="MZZ839" s="802"/>
      <c r="NAA839" s="802"/>
      <c r="NAB839" s="802"/>
      <c r="NAC839" s="802"/>
      <c r="NAD839" s="802"/>
      <c r="NAE839" s="802"/>
      <c r="NAF839" s="802"/>
      <c r="NAG839" s="802"/>
      <c r="NAH839" s="802"/>
      <c r="NAI839" s="802"/>
      <c r="NAJ839" s="802"/>
      <c r="NAK839" s="802"/>
      <c r="NAL839" s="802"/>
      <c r="NAM839" s="802"/>
      <c r="NAN839" s="802"/>
      <c r="NAO839" s="802"/>
      <c r="NAP839" s="802"/>
      <c r="NAQ839" s="802"/>
      <c r="NAR839" s="802"/>
      <c r="NAS839" s="802"/>
      <c r="NAT839" s="802"/>
      <c r="NAU839" s="802"/>
      <c r="NAV839" s="802"/>
      <c r="NAW839" s="802"/>
      <c r="NAX839" s="802"/>
      <c r="NAY839" s="802"/>
      <c r="NAZ839" s="802"/>
      <c r="NBA839" s="802"/>
      <c r="NBB839" s="802"/>
      <c r="NBC839" s="802"/>
      <c r="NBD839" s="802"/>
      <c r="NBE839" s="802"/>
      <c r="NBF839" s="802"/>
      <c r="NBG839" s="802"/>
      <c r="NBH839" s="802"/>
      <c r="NBI839" s="802"/>
      <c r="NBJ839" s="802"/>
      <c r="NBK839" s="802"/>
      <c r="NBL839" s="802"/>
      <c r="NBM839" s="802"/>
      <c r="NBN839" s="802"/>
      <c r="NBO839" s="802"/>
      <c r="NBP839" s="802"/>
      <c r="NBQ839" s="802"/>
      <c r="NBR839" s="802"/>
      <c r="NBS839" s="802"/>
      <c r="NBT839" s="802"/>
      <c r="NBU839" s="802"/>
      <c r="NBV839" s="802"/>
      <c r="NBW839" s="802"/>
      <c r="NBX839" s="802"/>
      <c r="NBY839" s="802"/>
      <c r="NBZ839" s="802"/>
      <c r="NCA839" s="802"/>
      <c r="NCB839" s="802"/>
      <c r="NCC839" s="802"/>
      <c r="NCD839" s="802"/>
      <c r="NCE839" s="802"/>
      <c r="NCF839" s="802"/>
      <c r="NCG839" s="802"/>
      <c r="NCH839" s="802"/>
      <c r="NCI839" s="802"/>
      <c r="NCJ839" s="802"/>
      <c r="NCK839" s="802"/>
      <c r="NCL839" s="802"/>
      <c r="NCM839" s="802"/>
      <c r="NCN839" s="802"/>
      <c r="NCO839" s="802"/>
      <c r="NCP839" s="802"/>
      <c r="NCQ839" s="802"/>
      <c r="NCR839" s="802"/>
      <c r="NCS839" s="802"/>
      <c r="NCT839" s="802"/>
      <c r="NCU839" s="802"/>
      <c r="NCV839" s="802"/>
      <c r="NCW839" s="802"/>
      <c r="NCX839" s="802"/>
      <c r="NCY839" s="802"/>
      <c r="NCZ839" s="802"/>
      <c r="NDA839" s="802"/>
      <c r="NDB839" s="802"/>
      <c r="NDC839" s="802"/>
      <c r="NDD839" s="802"/>
      <c r="NDE839" s="802"/>
      <c r="NDF839" s="802"/>
      <c r="NDG839" s="802"/>
      <c r="NDH839" s="802"/>
      <c r="NDI839" s="802"/>
      <c r="NDJ839" s="802"/>
      <c r="NDK839" s="802"/>
      <c r="NDL839" s="802"/>
      <c r="NDM839" s="802"/>
      <c r="NDN839" s="802"/>
      <c r="NDO839" s="802"/>
      <c r="NDP839" s="802"/>
      <c r="NDQ839" s="802"/>
      <c r="NDR839" s="802"/>
      <c r="NDS839" s="802"/>
      <c r="NDT839" s="802"/>
      <c r="NDU839" s="802"/>
      <c r="NDV839" s="802"/>
      <c r="NDW839" s="802"/>
      <c r="NDX839" s="802"/>
      <c r="NDY839" s="802"/>
      <c r="NDZ839" s="802"/>
      <c r="NEA839" s="802"/>
      <c r="NEB839" s="802"/>
      <c r="NEC839" s="802"/>
      <c r="NED839" s="802"/>
      <c r="NEE839" s="802"/>
      <c r="NEF839" s="802"/>
      <c r="NEG839" s="802"/>
      <c r="NEH839" s="802"/>
      <c r="NEI839" s="802"/>
      <c r="NEJ839" s="802"/>
      <c r="NEK839" s="802"/>
      <c r="NEL839" s="802"/>
      <c r="NEM839" s="802"/>
      <c r="NEN839" s="802"/>
      <c r="NEO839" s="802"/>
      <c r="NEP839" s="802"/>
      <c r="NEQ839" s="802"/>
      <c r="NER839" s="802"/>
      <c r="NES839" s="802"/>
      <c r="NET839" s="802"/>
      <c r="NEU839" s="802"/>
      <c r="NEV839" s="802"/>
      <c r="NEW839" s="802"/>
      <c r="NEX839" s="802"/>
      <c r="NEY839" s="802"/>
      <c r="NEZ839" s="802"/>
      <c r="NFA839" s="802"/>
      <c r="NFB839" s="802"/>
      <c r="NFC839" s="802"/>
      <c r="NFD839" s="802"/>
      <c r="NFE839" s="802"/>
      <c r="NFF839" s="802"/>
      <c r="NFG839" s="802"/>
      <c r="NFH839" s="802"/>
      <c r="NFI839" s="802"/>
      <c r="NFJ839" s="802"/>
      <c r="NFK839" s="802"/>
      <c r="NFL839" s="802"/>
      <c r="NFM839" s="802"/>
      <c r="NFN839" s="802"/>
      <c r="NFO839" s="802"/>
      <c r="NFP839" s="802"/>
      <c r="NFQ839" s="802"/>
      <c r="NFR839" s="802"/>
      <c r="NFS839" s="802"/>
      <c r="NFT839" s="802"/>
      <c r="NFU839" s="802"/>
      <c r="NFV839" s="802"/>
      <c r="NFW839" s="802"/>
      <c r="NFX839" s="802"/>
      <c r="NFY839" s="802"/>
      <c r="NFZ839" s="802"/>
      <c r="NGA839" s="802"/>
      <c r="NGB839" s="802"/>
      <c r="NGC839" s="802"/>
      <c r="NGD839" s="802"/>
      <c r="NGE839" s="802"/>
      <c r="NGF839" s="802"/>
      <c r="NGG839" s="802"/>
      <c r="NGH839" s="802"/>
      <c r="NGI839" s="802"/>
      <c r="NGJ839" s="802"/>
      <c r="NGK839" s="802"/>
      <c r="NGL839" s="802"/>
      <c r="NGM839" s="802"/>
      <c r="NGN839" s="802"/>
      <c r="NGO839" s="802"/>
      <c r="NGP839" s="802"/>
      <c r="NGQ839" s="802"/>
      <c r="NGR839" s="802"/>
      <c r="NGS839" s="802"/>
      <c r="NGT839" s="802"/>
      <c r="NGU839" s="802"/>
      <c r="NGV839" s="802"/>
      <c r="NGW839" s="802"/>
      <c r="NGX839" s="802"/>
      <c r="NGY839" s="802"/>
      <c r="NGZ839" s="802"/>
      <c r="NHA839" s="802"/>
      <c r="NHB839" s="802"/>
      <c r="NHC839" s="802"/>
      <c r="NHD839" s="802"/>
      <c r="NHE839" s="802"/>
      <c r="NHF839" s="802"/>
      <c r="NHG839" s="802"/>
      <c r="NHH839" s="802"/>
      <c r="NHI839" s="802"/>
      <c r="NHJ839" s="802"/>
      <c r="NHK839" s="802"/>
      <c r="NHL839" s="802"/>
      <c r="NHM839" s="802"/>
      <c r="NHN839" s="802"/>
      <c r="NHO839" s="802"/>
      <c r="NHP839" s="802"/>
      <c r="NHQ839" s="802"/>
      <c r="NHR839" s="802"/>
      <c r="NHS839" s="802"/>
      <c r="NHT839" s="802"/>
      <c r="NHU839" s="802"/>
      <c r="NHV839" s="802"/>
      <c r="NHW839" s="802"/>
      <c r="NHX839" s="802"/>
      <c r="NHY839" s="802"/>
      <c r="NHZ839" s="802"/>
      <c r="NIA839" s="802"/>
      <c r="NIB839" s="802"/>
      <c r="NIC839" s="802"/>
      <c r="NID839" s="802"/>
      <c r="NIE839" s="802"/>
      <c r="NIF839" s="802"/>
      <c r="NIG839" s="802"/>
      <c r="NIH839" s="802"/>
      <c r="NII839" s="802"/>
      <c r="NIJ839" s="802"/>
      <c r="NIK839" s="802"/>
      <c r="NIL839" s="802"/>
      <c r="NIM839" s="802"/>
      <c r="NIN839" s="802"/>
      <c r="NIO839" s="802"/>
      <c r="NIP839" s="802"/>
      <c r="NIQ839" s="802"/>
      <c r="NIR839" s="802"/>
      <c r="NIS839" s="802"/>
      <c r="NIT839" s="802"/>
      <c r="NIU839" s="802"/>
      <c r="NIV839" s="802"/>
      <c r="NIW839" s="802"/>
      <c r="NIX839" s="802"/>
      <c r="NIY839" s="802"/>
      <c r="NIZ839" s="802"/>
      <c r="NJA839" s="802"/>
      <c r="NJB839" s="802"/>
      <c r="NJC839" s="802"/>
      <c r="NJD839" s="802"/>
      <c r="NJE839" s="802"/>
      <c r="NJF839" s="802"/>
      <c r="NJG839" s="802"/>
      <c r="NJH839" s="802"/>
      <c r="NJI839" s="802"/>
      <c r="NJJ839" s="802"/>
      <c r="NJK839" s="802"/>
      <c r="NJL839" s="802"/>
      <c r="NJM839" s="802"/>
      <c r="NJN839" s="802"/>
      <c r="NJO839" s="802"/>
      <c r="NJP839" s="802"/>
      <c r="NJQ839" s="802"/>
      <c r="NJR839" s="802"/>
      <c r="NJS839" s="802"/>
      <c r="NJT839" s="802"/>
      <c r="NJU839" s="802"/>
      <c r="NJV839" s="802"/>
      <c r="NJW839" s="802"/>
      <c r="NJX839" s="802"/>
      <c r="NJY839" s="802"/>
      <c r="NJZ839" s="802"/>
      <c r="NKA839" s="802"/>
      <c r="NKB839" s="802"/>
      <c r="NKC839" s="802"/>
      <c r="NKD839" s="802"/>
      <c r="NKE839" s="802"/>
      <c r="NKF839" s="802"/>
      <c r="NKG839" s="802"/>
      <c r="NKH839" s="802"/>
      <c r="NKI839" s="802"/>
      <c r="NKJ839" s="802"/>
      <c r="NKK839" s="802"/>
      <c r="NKL839" s="802"/>
      <c r="NKM839" s="802"/>
      <c r="NKN839" s="802"/>
      <c r="NKO839" s="802"/>
      <c r="NKP839" s="802"/>
      <c r="NKQ839" s="802"/>
      <c r="NKR839" s="802"/>
      <c r="NKS839" s="802"/>
      <c r="NKT839" s="802"/>
      <c r="NKU839" s="802"/>
      <c r="NKV839" s="802"/>
      <c r="NKW839" s="802"/>
      <c r="NKX839" s="802"/>
      <c r="NKY839" s="802"/>
      <c r="NKZ839" s="802"/>
      <c r="NLA839" s="802"/>
      <c r="NLB839" s="802"/>
      <c r="NLC839" s="802"/>
      <c r="NLD839" s="802"/>
      <c r="NLE839" s="802"/>
      <c r="NLF839" s="802"/>
      <c r="NLG839" s="802"/>
      <c r="NLH839" s="802"/>
      <c r="NLI839" s="802"/>
      <c r="NLJ839" s="802"/>
      <c r="NLK839" s="802"/>
      <c r="NLL839" s="802"/>
      <c r="NLM839" s="802"/>
      <c r="NLN839" s="802"/>
      <c r="NLO839" s="802"/>
      <c r="NLP839" s="802"/>
      <c r="NLQ839" s="802"/>
      <c r="NLR839" s="802"/>
      <c r="NLS839" s="802"/>
      <c r="NLT839" s="802"/>
      <c r="NLU839" s="802"/>
      <c r="NLV839" s="802"/>
      <c r="NLW839" s="802"/>
      <c r="NLX839" s="802"/>
      <c r="NLY839" s="802"/>
      <c r="NLZ839" s="802"/>
      <c r="NMA839" s="802"/>
      <c r="NMB839" s="802"/>
      <c r="NMC839" s="802"/>
      <c r="NMD839" s="802"/>
      <c r="NME839" s="802"/>
      <c r="NMF839" s="802"/>
      <c r="NMG839" s="802"/>
      <c r="NMH839" s="802"/>
      <c r="NMI839" s="802"/>
      <c r="NMJ839" s="802"/>
      <c r="NMK839" s="802"/>
      <c r="NML839" s="802"/>
      <c r="NMM839" s="802"/>
      <c r="NMN839" s="802"/>
      <c r="NMO839" s="802"/>
      <c r="NMP839" s="802"/>
      <c r="NMQ839" s="802"/>
      <c r="NMR839" s="802"/>
      <c r="NMS839" s="802"/>
      <c r="NMT839" s="802"/>
      <c r="NMU839" s="802"/>
      <c r="NMV839" s="802"/>
      <c r="NMW839" s="802"/>
      <c r="NMX839" s="802"/>
      <c r="NMY839" s="802"/>
      <c r="NMZ839" s="802"/>
      <c r="NNA839" s="802"/>
      <c r="NNB839" s="802"/>
      <c r="NNC839" s="802"/>
      <c r="NND839" s="802"/>
      <c r="NNE839" s="802"/>
      <c r="NNF839" s="802"/>
      <c r="NNG839" s="802"/>
      <c r="NNH839" s="802"/>
      <c r="NNI839" s="802"/>
      <c r="NNJ839" s="802"/>
      <c r="NNK839" s="802"/>
      <c r="NNL839" s="802"/>
      <c r="NNM839" s="802"/>
      <c r="NNN839" s="802"/>
      <c r="NNO839" s="802"/>
      <c r="NNP839" s="802"/>
      <c r="NNQ839" s="802"/>
      <c r="NNR839" s="802"/>
      <c r="NNS839" s="802"/>
      <c r="NNT839" s="802"/>
      <c r="NNU839" s="802"/>
      <c r="NNV839" s="802"/>
      <c r="NNW839" s="802"/>
      <c r="NNX839" s="802"/>
      <c r="NNY839" s="802"/>
      <c r="NNZ839" s="802"/>
      <c r="NOA839" s="802"/>
      <c r="NOB839" s="802"/>
      <c r="NOC839" s="802"/>
      <c r="NOD839" s="802"/>
      <c r="NOE839" s="802"/>
      <c r="NOF839" s="802"/>
      <c r="NOG839" s="802"/>
      <c r="NOH839" s="802"/>
      <c r="NOI839" s="802"/>
      <c r="NOJ839" s="802"/>
      <c r="NOK839" s="802"/>
      <c r="NOL839" s="802"/>
      <c r="NOM839" s="802"/>
      <c r="NON839" s="802"/>
      <c r="NOO839" s="802"/>
      <c r="NOP839" s="802"/>
      <c r="NOQ839" s="802"/>
      <c r="NOR839" s="802"/>
      <c r="NOS839" s="802"/>
      <c r="NOT839" s="802"/>
      <c r="NOU839" s="802"/>
      <c r="NOV839" s="802"/>
      <c r="NOW839" s="802"/>
      <c r="NOX839" s="802"/>
      <c r="NOY839" s="802"/>
      <c r="NOZ839" s="802"/>
      <c r="NPA839" s="802"/>
      <c r="NPB839" s="802"/>
      <c r="NPC839" s="802"/>
      <c r="NPD839" s="802"/>
      <c r="NPE839" s="802"/>
      <c r="NPF839" s="802"/>
      <c r="NPG839" s="802"/>
      <c r="NPH839" s="802"/>
      <c r="NPI839" s="802"/>
      <c r="NPJ839" s="802"/>
      <c r="NPK839" s="802"/>
      <c r="NPL839" s="802"/>
      <c r="NPM839" s="802"/>
      <c r="NPN839" s="802"/>
      <c r="NPO839" s="802"/>
      <c r="NPP839" s="802"/>
      <c r="NPQ839" s="802"/>
      <c r="NPR839" s="802"/>
      <c r="NPS839" s="802"/>
      <c r="NPT839" s="802"/>
      <c r="NPU839" s="802"/>
      <c r="NPV839" s="802"/>
      <c r="NPW839" s="802"/>
      <c r="NPX839" s="802"/>
      <c r="NPY839" s="802"/>
      <c r="NPZ839" s="802"/>
      <c r="NQA839" s="802"/>
      <c r="NQB839" s="802"/>
      <c r="NQC839" s="802"/>
      <c r="NQD839" s="802"/>
      <c r="NQE839" s="802"/>
      <c r="NQF839" s="802"/>
      <c r="NQG839" s="802"/>
      <c r="NQH839" s="802"/>
      <c r="NQI839" s="802"/>
      <c r="NQJ839" s="802"/>
      <c r="NQK839" s="802"/>
      <c r="NQL839" s="802"/>
      <c r="NQM839" s="802"/>
      <c r="NQN839" s="802"/>
      <c r="NQO839" s="802"/>
      <c r="NQP839" s="802"/>
      <c r="NQQ839" s="802"/>
      <c r="NQR839" s="802"/>
      <c r="NQS839" s="802"/>
      <c r="NQT839" s="802"/>
      <c r="NQU839" s="802"/>
      <c r="NQV839" s="802"/>
      <c r="NQW839" s="802"/>
      <c r="NQX839" s="802"/>
      <c r="NQY839" s="802"/>
      <c r="NQZ839" s="802"/>
      <c r="NRA839" s="802"/>
      <c r="NRB839" s="802"/>
      <c r="NRC839" s="802"/>
      <c r="NRD839" s="802"/>
      <c r="NRE839" s="802"/>
      <c r="NRF839" s="802"/>
      <c r="NRG839" s="802"/>
      <c r="NRH839" s="802"/>
      <c r="NRI839" s="802"/>
      <c r="NRJ839" s="802"/>
      <c r="NRK839" s="802"/>
      <c r="NRL839" s="802"/>
      <c r="NRM839" s="802"/>
      <c r="NRN839" s="802"/>
      <c r="NRO839" s="802"/>
      <c r="NRP839" s="802"/>
      <c r="NRQ839" s="802"/>
      <c r="NRR839" s="802"/>
      <c r="NRS839" s="802"/>
      <c r="NRT839" s="802"/>
      <c r="NRU839" s="802"/>
      <c r="NRV839" s="802"/>
      <c r="NRW839" s="802"/>
      <c r="NRX839" s="802"/>
      <c r="NRY839" s="802"/>
      <c r="NRZ839" s="802"/>
      <c r="NSA839" s="802"/>
      <c r="NSB839" s="802"/>
      <c r="NSC839" s="802"/>
      <c r="NSD839" s="802"/>
      <c r="NSE839" s="802"/>
      <c r="NSF839" s="802"/>
      <c r="NSG839" s="802"/>
      <c r="NSH839" s="802"/>
      <c r="NSI839" s="802"/>
      <c r="NSJ839" s="802"/>
      <c r="NSK839" s="802"/>
      <c r="NSL839" s="802"/>
      <c r="NSM839" s="802"/>
      <c r="NSN839" s="802"/>
      <c r="NSO839" s="802"/>
      <c r="NSP839" s="802"/>
      <c r="NSQ839" s="802"/>
      <c r="NSR839" s="802"/>
      <c r="NSS839" s="802"/>
      <c r="NST839" s="802"/>
      <c r="NSU839" s="802"/>
      <c r="NSV839" s="802"/>
      <c r="NSW839" s="802"/>
      <c r="NSX839" s="802"/>
      <c r="NSY839" s="802"/>
      <c r="NSZ839" s="802"/>
      <c r="NTA839" s="802"/>
      <c r="NTB839" s="802"/>
      <c r="NTC839" s="802"/>
      <c r="NTD839" s="802"/>
      <c r="NTE839" s="802"/>
      <c r="NTF839" s="802"/>
      <c r="NTG839" s="802"/>
      <c r="NTH839" s="802"/>
      <c r="NTI839" s="802"/>
      <c r="NTJ839" s="802"/>
      <c r="NTK839" s="802"/>
      <c r="NTL839" s="802"/>
      <c r="NTM839" s="802"/>
      <c r="NTN839" s="802"/>
      <c r="NTO839" s="802"/>
      <c r="NTP839" s="802"/>
      <c r="NTQ839" s="802"/>
      <c r="NTR839" s="802"/>
      <c r="NTS839" s="802"/>
      <c r="NTT839" s="802"/>
      <c r="NTU839" s="802"/>
      <c r="NTV839" s="802"/>
      <c r="NTW839" s="802"/>
      <c r="NTX839" s="802"/>
      <c r="NTY839" s="802"/>
      <c r="NTZ839" s="802"/>
      <c r="NUA839" s="802"/>
      <c r="NUB839" s="802"/>
      <c r="NUC839" s="802"/>
      <c r="NUD839" s="802"/>
      <c r="NUE839" s="802"/>
      <c r="NUF839" s="802"/>
      <c r="NUG839" s="802"/>
      <c r="NUH839" s="802"/>
      <c r="NUI839" s="802"/>
      <c r="NUJ839" s="802"/>
      <c r="NUK839" s="802"/>
      <c r="NUL839" s="802"/>
      <c r="NUM839" s="802"/>
      <c r="NUN839" s="802"/>
      <c r="NUO839" s="802"/>
      <c r="NUP839" s="802"/>
      <c r="NUQ839" s="802"/>
      <c r="NUR839" s="802"/>
      <c r="NUS839" s="802"/>
      <c r="NUT839" s="802"/>
      <c r="NUU839" s="802"/>
      <c r="NUV839" s="802"/>
      <c r="NUW839" s="802"/>
      <c r="NUX839" s="802"/>
      <c r="NUY839" s="802"/>
      <c r="NUZ839" s="802"/>
      <c r="NVA839" s="802"/>
      <c r="NVB839" s="802"/>
      <c r="NVC839" s="802"/>
      <c r="NVD839" s="802"/>
      <c r="NVE839" s="802"/>
      <c r="NVF839" s="802"/>
      <c r="NVG839" s="802"/>
      <c r="NVH839" s="802"/>
      <c r="NVI839" s="802"/>
      <c r="NVJ839" s="802"/>
      <c r="NVK839" s="802"/>
      <c r="NVL839" s="802"/>
      <c r="NVM839" s="802"/>
      <c r="NVN839" s="802"/>
      <c r="NVO839" s="802"/>
      <c r="NVP839" s="802"/>
      <c r="NVQ839" s="802"/>
      <c r="NVR839" s="802"/>
      <c r="NVS839" s="802"/>
      <c r="NVT839" s="802"/>
      <c r="NVU839" s="802"/>
      <c r="NVV839" s="802"/>
      <c r="NVW839" s="802"/>
      <c r="NVX839" s="802"/>
      <c r="NVY839" s="802"/>
      <c r="NVZ839" s="802"/>
      <c r="NWA839" s="802"/>
      <c r="NWB839" s="802"/>
      <c r="NWC839" s="802"/>
      <c r="NWD839" s="802"/>
      <c r="NWE839" s="802"/>
      <c r="NWF839" s="802"/>
      <c r="NWG839" s="802"/>
      <c r="NWH839" s="802"/>
      <c r="NWI839" s="802"/>
      <c r="NWJ839" s="802"/>
      <c r="NWK839" s="802"/>
      <c r="NWL839" s="802"/>
      <c r="NWM839" s="802"/>
      <c r="NWN839" s="802"/>
      <c r="NWO839" s="802"/>
      <c r="NWP839" s="802"/>
      <c r="NWQ839" s="802"/>
      <c r="NWR839" s="802"/>
      <c r="NWS839" s="802"/>
      <c r="NWT839" s="802"/>
      <c r="NWU839" s="802"/>
      <c r="NWV839" s="802"/>
      <c r="NWW839" s="802"/>
      <c r="NWX839" s="802"/>
      <c r="NWY839" s="802"/>
      <c r="NWZ839" s="802"/>
      <c r="NXA839" s="802"/>
      <c r="NXB839" s="802"/>
      <c r="NXC839" s="802"/>
      <c r="NXD839" s="802"/>
      <c r="NXE839" s="802"/>
      <c r="NXF839" s="802"/>
      <c r="NXG839" s="802"/>
      <c r="NXH839" s="802"/>
      <c r="NXI839" s="802"/>
      <c r="NXJ839" s="802"/>
      <c r="NXK839" s="802"/>
      <c r="NXL839" s="802"/>
      <c r="NXM839" s="802"/>
      <c r="NXN839" s="802"/>
      <c r="NXO839" s="802"/>
      <c r="NXP839" s="802"/>
      <c r="NXQ839" s="802"/>
      <c r="NXR839" s="802"/>
      <c r="NXS839" s="802"/>
      <c r="NXT839" s="802"/>
      <c r="NXU839" s="802"/>
      <c r="NXV839" s="802"/>
      <c r="NXW839" s="802"/>
      <c r="NXX839" s="802"/>
      <c r="NXY839" s="802"/>
      <c r="NXZ839" s="802"/>
      <c r="NYA839" s="802"/>
      <c r="NYB839" s="802"/>
      <c r="NYC839" s="802"/>
      <c r="NYD839" s="802"/>
      <c r="NYE839" s="802"/>
      <c r="NYF839" s="802"/>
      <c r="NYG839" s="802"/>
      <c r="NYH839" s="802"/>
      <c r="NYI839" s="802"/>
      <c r="NYJ839" s="802"/>
      <c r="NYK839" s="802"/>
      <c r="NYL839" s="802"/>
      <c r="NYM839" s="802"/>
      <c r="NYN839" s="802"/>
      <c r="NYO839" s="802"/>
      <c r="NYP839" s="802"/>
      <c r="NYQ839" s="802"/>
      <c r="NYR839" s="802"/>
      <c r="NYS839" s="802"/>
      <c r="NYT839" s="802"/>
      <c r="NYU839" s="802"/>
      <c r="NYV839" s="802"/>
      <c r="NYW839" s="802"/>
      <c r="NYX839" s="802"/>
      <c r="NYY839" s="802"/>
      <c r="NYZ839" s="802"/>
      <c r="NZA839" s="802"/>
      <c r="NZB839" s="802"/>
      <c r="NZC839" s="802"/>
      <c r="NZD839" s="802"/>
      <c r="NZE839" s="802"/>
      <c r="NZF839" s="802"/>
      <c r="NZG839" s="802"/>
      <c r="NZH839" s="802"/>
      <c r="NZI839" s="802"/>
      <c r="NZJ839" s="802"/>
      <c r="NZK839" s="802"/>
      <c r="NZL839" s="802"/>
      <c r="NZM839" s="802"/>
      <c r="NZN839" s="802"/>
      <c r="NZO839" s="802"/>
      <c r="NZP839" s="802"/>
      <c r="NZQ839" s="802"/>
      <c r="NZR839" s="802"/>
      <c r="NZS839" s="802"/>
      <c r="NZT839" s="802"/>
      <c r="NZU839" s="802"/>
      <c r="NZV839" s="802"/>
      <c r="NZW839" s="802"/>
      <c r="NZX839" s="802"/>
      <c r="NZY839" s="802"/>
      <c r="NZZ839" s="802"/>
      <c r="OAA839" s="802"/>
      <c r="OAB839" s="802"/>
      <c r="OAC839" s="802"/>
      <c r="OAD839" s="802"/>
      <c r="OAE839" s="802"/>
      <c r="OAF839" s="802"/>
      <c r="OAG839" s="802"/>
      <c r="OAH839" s="802"/>
      <c r="OAI839" s="802"/>
      <c r="OAJ839" s="802"/>
      <c r="OAK839" s="802"/>
      <c r="OAL839" s="802"/>
      <c r="OAM839" s="802"/>
      <c r="OAN839" s="802"/>
      <c r="OAO839" s="802"/>
      <c r="OAP839" s="802"/>
      <c r="OAQ839" s="802"/>
      <c r="OAR839" s="802"/>
      <c r="OAS839" s="802"/>
      <c r="OAT839" s="802"/>
      <c r="OAU839" s="802"/>
      <c r="OAV839" s="802"/>
      <c r="OAW839" s="802"/>
      <c r="OAX839" s="802"/>
      <c r="OAY839" s="802"/>
      <c r="OAZ839" s="802"/>
      <c r="OBA839" s="802"/>
      <c r="OBB839" s="802"/>
      <c r="OBC839" s="802"/>
      <c r="OBD839" s="802"/>
      <c r="OBE839" s="802"/>
      <c r="OBF839" s="802"/>
      <c r="OBG839" s="802"/>
      <c r="OBH839" s="802"/>
      <c r="OBI839" s="802"/>
      <c r="OBJ839" s="802"/>
      <c r="OBK839" s="802"/>
      <c r="OBL839" s="802"/>
      <c r="OBM839" s="802"/>
      <c r="OBN839" s="802"/>
      <c r="OBO839" s="802"/>
      <c r="OBP839" s="802"/>
      <c r="OBQ839" s="802"/>
      <c r="OBR839" s="802"/>
      <c r="OBS839" s="802"/>
      <c r="OBT839" s="802"/>
      <c r="OBU839" s="802"/>
      <c r="OBV839" s="802"/>
      <c r="OBW839" s="802"/>
      <c r="OBX839" s="802"/>
      <c r="OBY839" s="802"/>
      <c r="OBZ839" s="802"/>
      <c r="OCA839" s="802"/>
      <c r="OCB839" s="802"/>
      <c r="OCC839" s="802"/>
      <c r="OCD839" s="802"/>
      <c r="OCE839" s="802"/>
      <c r="OCF839" s="802"/>
      <c r="OCG839" s="802"/>
      <c r="OCH839" s="802"/>
      <c r="OCI839" s="802"/>
      <c r="OCJ839" s="802"/>
      <c r="OCK839" s="802"/>
      <c r="OCL839" s="802"/>
      <c r="OCM839" s="802"/>
      <c r="OCN839" s="802"/>
      <c r="OCO839" s="802"/>
      <c r="OCP839" s="802"/>
      <c r="OCQ839" s="802"/>
      <c r="OCR839" s="802"/>
      <c r="OCS839" s="802"/>
      <c r="OCT839" s="802"/>
      <c r="OCU839" s="802"/>
      <c r="OCV839" s="802"/>
      <c r="OCW839" s="802"/>
      <c r="OCX839" s="802"/>
      <c r="OCY839" s="802"/>
      <c r="OCZ839" s="802"/>
      <c r="ODA839" s="802"/>
      <c r="ODB839" s="802"/>
      <c r="ODC839" s="802"/>
      <c r="ODD839" s="802"/>
      <c r="ODE839" s="802"/>
      <c r="ODF839" s="802"/>
      <c r="ODG839" s="802"/>
      <c r="ODH839" s="802"/>
      <c r="ODI839" s="802"/>
      <c r="ODJ839" s="802"/>
      <c r="ODK839" s="802"/>
      <c r="ODL839" s="802"/>
      <c r="ODM839" s="802"/>
      <c r="ODN839" s="802"/>
      <c r="ODO839" s="802"/>
      <c r="ODP839" s="802"/>
      <c r="ODQ839" s="802"/>
      <c r="ODR839" s="802"/>
      <c r="ODS839" s="802"/>
      <c r="ODT839" s="802"/>
      <c r="ODU839" s="802"/>
      <c r="ODV839" s="802"/>
      <c r="ODW839" s="802"/>
      <c r="ODX839" s="802"/>
      <c r="ODY839" s="802"/>
      <c r="ODZ839" s="802"/>
      <c r="OEA839" s="802"/>
      <c r="OEB839" s="802"/>
      <c r="OEC839" s="802"/>
      <c r="OED839" s="802"/>
      <c r="OEE839" s="802"/>
      <c r="OEF839" s="802"/>
      <c r="OEG839" s="802"/>
      <c r="OEH839" s="802"/>
      <c r="OEI839" s="802"/>
      <c r="OEJ839" s="802"/>
      <c r="OEK839" s="802"/>
      <c r="OEL839" s="802"/>
      <c r="OEM839" s="802"/>
      <c r="OEN839" s="802"/>
      <c r="OEO839" s="802"/>
      <c r="OEP839" s="802"/>
      <c r="OEQ839" s="802"/>
      <c r="OER839" s="802"/>
      <c r="OES839" s="802"/>
      <c r="OET839" s="802"/>
      <c r="OEU839" s="802"/>
      <c r="OEV839" s="802"/>
      <c r="OEW839" s="802"/>
      <c r="OEX839" s="802"/>
      <c r="OEY839" s="802"/>
      <c r="OEZ839" s="802"/>
      <c r="OFA839" s="802"/>
      <c r="OFB839" s="802"/>
      <c r="OFC839" s="802"/>
      <c r="OFD839" s="802"/>
      <c r="OFE839" s="802"/>
      <c r="OFF839" s="802"/>
      <c r="OFG839" s="802"/>
      <c r="OFH839" s="802"/>
      <c r="OFI839" s="802"/>
      <c r="OFJ839" s="802"/>
      <c r="OFK839" s="802"/>
      <c r="OFL839" s="802"/>
      <c r="OFM839" s="802"/>
      <c r="OFN839" s="802"/>
      <c r="OFO839" s="802"/>
      <c r="OFP839" s="802"/>
      <c r="OFQ839" s="802"/>
      <c r="OFR839" s="802"/>
      <c r="OFS839" s="802"/>
      <c r="OFT839" s="802"/>
      <c r="OFU839" s="802"/>
      <c r="OFV839" s="802"/>
      <c r="OFW839" s="802"/>
      <c r="OFX839" s="802"/>
      <c r="OFY839" s="802"/>
      <c r="OFZ839" s="802"/>
      <c r="OGA839" s="802"/>
      <c r="OGB839" s="802"/>
      <c r="OGC839" s="802"/>
      <c r="OGD839" s="802"/>
      <c r="OGE839" s="802"/>
      <c r="OGF839" s="802"/>
      <c r="OGG839" s="802"/>
      <c r="OGH839" s="802"/>
      <c r="OGI839" s="802"/>
      <c r="OGJ839" s="802"/>
      <c r="OGK839" s="802"/>
      <c r="OGL839" s="802"/>
      <c r="OGM839" s="802"/>
      <c r="OGN839" s="802"/>
      <c r="OGO839" s="802"/>
      <c r="OGP839" s="802"/>
      <c r="OGQ839" s="802"/>
      <c r="OGR839" s="802"/>
      <c r="OGS839" s="802"/>
      <c r="OGT839" s="802"/>
      <c r="OGU839" s="802"/>
      <c r="OGV839" s="802"/>
      <c r="OGW839" s="802"/>
      <c r="OGX839" s="802"/>
      <c r="OGY839" s="802"/>
      <c r="OGZ839" s="802"/>
      <c r="OHA839" s="802"/>
      <c r="OHB839" s="802"/>
      <c r="OHC839" s="802"/>
      <c r="OHD839" s="802"/>
      <c r="OHE839" s="802"/>
      <c r="OHF839" s="802"/>
      <c r="OHG839" s="802"/>
      <c r="OHH839" s="802"/>
      <c r="OHI839" s="802"/>
      <c r="OHJ839" s="802"/>
      <c r="OHK839" s="802"/>
      <c r="OHL839" s="802"/>
      <c r="OHM839" s="802"/>
      <c r="OHN839" s="802"/>
      <c r="OHO839" s="802"/>
      <c r="OHP839" s="802"/>
      <c r="OHQ839" s="802"/>
      <c r="OHR839" s="802"/>
      <c r="OHS839" s="802"/>
      <c r="OHT839" s="802"/>
      <c r="OHU839" s="802"/>
      <c r="OHV839" s="802"/>
      <c r="OHW839" s="802"/>
      <c r="OHX839" s="802"/>
      <c r="OHY839" s="802"/>
      <c r="OHZ839" s="802"/>
      <c r="OIA839" s="802"/>
      <c r="OIB839" s="802"/>
      <c r="OIC839" s="802"/>
      <c r="OID839" s="802"/>
      <c r="OIE839" s="802"/>
      <c r="OIF839" s="802"/>
      <c r="OIG839" s="802"/>
      <c r="OIH839" s="802"/>
      <c r="OII839" s="802"/>
      <c r="OIJ839" s="802"/>
      <c r="OIK839" s="802"/>
      <c r="OIL839" s="802"/>
      <c r="OIM839" s="802"/>
      <c r="OIN839" s="802"/>
      <c r="OIO839" s="802"/>
      <c r="OIP839" s="802"/>
      <c r="OIQ839" s="802"/>
      <c r="OIR839" s="802"/>
      <c r="OIS839" s="802"/>
      <c r="OIT839" s="802"/>
      <c r="OIU839" s="802"/>
      <c r="OIV839" s="802"/>
      <c r="OIW839" s="802"/>
      <c r="OIX839" s="802"/>
      <c r="OIY839" s="802"/>
      <c r="OIZ839" s="802"/>
      <c r="OJA839" s="802"/>
      <c r="OJB839" s="802"/>
      <c r="OJC839" s="802"/>
      <c r="OJD839" s="802"/>
      <c r="OJE839" s="802"/>
      <c r="OJF839" s="802"/>
      <c r="OJG839" s="802"/>
      <c r="OJH839" s="802"/>
      <c r="OJI839" s="802"/>
      <c r="OJJ839" s="802"/>
      <c r="OJK839" s="802"/>
      <c r="OJL839" s="802"/>
      <c r="OJM839" s="802"/>
      <c r="OJN839" s="802"/>
      <c r="OJO839" s="802"/>
      <c r="OJP839" s="802"/>
      <c r="OJQ839" s="802"/>
      <c r="OJR839" s="802"/>
      <c r="OJS839" s="802"/>
      <c r="OJT839" s="802"/>
      <c r="OJU839" s="802"/>
      <c r="OJV839" s="802"/>
      <c r="OJW839" s="802"/>
      <c r="OJX839" s="802"/>
      <c r="OJY839" s="802"/>
      <c r="OJZ839" s="802"/>
      <c r="OKA839" s="802"/>
      <c r="OKB839" s="802"/>
      <c r="OKC839" s="802"/>
      <c r="OKD839" s="802"/>
      <c r="OKE839" s="802"/>
      <c r="OKF839" s="802"/>
      <c r="OKG839" s="802"/>
      <c r="OKH839" s="802"/>
      <c r="OKI839" s="802"/>
      <c r="OKJ839" s="802"/>
      <c r="OKK839" s="802"/>
      <c r="OKL839" s="802"/>
      <c r="OKM839" s="802"/>
      <c r="OKN839" s="802"/>
      <c r="OKO839" s="802"/>
      <c r="OKP839" s="802"/>
      <c r="OKQ839" s="802"/>
      <c r="OKR839" s="802"/>
      <c r="OKS839" s="802"/>
      <c r="OKT839" s="802"/>
      <c r="OKU839" s="802"/>
      <c r="OKV839" s="802"/>
      <c r="OKW839" s="802"/>
      <c r="OKX839" s="802"/>
      <c r="OKY839" s="802"/>
      <c r="OKZ839" s="802"/>
      <c r="OLA839" s="802"/>
      <c r="OLB839" s="802"/>
      <c r="OLC839" s="802"/>
      <c r="OLD839" s="802"/>
      <c r="OLE839" s="802"/>
      <c r="OLF839" s="802"/>
      <c r="OLG839" s="802"/>
      <c r="OLH839" s="802"/>
      <c r="OLI839" s="802"/>
      <c r="OLJ839" s="802"/>
      <c r="OLK839" s="802"/>
      <c r="OLL839" s="802"/>
      <c r="OLM839" s="802"/>
      <c r="OLN839" s="802"/>
      <c r="OLO839" s="802"/>
      <c r="OLP839" s="802"/>
      <c r="OLQ839" s="802"/>
      <c r="OLR839" s="802"/>
      <c r="OLS839" s="802"/>
      <c r="OLT839" s="802"/>
      <c r="OLU839" s="802"/>
      <c r="OLV839" s="802"/>
      <c r="OLW839" s="802"/>
      <c r="OLX839" s="802"/>
      <c r="OLY839" s="802"/>
      <c r="OLZ839" s="802"/>
      <c r="OMA839" s="802"/>
      <c r="OMB839" s="802"/>
      <c r="OMC839" s="802"/>
      <c r="OMD839" s="802"/>
      <c r="OME839" s="802"/>
      <c r="OMF839" s="802"/>
      <c r="OMG839" s="802"/>
      <c r="OMH839" s="802"/>
      <c r="OMI839" s="802"/>
      <c r="OMJ839" s="802"/>
      <c r="OMK839" s="802"/>
      <c r="OML839" s="802"/>
      <c r="OMM839" s="802"/>
      <c r="OMN839" s="802"/>
      <c r="OMO839" s="802"/>
      <c r="OMP839" s="802"/>
      <c r="OMQ839" s="802"/>
      <c r="OMR839" s="802"/>
      <c r="OMS839" s="802"/>
      <c r="OMT839" s="802"/>
      <c r="OMU839" s="802"/>
      <c r="OMV839" s="802"/>
      <c r="OMW839" s="802"/>
      <c r="OMX839" s="802"/>
      <c r="OMY839" s="802"/>
      <c r="OMZ839" s="802"/>
      <c r="ONA839" s="802"/>
      <c r="ONB839" s="802"/>
      <c r="ONC839" s="802"/>
      <c r="OND839" s="802"/>
      <c r="ONE839" s="802"/>
      <c r="ONF839" s="802"/>
      <c r="ONG839" s="802"/>
      <c r="ONH839" s="802"/>
      <c r="ONI839" s="802"/>
      <c r="ONJ839" s="802"/>
      <c r="ONK839" s="802"/>
      <c r="ONL839" s="802"/>
      <c r="ONM839" s="802"/>
      <c r="ONN839" s="802"/>
      <c r="ONO839" s="802"/>
      <c r="ONP839" s="802"/>
      <c r="ONQ839" s="802"/>
      <c r="ONR839" s="802"/>
      <c r="ONS839" s="802"/>
      <c r="ONT839" s="802"/>
      <c r="ONU839" s="802"/>
      <c r="ONV839" s="802"/>
      <c r="ONW839" s="802"/>
      <c r="ONX839" s="802"/>
      <c r="ONY839" s="802"/>
      <c r="ONZ839" s="802"/>
      <c r="OOA839" s="802"/>
      <c r="OOB839" s="802"/>
      <c r="OOC839" s="802"/>
      <c r="OOD839" s="802"/>
      <c r="OOE839" s="802"/>
      <c r="OOF839" s="802"/>
      <c r="OOG839" s="802"/>
      <c r="OOH839" s="802"/>
      <c r="OOI839" s="802"/>
      <c r="OOJ839" s="802"/>
      <c r="OOK839" s="802"/>
      <c r="OOL839" s="802"/>
      <c r="OOM839" s="802"/>
      <c r="OON839" s="802"/>
      <c r="OOO839" s="802"/>
      <c r="OOP839" s="802"/>
      <c r="OOQ839" s="802"/>
      <c r="OOR839" s="802"/>
      <c r="OOS839" s="802"/>
      <c r="OOT839" s="802"/>
      <c r="OOU839" s="802"/>
      <c r="OOV839" s="802"/>
      <c r="OOW839" s="802"/>
      <c r="OOX839" s="802"/>
      <c r="OOY839" s="802"/>
      <c r="OOZ839" s="802"/>
      <c r="OPA839" s="802"/>
      <c r="OPB839" s="802"/>
      <c r="OPC839" s="802"/>
      <c r="OPD839" s="802"/>
      <c r="OPE839" s="802"/>
      <c r="OPF839" s="802"/>
      <c r="OPG839" s="802"/>
      <c r="OPH839" s="802"/>
      <c r="OPI839" s="802"/>
      <c r="OPJ839" s="802"/>
      <c r="OPK839" s="802"/>
      <c r="OPL839" s="802"/>
      <c r="OPM839" s="802"/>
      <c r="OPN839" s="802"/>
      <c r="OPO839" s="802"/>
      <c r="OPP839" s="802"/>
      <c r="OPQ839" s="802"/>
      <c r="OPR839" s="802"/>
      <c r="OPS839" s="802"/>
      <c r="OPT839" s="802"/>
      <c r="OPU839" s="802"/>
      <c r="OPV839" s="802"/>
      <c r="OPW839" s="802"/>
      <c r="OPX839" s="802"/>
      <c r="OPY839" s="802"/>
      <c r="OPZ839" s="802"/>
      <c r="OQA839" s="802"/>
      <c r="OQB839" s="802"/>
      <c r="OQC839" s="802"/>
      <c r="OQD839" s="802"/>
      <c r="OQE839" s="802"/>
      <c r="OQF839" s="802"/>
      <c r="OQG839" s="802"/>
      <c r="OQH839" s="802"/>
      <c r="OQI839" s="802"/>
      <c r="OQJ839" s="802"/>
      <c r="OQK839" s="802"/>
      <c r="OQL839" s="802"/>
      <c r="OQM839" s="802"/>
      <c r="OQN839" s="802"/>
      <c r="OQO839" s="802"/>
      <c r="OQP839" s="802"/>
      <c r="OQQ839" s="802"/>
      <c r="OQR839" s="802"/>
      <c r="OQS839" s="802"/>
      <c r="OQT839" s="802"/>
      <c r="OQU839" s="802"/>
      <c r="OQV839" s="802"/>
      <c r="OQW839" s="802"/>
      <c r="OQX839" s="802"/>
      <c r="OQY839" s="802"/>
      <c r="OQZ839" s="802"/>
      <c r="ORA839" s="802"/>
      <c r="ORB839" s="802"/>
      <c r="ORC839" s="802"/>
      <c r="ORD839" s="802"/>
      <c r="ORE839" s="802"/>
      <c r="ORF839" s="802"/>
      <c r="ORG839" s="802"/>
      <c r="ORH839" s="802"/>
      <c r="ORI839" s="802"/>
      <c r="ORJ839" s="802"/>
      <c r="ORK839" s="802"/>
      <c r="ORL839" s="802"/>
      <c r="ORM839" s="802"/>
      <c r="ORN839" s="802"/>
      <c r="ORO839" s="802"/>
      <c r="ORP839" s="802"/>
      <c r="ORQ839" s="802"/>
      <c r="ORR839" s="802"/>
      <c r="ORS839" s="802"/>
      <c r="ORT839" s="802"/>
      <c r="ORU839" s="802"/>
      <c r="ORV839" s="802"/>
      <c r="ORW839" s="802"/>
      <c r="ORX839" s="802"/>
      <c r="ORY839" s="802"/>
      <c r="ORZ839" s="802"/>
      <c r="OSA839" s="802"/>
      <c r="OSB839" s="802"/>
      <c r="OSC839" s="802"/>
      <c r="OSD839" s="802"/>
      <c r="OSE839" s="802"/>
      <c r="OSF839" s="802"/>
      <c r="OSG839" s="802"/>
      <c r="OSH839" s="802"/>
      <c r="OSI839" s="802"/>
      <c r="OSJ839" s="802"/>
      <c r="OSK839" s="802"/>
      <c r="OSL839" s="802"/>
      <c r="OSM839" s="802"/>
      <c r="OSN839" s="802"/>
      <c r="OSO839" s="802"/>
      <c r="OSP839" s="802"/>
      <c r="OSQ839" s="802"/>
      <c r="OSR839" s="802"/>
      <c r="OSS839" s="802"/>
      <c r="OST839" s="802"/>
      <c r="OSU839" s="802"/>
      <c r="OSV839" s="802"/>
      <c r="OSW839" s="802"/>
      <c r="OSX839" s="802"/>
      <c r="OSY839" s="802"/>
      <c r="OSZ839" s="802"/>
      <c r="OTA839" s="802"/>
      <c r="OTB839" s="802"/>
      <c r="OTC839" s="802"/>
      <c r="OTD839" s="802"/>
      <c r="OTE839" s="802"/>
      <c r="OTF839" s="802"/>
      <c r="OTG839" s="802"/>
      <c r="OTH839" s="802"/>
      <c r="OTI839" s="802"/>
      <c r="OTJ839" s="802"/>
      <c r="OTK839" s="802"/>
      <c r="OTL839" s="802"/>
      <c r="OTM839" s="802"/>
      <c r="OTN839" s="802"/>
      <c r="OTO839" s="802"/>
      <c r="OTP839" s="802"/>
      <c r="OTQ839" s="802"/>
      <c r="OTR839" s="802"/>
      <c r="OTS839" s="802"/>
      <c r="OTT839" s="802"/>
      <c r="OTU839" s="802"/>
      <c r="OTV839" s="802"/>
      <c r="OTW839" s="802"/>
      <c r="OTX839" s="802"/>
      <c r="OTY839" s="802"/>
      <c r="OTZ839" s="802"/>
      <c r="OUA839" s="802"/>
      <c r="OUB839" s="802"/>
      <c r="OUC839" s="802"/>
      <c r="OUD839" s="802"/>
      <c r="OUE839" s="802"/>
      <c r="OUF839" s="802"/>
      <c r="OUG839" s="802"/>
      <c r="OUH839" s="802"/>
      <c r="OUI839" s="802"/>
      <c r="OUJ839" s="802"/>
      <c r="OUK839" s="802"/>
      <c r="OUL839" s="802"/>
      <c r="OUM839" s="802"/>
      <c r="OUN839" s="802"/>
      <c r="OUO839" s="802"/>
      <c r="OUP839" s="802"/>
      <c r="OUQ839" s="802"/>
      <c r="OUR839" s="802"/>
      <c r="OUS839" s="802"/>
      <c r="OUT839" s="802"/>
      <c r="OUU839" s="802"/>
      <c r="OUV839" s="802"/>
      <c r="OUW839" s="802"/>
      <c r="OUX839" s="802"/>
      <c r="OUY839" s="802"/>
      <c r="OUZ839" s="802"/>
      <c r="OVA839" s="802"/>
      <c r="OVB839" s="802"/>
      <c r="OVC839" s="802"/>
      <c r="OVD839" s="802"/>
      <c r="OVE839" s="802"/>
      <c r="OVF839" s="802"/>
      <c r="OVG839" s="802"/>
      <c r="OVH839" s="802"/>
      <c r="OVI839" s="802"/>
      <c r="OVJ839" s="802"/>
      <c r="OVK839" s="802"/>
      <c r="OVL839" s="802"/>
      <c r="OVM839" s="802"/>
      <c r="OVN839" s="802"/>
      <c r="OVO839" s="802"/>
      <c r="OVP839" s="802"/>
      <c r="OVQ839" s="802"/>
      <c r="OVR839" s="802"/>
      <c r="OVS839" s="802"/>
      <c r="OVT839" s="802"/>
      <c r="OVU839" s="802"/>
      <c r="OVV839" s="802"/>
      <c r="OVW839" s="802"/>
      <c r="OVX839" s="802"/>
      <c r="OVY839" s="802"/>
      <c r="OVZ839" s="802"/>
      <c r="OWA839" s="802"/>
      <c r="OWB839" s="802"/>
      <c r="OWC839" s="802"/>
      <c r="OWD839" s="802"/>
      <c r="OWE839" s="802"/>
      <c r="OWF839" s="802"/>
      <c r="OWG839" s="802"/>
      <c r="OWH839" s="802"/>
      <c r="OWI839" s="802"/>
      <c r="OWJ839" s="802"/>
      <c r="OWK839" s="802"/>
      <c r="OWL839" s="802"/>
      <c r="OWM839" s="802"/>
      <c r="OWN839" s="802"/>
      <c r="OWO839" s="802"/>
      <c r="OWP839" s="802"/>
      <c r="OWQ839" s="802"/>
      <c r="OWR839" s="802"/>
      <c r="OWS839" s="802"/>
      <c r="OWT839" s="802"/>
      <c r="OWU839" s="802"/>
      <c r="OWV839" s="802"/>
      <c r="OWW839" s="802"/>
      <c r="OWX839" s="802"/>
      <c r="OWY839" s="802"/>
      <c r="OWZ839" s="802"/>
      <c r="OXA839" s="802"/>
      <c r="OXB839" s="802"/>
      <c r="OXC839" s="802"/>
      <c r="OXD839" s="802"/>
      <c r="OXE839" s="802"/>
      <c r="OXF839" s="802"/>
      <c r="OXG839" s="802"/>
      <c r="OXH839" s="802"/>
      <c r="OXI839" s="802"/>
      <c r="OXJ839" s="802"/>
      <c r="OXK839" s="802"/>
      <c r="OXL839" s="802"/>
      <c r="OXM839" s="802"/>
      <c r="OXN839" s="802"/>
      <c r="OXO839" s="802"/>
      <c r="OXP839" s="802"/>
      <c r="OXQ839" s="802"/>
      <c r="OXR839" s="802"/>
      <c r="OXS839" s="802"/>
      <c r="OXT839" s="802"/>
      <c r="OXU839" s="802"/>
      <c r="OXV839" s="802"/>
      <c r="OXW839" s="802"/>
      <c r="OXX839" s="802"/>
      <c r="OXY839" s="802"/>
      <c r="OXZ839" s="802"/>
      <c r="OYA839" s="802"/>
      <c r="OYB839" s="802"/>
      <c r="OYC839" s="802"/>
      <c r="OYD839" s="802"/>
      <c r="OYE839" s="802"/>
      <c r="OYF839" s="802"/>
      <c r="OYG839" s="802"/>
      <c r="OYH839" s="802"/>
      <c r="OYI839" s="802"/>
      <c r="OYJ839" s="802"/>
      <c r="OYK839" s="802"/>
      <c r="OYL839" s="802"/>
      <c r="OYM839" s="802"/>
      <c r="OYN839" s="802"/>
      <c r="OYO839" s="802"/>
      <c r="OYP839" s="802"/>
      <c r="OYQ839" s="802"/>
      <c r="OYR839" s="802"/>
      <c r="OYS839" s="802"/>
      <c r="OYT839" s="802"/>
      <c r="OYU839" s="802"/>
      <c r="OYV839" s="802"/>
      <c r="OYW839" s="802"/>
      <c r="OYX839" s="802"/>
      <c r="OYY839" s="802"/>
      <c r="OYZ839" s="802"/>
      <c r="OZA839" s="802"/>
      <c r="OZB839" s="802"/>
      <c r="OZC839" s="802"/>
      <c r="OZD839" s="802"/>
      <c r="OZE839" s="802"/>
      <c r="OZF839" s="802"/>
      <c r="OZG839" s="802"/>
      <c r="OZH839" s="802"/>
      <c r="OZI839" s="802"/>
      <c r="OZJ839" s="802"/>
      <c r="OZK839" s="802"/>
      <c r="OZL839" s="802"/>
      <c r="OZM839" s="802"/>
      <c r="OZN839" s="802"/>
      <c r="OZO839" s="802"/>
      <c r="OZP839" s="802"/>
      <c r="OZQ839" s="802"/>
      <c r="OZR839" s="802"/>
      <c r="OZS839" s="802"/>
      <c r="OZT839" s="802"/>
      <c r="OZU839" s="802"/>
      <c r="OZV839" s="802"/>
      <c r="OZW839" s="802"/>
      <c r="OZX839" s="802"/>
      <c r="OZY839" s="802"/>
      <c r="OZZ839" s="802"/>
      <c r="PAA839" s="802"/>
      <c r="PAB839" s="802"/>
      <c r="PAC839" s="802"/>
      <c r="PAD839" s="802"/>
      <c r="PAE839" s="802"/>
      <c r="PAF839" s="802"/>
      <c r="PAG839" s="802"/>
      <c r="PAH839" s="802"/>
      <c r="PAI839" s="802"/>
      <c r="PAJ839" s="802"/>
      <c r="PAK839" s="802"/>
      <c r="PAL839" s="802"/>
      <c r="PAM839" s="802"/>
      <c r="PAN839" s="802"/>
      <c r="PAO839" s="802"/>
      <c r="PAP839" s="802"/>
      <c r="PAQ839" s="802"/>
      <c r="PAR839" s="802"/>
      <c r="PAS839" s="802"/>
      <c r="PAT839" s="802"/>
      <c r="PAU839" s="802"/>
      <c r="PAV839" s="802"/>
      <c r="PAW839" s="802"/>
      <c r="PAX839" s="802"/>
      <c r="PAY839" s="802"/>
      <c r="PAZ839" s="802"/>
      <c r="PBA839" s="802"/>
      <c r="PBB839" s="802"/>
      <c r="PBC839" s="802"/>
      <c r="PBD839" s="802"/>
      <c r="PBE839" s="802"/>
      <c r="PBF839" s="802"/>
      <c r="PBG839" s="802"/>
      <c r="PBH839" s="802"/>
      <c r="PBI839" s="802"/>
      <c r="PBJ839" s="802"/>
      <c r="PBK839" s="802"/>
      <c r="PBL839" s="802"/>
      <c r="PBM839" s="802"/>
      <c r="PBN839" s="802"/>
      <c r="PBO839" s="802"/>
      <c r="PBP839" s="802"/>
      <c r="PBQ839" s="802"/>
      <c r="PBR839" s="802"/>
      <c r="PBS839" s="802"/>
      <c r="PBT839" s="802"/>
      <c r="PBU839" s="802"/>
      <c r="PBV839" s="802"/>
      <c r="PBW839" s="802"/>
      <c r="PBX839" s="802"/>
      <c r="PBY839" s="802"/>
      <c r="PBZ839" s="802"/>
      <c r="PCA839" s="802"/>
      <c r="PCB839" s="802"/>
      <c r="PCC839" s="802"/>
      <c r="PCD839" s="802"/>
      <c r="PCE839" s="802"/>
      <c r="PCF839" s="802"/>
      <c r="PCG839" s="802"/>
      <c r="PCH839" s="802"/>
      <c r="PCI839" s="802"/>
      <c r="PCJ839" s="802"/>
      <c r="PCK839" s="802"/>
      <c r="PCL839" s="802"/>
      <c r="PCM839" s="802"/>
      <c r="PCN839" s="802"/>
      <c r="PCO839" s="802"/>
      <c r="PCP839" s="802"/>
      <c r="PCQ839" s="802"/>
      <c r="PCR839" s="802"/>
      <c r="PCS839" s="802"/>
      <c r="PCT839" s="802"/>
      <c r="PCU839" s="802"/>
      <c r="PCV839" s="802"/>
      <c r="PCW839" s="802"/>
      <c r="PCX839" s="802"/>
      <c r="PCY839" s="802"/>
      <c r="PCZ839" s="802"/>
      <c r="PDA839" s="802"/>
      <c r="PDB839" s="802"/>
      <c r="PDC839" s="802"/>
      <c r="PDD839" s="802"/>
      <c r="PDE839" s="802"/>
      <c r="PDF839" s="802"/>
      <c r="PDG839" s="802"/>
      <c r="PDH839" s="802"/>
      <c r="PDI839" s="802"/>
      <c r="PDJ839" s="802"/>
      <c r="PDK839" s="802"/>
      <c r="PDL839" s="802"/>
      <c r="PDM839" s="802"/>
      <c r="PDN839" s="802"/>
      <c r="PDO839" s="802"/>
      <c r="PDP839" s="802"/>
      <c r="PDQ839" s="802"/>
      <c r="PDR839" s="802"/>
      <c r="PDS839" s="802"/>
      <c r="PDT839" s="802"/>
      <c r="PDU839" s="802"/>
      <c r="PDV839" s="802"/>
      <c r="PDW839" s="802"/>
      <c r="PDX839" s="802"/>
      <c r="PDY839" s="802"/>
      <c r="PDZ839" s="802"/>
      <c r="PEA839" s="802"/>
      <c r="PEB839" s="802"/>
      <c r="PEC839" s="802"/>
      <c r="PED839" s="802"/>
      <c r="PEE839" s="802"/>
      <c r="PEF839" s="802"/>
      <c r="PEG839" s="802"/>
      <c r="PEH839" s="802"/>
      <c r="PEI839" s="802"/>
      <c r="PEJ839" s="802"/>
      <c r="PEK839" s="802"/>
      <c r="PEL839" s="802"/>
      <c r="PEM839" s="802"/>
      <c r="PEN839" s="802"/>
      <c r="PEO839" s="802"/>
      <c r="PEP839" s="802"/>
      <c r="PEQ839" s="802"/>
      <c r="PER839" s="802"/>
      <c r="PES839" s="802"/>
      <c r="PET839" s="802"/>
      <c r="PEU839" s="802"/>
      <c r="PEV839" s="802"/>
      <c r="PEW839" s="802"/>
      <c r="PEX839" s="802"/>
      <c r="PEY839" s="802"/>
      <c r="PEZ839" s="802"/>
      <c r="PFA839" s="802"/>
      <c r="PFB839" s="802"/>
      <c r="PFC839" s="802"/>
      <c r="PFD839" s="802"/>
      <c r="PFE839" s="802"/>
      <c r="PFF839" s="802"/>
      <c r="PFG839" s="802"/>
      <c r="PFH839" s="802"/>
      <c r="PFI839" s="802"/>
      <c r="PFJ839" s="802"/>
      <c r="PFK839" s="802"/>
      <c r="PFL839" s="802"/>
      <c r="PFM839" s="802"/>
      <c r="PFN839" s="802"/>
      <c r="PFO839" s="802"/>
      <c r="PFP839" s="802"/>
      <c r="PFQ839" s="802"/>
      <c r="PFR839" s="802"/>
      <c r="PFS839" s="802"/>
      <c r="PFT839" s="802"/>
      <c r="PFU839" s="802"/>
      <c r="PFV839" s="802"/>
      <c r="PFW839" s="802"/>
      <c r="PFX839" s="802"/>
      <c r="PFY839" s="802"/>
      <c r="PFZ839" s="802"/>
      <c r="PGA839" s="802"/>
      <c r="PGB839" s="802"/>
      <c r="PGC839" s="802"/>
      <c r="PGD839" s="802"/>
      <c r="PGE839" s="802"/>
      <c r="PGF839" s="802"/>
      <c r="PGG839" s="802"/>
      <c r="PGH839" s="802"/>
      <c r="PGI839" s="802"/>
      <c r="PGJ839" s="802"/>
      <c r="PGK839" s="802"/>
      <c r="PGL839" s="802"/>
      <c r="PGM839" s="802"/>
      <c r="PGN839" s="802"/>
      <c r="PGO839" s="802"/>
      <c r="PGP839" s="802"/>
      <c r="PGQ839" s="802"/>
      <c r="PGR839" s="802"/>
      <c r="PGS839" s="802"/>
      <c r="PGT839" s="802"/>
      <c r="PGU839" s="802"/>
      <c r="PGV839" s="802"/>
      <c r="PGW839" s="802"/>
      <c r="PGX839" s="802"/>
      <c r="PGY839" s="802"/>
      <c r="PGZ839" s="802"/>
      <c r="PHA839" s="802"/>
      <c r="PHB839" s="802"/>
      <c r="PHC839" s="802"/>
      <c r="PHD839" s="802"/>
      <c r="PHE839" s="802"/>
      <c r="PHF839" s="802"/>
      <c r="PHG839" s="802"/>
      <c r="PHH839" s="802"/>
      <c r="PHI839" s="802"/>
      <c r="PHJ839" s="802"/>
      <c r="PHK839" s="802"/>
      <c r="PHL839" s="802"/>
      <c r="PHM839" s="802"/>
      <c r="PHN839" s="802"/>
      <c r="PHO839" s="802"/>
      <c r="PHP839" s="802"/>
      <c r="PHQ839" s="802"/>
      <c r="PHR839" s="802"/>
      <c r="PHS839" s="802"/>
      <c r="PHT839" s="802"/>
      <c r="PHU839" s="802"/>
      <c r="PHV839" s="802"/>
      <c r="PHW839" s="802"/>
      <c r="PHX839" s="802"/>
      <c r="PHY839" s="802"/>
      <c r="PHZ839" s="802"/>
      <c r="PIA839" s="802"/>
      <c r="PIB839" s="802"/>
      <c r="PIC839" s="802"/>
      <c r="PID839" s="802"/>
      <c r="PIE839" s="802"/>
      <c r="PIF839" s="802"/>
      <c r="PIG839" s="802"/>
      <c r="PIH839" s="802"/>
      <c r="PII839" s="802"/>
      <c r="PIJ839" s="802"/>
      <c r="PIK839" s="802"/>
      <c r="PIL839" s="802"/>
      <c r="PIM839" s="802"/>
      <c r="PIN839" s="802"/>
      <c r="PIO839" s="802"/>
      <c r="PIP839" s="802"/>
      <c r="PIQ839" s="802"/>
      <c r="PIR839" s="802"/>
      <c r="PIS839" s="802"/>
      <c r="PIT839" s="802"/>
      <c r="PIU839" s="802"/>
      <c r="PIV839" s="802"/>
      <c r="PIW839" s="802"/>
      <c r="PIX839" s="802"/>
      <c r="PIY839" s="802"/>
      <c r="PIZ839" s="802"/>
      <c r="PJA839" s="802"/>
      <c r="PJB839" s="802"/>
      <c r="PJC839" s="802"/>
      <c r="PJD839" s="802"/>
      <c r="PJE839" s="802"/>
      <c r="PJF839" s="802"/>
      <c r="PJG839" s="802"/>
      <c r="PJH839" s="802"/>
      <c r="PJI839" s="802"/>
      <c r="PJJ839" s="802"/>
      <c r="PJK839" s="802"/>
      <c r="PJL839" s="802"/>
      <c r="PJM839" s="802"/>
      <c r="PJN839" s="802"/>
      <c r="PJO839" s="802"/>
      <c r="PJP839" s="802"/>
      <c r="PJQ839" s="802"/>
      <c r="PJR839" s="802"/>
      <c r="PJS839" s="802"/>
      <c r="PJT839" s="802"/>
      <c r="PJU839" s="802"/>
      <c r="PJV839" s="802"/>
      <c r="PJW839" s="802"/>
      <c r="PJX839" s="802"/>
      <c r="PJY839" s="802"/>
      <c r="PJZ839" s="802"/>
      <c r="PKA839" s="802"/>
      <c r="PKB839" s="802"/>
      <c r="PKC839" s="802"/>
      <c r="PKD839" s="802"/>
      <c r="PKE839" s="802"/>
      <c r="PKF839" s="802"/>
      <c r="PKG839" s="802"/>
      <c r="PKH839" s="802"/>
      <c r="PKI839" s="802"/>
      <c r="PKJ839" s="802"/>
      <c r="PKK839" s="802"/>
      <c r="PKL839" s="802"/>
      <c r="PKM839" s="802"/>
      <c r="PKN839" s="802"/>
      <c r="PKO839" s="802"/>
      <c r="PKP839" s="802"/>
      <c r="PKQ839" s="802"/>
      <c r="PKR839" s="802"/>
      <c r="PKS839" s="802"/>
      <c r="PKT839" s="802"/>
      <c r="PKU839" s="802"/>
      <c r="PKV839" s="802"/>
      <c r="PKW839" s="802"/>
      <c r="PKX839" s="802"/>
      <c r="PKY839" s="802"/>
      <c r="PKZ839" s="802"/>
      <c r="PLA839" s="802"/>
      <c r="PLB839" s="802"/>
      <c r="PLC839" s="802"/>
      <c r="PLD839" s="802"/>
      <c r="PLE839" s="802"/>
      <c r="PLF839" s="802"/>
      <c r="PLG839" s="802"/>
      <c r="PLH839" s="802"/>
      <c r="PLI839" s="802"/>
      <c r="PLJ839" s="802"/>
      <c r="PLK839" s="802"/>
      <c r="PLL839" s="802"/>
      <c r="PLM839" s="802"/>
      <c r="PLN839" s="802"/>
      <c r="PLO839" s="802"/>
      <c r="PLP839" s="802"/>
      <c r="PLQ839" s="802"/>
      <c r="PLR839" s="802"/>
      <c r="PLS839" s="802"/>
      <c r="PLT839" s="802"/>
      <c r="PLU839" s="802"/>
      <c r="PLV839" s="802"/>
      <c r="PLW839" s="802"/>
      <c r="PLX839" s="802"/>
      <c r="PLY839" s="802"/>
      <c r="PLZ839" s="802"/>
      <c r="PMA839" s="802"/>
      <c r="PMB839" s="802"/>
      <c r="PMC839" s="802"/>
      <c r="PMD839" s="802"/>
      <c r="PME839" s="802"/>
      <c r="PMF839" s="802"/>
      <c r="PMG839" s="802"/>
      <c r="PMH839" s="802"/>
      <c r="PMI839" s="802"/>
      <c r="PMJ839" s="802"/>
      <c r="PMK839" s="802"/>
      <c r="PML839" s="802"/>
      <c r="PMM839" s="802"/>
      <c r="PMN839" s="802"/>
      <c r="PMO839" s="802"/>
      <c r="PMP839" s="802"/>
      <c r="PMQ839" s="802"/>
      <c r="PMR839" s="802"/>
      <c r="PMS839" s="802"/>
      <c r="PMT839" s="802"/>
      <c r="PMU839" s="802"/>
      <c r="PMV839" s="802"/>
      <c r="PMW839" s="802"/>
      <c r="PMX839" s="802"/>
      <c r="PMY839" s="802"/>
      <c r="PMZ839" s="802"/>
      <c r="PNA839" s="802"/>
      <c r="PNB839" s="802"/>
      <c r="PNC839" s="802"/>
      <c r="PND839" s="802"/>
      <c r="PNE839" s="802"/>
      <c r="PNF839" s="802"/>
      <c r="PNG839" s="802"/>
      <c r="PNH839" s="802"/>
      <c r="PNI839" s="802"/>
      <c r="PNJ839" s="802"/>
      <c r="PNK839" s="802"/>
      <c r="PNL839" s="802"/>
      <c r="PNM839" s="802"/>
      <c r="PNN839" s="802"/>
      <c r="PNO839" s="802"/>
      <c r="PNP839" s="802"/>
      <c r="PNQ839" s="802"/>
      <c r="PNR839" s="802"/>
      <c r="PNS839" s="802"/>
      <c r="PNT839" s="802"/>
      <c r="PNU839" s="802"/>
      <c r="PNV839" s="802"/>
      <c r="PNW839" s="802"/>
      <c r="PNX839" s="802"/>
      <c r="PNY839" s="802"/>
      <c r="PNZ839" s="802"/>
      <c r="POA839" s="802"/>
      <c r="POB839" s="802"/>
      <c r="POC839" s="802"/>
      <c r="POD839" s="802"/>
      <c r="POE839" s="802"/>
      <c r="POF839" s="802"/>
      <c r="POG839" s="802"/>
      <c r="POH839" s="802"/>
      <c r="POI839" s="802"/>
      <c r="POJ839" s="802"/>
      <c r="POK839" s="802"/>
      <c r="POL839" s="802"/>
      <c r="POM839" s="802"/>
      <c r="PON839" s="802"/>
      <c r="POO839" s="802"/>
      <c r="POP839" s="802"/>
      <c r="POQ839" s="802"/>
      <c r="POR839" s="802"/>
      <c r="POS839" s="802"/>
      <c r="POT839" s="802"/>
      <c r="POU839" s="802"/>
      <c r="POV839" s="802"/>
      <c r="POW839" s="802"/>
      <c r="POX839" s="802"/>
      <c r="POY839" s="802"/>
      <c r="POZ839" s="802"/>
      <c r="PPA839" s="802"/>
      <c r="PPB839" s="802"/>
      <c r="PPC839" s="802"/>
      <c r="PPD839" s="802"/>
      <c r="PPE839" s="802"/>
      <c r="PPF839" s="802"/>
      <c r="PPG839" s="802"/>
      <c r="PPH839" s="802"/>
      <c r="PPI839" s="802"/>
      <c r="PPJ839" s="802"/>
      <c r="PPK839" s="802"/>
      <c r="PPL839" s="802"/>
      <c r="PPM839" s="802"/>
      <c r="PPN839" s="802"/>
      <c r="PPO839" s="802"/>
      <c r="PPP839" s="802"/>
      <c r="PPQ839" s="802"/>
      <c r="PPR839" s="802"/>
      <c r="PPS839" s="802"/>
      <c r="PPT839" s="802"/>
      <c r="PPU839" s="802"/>
      <c r="PPV839" s="802"/>
      <c r="PPW839" s="802"/>
      <c r="PPX839" s="802"/>
      <c r="PPY839" s="802"/>
      <c r="PPZ839" s="802"/>
      <c r="PQA839" s="802"/>
      <c r="PQB839" s="802"/>
      <c r="PQC839" s="802"/>
      <c r="PQD839" s="802"/>
      <c r="PQE839" s="802"/>
      <c r="PQF839" s="802"/>
      <c r="PQG839" s="802"/>
      <c r="PQH839" s="802"/>
      <c r="PQI839" s="802"/>
      <c r="PQJ839" s="802"/>
      <c r="PQK839" s="802"/>
      <c r="PQL839" s="802"/>
      <c r="PQM839" s="802"/>
      <c r="PQN839" s="802"/>
      <c r="PQO839" s="802"/>
      <c r="PQP839" s="802"/>
      <c r="PQQ839" s="802"/>
      <c r="PQR839" s="802"/>
      <c r="PQS839" s="802"/>
      <c r="PQT839" s="802"/>
      <c r="PQU839" s="802"/>
      <c r="PQV839" s="802"/>
      <c r="PQW839" s="802"/>
      <c r="PQX839" s="802"/>
      <c r="PQY839" s="802"/>
      <c r="PQZ839" s="802"/>
      <c r="PRA839" s="802"/>
      <c r="PRB839" s="802"/>
      <c r="PRC839" s="802"/>
      <c r="PRD839" s="802"/>
      <c r="PRE839" s="802"/>
      <c r="PRF839" s="802"/>
      <c r="PRG839" s="802"/>
      <c r="PRH839" s="802"/>
      <c r="PRI839" s="802"/>
      <c r="PRJ839" s="802"/>
      <c r="PRK839" s="802"/>
      <c r="PRL839" s="802"/>
      <c r="PRM839" s="802"/>
      <c r="PRN839" s="802"/>
      <c r="PRO839" s="802"/>
      <c r="PRP839" s="802"/>
      <c r="PRQ839" s="802"/>
      <c r="PRR839" s="802"/>
      <c r="PRS839" s="802"/>
      <c r="PRT839" s="802"/>
      <c r="PRU839" s="802"/>
      <c r="PRV839" s="802"/>
      <c r="PRW839" s="802"/>
      <c r="PRX839" s="802"/>
      <c r="PRY839" s="802"/>
      <c r="PRZ839" s="802"/>
      <c r="PSA839" s="802"/>
      <c r="PSB839" s="802"/>
      <c r="PSC839" s="802"/>
      <c r="PSD839" s="802"/>
      <c r="PSE839" s="802"/>
      <c r="PSF839" s="802"/>
      <c r="PSG839" s="802"/>
      <c r="PSH839" s="802"/>
      <c r="PSI839" s="802"/>
      <c r="PSJ839" s="802"/>
      <c r="PSK839" s="802"/>
      <c r="PSL839" s="802"/>
      <c r="PSM839" s="802"/>
      <c r="PSN839" s="802"/>
      <c r="PSO839" s="802"/>
      <c r="PSP839" s="802"/>
      <c r="PSQ839" s="802"/>
      <c r="PSR839" s="802"/>
      <c r="PSS839" s="802"/>
      <c r="PST839" s="802"/>
      <c r="PSU839" s="802"/>
      <c r="PSV839" s="802"/>
      <c r="PSW839" s="802"/>
      <c r="PSX839" s="802"/>
      <c r="PSY839" s="802"/>
      <c r="PSZ839" s="802"/>
      <c r="PTA839" s="802"/>
      <c r="PTB839" s="802"/>
      <c r="PTC839" s="802"/>
      <c r="PTD839" s="802"/>
      <c r="PTE839" s="802"/>
      <c r="PTF839" s="802"/>
      <c r="PTG839" s="802"/>
      <c r="PTH839" s="802"/>
      <c r="PTI839" s="802"/>
      <c r="PTJ839" s="802"/>
      <c r="PTK839" s="802"/>
      <c r="PTL839" s="802"/>
      <c r="PTM839" s="802"/>
      <c r="PTN839" s="802"/>
      <c r="PTO839" s="802"/>
      <c r="PTP839" s="802"/>
      <c r="PTQ839" s="802"/>
      <c r="PTR839" s="802"/>
      <c r="PTS839" s="802"/>
      <c r="PTT839" s="802"/>
      <c r="PTU839" s="802"/>
      <c r="PTV839" s="802"/>
      <c r="PTW839" s="802"/>
      <c r="PTX839" s="802"/>
      <c r="PTY839" s="802"/>
      <c r="PTZ839" s="802"/>
      <c r="PUA839" s="802"/>
      <c r="PUB839" s="802"/>
      <c r="PUC839" s="802"/>
      <c r="PUD839" s="802"/>
      <c r="PUE839" s="802"/>
      <c r="PUF839" s="802"/>
      <c r="PUG839" s="802"/>
      <c r="PUH839" s="802"/>
      <c r="PUI839" s="802"/>
      <c r="PUJ839" s="802"/>
      <c r="PUK839" s="802"/>
      <c r="PUL839" s="802"/>
      <c r="PUM839" s="802"/>
      <c r="PUN839" s="802"/>
      <c r="PUO839" s="802"/>
      <c r="PUP839" s="802"/>
      <c r="PUQ839" s="802"/>
      <c r="PUR839" s="802"/>
      <c r="PUS839" s="802"/>
      <c r="PUT839" s="802"/>
      <c r="PUU839" s="802"/>
      <c r="PUV839" s="802"/>
      <c r="PUW839" s="802"/>
      <c r="PUX839" s="802"/>
      <c r="PUY839" s="802"/>
      <c r="PUZ839" s="802"/>
      <c r="PVA839" s="802"/>
      <c r="PVB839" s="802"/>
      <c r="PVC839" s="802"/>
      <c r="PVD839" s="802"/>
      <c r="PVE839" s="802"/>
      <c r="PVF839" s="802"/>
      <c r="PVG839" s="802"/>
      <c r="PVH839" s="802"/>
      <c r="PVI839" s="802"/>
      <c r="PVJ839" s="802"/>
      <c r="PVK839" s="802"/>
      <c r="PVL839" s="802"/>
      <c r="PVM839" s="802"/>
      <c r="PVN839" s="802"/>
      <c r="PVO839" s="802"/>
      <c r="PVP839" s="802"/>
      <c r="PVQ839" s="802"/>
      <c r="PVR839" s="802"/>
      <c r="PVS839" s="802"/>
      <c r="PVT839" s="802"/>
      <c r="PVU839" s="802"/>
      <c r="PVV839" s="802"/>
      <c r="PVW839" s="802"/>
      <c r="PVX839" s="802"/>
      <c r="PVY839" s="802"/>
      <c r="PVZ839" s="802"/>
      <c r="PWA839" s="802"/>
      <c r="PWB839" s="802"/>
      <c r="PWC839" s="802"/>
      <c r="PWD839" s="802"/>
      <c r="PWE839" s="802"/>
      <c r="PWF839" s="802"/>
      <c r="PWG839" s="802"/>
      <c r="PWH839" s="802"/>
      <c r="PWI839" s="802"/>
      <c r="PWJ839" s="802"/>
      <c r="PWK839" s="802"/>
      <c r="PWL839" s="802"/>
      <c r="PWM839" s="802"/>
      <c r="PWN839" s="802"/>
      <c r="PWO839" s="802"/>
      <c r="PWP839" s="802"/>
      <c r="PWQ839" s="802"/>
      <c r="PWR839" s="802"/>
      <c r="PWS839" s="802"/>
      <c r="PWT839" s="802"/>
      <c r="PWU839" s="802"/>
      <c r="PWV839" s="802"/>
      <c r="PWW839" s="802"/>
      <c r="PWX839" s="802"/>
      <c r="PWY839" s="802"/>
      <c r="PWZ839" s="802"/>
      <c r="PXA839" s="802"/>
      <c r="PXB839" s="802"/>
      <c r="PXC839" s="802"/>
      <c r="PXD839" s="802"/>
      <c r="PXE839" s="802"/>
      <c r="PXF839" s="802"/>
      <c r="PXG839" s="802"/>
      <c r="PXH839" s="802"/>
      <c r="PXI839" s="802"/>
      <c r="PXJ839" s="802"/>
      <c r="PXK839" s="802"/>
      <c r="PXL839" s="802"/>
      <c r="PXM839" s="802"/>
      <c r="PXN839" s="802"/>
      <c r="PXO839" s="802"/>
      <c r="PXP839" s="802"/>
      <c r="PXQ839" s="802"/>
      <c r="PXR839" s="802"/>
      <c r="PXS839" s="802"/>
      <c r="PXT839" s="802"/>
      <c r="PXU839" s="802"/>
      <c r="PXV839" s="802"/>
      <c r="PXW839" s="802"/>
      <c r="PXX839" s="802"/>
      <c r="PXY839" s="802"/>
      <c r="PXZ839" s="802"/>
      <c r="PYA839" s="802"/>
      <c r="PYB839" s="802"/>
      <c r="PYC839" s="802"/>
      <c r="PYD839" s="802"/>
      <c r="PYE839" s="802"/>
      <c r="PYF839" s="802"/>
      <c r="PYG839" s="802"/>
      <c r="PYH839" s="802"/>
      <c r="PYI839" s="802"/>
      <c r="PYJ839" s="802"/>
      <c r="PYK839" s="802"/>
      <c r="PYL839" s="802"/>
      <c r="PYM839" s="802"/>
      <c r="PYN839" s="802"/>
      <c r="PYO839" s="802"/>
      <c r="PYP839" s="802"/>
      <c r="PYQ839" s="802"/>
      <c r="PYR839" s="802"/>
      <c r="PYS839" s="802"/>
      <c r="PYT839" s="802"/>
      <c r="PYU839" s="802"/>
      <c r="PYV839" s="802"/>
      <c r="PYW839" s="802"/>
      <c r="PYX839" s="802"/>
      <c r="PYY839" s="802"/>
      <c r="PYZ839" s="802"/>
      <c r="PZA839" s="802"/>
      <c r="PZB839" s="802"/>
      <c r="PZC839" s="802"/>
      <c r="PZD839" s="802"/>
      <c r="PZE839" s="802"/>
      <c r="PZF839" s="802"/>
      <c r="PZG839" s="802"/>
      <c r="PZH839" s="802"/>
      <c r="PZI839" s="802"/>
      <c r="PZJ839" s="802"/>
      <c r="PZK839" s="802"/>
      <c r="PZL839" s="802"/>
      <c r="PZM839" s="802"/>
      <c r="PZN839" s="802"/>
      <c r="PZO839" s="802"/>
      <c r="PZP839" s="802"/>
      <c r="PZQ839" s="802"/>
      <c r="PZR839" s="802"/>
      <c r="PZS839" s="802"/>
      <c r="PZT839" s="802"/>
      <c r="PZU839" s="802"/>
      <c r="PZV839" s="802"/>
      <c r="PZW839" s="802"/>
      <c r="PZX839" s="802"/>
      <c r="PZY839" s="802"/>
      <c r="PZZ839" s="802"/>
      <c r="QAA839" s="802"/>
      <c r="QAB839" s="802"/>
      <c r="QAC839" s="802"/>
      <c r="QAD839" s="802"/>
      <c r="QAE839" s="802"/>
      <c r="QAF839" s="802"/>
      <c r="QAG839" s="802"/>
      <c r="QAH839" s="802"/>
      <c r="QAI839" s="802"/>
      <c r="QAJ839" s="802"/>
      <c r="QAK839" s="802"/>
      <c r="QAL839" s="802"/>
      <c r="QAM839" s="802"/>
      <c r="QAN839" s="802"/>
      <c r="QAO839" s="802"/>
      <c r="QAP839" s="802"/>
      <c r="QAQ839" s="802"/>
      <c r="QAR839" s="802"/>
      <c r="QAS839" s="802"/>
      <c r="QAT839" s="802"/>
      <c r="QAU839" s="802"/>
      <c r="QAV839" s="802"/>
      <c r="QAW839" s="802"/>
      <c r="QAX839" s="802"/>
      <c r="QAY839" s="802"/>
      <c r="QAZ839" s="802"/>
      <c r="QBA839" s="802"/>
      <c r="QBB839" s="802"/>
      <c r="QBC839" s="802"/>
      <c r="QBD839" s="802"/>
      <c r="QBE839" s="802"/>
      <c r="QBF839" s="802"/>
      <c r="QBG839" s="802"/>
      <c r="QBH839" s="802"/>
      <c r="QBI839" s="802"/>
      <c r="QBJ839" s="802"/>
      <c r="QBK839" s="802"/>
      <c r="QBL839" s="802"/>
      <c r="QBM839" s="802"/>
      <c r="QBN839" s="802"/>
      <c r="QBO839" s="802"/>
      <c r="QBP839" s="802"/>
      <c r="QBQ839" s="802"/>
      <c r="QBR839" s="802"/>
      <c r="QBS839" s="802"/>
      <c r="QBT839" s="802"/>
      <c r="QBU839" s="802"/>
      <c r="QBV839" s="802"/>
      <c r="QBW839" s="802"/>
      <c r="QBX839" s="802"/>
      <c r="QBY839" s="802"/>
      <c r="QBZ839" s="802"/>
      <c r="QCA839" s="802"/>
      <c r="QCB839" s="802"/>
      <c r="QCC839" s="802"/>
      <c r="QCD839" s="802"/>
      <c r="QCE839" s="802"/>
      <c r="QCF839" s="802"/>
      <c r="QCG839" s="802"/>
      <c r="QCH839" s="802"/>
      <c r="QCI839" s="802"/>
      <c r="QCJ839" s="802"/>
      <c r="QCK839" s="802"/>
      <c r="QCL839" s="802"/>
      <c r="QCM839" s="802"/>
      <c r="QCN839" s="802"/>
      <c r="QCO839" s="802"/>
      <c r="QCP839" s="802"/>
      <c r="QCQ839" s="802"/>
      <c r="QCR839" s="802"/>
      <c r="QCS839" s="802"/>
      <c r="QCT839" s="802"/>
      <c r="QCU839" s="802"/>
      <c r="QCV839" s="802"/>
      <c r="QCW839" s="802"/>
      <c r="QCX839" s="802"/>
      <c r="QCY839" s="802"/>
      <c r="QCZ839" s="802"/>
      <c r="QDA839" s="802"/>
      <c r="QDB839" s="802"/>
      <c r="QDC839" s="802"/>
      <c r="QDD839" s="802"/>
      <c r="QDE839" s="802"/>
      <c r="QDF839" s="802"/>
      <c r="QDG839" s="802"/>
      <c r="QDH839" s="802"/>
      <c r="QDI839" s="802"/>
      <c r="QDJ839" s="802"/>
      <c r="QDK839" s="802"/>
      <c r="QDL839" s="802"/>
      <c r="QDM839" s="802"/>
      <c r="QDN839" s="802"/>
      <c r="QDO839" s="802"/>
      <c r="QDP839" s="802"/>
      <c r="QDQ839" s="802"/>
      <c r="QDR839" s="802"/>
      <c r="QDS839" s="802"/>
      <c r="QDT839" s="802"/>
      <c r="QDU839" s="802"/>
      <c r="QDV839" s="802"/>
      <c r="QDW839" s="802"/>
      <c r="QDX839" s="802"/>
      <c r="QDY839" s="802"/>
      <c r="QDZ839" s="802"/>
      <c r="QEA839" s="802"/>
      <c r="QEB839" s="802"/>
      <c r="QEC839" s="802"/>
      <c r="QED839" s="802"/>
      <c r="QEE839" s="802"/>
      <c r="QEF839" s="802"/>
      <c r="QEG839" s="802"/>
      <c r="QEH839" s="802"/>
      <c r="QEI839" s="802"/>
      <c r="QEJ839" s="802"/>
      <c r="QEK839" s="802"/>
      <c r="QEL839" s="802"/>
      <c r="QEM839" s="802"/>
      <c r="QEN839" s="802"/>
      <c r="QEO839" s="802"/>
      <c r="QEP839" s="802"/>
      <c r="QEQ839" s="802"/>
      <c r="QER839" s="802"/>
      <c r="QES839" s="802"/>
      <c r="QET839" s="802"/>
      <c r="QEU839" s="802"/>
      <c r="QEV839" s="802"/>
      <c r="QEW839" s="802"/>
      <c r="QEX839" s="802"/>
      <c r="QEY839" s="802"/>
      <c r="QEZ839" s="802"/>
      <c r="QFA839" s="802"/>
      <c r="QFB839" s="802"/>
      <c r="QFC839" s="802"/>
      <c r="QFD839" s="802"/>
      <c r="QFE839" s="802"/>
      <c r="QFF839" s="802"/>
      <c r="QFG839" s="802"/>
      <c r="QFH839" s="802"/>
      <c r="QFI839" s="802"/>
      <c r="QFJ839" s="802"/>
      <c r="QFK839" s="802"/>
      <c r="QFL839" s="802"/>
      <c r="QFM839" s="802"/>
      <c r="QFN839" s="802"/>
      <c r="QFO839" s="802"/>
      <c r="QFP839" s="802"/>
      <c r="QFQ839" s="802"/>
      <c r="QFR839" s="802"/>
      <c r="QFS839" s="802"/>
      <c r="QFT839" s="802"/>
      <c r="QFU839" s="802"/>
      <c r="QFV839" s="802"/>
      <c r="QFW839" s="802"/>
      <c r="QFX839" s="802"/>
      <c r="QFY839" s="802"/>
      <c r="QFZ839" s="802"/>
      <c r="QGA839" s="802"/>
      <c r="QGB839" s="802"/>
      <c r="QGC839" s="802"/>
      <c r="QGD839" s="802"/>
      <c r="QGE839" s="802"/>
      <c r="QGF839" s="802"/>
      <c r="QGG839" s="802"/>
      <c r="QGH839" s="802"/>
      <c r="QGI839" s="802"/>
      <c r="QGJ839" s="802"/>
      <c r="QGK839" s="802"/>
      <c r="QGL839" s="802"/>
      <c r="QGM839" s="802"/>
      <c r="QGN839" s="802"/>
      <c r="QGO839" s="802"/>
      <c r="QGP839" s="802"/>
      <c r="QGQ839" s="802"/>
      <c r="QGR839" s="802"/>
      <c r="QGS839" s="802"/>
      <c r="QGT839" s="802"/>
      <c r="QGU839" s="802"/>
      <c r="QGV839" s="802"/>
      <c r="QGW839" s="802"/>
      <c r="QGX839" s="802"/>
      <c r="QGY839" s="802"/>
      <c r="QGZ839" s="802"/>
      <c r="QHA839" s="802"/>
      <c r="QHB839" s="802"/>
      <c r="QHC839" s="802"/>
      <c r="QHD839" s="802"/>
      <c r="QHE839" s="802"/>
      <c r="QHF839" s="802"/>
      <c r="QHG839" s="802"/>
      <c r="QHH839" s="802"/>
      <c r="QHI839" s="802"/>
      <c r="QHJ839" s="802"/>
      <c r="QHK839" s="802"/>
      <c r="QHL839" s="802"/>
      <c r="QHM839" s="802"/>
      <c r="QHN839" s="802"/>
      <c r="QHO839" s="802"/>
      <c r="QHP839" s="802"/>
      <c r="QHQ839" s="802"/>
      <c r="QHR839" s="802"/>
      <c r="QHS839" s="802"/>
      <c r="QHT839" s="802"/>
      <c r="QHU839" s="802"/>
      <c r="QHV839" s="802"/>
      <c r="QHW839" s="802"/>
      <c r="QHX839" s="802"/>
      <c r="QHY839" s="802"/>
      <c r="QHZ839" s="802"/>
      <c r="QIA839" s="802"/>
      <c r="QIB839" s="802"/>
      <c r="QIC839" s="802"/>
      <c r="QID839" s="802"/>
      <c r="QIE839" s="802"/>
      <c r="QIF839" s="802"/>
      <c r="QIG839" s="802"/>
      <c r="QIH839" s="802"/>
      <c r="QII839" s="802"/>
      <c r="QIJ839" s="802"/>
      <c r="QIK839" s="802"/>
      <c r="QIL839" s="802"/>
      <c r="QIM839" s="802"/>
      <c r="QIN839" s="802"/>
      <c r="QIO839" s="802"/>
      <c r="QIP839" s="802"/>
      <c r="QIQ839" s="802"/>
      <c r="QIR839" s="802"/>
      <c r="QIS839" s="802"/>
      <c r="QIT839" s="802"/>
      <c r="QIU839" s="802"/>
      <c r="QIV839" s="802"/>
      <c r="QIW839" s="802"/>
      <c r="QIX839" s="802"/>
      <c r="QIY839" s="802"/>
      <c r="QIZ839" s="802"/>
      <c r="QJA839" s="802"/>
      <c r="QJB839" s="802"/>
      <c r="QJC839" s="802"/>
      <c r="QJD839" s="802"/>
      <c r="QJE839" s="802"/>
      <c r="QJF839" s="802"/>
      <c r="QJG839" s="802"/>
      <c r="QJH839" s="802"/>
      <c r="QJI839" s="802"/>
      <c r="QJJ839" s="802"/>
      <c r="QJK839" s="802"/>
      <c r="QJL839" s="802"/>
      <c r="QJM839" s="802"/>
      <c r="QJN839" s="802"/>
      <c r="QJO839" s="802"/>
      <c r="QJP839" s="802"/>
      <c r="QJQ839" s="802"/>
      <c r="QJR839" s="802"/>
      <c r="QJS839" s="802"/>
      <c r="QJT839" s="802"/>
      <c r="QJU839" s="802"/>
      <c r="QJV839" s="802"/>
      <c r="QJW839" s="802"/>
      <c r="QJX839" s="802"/>
      <c r="QJY839" s="802"/>
      <c r="QJZ839" s="802"/>
      <c r="QKA839" s="802"/>
      <c r="QKB839" s="802"/>
      <c r="QKC839" s="802"/>
      <c r="QKD839" s="802"/>
      <c r="QKE839" s="802"/>
      <c r="QKF839" s="802"/>
      <c r="QKG839" s="802"/>
      <c r="QKH839" s="802"/>
      <c r="QKI839" s="802"/>
      <c r="QKJ839" s="802"/>
      <c r="QKK839" s="802"/>
      <c r="QKL839" s="802"/>
      <c r="QKM839" s="802"/>
      <c r="QKN839" s="802"/>
      <c r="QKO839" s="802"/>
      <c r="QKP839" s="802"/>
      <c r="QKQ839" s="802"/>
      <c r="QKR839" s="802"/>
      <c r="QKS839" s="802"/>
      <c r="QKT839" s="802"/>
      <c r="QKU839" s="802"/>
      <c r="QKV839" s="802"/>
      <c r="QKW839" s="802"/>
      <c r="QKX839" s="802"/>
      <c r="QKY839" s="802"/>
      <c r="QKZ839" s="802"/>
      <c r="QLA839" s="802"/>
      <c r="QLB839" s="802"/>
      <c r="QLC839" s="802"/>
      <c r="QLD839" s="802"/>
      <c r="QLE839" s="802"/>
      <c r="QLF839" s="802"/>
      <c r="QLG839" s="802"/>
      <c r="QLH839" s="802"/>
      <c r="QLI839" s="802"/>
      <c r="QLJ839" s="802"/>
      <c r="QLK839" s="802"/>
      <c r="QLL839" s="802"/>
      <c r="QLM839" s="802"/>
      <c r="QLN839" s="802"/>
      <c r="QLO839" s="802"/>
      <c r="QLP839" s="802"/>
      <c r="QLQ839" s="802"/>
      <c r="QLR839" s="802"/>
      <c r="QLS839" s="802"/>
      <c r="QLT839" s="802"/>
      <c r="QLU839" s="802"/>
      <c r="QLV839" s="802"/>
      <c r="QLW839" s="802"/>
      <c r="QLX839" s="802"/>
      <c r="QLY839" s="802"/>
      <c r="QLZ839" s="802"/>
      <c r="QMA839" s="802"/>
      <c r="QMB839" s="802"/>
      <c r="QMC839" s="802"/>
      <c r="QMD839" s="802"/>
      <c r="QME839" s="802"/>
      <c r="QMF839" s="802"/>
      <c r="QMG839" s="802"/>
      <c r="QMH839" s="802"/>
      <c r="QMI839" s="802"/>
      <c r="QMJ839" s="802"/>
      <c r="QMK839" s="802"/>
      <c r="QML839" s="802"/>
      <c r="QMM839" s="802"/>
      <c r="QMN839" s="802"/>
      <c r="QMO839" s="802"/>
      <c r="QMP839" s="802"/>
      <c r="QMQ839" s="802"/>
      <c r="QMR839" s="802"/>
      <c r="QMS839" s="802"/>
      <c r="QMT839" s="802"/>
      <c r="QMU839" s="802"/>
      <c r="QMV839" s="802"/>
      <c r="QMW839" s="802"/>
      <c r="QMX839" s="802"/>
      <c r="QMY839" s="802"/>
      <c r="QMZ839" s="802"/>
      <c r="QNA839" s="802"/>
      <c r="QNB839" s="802"/>
      <c r="QNC839" s="802"/>
      <c r="QND839" s="802"/>
      <c r="QNE839" s="802"/>
      <c r="QNF839" s="802"/>
      <c r="QNG839" s="802"/>
      <c r="QNH839" s="802"/>
      <c r="QNI839" s="802"/>
      <c r="QNJ839" s="802"/>
      <c r="QNK839" s="802"/>
      <c r="QNL839" s="802"/>
      <c r="QNM839" s="802"/>
      <c r="QNN839" s="802"/>
      <c r="QNO839" s="802"/>
      <c r="QNP839" s="802"/>
      <c r="QNQ839" s="802"/>
      <c r="QNR839" s="802"/>
      <c r="QNS839" s="802"/>
      <c r="QNT839" s="802"/>
      <c r="QNU839" s="802"/>
      <c r="QNV839" s="802"/>
      <c r="QNW839" s="802"/>
      <c r="QNX839" s="802"/>
      <c r="QNY839" s="802"/>
      <c r="QNZ839" s="802"/>
      <c r="QOA839" s="802"/>
      <c r="QOB839" s="802"/>
      <c r="QOC839" s="802"/>
      <c r="QOD839" s="802"/>
      <c r="QOE839" s="802"/>
      <c r="QOF839" s="802"/>
      <c r="QOG839" s="802"/>
      <c r="QOH839" s="802"/>
      <c r="QOI839" s="802"/>
      <c r="QOJ839" s="802"/>
      <c r="QOK839" s="802"/>
      <c r="QOL839" s="802"/>
      <c r="QOM839" s="802"/>
      <c r="QON839" s="802"/>
      <c r="QOO839" s="802"/>
      <c r="QOP839" s="802"/>
      <c r="QOQ839" s="802"/>
      <c r="QOR839" s="802"/>
      <c r="QOS839" s="802"/>
      <c r="QOT839" s="802"/>
      <c r="QOU839" s="802"/>
      <c r="QOV839" s="802"/>
      <c r="QOW839" s="802"/>
      <c r="QOX839" s="802"/>
      <c r="QOY839" s="802"/>
      <c r="QOZ839" s="802"/>
      <c r="QPA839" s="802"/>
      <c r="QPB839" s="802"/>
      <c r="QPC839" s="802"/>
      <c r="QPD839" s="802"/>
      <c r="QPE839" s="802"/>
      <c r="QPF839" s="802"/>
      <c r="QPG839" s="802"/>
      <c r="QPH839" s="802"/>
      <c r="QPI839" s="802"/>
      <c r="QPJ839" s="802"/>
      <c r="QPK839" s="802"/>
      <c r="QPL839" s="802"/>
      <c r="QPM839" s="802"/>
      <c r="QPN839" s="802"/>
      <c r="QPO839" s="802"/>
      <c r="QPP839" s="802"/>
      <c r="QPQ839" s="802"/>
      <c r="QPR839" s="802"/>
      <c r="QPS839" s="802"/>
      <c r="QPT839" s="802"/>
      <c r="QPU839" s="802"/>
      <c r="QPV839" s="802"/>
      <c r="QPW839" s="802"/>
      <c r="QPX839" s="802"/>
      <c r="QPY839" s="802"/>
      <c r="QPZ839" s="802"/>
      <c r="QQA839" s="802"/>
      <c r="QQB839" s="802"/>
      <c r="QQC839" s="802"/>
      <c r="QQD839" s="802"/>
      <c r="QQE839" s="802"/>
      <c r="QQF839" s="802"/>
      <c r="QQG839" s="802"/>
      <c r="QQH839" s="802"/>
      <c r="QQI839" s="802"/>
      <c r="QQJ839" s="802"/>
      <c r="QQK839" s="802"/>
      <c r="QQL839" s="802"/>
      <c r="QQM839" s="802"/>
      <c r="QQN839" s="802"/>
      <c r="QQO839" s="802"/>
      <c r="QQP839" s="802"/>
      <c r="QQQ839" s="802"/>
      <c r="QQR839" s="802"/>
      <c r="QQS839" s="802"/>
      <c r="QQT839" s="802"/>
      <c r="QQU839" s="802"/>
      <c r="QQV839" s="802"/>
      <c r="QQW839" s="802"/>
      <c r="QQX839" s="802"/>
      <c r="QQY839" s="802"/>
      <c r="QQZ839" s="802"/>
      <c r="QRA839" s="802"/>
      <c r="QRB839" s="802"/>
      <c r="QRC839" s="802"/>
      <c r="QRD839" s="802"/>
      <c r="QRE839" s="802"/>
      <c r="QRF839" s="802"/>
      <c r="QRG839" s="802"/>
      <c r="QRH839" s="802"/>
      <c r="QRI839" s="802"/>
      <c r="QRJ839" s="802"/>
      <c r="QRK839" s="802"/>
      <c r="QRL839" s="802"/>
      <c r="QRM839" s="802"/>
      <c r="QRN839" s="802"/>
      <c r="QRO839" s="802"/>
      <c r="QRP839" s="802"/>
      <c r="QRQ839" s="802"/>
      <c r="QRR839" s="802"/>
      <c r="QRS839" s="802"/>
      <c r="QRT839" s="802"/>
      <c r="QRU839" s="802"/>
      <c r="QRV839" s="802"/>
      <c r="QRW839" s="802"/>
      <c r="QRX839" s="802"/>
      <c r="QRY839" s="802"/>
      <c r="QRZ839" s="802"/>
      <c r="QSA839" s="802"/>
      <c r="QSB839" s="802"/>
      <c r="QSC839" s="802"/>
      <c r="QSD839" s="802"/>
      <c r="QSE839" s="802"/>
      <c r="QSF839" s="802"/>
      <c r="QSG839" s="802"/>
      <c r="QSH839" s="802"/>
      <c r="QSI839" s="802"/>
      <c r="QSJ839" s="802"/>
      <c r="QSK839" s="802"/>
      <c r="QSL839" s="802"/>
      <c r="QSM839" s="802"/>
      <c r="QSN839" s="802"/>
      <c r="QSO839" s="802"/>
      <c r="QSP839" s="802"/>
      <c r="QSQ839" s="802"/>
      <c r="QSR839" s="802"/>
      <c r="QSS839" s="802"/>
      <c r="QST839" s="802"/>
      <c r="QSU839" s="802"/>
      <c r="QSV839" s="802"/>
      <c r="QSW839" s="802"/>
      <c r="QSX839" s="802"/>
      <c r="QSY839" s="802"/>
      <c r="QSZ839" s="802"/>
      <c r="QTA839" s="802"/>
      <c r="QTB839" s="802"/>
      <c r="QTC839" s="802"/>
      <c r="QTD839" s="802"/>
      <c r="QTE839" s="802"/>
      <c r="QTF839" s="802"/>
      <c r="QTG839" s="802"/>
      <c r="QTH839" s="802"/>
      <c r="QTI839" s="802"/>
      <c r="QTJ839" s="802"/>
      <c r="QTK839" s="802"/>
      <c r="QTL839" s="802"/>
      <c r="QTM839" s="802"/>
      <c r="QTN839" s="802"/>
      <c r="QTO839" s="802"/>
      <c r="QTP839" s="802"/>
      <c r="QTQ839" s="802"/>
      <c r="QTR839" s="802"/>
      <c r="QTS839" s="802"/>
      <c r="QTT839" s="802"/>
      <c r="QTU839" s="802"/>
      <c r="QTV839" s="802"/>
      <c r="QTW839" s="802"/>
      <c r="QTX839" s="802"/>
      <c r="QTY839" s="802"/>
      <c r="QTZ839" s="802"/>
      <c r="QUA839" s="802"/>
      <c r="QUB839" s="802"/>
      <c r="QUC839" s="802"/>
      <c r="QUD839" s="802"/>
      <c r="QUE839" s="802"/>
      <c r="QUF839" s="802"/>
      <c r="QUG839" s="802"/>
      <c r="QUH839" s="802"/>
      <c r="QUI839" s="802"/>
      <c r="QUJ839" s="802"/>
      <c r="QUK839" s="802"/>
      <c r="QUL839" s="802"/>
      <c r="QUM839" s="802"/>
      <c r="QUN839" s="802"/>
      <c r="QUO839" s="802"/>
      <c r="QUP839" s="802"/>
      <c r="QUQ839" s="802"/>
      <c r="QUR839" s="802"/>
      <c r="QUS839" s="802"/>
      <c r="QUT839" s="802"/>
      <c r="QUU839" s="802"/>
      <c r="QUV839" s="802"/>
      <c r="QUW839" s="802"/>
      <c r="QUX839" s="802"/>
      <c r="QUY839" s="802"/>
      <c r="QUZ839" s="802"/>
      <c r="QVA839" s="802"/>
      <c r="QVB839" s="802"/>
      <c r="QVC839" s="802"/>
      <c r="QVD839" s="802"/>
      <c r="QVE839" s="802"/>
      <c r="QVF839" s="802"/>
      <c r="QVG839" s="802"/>
      <c r="QVH839" s="802"/>
      <c r="QVI839" s="802"/>
      <c r="QVJ839" s="802"/>
      <c r="QVK839" s="802"/>
      <c r="QVL839" s="802"/>
      <c r="QVM839" s="802"/>
      <c r="QVN839" s="802"/>
      <c r="QVO839" s="802"/>
      <c r="QVP839" s="802"/>
      <c r="QVQ839" s="802"/>
      <c r="QVR839" s="802"/>
      <c r="QVS839" s="802"/>
      <c r="QVT839" s="802"/>
      <c r="QVU839" s="802"/>
      <c r="QVV839" s="802"/>
      <c r="QVW839" s="802"/>
      <c r="QVX839" s="802"/>
      <c r="QVY839" s="802"/>
      <c r="QVZ839" s="802"/>
      <c r="QWA839" s="802"/>
      <c r="QWB839" s="802"/>
      <c r="QWC839" s="802"/>
      <c r="QWD839" s="802"/>
      <c r="QWE839" s="802"/>
      <c r="QWF839" s="802"/>
      <c r="QWG839" s="802"/>
      <c r="QWH839" s="802"/>
      <c r="QWI839" s="802"/>
      <c r="QWJ839" s="802"/>
      <c r="QWK839" s="802"/>
      <c r="QWL839" s="802"/>
      <c r="QWM839" s="802"/>
      <c r="QWN839" s="802"/>
      <c r="QWO839" s="802"/>
      <c r="QWP839" s="802"/>
      <c r="QWQ839" s="802"/>
      <c r="QWR839" s="802"/>
      <c r="QWS839" s="802"/>
      <c r="QWT839" s="802"/>
      <c r="QWU839" s="802"/>
      <c r="QWV839" s="802"/>
      <c r="QWW839" s="802"/>
      <c r="QWX839" s="802"/>
      <c r="QWY839" s="802"/>
      <c r="QWZ839" s="802"/>
      <c r="QXA839" s="802"/>
      <c r="QXB839" s="802"/>
      <c r="QXC839" s="802"/>
      <c r="QXD839" s="802"/>
      <c r="QXE839" s="802"/>
      <c r="QXF839" s="802"/>
      <c r="QXG839" s="802"/>
      <c r="QXH839" s="802"/>
      <c r="QXI839" s="802"/>
      <c r="QXJ839" s="802"/>
      <c r="QXK839" s="802"/>
      <c r="QXL839" s="802"/>
      <c r="QXM839" s="802"/>
      <c r="QXN839" s="802"/>
      <c r="QXO839" s="802"/>
      <c r="QXP839" s="802"/>
      <c r="QXQ839" s="802"/>
      <c r="QXR839" s="802"/>
      <c r="QXS839" s="802"/>
      <c r="QXT839" s="802"/>
      <c r="QXU839" s="802"/>
      <c r="QXV839" s="802"/>
      <c r="QXW839" s="802"/>
      <c r="QXX839" s="802"/>
      <c r="QXY839" s="802"/>
      <c r="QXZ839" s="802"/>
      <c r="QYA839" s="802"/>
      <c r="QYB839" s="802"/>
      <c r="QYC839" s="802"/>
      <c r="QYD839" s="802"/>
      <c r="QYE839" s="802"/>
      <c r="QYF839" s="802"/>
      <c r="QYG839" s="802"/>
      <c r="QYH839" s="802"/>
      <c r="QYI839" s="802"/>
      <c r="QYJ839" s="802"/>
      <c r="QYK839" s="802"/>
      <c r="QYL839" s="802"/>
      <c r="QYM839" s="802"/>
      <c r="QYN839" s="802"/>
      <c r="QYO839" s="802"/>
      <c r="QYP839" s="802"/>
      <c r="QYQ839" s="802"/>
      <c r="QYR839" s="802"/>
      <c r="QYS839" s="802"/>
      <c r="QYT839" s="802"/>
      <c r="QYU839" s="802"/>
      <c r="QYV839" s="802"/>
      <c r="QYW839" s="802"/>
      <c r="QYX839" s="802"/>
      <c r="QYY839" s="802"/>
      <c r="QYZ839" s="802"/>
      <c r="QZA839" s="802"/>
      <c r="QZB839" s="802"/>
      <c r="QZC839" s="802"/>
      <c r="QZD839" s="802"/>
      <c r="QZE839" s="802"/>
      <c r="QZF839" s="802"/>
      <c r="QZG839" s="802"/>
      <c r="QZH839" s="802"/>
      <c r="QZI839" s="802"/>
      <c r="QZJ839" s="802"/>
      <c r="QZK839" s="802"/>
      <c r="QZL839" s="802"/>
      <c r="QZM839" s="802"/>
      <c r="QZN839" s="802"/>
      <c r="QZO839" s="802"/>
      <c r="QZP839" s="802"/>
      <c r="QZQ839" s="802"/>
      <c r="QZR839" s="802"/>
      <c r="QZS839" s="802"/>
      <c r="QZT839" s="802"/>
      <c r="QZU839" s="802"/>
      <c r="QZV839" s="802"/>
      <c r="QZW839" s="802"/>
      <c r="QZX839" s="802"/>
      <c r="QZY839" s="802"/>
      <c r="QZZ839" s="802"/>
      <c r="RAA839" s="802"/>
      <c r="RAB839" s="802"/>
      <c r="RAC839" s="802"/>
      <c r="RAD839" s="802"/>
      <c r="RAE839" s="802"/>
      <c r="RAF839" s="802"/>
      <c r="RAG839" s="802"/>
      <c r="RAH839" s="802"/>
      <c r="RAI839" s="802"/>
      <c r="RAJ839" s="802"/>
      <c r="RAK839" s="802"/>
      <c r="RAL839" s="802"/>
      <c r="RAM839" s="802"/>
      <c r="RAN839" s="802"/>
      <c r="RAO839" s="802"/>
      <c r="RAP839" s="802"/>
      <c r="RAQ839" s="802"/>
      <c r="RAR839" s="802"/>
      <c r="RAS839" s="802"/>
      <c r="RAT839" s="802"/>
      <c r="RAU839" s="802"/>
      <c r="RAV839" s="802"/>
      <c r="RAW839" s="802"/>
      <c r="RAX839" s="802"/>
      <c r="RAY839" s="802"/>
      <c r="RAZ839" s="802"/>
      <c r="RBA839" s="802"/>
      <c r="RBB839" s="802"/>
      <c r="RBC839" s="802"/>
      <c r="RBD839" s="802"/>
      <c r="RBE839" s="802"/>
      <c r="RBF839" s="802"/>
      <c r="RBG839" s="802"/>
      <c r="RBH839" s="802"/>
      <c r="RBI839" s="802"/>
      <c r="RBJ839" s="802"/>
      <c r="RBK839" s="802"/>
      <c r="RBL839" s="802"/>
      <c r="RBM839" s="802"/>
      <c r="RBN839" s="802"/>
      <c r="RBO839" s="802"/>
      <c r="RBP839" s="802"/>
      <c r="RBQ839" s="802"/>
      <c r="RBR839" s="802"/>
      <c r="RBS839" s="802"/>
      <c r="RBT839" s="802"/>
      <c r="RBU839" s="802"/>
      <c r="RBV839" s="802"/>
      <c r="RBW839" s="802"/>
      <c r="RBX839" s="802"/>
      <c r="RBY839" s="802"/>
      <c r="RBZ839" s="802"/>
      <c r="RCA839" s="802"/>
      <c r="RCB839" s="802"/>
      <c r="RCC839" s="802"/>
      <c r="RCD839" s="802"/>
      <c r="RCE839" s="802"/>
      <c r="RCF839" s="802"/>
      <c r="RCG839" s="802"/>
      <c r="RCH839" s="802"/>
      <c r="RCI839" s="802"/>
      <c r="RCJ839" s="802"/>
      <c r="RCK839" s="802"/>
      <c r="RCL839" s="802"/>
      <c r="RCM839" s="802"/>
      <c r="RCN839" s="802"/>
      <c r="RCO839" s="802"/>
      <c r="RCP839" s="802"/>
      <c r="RCQ839" s="802"/>
      <c r="RCR839" s="802"/>
      <c r="RCS839" s="802"/>
      <c r="RCT839" s="802"/>
      <c r="RCU839" s="802"/>
      <c r="RCV839" s="802"/>
      <c r="RCW839" s="802"/>
      <c r="RCX839" s="802"/>
      <c r="RCY839" s="802"/>
      <c r="RCZ839" s="802"/>
      <c r="RDA839" s="802"/>
      <c r="RDB839" s="802"/>
      <c r="RDC839" s="802"/>
      <c r="RDD839" s="802"/>
      <c r="RDE839" s="802"/>
      <c r="RDF839" s="802"/>
      <c r="RDG839" s="802"/>
      <c r="RDH839" s="802"/>
      <c r="RDI839" s="802"/>
      <c r="RDJ839" s="802"/>
      <c r="RDK839" s="802"/>
      <c r="RDL839" s="802"/>
      <c r="RDM839" s="802"/>
      <c r="RDN839" s="802"/>
      <c r="RDO839" s="802"/>
      <c r="RDP839" s="802"/>
      <c r="RDQ839" s="802"/>
      <c r="RDR839" s="802"/>
      <c r="RDS839" s="802"/>
      <c r="RDT839" s="802"/>
      <c r="RDU839" s="802"/>
      <c r="RDV839" s="802"/>
      <c r="RDW839" s="802"/>
      <c r="RDX839" s="802"/>
      <c r="RDY839" s="802"/>
      <c r="RDZ839" s="802"/>
      <c r="REA839" s="802"/>
      <c r="REB839" s="802"/>
      <c r="REC839" s="802"/>
      <c r="RED839" s="802"/>
      <c r="REE839" s="802"/>
      <c r="REF839" s="802"/>
      <c r="REG839" s="802"/>
      <c r="REH839" s="802"/>
      <c r="REI839" s="802"/>
      <c r="REJ839" s="802"/>
      <c r="REK839" s="802"/>
      <c r="REL839" s="802"/>
      <c r="REM839" s="802"/>
      <c r="REN839" s="802"/>
      <c r="REO839" s="802"/>
      <c r="REP839" s="802"/>
      <c r="REQ839" s="802"/>
      <c r="RER839" s="802"/>
      <c r="RES839" s="802"/>
      <c r="RET839" s="802"/>
      <c r="REU839" s="802"/>
      <c r="REV839" s="802"/>
      <c r="REW839" s="802"/>
      <c r="REX839" s="802"/>
      <c r="REY839" s="802"/>
      <c r="REZ839" s="802"/>
      <c r="RFA839" s="802"/>
      <c r="RFB839" s="802"/>
      <c r="RFC839" s="802"/>
      <c r="RFD839" s="802"/>
      <c r="RFE839" s="802"/>
      <c r="RFF839" s="802"/>
      <c r="RFG839" s="802"/>
      <c r="RFH839" s="802"/>
      <c r="RFI839" s="802"/>
      <c r="RFJ839" s="802"/>
      <c r="RFK839" s="802"/>
      <c r="RFL839" s="802"/>
      <c r="RFM839" s="802"/>
      <c r="RFN839" s="802"/>
      <c r="RFO839" s="802"/>
      <c r="RFP839" s="802"/>
      <c r="RFQ839" s="802"/>
      <c r="RFR839" s="802"/>
      <c r="RFS839" s="802"/>
      <c r="RFT839" s="802"/>
      <c r="RFU839" s="802"/>
      <c r="RFV839" s="802"/>
      <c r="RFW839" s="802"/>
      <c r="RFX839" s="802"/>
      <c r="RFY839" s="802"/>
      <c r="RFZ839" s="802"/>
      <c r="RGA839" s="802"/>
      <c r="RGB839" s="802"/>
      <c r="RGC839" s="802"/>
      <c r="RGD839" s="802"/>
      <c r="RGE839" s="802"/>
      <c r="RGF839" s="802"/>
      <c r="RGG839" s="802"/>
      <c r="RGH839" s="802"/>
      <c r="RGI839" s="802"/>
      <c r="RGJ839" s="802"/>
      <c r="RGK839" s="802"/>
      <c r="RGL839" s="802"/>
      <c r="RGM839" s="802"/>
      <c r="RGN839" s="802"/>
      <c r="RGO839" s="802"/>
      <c r="RGP839" s="802"/>
      <c r="RGQ839" s="802"/>
      <c r="RGR839" s="802"/>
      <c r="RGS839" s="802"/>
      <c r="RGT839" s="802"/>
      <c r="RGU839" s="802"/>
      <c r="RGV839" s="802"/>
      <c r="RGW839" s="802"/>
      <c r="RGX839" s="802"/>
      <c r="RGY839" s="802"/>
      <c r="RGZ839" s="802"/>
      <c r="RHA839" s="802"/>
      <c r="RHB839" s="802"/>
      <c r="RHC839" s="802"/>
      <c r="RHD839" s="802"/>
      <c r="RHE839" s="802"/>
      <c r="RHF839" s="802"/>
      <c r="RHG839" s="802"/>
      <c r="RHH839" s="802"/>
      <c r="RHI839" s="802"/>
      <c r="RHJ839" s="802"/>
      <c r="RHK839" s="802"/>
      <c r="RHL839" s="802"/>
      <c r="RHM839" s="802"/>
      <c r="RHN839" s="802"/>
      <c r="RHO839" s="802"/>
      <c r="RHP839" s="802"/>
      <c r="RHQ839" s="802"/>
      <c r="RHR839" s="802"/>
      <c r="RHS839" s="802"/>
      <c r="RHT839" s="802"/>
      <c r="RHU839" s="802"/>
      <c r="RHV839" s="802"/>
      <c r="RHW839" s="802"/>
      <c r="RHX839" s="802"/>
      <c r="RHY839" s="802"/>
      <c r="RHZ839" s="802"/>
      <c r="RIA839" s="802"/>
      <c r="RIB839" s="802"/>
      <c r="RIC839" s="802"/>
      <c r="RID839" s="802"/>
      <c r="RIE839" s="802"/>
      <c r="RIF839" s="802"/>
      <c r="RIG839" s="802"/>
      <c r="RIH839" s="802"/>
      <c r="RII839" s="802"/>
      <c r="RIJ839" s="802"/>
      <c r="RIK839" s="802"/>
      <c r="RIL839" s="802"/>
      <c r="RIM839" s="802"/>
      <c r="RIN839" s="802"/>
      <c r="RIO839" s="802"/>
      <c r="RIP839" s="802"/>
      <c r="RIQ839" s="802"/>
      <c r="RIR839" s="802"/>
      <c r="RIS839" s="802"/>
      <c r="RIT839" s="802"/>
      <c r="RIU839" s="802"/>
      <c r="RIV839" s="802"/>
      <c r="RIW839" s="802"/>
      <c r="RIX839" s="802"/>
      <c r="RIY839" s="802"/>
      <c r="RIZ839" s="802"/>
      <c r="RJA839" s="802"/>
      <c r="RJB839" s="802"/>
      <c r="RJC839" s="802"/>
      <c r="RJD839" s="802"/>
      <c r="RJE839" s="802"/>
      <c r="RJF839" s="802"/>
      <c r="RJG839" s="802"/>
      <c r="RJH839" s="802"/>
      <c r="RJI839" s="802"/>
      <c r="RJJ839" s="802"/>
      <c r="RJK839" s="802"/>
      <c r="RJL839" s="802"/>
      <c r="RJM839" s="802"/>
      <c r="RJN839" s="802"/>
      <c r="RJO839" s="802"/>
      <c r="RJP839" s="802"/>
      <c r="RJQ839" s="802"/>
      <c r="RJR839" s="802"/>
      <c r="RJS839" s="802"/>
      <c r="RJT839" s="802"/>
      <c r="RJU839" s="802"/>
      <c r="RJV839" s="802"/>
      <c r="RJW839" s="802"/>
      <c r="RJX839" s="802"/>
      <c r="RJY839" s="802"/>
      <c r="RJZ839" s="802"/>
      <c r="RKA839" s="802"/>
      <c r="RKB839" s="802"/>
      <c r="RKC839" s="802"/>
      <c r="RKD839" s="802"/>
      <c r="RKE839" s="802"/>
      <c r="RKF839" s="802"/>
      <c r="RKG839" s="802"/>
      <c r="RKH839" s="802"/>
      <c r="RKI839" s="802"/>
      <c r="RKJ839" s="802"/>
      <c r="RKK839" s="802"/>
      <c r="RKL839" s="802"/>
      <c r="RKM839" s="802"/>
      <c r="RKN839" s="802"/>
      <c r="RKO839" s="802"/>
      <c r="RKP839" s="802"/>
      <c r="RKQ839" s="802"/>
      <c r="RKR839" s="802"/>
      <c r="RKS839" s="802"/>
      <c r="RKT839" s="802"/>
      <c r="RKU839" s="802"/>
      <c r="RKV839" s="802"/>
      <c r="RKW839" s="802"/>
      <c r="RKX839" s="802"/>
      <c r="RKY839" s="802"/>
      <c r="RKZ839" s="802"/>
      <c r="RLA839" s="802"/>
      <c r="RLB839" s="802"/>
      <c r="RLC839" s="802"/>
      <c r="RLD839" s="802"/>
      <c r="RLE839" s="802"/>
      <c r="RLF839" s="802"/>
      <c r="RLG839" s="802"/>
      <c r="RLH839" s="802"/>
      <c r="RLI839" s="802"/>
      <c r="RLJ839" s="802"/>
      <c r="RLK839" s="802"/>
      <c r="RLL839" s="802"/>
      <c r="RLM839" s="802"/>
      <c r="RLN839" s="802"/>
      <c r="RLO839" s="802"/>
      <c r="RLP839" s="802"/>
      <c r="RLQ839" s="802"/>
      <c r="RLR839" s="802"/>
      <c r="RLS839" s="802"/>
      <c r="RLT839" s="802"/>
      <c r="RLU839" s="802"/>
      <c r="RLV839" s="802"/>
      <c r="RLW839" s="802"/>
      <c r="RLX839" s="802"/>
      <c r="RLY839" s="802"/>
      <c r="RLZ839" s="802"/>
      <c r="RMA839" s="802"/>
      <c r="RMB839" s="802"/>
      <c r="RMC839" s="802"/>
      <c r="RMD839" s="802"/>
      <c r="RME839" s="802"/>
      <c r="RMF839" s="802"/>
      <c r="RMG839" s="802"/>
      <c r="RMH839" s="802"/>
      <c r="RMI839" s="802"/>
      <c r="RMJ839" s="802"/>
      <c r="RMK839" s="802"/>
      <c r="RML839" s="802"/>
      <c r="RMM839" s="802"/>
      <c r="RMN839" s="802"/>
      <c r="RMO839" s="802"/>
      <c r="RMP839" s="802"/>
      <c r="RMQ839" s="802"/>
      <c r="RMR839" s="802"/>
      <c r="RMS839" s="802"/>
      <c r="RMT839" s="802"/>
      <c r="RMU839" s="802"/>
      <c r="RMV839" s="802"/>
      <c r="RMW839" s="802"/>
      <c r="RMX839" s="802"/>
      <c r="RMY839" s="802"/>
      <c r="RMZ839" s="802"/>
      <c r="RNA839" s="802"/>
      <c r="RNB839" s="802"/>
      <c r="RNC839" s="802"/>
      <c r="RND839" s="802"/>
      <c r="RNE839" s="802"/>
      <c r="RNF839" s="802"/>
      <c r="RNG839" s="802"/>
      <c r="RNH839" s="802"/>
      <c r="RNI839" s="802"/>
      <c r="RNJ839" s="802"/>
      <c r="RNK839" s="802"/>
      <c r="RNL839" s="802"/>
      <c r="RNM839" s="802"/>
      <c r="RNN839" s="802"/>
      <c r="RNO839" s="802"/>
      <c r="RNP839" s="802"/>
      <c r="RNQ839" s="802"/>
      <c r="RNR839" s="802"/>
      <c r="RNS839" s="802"/>
      <c r="RNT839" s="802"/>
      <c r="RNU839" s="802"/>
      <c r="RNV839" s="802"/>
      <c r="RNW839" s="802"/>
      <c r="RNX839" s="802"/>
      <c r="RNY839" s="802"/>
      <c r="RNZ839" s="802"/>
      <c r="ROA839" s="802"/>
      <c r="ROB839" s="802"/>
      <c r="ROC839" s="802"/>
      <c r="ROD839" s="802"/>
      <c r="ROE839" s="802"/>
      <c r="ROF839" s="802"/>
      <c r="ROG839" s="802"/>
      <c r="ROH839" s="802"/>
      <c r="ROI839" s="802"/>
      <c r="ROJ839" s="802"/>
      <c r="ROK839" s="802"/>
      <c r="ROL839" s="802"/>
      <c r="ROM839" s="802"/>
      <c r="RON839" s="802"/>
      <c r="ROO839" s="802"/>
      <c r="ROP839" s="802"/>
      <c r="ROQ839" s="802"/>
      <c r="ROR839" s="802"/>
      <c r="ROS839" s="802"/>
      <c r="ROT839" s="802"/>
      <c r="ROU839" s="802"/>
      <c r="ROV839" s="802"/>
      <c r="ROW839" s="802"/>
      <c r="ROX839" s="802"/>
      <c r="ROY839" s="802"/>
      <c r="ROZ839" s="802"/>
      <c r="RPA839" s="802"/>
      <c r="RPB839" s="802"/>
      <c r="RPC839" s="802"/>
      <c r="RPD839" s="802"/>
      <c r="RPE839" s="802"/>
      <c r="RPF839" s="802"/>
      <c r="RPG839" s="802"/>
      <c r="RPH839" s="802"/>
      <c r="RPI839" s="802"/>
      <c r="RPJ839" s="802"/>
      <c r="RPK839" s="802"/>
      <c r="RPL839" s="802"/>
      <c r="RPM839" s="802"/>
      <c r="RPN839" s="802"/>
      <c r="RPO839" s="802"/>
      <c r="RPP839" s="802"/>
      <c r="RPQ839" s="802"/>
      <c r="RPR839" s="802"/>
      <c r="RPS839" s="802"/>
      <c r="RPT839" s="802"/>
      <c r="RPU839" s="802"/>
      <c r="RPV839" s="802"/>
      <c r="RPW839" s="802"/>
      <c r="RPX839" s="802"/>
      <c r="RPY839" s="802"/>
      <c r="RPZ839" s="802"/>
      <c r="RQA839" s="802"/>
      <c r="RQB839" s="802"/>
      <c r="RQC839" s="802"/>
      <c r="RQD839" s="802"/>
      <c r="RQE839" s="802"/>
      <c r="RQF839" s="802"/>
      <c r="RQG839" s="802"/>
      <c r="RQH839" s="802"/>
      <c r="RQI839" s="802"/>
      <c r="RQJ839" s="802"/>
      <c r="RQK839" s="802"/>
      <c r="RQL839" s="802"/>
      <c r="RQM839" s="802"/>
      <c r="RQN839" s="802"/>
      <c r="RQO839" s="802"/>
      <c r="RQP839" s="802"/>
      <c r="RQQ839" s="802"/>
      <c r="RQR839" s="802"/>
      <c r="RQS839" s="802"/>
      <c r="RQT839" s="802"/>
      <c r="RQU839" s="802"/>
      <c r="RQV839" s="802"/>
      <c r="RQW839" s="802"/>
      <c r="RQX839" s="802"/>
      <c r="RQY839" s="802"/>
      <c r="RQZ839" s="802"/>
      <c r="RRA839" s="802"/>
      <c r="RRB839" s="802"/>
      <c r="RRC839" s="802"/>
      <c r="RRD839" s="802"/>
      <c r="RRE839" s="802"/>
      <c r="RRF839" s="802"/>
      <c r="RRG839" s="802"/>
      <c r="RRH839" s="802"/>
      <c r="RRI839" s="802"/>
      <c r="RRJ839" s="802"/>
      <c r="RRK839" s="802"/>
      <c r="RRL839" s="802"/>
      <c r="RRM839" s="802"/>
      <c r="RRN839" s="802"/>
      <c r="RRO839" s="802"/>
      <c r="RRP839" s="802"/>
      <c r="RRQ839" s="802"/>
      <c r="RRR839" s="802"/>
      <c r="RRS839" s="802"/>
      <c r="RRT839" s="802"/>
      <c r="RRU839" s="802"/>
      <c r="RRV839" s="802"/>
      <c r="RRW839" s="802"/>
      <c r="RRX839" s="802"/>
      <c r="RRY839" s="802"/>
      <c r="RRZ839" s="802"/>
      <c r="RSA839" s="802"/>
      <c r="RSB839" s="802"/>
      <c r="RSC839" s="802"/>
      <c r="RSD839" s="802"/>
      <c r="RSE839" s="802"/>
      <c r="RSF839" s="802"/>
      <c r="RSG839" s="802"/>
      <c r="RSH839" s="802"/>
      <c r="RSI839" s="802"/>
      <c r="RSJ839" s="802"/>
      <c r="RSK839" s="802"/>
      <c r="RSL839" s="802"/>
      <c r="RSM839" s="802"/>
      <c r="RSN839" s="802"/>
      <c r="RSO839" s="802"/>
      <c r="RSP839" s="802"/>
      <c r="RSQ839" s="802"/>
      <c r="RSR839" s="802"/>
      <c r="RSS839" s="802"/>
      <c r="RST839" s="802"/>
      <c r="RSU839" s="802"/>
      <c r="RSV839" s="802"/>
      <c r="RSW839" s="802"/>
      <c r="RSX839" s="802"/>
      <c r="RSY839" s="802"/>
      <c r="RSZ839" s="802"/>
      <c r="RTA839" s="802"/>
      <c r="RTB839" s="802"/>
      <c r="RTC839" s="802"/>
      <c r="RTD839" s="802"/>
      <c r="RTE839" s="802"/>
      <c r="RTF839" s="802"/>
      <c r="RTG839" s="802"/>
      <c r="RTH839" s="802"/>
      <c r="RTI839" s="802"/>
      <c r="RTJ839" s="802"/>
      <c r="RTK839" s="802"/>
      <c r="RTL839" s="802"/>
      <c r="RTM839" s="802"/>
      <c r="RTN839" s="802"/>
      <c r="RTO839" s="802"/>
      <c r="RTP839" s="802"/>
      <c r="RTQ839" s="802"/>
      <c r="RTR839" s="802"/>
      <c r="RTS839" s="802"/>
      <c r="RTT839" s="802"/>
      <c r="RTU839" s="802"/>
      <c r="RTV839" s="802"/>
      <c r="RTW839" s="802"/>
      <c r="RTX839" s="802"/>
      <c r="RTY839" s="802"/>
      <c r="RTZ839" s="802"/>
      <c r="RUA839" s="802"/>
      <c r="RUB839" s="802"/>
      <c r="RUC839" s="802"/>
      <c r="RUD839" s="802"/>
      <c r="RUE839" s="802"/>
      <c r="RUF839" s="802"/>
      <c r="RUG839" s="802"/>
      <c r="RUH839" s="802"/>
      <c r="RUI839" s="802"/>
      <c r="RUJ839" s="802"/>
      <c r="RUK839" s="802"/>
      <c r="RUL839" s="802"/>
      <c r="RUM839" s="802"/>
      <c r="RUN839" s="802"/>
      <c r="RUO839" s="802"/>
      <c r="RUP839" s="802"/>
      <c r="RUQ839" s="802"/>
      <c r="RUR839" s="802"/>
      <c r="RUS839" s="802"/>
      <c r="RUT839" s="802"/>
      <c r="RUU839" s="802"/>
      <c r="RUV839" s="802"/>
      <c r="RUW839" s="802"/>
      <c r="RUX839" s="802"/>
      <c r="RUY839" s="802"/>
      <c r="RUZ839" s="802"/>
      <c r="RVA839" s="802"/>
      <c r="RVB839" s="802"/>
      <c r="RVC839" s="802"/>
      <c r="RVD839" s="802"/>
      <c r="RVE839" s="802"/>
      <c r="RVF839" s="802"/>
      <c r="RVG839" s="802"/>
      <c r="RVH839" s="802"/>
      <c r="RVI839" s="802"/>
      <c r="RVJ839" s="802"/>
      <c r="RVK839" s="802"/>
      <c r="RVL839" s="802"/>
      <c r="RVM839" s="802"/>
      <c r="RVN839" s="802"/>
      <c r="RVO839" s="802"/>
      <c r="RVP839" s="802"/>
      <c r="RVQ839" s="802"/>
      <c r="RVR839" s="802"/>
      <c r="RVS839" s="802"/>
      <c r="RVT839" s="802"/>
      <c r="RVU839" s="802"/>
      <c r="RVV839" s="802"/>
      <c r="RVW839" s="802"/>
      <c r="RVX839" s="802"/>
      <c r="RVY839" s="802"/>
      <c r="RVZ839" s="802"/>
      <c r="RWA839" s="802"/>
      <c r="RWB839" s="802"/>
      <c r="RWC839" s="802"/>
      <c r="RWD839" s="802"/>
      <c r="RWE839" s="802"/>
      <c r="RWF839" s="802"/>
      <c r="RWG839" s="802"/>
      <c r="RWH839" s="802"/>
      <c r="RWI839" s="802"/>
      <c r="RWJ839" s="802"/>
      <c r="RWK839" s="802"/>
      <c r="RWL839" s="802"/>
      <c r="RWM839" s="802"/>
      <c r="RWN839" s="802"/>
      <c r="RWO839" s="802"/>
      <c r="RWP839" s="802"/>
      <c r="RWQ839" s="802"/>
      <c r="RWR839" s="802"/>
      <c r="RWS839" s="802"/>
      <c r="RWT839" s="802"/>
      <c r="RWU839" s="802"/>
      <c r="RWV839" s="802"/>
      <c r="RWW839" s="802"/>
      <c r="RWX839" s="802"/>
      <c r="RWY839" s="802"/>
      <c r="RWZ839" s="802"/>
      <c r="RXA839" s="802"/>
      <c r="RXB839" s="802"/>
      <c r="RXC839" s="802"/>
      <c r="RXD839" s="802"/>
      <c r="RXE839" s="802"/>
      <c r="RXF839" s="802"/>
      <c r="RXG839" s="802"/>
      <c r="RXH839" s="802"/>
      <c r="RXI839" s="802"/>
      <c r="RXJ839" s="802"/>
      <c r="RXK839" s="802"/>
      <c r="RXL839" s="802"/>
      <c r="RXM839" s="802"/>
      <c r="RXN839" s="802"/>
      <c r="RXO839" s="802"/>
      <c r="RXP839" s="802"/>
      <c r="RXQ839" s="802"/>
      <c r="RXR839" s="802"/>
      <c r="RXS839" s="802"/>
      <c r="RXT839" s="802"/>
      <c r="RXU839" s="802"/>
      <c r="RXV839" s="802"/>
      <c r="RXW839" s="802"/>
      <c r="RXX839" s="802"/>
      <c r="RXY839" s="802"/>
      <c r="RXZ839" s="802"/>
      <c r="RYA839" s="802"/>
      <c r="RYB839" s="802"/>
      <c r="RYC839" s="802"/>
      <c r="RYD839" s="802"/>
      <c r="RYE839" s="802"/>
      <c r="RYF839" s="802"/>
      <c r="RYG839" s="802"/>
      <c r="RYH839" s="802"/>
      <c r="RYI839" s="802"/>
      <c r="RYJ839" s="802"/>
      <c r="RYK839" s="802"/>
      <c r="RYL839" s="802"/>
      <c r="RYM839" s="802"/>
      <c r="RYN839" s="802"/>
      <c r="RYO839" s="802"/>
      <c r="RYP839" s="802"/>
      <c r="RYQ839" s="802"/>
      <c r="RYR839" s="802"/>
      <c r="RYS839" s="802"/>
      <c r="RYT839" s="802"/>
      <c r="RYU839" s="802"/>
      <c r="RYV839" s="802"/>
      <c r="RYW839" s="802"/>
      <c r="RYX839" s="802"/>
      <c r="RYY839" s="802"/>
      <c r="RYZ839" s="802"/>
      <c r="RZA839" s="802"/>
      <c r="RZB839" s="802"/>
      <c r="RZC839" s="802"/>
      <c r="RZD839" s="802"/>
      <c r="RZE839" s="802"/>
      <c r="RZF839" s="802"/>
      <c r="RZG839" s="802"/>
      <c r="RZH839" s="802"/>
      <c r="RZI839" s="802"/>
      <c r="RZJ839" s="802"/>
      <c r="RZK839" s="802"/>
      <c r="RZL839" s="802"/>
      <c r="RZM839" s="802"/>
      <c r="RZN839" s="802"/>
      <c r="RZO839" s="802"/>
      <c r="RZP839" s="802"/>
      <c r="RZQ839" s="802"/>
      <c r="RZR839" s="802"/>
      <c r="RZS839" s="802"/>
      <c r="RZT839" s="802"/>
      <c r="RZU839" s="802"/>
      <c r="RZV839" s="802"/>
      <c r="RZW839" s="802"/>
      <c r="RZX839" s="802"/>
      <c r="RZY839" s="802"/>
      <c r="RZZ839" s="802"/>
      <c r="SAA839" s="802"/>
      <c r="SAB839" s="802"/>
      <c r="SAC839" s="802"/>
      <c r="SAD839" s="802"/>
      <c r="SAE839" s="802"/>
      <c r="SAF839" s="802"/>
      <c r="SAG839" s="802"/>
      <c r="SAH839" s="802"/>
      <c r="SAI839" s="802"/>
      <c r="SAJ839" s="802"/>
      <c r="SAK839" s="802"/>
      <c r="SAL839" s="802"/>
      <c r="SAM839" s="802"/>
      <c r="SAN839" s="802"/>
      <c r="SAO839" s="802"/>
      <c r="SAP839" s="802"/>
      <c r="SAQ839" s="802"/>
      <c r="SAR839" s="802"/>
      <c r="SAS839" s="802"/>
      <c r="SAT839" s="802"/>
      <c r="SAU839" s="802"/>
      <c r="SAV839" s="802"/>
      <c r="SAW839" s="802"/>
      <c r="SAX839" s="802"/>
      <c r="SAY839" s="802"/>
      <c r="SAZ839" s="802"/>
      <c r="SBA839" s="802"/>
      <c r="SBB839" s="802"/>
      <c r="SBC839" s="802"/>
      <c r="SBD839" s="802"/>
      <c r="SBE839" s="802"/>
      <c r="SBF839" s="802"/>
      <c r="SBG839" s="802"/>
      <c r="SBH839" s="802"/>
      <c r="SBI839" s="802"/>
      <c r="SBJ839" s="802"/>
      <c r="SBK839" s="802"/>
      <c r="SBL839" s="802"/>
      <c r="SBM839" s="802"/>
      <c r="SBN839" s="802"/>
      <c r="SBO839" s="802"/>
      <c r="SBP839" s="802"/>
      <c r="SBQ839" s="802"/>
      <c r="SBR839" s="802"/>
      <c r="SBS839" s="802"/>
      <c r="SBT839" s="802"/>
      <c r="SBU839" s="802"/>
      <c r="SBV839" s="802"/>
      <c r="SBW839" s="802"/>
      <c r="SBX839" s="802"/>
      <c r="SBY839" s="802"/>
      <c r="SBZ839" s="802"/>
      <c r="SCA839" s="802"/>
      <c r="SCB839" s="802"/>
      <c r="SCC839" s="802"/>
      <c r="SCD839" s="802"/>
      <c r="SCE839" s="802"/>
      <c r="SCF839" s="802"/>
      <c r="SCG839" s="802"/>
      <c r="SCH839" s="802"/>
      <c r="SCI839" s="802"/>
      <c r="SCJ839" s="802"/>
      <c r="SCK839" s="802"/>
      <c r="SCL839" s="802"/>
      <c r="SCM839" s="802"/>
      <c r="SCN839" s="802"/>
      <c r="SCO839" s="802"/>
      <c r="SCP839" s="802"/>
      <c r="SCQ839" s="802"/>
      <c r="SCR839" s="802"/>
      <c r="SCS839" s="802"/>
      <c r="SCT839" s="802"/>
      <c r="SCU839" s="802"/>
      <c r="SCV839" s="802"/>
      <c r="SCW839" s="802"/>
      <c r="SCX839" s="802"/>
      <c r="SCY839" s="802"/>
      <c r="SCZ839" s="802"/>
      <c r="SDA839" s="802"/>
      <c r="SDB839" s="802"/>
      <c r="SDC839" s="802"/>
      <c r="SDD839" s="802"/>
      <c r="SDE839" s="802"/>
      <c r="SDF839" s="802"/>
      <c r="SDG839" s="802"/>
      <c r="SDH839" s="802"/>
      <c r="SDI839" s="802"/>
      <c r="SDJ839" s="802"/>
      <c r="SDK839" s="802"/>
      <c r="SDL839" s="802"/>
      <c r="SDM839" s="802"/>
      <c r="SDN839" s="802"/>
      <c r="SDO839" s="802"/>
      <c r="SDP839" s="802"/>
      <c r="SDQ839" s="802"/>
      <c r="SDR839" s="802"/>
      <c r="SDS839" s="802"/>
      <c r="SDT839" s="802"/>
      <c r="SDU839" s="802"/>
      <c r="SDV839" s="802"/>
      <c r="SDW839" s="802"/>
      <c r="SDX839" s="802"/>
      <c r="SDY839" s="802"/>
      <c r="SDZ839" s="802"/>
      <c r="SEA839" s="802"/>
      <c r="SEB839" s="802"/>
      <c r="SEC839" s="802"/>
      <c r="SED839" s="802"/>
      <c r="SEE839" s="802"/>
      <c r="SEF839" s="802"/>
      <c r="SEG839" s="802"/>
      <c r="SEH839" s="802"/>
      <c r="SEI839" s="802"/>
      <c r="SEJ839" s="802"/>
      <c r="SEK839" s="802"/>
      <c r="SEL839" s="802"/>
      <c r="SEM839" s="802"/>
      <c r="SEN839" s="802"/>
      <c r="SEO839" s="802"/>
      <c r="SEP839" s="802"/>
      <c r="SEQ839" s="802"/>
      <c r="SER839" s="802"/>
      <c r="SES839" s="802"/>
      <c r="SET839" s="802"/>
      <c r="SEU839" s="802"/>
      <c r="SEV839" s="802"/>
      <c r="SEW839" s="802"/>
      <c r="SEX839" s="802"/>
      <c r="SEY839" s="802"/>
      <c r="SEZ839" s="802"/>
      <c r="SFA839" s="802"/>
      <c r="SFB839" s="802"/>
      <c r="SFC839" s="802"/>
      <c r="SFD839" s="802"/>
      <c r="SFE839" s="802"/>
      <c r="SFF839" s="802"/>
      <c r="SFG839" s="802"/>
      <c r="SFH839" s="802"/>
      <c r="SFI839" s="802"/>
      <c r="SFJ839" s="802"/>
      <c r="SFK839" s="802"/>
      <c r="SFL839" s="802"/>
      <c r="SFM839" s="802"/>
      <c r="SFN839" s="802"/>
      <c r="SFO839" s="802"/>
      <c r="SFP839" s="802"/>
      <c r="SFQ839" s="802"/>
      <c r="SFR839" s="802"/>
      <c r="SFS839" s="802"/>
      <c r="SFT839" s="802"/>
      <c r="SFU839" s="802"/>
      <c r="SFV839" s="802"/>
      <c r="SFW839" s="802"/>
      <c r="SFX839" s="802"/>
      <c r="SFY839" s="802"/>
      <c r="SFZ839" s="802"/>
      <c r="SGA839" s="802"/>
      <c r="SGB839" s="802"/>
      <c r="SGC839" s="802"/>
      <c r="SGD839" s="802"/>
      <c r="SGE839" s="802"/>
      <c r="SGF839" s="802"/>
      <c r="SGG839" s="802"/>
      <c r="SGH839" s="802"/>
      <c r="SGI839" s="802"/>
      <c r="SGJ839" s="802"/>
      <c r="SGK839" s="802"/>
      <c r="SGL839" s="802"/>
      <c r="SGM839" s="802"/>
      <c r="SGN839" s="802"/>
      <c r="SGO839" s="802"/>
      <c r="SGP839" s="802"/>
      <c r="SGQ839" s="802"/>
      <c r="SGR839" s="802"/>
      <c r="SGS839" s="802"/>
      <c r="SGT839" s="802"/>
      <c r="SGU839" s="802"/>
      <c r="SGV839" s="802"/>
      <c r="SGW839" s="802"/>
      <c r="SGX839" s="802"/>
      <c r="SGY839" s="802"/>
      <c r="SGZ839" s="802"/>
      <c r="SHA839" s="802"/>
      <c r="SHB839" s="802"/>
      <c r="SHC839" s="802"/>
      <c r="SHD839" s="802"/>
      <c r="SHE839" s="802"/>
      <c r="SHF839" s="802"/>
      <c r="SHG839" s="802"/>
      <c r="SHH839" s="802"/>
      <c r="SHI839" s="802"/>
      <c r="SHJ839" s="802"/>
      <c r="SHK839" s="802"/>
      <c r="SHL839" s="802"/>
      <c r="SHM839" s="802"/>
      <c r="SHN839" s="802"/>
      <c r="SHO839" s="802"/>
      <c r="SHP839" s="802"/>
      <c r="SHQ839" s="802"/>
      <c r="SHR839" s="802"/>
      <c r="SHS839" s="802"/>
      <c r="SHT839" s="802"/>
      <c r="SHU839" s="802"/>
      <c r="SHV839" s="802"/>
      <c r="SHW839" s="802"/>
      <c r="SHX839" s="802"/>
      <c r="SHY839" s="802"/>
      <c r="SHZ839" s="802"/>
      <c r="SIA839" s="802"/>
      <c r="SIB839" s="802"/>
      <c r="SIC839" s="802"/>
      <c r="SID839" s="802"/>
      <c r="SIE839" s="802"/>
      <c r="SIF839" s="802"/>
      <c r="SIG839" s="802"/>
      <c r="SIH839" s="802"/>
      <c r="SII839" s="802"/>
      <c r="SIJ839" s="802"/>
      <c r="SIK839" s="802"/>
      <c r="SIL839" s="802"/>
      <c r="SIM839" s="802"/>
      <c r="SIN839" s="802"/>
      <c r="SIO839" s="802"/>
      <c r="SIP839" s="802"/>
      <c r="SIQ839" s="802"/>
      <c r="SIR839" s="802"/>
      <c r="SIS839" s="802"/>
      <c r="SIT839" s="802"/>
      <c r="SIU839" s="802"/>
      <c r="SIV839" s="802"/>
      <c r="SIW839" s="802"/>
      <c r="SIX839" s="802"/>
      <c r="SIY839" s="802"/>
      <c r="SIZ839" s="802"/>
      <c r="SJA839" s="802"/>
      <c r="SJB839" s="802"/>
      <c r="SJC839" s="802"/>
      <c r="SJD839" s="802"/>
      <c r="SJE839" s="802"/>
      <c r="SJF839" s="802"/>
      <c r="SJG839" s="802"/>
      <c r="SJH839" s="802"/>
      <c r="SJI839" s="802"/>
      <c r="SJJ839" s="802"/>
      <c r="SJK839" s="802"/>
      <c r="SJL839" s="802"/>
      <c r="SJM839" s="802"/>
      <c r="SJN839" s="802"/>
      <c r="SJO839" s="802"/>
      <c r="SJP839" s="802"/>
      <c r="SJQ839" s="802"/>
      <c r="SJR839" s="802"/>
      <c r="SJS839" s="802"/>
      <c r="SJT839" s="802"/>
      <c r="SJU839" s="802"/>
      <c r="SJV839" s="802"/>
      <c r="SJW839" s="802"/>
      <c r="SJX839" s="802"/>
      <c r="SJY839" s="802"/>
      <c r="SJZ839" s="802"/>
      <c r="SKA839" s="802"/>
      <c r="SKB839" s="802"/>
      <c r="SKC839" s="802"/>
      <c r="SKD839" s="802"/>
      <c r="SKE839" s="802"/>
      <c r="SKF839" s="802"/>
      <c r="SKG839" s="802"/>
      <c r="SKH839" s="802"/>
      <c r="SKI839" s="802"/>
      <c r="SKJ839" s="802"/>
      <c r="SKK839" s="802"/>
      <c r="SKL839" s="802"/>
      <c r="SKM839" s="802"/>
      <c r="SKN839" s="802"/>
      <c r="SKO839" s="802"/>
      <c r="SKP839" s="802"/>
      <c r="SKQ839" s="802"/>
      <c r="SKR839" s="802"/>
      <c r="SKS839" s="802"/>
      <c r="SKT839" s="802"/>
      <c r="SKU839" s="802"/>
      <c r="SKV839" s="802"/>
      <c r="SKW839" s="802"/>
      <c r="SKX839" s="802"/>
      <c r="SKY839" s="802"/>
      <c r="SKZ839" s="802"/>
      <c r="SLA839" s="802"/>
      <c r="SLB839" s="802"/>
      <c r="SLC839" s="802"/>
      <c r="SLD839" s="802"/>
      <c r="SLE839" s="802"/>
      <c r="SLF839" s="802"/>
      <c r="SLG839" s="802"/>
      <c r="SLH839" s="802"/>
      <c r="SLI839" s="802"/>
      <c r="SLJ839" s="802"/>
      <c r="SLK839" s="802"/>
      <c r="SLL839" s="802"/>
      <c r="SLM839" s="802"/>
      <c r="SLN839" s="802"/>
      <c r="SLO839" s="802"/>
      <c r="SLP839" s="802"/>
      <c r="SLQ839" s="802"/>
      <c r="SLR839" s="802"/>
      <c r="SLS839" s="802"/>
      <c r="SLT839" s="802"/>
      <c r="SLU839" s="802"/>
      <c r="SLV839" s="802"/>
      <c r="SLW839" s="802"/>
      <c r="SLX839" s="802"/>
      <c r="SLY839" s="802"/>
      <c r="SLZ839" s="802"/>
      <c r="SMA839" s="802"/>
      <c r="SMB839" s="802"/>
      <c r="SMC839" s="802"/>
      <c r="SMD839" s="802"/>
      <c r="SME839" s="802"/>
      <c r="SMF839" s="802"/>
      <c r="SMG839" s="802"/>
      <c r="SMH839" s="802"/>
      <c r="SMI839" s="802"/>
      <c r="SMJ839" s="802"/>
      <c r="SMK839" s="802"/>
      <c r="SML839" s="802"/>
      <c r="SMM839" s="802"/>
      <c r="SMN839" s="802"/>
      <c r="SMO839" s="802"/>
      <c r="SMP839" s="802"/>
      <c r="SMQ839" s="802"/>
      <c r="SMR839" s="802"/>
      <c r="SMS839" s="802"/>
      <c r="SMT839" s="802"/>
      <c r="SMU839" s="802"/>
      <c r="SMV839" s="802"/>
      <c r="SMW839" s="802"/>
      <c r="SMX839" s="802"/>
      <c r="SMY839" s="802"/>
      <c r="SMZ839" s="802"/>
      <c r="SNA839" s="802"/>
      <c r="SNB839" s="802"/>
      <c r="SNC839" s="802"/>
      <c r="SND839" s="802"/>
      <c r="SNE839" s="802"/>
      <c r="SNF839" s="802"/>
      <c r="SNG839" s="802"/>
      <c r="SNH839" s="802"/>
      <c r="SNI839" s="802"/>
      <c r="SNJ839" s="802"/>
      <c r="SNK839" s="802"/>
      <c r="SNL839" s="802"/>
      <c r="SNM839" s="802"/>
      <c r="SNN839" s="802"/>
      <c r="SNO839" s="802"/>
      <c r="SNP839" s="802"/>
      <c r="SNQ839" s="802"/>
      <c r="SNR839" s="802"/>
      <c r="SNS839" s="802"/>
      <c r="SNT839" s="802"/>
      <c r="SNU839" s="802"/>
      <c r="SNV839" s="802"/>
      <c r="SNW839" s="802"/>
      <c r="SNX839" s="802"/>
      <c r="SNY839" s="802"/>
      <c r="SNZ839" s="802"/>
      <c r="SOA839" s="802"/>
      <c r="SOB839" s="802"/>
      <c r="SOC839" s="802"/>
      <c r="SOD839" s="802"/>
      <c r="SOE839" s="802"/>
      <c r="SOF839" s="802"/>
      <c r="SOG839" s="802"/>
      <c r="SOH839" s="802"/>
      <c r="SOI839" s="802"/>
      <c r="SOJ839" s="802"/>
      <c r="SOK839" s="802"/>
      <c r="SOL839" s="802"/>
      <c r="SOM839" s="802"/>
      <c r="SON839" s="802"/>
      <c r="SOO839" s="802"/>
      <c r="SOP839" s="802"/>
      <c r="SOQ839" s="802"/>
      <c r="SOR839" s="802"/>
      <c r="SOS839" s="802"/>
      <c r="SOT839" s="802"/>
      <c r="SOU839" s="802"/>
      <c r="SOV839" s="802"/>
      <c r="SOW839" s="802"/>
      <c r="SOX839" s="802"/>
      <c r="SOY839" s="802"/>
      <c r="SOZ839" s="802"/>
      <c r="SPA839" s="802"/>
      <c r="SPB839" s="802"/>
      <c r="SPC839" s="802"/>
      <c r="SPD839" s="802"/>
      <c r="SPE839" s="802"/>
      <c r="SPF839" s="802"/>
      <c r="SPG839" s="802"/>
      <c r="SPH839" s="802"/>
      <c r="SPI839" s="802"/>
      <c r="SPJ839" s="802"/>
      <c r="SPK839" s="802"/>
      <c r="SPL839" s="802"/>
      <c r="SPM839" s="802"/>
      <c r="SPN839" s="802"/>
      <c r="SPO839" s="802"/>
      <c r="SPP839" s="802"/>
      <c r="SPQ839" s="802"/>
      <c r="SPR839" s="802"/>
      <c r="SPS839" s="802"/>
      <c r="SPT839" s="802"/>
      <c r="SPU839" s="802"/>
      <c r="SPV839" s="802"/>
      <c r="SPW839" s="802"/>
      <c r="SPX839" s="802"/>
      <c r="SPY839" s="802"/>
      <c r="SPZ839" s="802"/>
      <c r="SQA839" s="802"/>
      <c r="SQB839" s="802"/>
      <c r="SQC839" s="802"/>
      <c r="SQD839" s="802"/>
      <c r="SQE839" s="802"/>
      <c r="SQF839" s="802"/>
      <c r="SQG839" s="802"/>
      <c r="SQH839" s="802"/>
      <c r="SQI839" s="802"/>
      <c r="SQJ839" s="802"/>
      <c r="SQK839" s="802"/>
      <c r="SQL839" s="802"/>
      <c r="SQM839" s="802"/>
      <c r="SQN839" s="802"/>
      <c r="SQO839" s="802"/>
      <c r="SQP839" s="802"/>
      <c r="SQQ839" s="802"/>
      <c r="SQR839" s="802"/>
      <c r="SQS839" s="802"/>
      <c r="SQT839" s="802"/>
      <c r="SQU839" s="802"/>
      <c r="SQV839" s="802"/>
      <c r="SQW839" s="802"/>
      <c r="SQX839" s="802"/>
      <c r="SQY839" s="802"/>
      <c r="SQZ839" s="802"/>
      <c r="SRA839" s="802"/>
      <c r="SRB839" s="802"/>
      <c r="SRC839" s="802"/>
      <c r="SRD839" s="802"/>
      <c r="SRE839" s="802"/>
      <c r="SRF839" s="802"/>
      <c r="SRG839" s="802"/>
      <c r="SRH839" s="802"/>
      <c r="SRI839" s="802"/>
      <c r="SRJ839" s="802"/>
      <c r="SRK839" s="802"/>
      <c r="SRL839" s="802"/>
      <c r="SRM839" s="802"/>
      <c r="SRN839" s="802"/>
      <c r="SRO839" s="802"/>
      <c r="SRP839" s="802"/>
      <c r="SRQ839" s="802"/>
      <c r="SRR839" s="802"/>
      <c r="SRS839" s="802"/>
      <c r="SRT839" s="802"/>
      <c r="SRU839" s="802"/>
      <c r="SRV839" s="802"/>
      <c r="SRW839" s="802"/>
      <c r="SRX839" s="802"/>
      <c r="SRY839" s="802"/>
      <c r="SRZ839" s="802"/>
      <c r="SSA839" s="802"/>
      <c r="SSB839" s="802"/>
      <c r="SSC839" s="802"/>
      <c r="SSD839" s="802"/>
      <c r="SSE839" s="802"/>
      <c r="SSF839" s="802"/>
      <c r="SSG839" s="802"/>
      <c r="SSH839" s="802"/>
      <c r="SSI839" s="802"/>
      <c r="SSJ839" s="802"/>
      <c r="SSK839" s="802"/>
      <c r="SSL839" s="802"/>
      <c r="SSM839" s="802"/>
      <c r="SSN839" s="802"/>
      <c r="SSO839" s="802"/>
      <c r="SSP839" s="802"/>
      <c r="SSQ839" s="802"/>
      <c r="SSR839" s="802"/>
      <c r="SSS839" s="802"/>
      <c r="SST839" s="802"/>
      <c r="SSU839" s="802"/>
      <c r="SSV839" s="802"/>
      <c r="SSW839" s="802"/>
      <c r="SSX839" s="802"/>
      <c r="SSY839" s="802"/>
      <c r="SSZ839" s="802"/>
      <c r="STA839" s="802"/>
      <c r="STB839" s="802"/>
      <c r="STC839" s="802"/>
      <c r="STD839" s="802"/>
      <c r="STE839" s="802"/>
      <c r="STF839" s="802"/>
      <c r="STG839" s="802"/>
      <c r="STH839" s="802"/>
      <c r="STI839" s="802"/>
      <c r="STJ839" s="802"/>
      <c r="STK839" s="802"/>
      <c r="STL839" s="802"/>
      <c r="STM839" s="802"/>
      <c r="STN839" s="802"/>
      <c r="STO839" s="802"/>
      <c r="STP839" s="802"/>
      <c r="STQ839" s="802"/>
      <c r="STR839" s="802"/>
      <c r="STS839" s="802"/>
      <c r="STT839" s="802"/>
      <c r="STU839" s="802"/>
      <c r="STV839" s="802"/>
      <c r="STW839" s="802"/>
      <c r="STX839" s="802"/>
      <c r="STY839" s="802"/>
      <c r="STZ839" s="802"/>
      <c r="SUA839" s="802"/>
      <c r="SUB839" s="802"/>
      <c r="SUC839" s="802"/>
      <c r="SUD839" s="802"/>
      <c r="SUE839" s="802"/>
      <c r="SUF839" s="802"/>
      <c r="SUG839" s="802"/>
      <c r="SUH839" s="802"/>
      <c r="SUI839" s="802"/>
      <c r="SUJ839" s="802"/>
      <c r="SUK839" s="802"/>
      <c r="SUL839" s="802"/>
      <c r="SUM839" s="802"/>
      <c r="SUN839" s="802"/>
      <c r="SUO839" s="802"/>
      <c r="SUP839" s="802"/>
      <c r="SUQ839" s="802"/>
      <c r="SUR839" s="802"/>
      <c r="SUS839" s="802"/>
      <c r="SUT839" s="802"/>
      <c r="SUU839" s="802"/>
      <c r="SUV839" s="802"/>
      <c r="SUW839" s="802"/>
      <c r="SUX839" s="802"/>
      <c r="SUY839" s="802"/>
      <c r="SUZ839" s="802"/>
      <c r="SVA839" s="802"/>
      <c r="SVB839" s="802"/>
      <c r="SVC839" s="802"/>
      <c r="SVD839" s="802"/>
      <c r="SVE839" s="802"/>
      <c r="SVF839" s="802"/>
      <c r="SVG839" s="802"/>
      <c r="SVH839" s="802"/>
      <c r="SVI839" s="802"/>
      <c r="SVJ839" s="802"/>
      <c r="SVK839" s="802"/>
      <c r="SVL839" s="802"/>
      <c r="SVM839" s="802"/>
      <c r="SVN839" s="802"/>
      <c r="SVO839" s="802"/>
      <c r="SVP839" s="802"/>
      <c r="SVQ839" s="802"/>
      <c r="SVR839" s="802"/>
      <c r="SVS839" s="802"/>
      <c r="SVT839" s="802"/>
      <c r="SVU839" s="802"/>
      <c r="SVV839" s="802"/>
      <c r="SVW839" s="802"/>
      <c r="SVX839" s="802"/>
      <c r="SVY839" s="802"/>
      <c r="SVZ839" s="802"/>
      <c r="SWA839" s="802"/>
      <c r="SWB839" s="802"/>
      <c r="SWC839" s="802"/>
      <c r="SWD839" s="802"/>
      <c r="SWE839" s="802"/>
      <c r="SWF839" s="802"/>
      <c r="SWG839" s="802"/>
      <c r="SWH839" s="802"/>
      <c r="SWI839" s="802"/>
      <c r="SWJ839" s="802"/>
      <c r="SWK839" s="802"/>
      <c r="SWL839" s="802"/>
      <c r="SWM839" s="802"/>
      <c r="SWN839" s="802"/>
      <c r="SWO839" s="802"/>
      <c r="SWP839" s="802"/>
      <c r="SWQ839" s="802"/>
      <c r="SWR839" s="802"/>
      <c r="SWS839" s="802"/>
      <c r="SWT839" s="802"/>
      <c r="SWU839" s="802"/>
      <c r="SWV839" s="802"/>
      <c r="SWW839" s="802"/>
      <c r="SWX839" s="802"/>
      <c r="SWY839" s="802"/>
      <c r="SWZ839" s="802"/>
      <c r="SXA839" s="802"/>
      <c r="SXB839" s="802"/>
      <c r="SXC839" s="802"/>
      <c r="SXD839" s="802"/>
      <c r="SXE839" s="802"/>
      <c r="SXF839" s="802"/>
      <c r="SXG839" s="802"/>
      <c r="SXH839" s="802"/>
      <c r="SXI839" s="802"/>
      <c r="SXJ839" s="802"/>
      <c r="SXK839" s="802"/>
      <c r="SXL839" s="802"/>
      <c r="SXM839" s="802"/>
      <c r="SXN839" s="802"/>
      <c r="SXO839" s="802"/>
      <c r="SXP839" s="802"/>
      <c r="SXQ839" s="802"/>
      <c r="SXR839" s="802"/>
      <c r="SXS839" s="802"/>
      <c r="SXT839" s="802"/>
      <c r="SXU839" s="802"/>
      <c r="SXV839" s="802"/>
      <c r="SXW839" s="802"/>
      <c r="SXX839" s="802"/>
      <c r="SXY839" s="802"/>
      <c r="SXZ839" s="802"/>
      <c r="SYA839" s="802"/>
      <c r="SYB839" s="802"/>
      <c r="SYC839" s="802"/>
      <c r="SYD839" s="802"/>
      <c r="SYE839" s="802"/>
      <c r="SYF839" s="802"/>
      <c r="SYG839" s="802"/>
      <c r="SYH839" s="802"/>
      <c r="SYI839" s="802"/>
      <c r="SYJ839" s="802"/>
      <c r="SYK839" s="802"/>
      <c r="SYL839" s="802"/>
      <c r="SYM839" s="802"/>
      <c r="SYN839" s="802"/>
      <c r="SYO839" s="802"/>
      <c r="SYP839" s="802"/>
      <c r="SYQ839" s="802"/>
      <c r="SYR839" s="802"/>
      <c r="SYS839" s="802"/>
      <c r="SYT839" s="802"/>
      <c r="SYU839" s="802"/>
      <c r="SYV839" s="802"/>
      <c r="SYW839" s="802"/>
      <c r="SYX839" s="802"/>
      <c r="SYY839" s="802"/>
      <c r="SYZ839" s="802"/>
      <c r="SZA839" s="802"/>
      <c r="SZB839" s="802"/>
      <c r="SZC839" s="802"/>
      <c r="SZD839" s="802"/>
      <c r="SZE839" s="802"/>
      <c r="SZF839" s="802"/>
      <c r="SZG839" s="802"/>
      <c r="SZH839" s="802"/>
      <c r="SZI839" s="802"/>
      <c r="SZJ839" s="802"/>
      <c r="SZK839" s="802"/>
      <c r="SZL839" s="802"/>
      <c r="SZM839" s="802"/>
      <c r="SZN839" s="802"/>
      <c r="SZO839" s="802"/>
      <c r="SZP839" s="802"/>
      <c r="SZQ839" s="802"/>
      <c r="SZR839" s="802"/>
      <c r="SZS839" s="802"/>
      <c r="SZT839" s="802"/>
      <c r="SZU839" s="802"/>
      <c r="SZV839" s="802"/>
      <c r="SZW839" s="802"/>
      <c r="SZX839" s="802"/>
      <c r="SZY839" s="802"/>
      <c r="SZZ839" s="802"/>
      <c r="TAA839" s="802"/>
      <c r="TAB839" s="802"/>
      <c r="TAC839" s="802"/>
      <c r="TAD839" s="802"/>
      <c r="TAE839" s="802"/>
      <c r="TAF839" s="802"/>
      <c r="TAG839" s="802"/>
      <c r="TAH839" s="802"/>
      <c r="TAI839" s="802"/>
      <c r="TAJ839" s="802"/>
      <c r="TAK839" s="802"/>
      <c r="TAL839" s="802"/>
      <c r="TAM839" s="802"/>
      <c r="TAN839" s="802"/>
      <c r="TAO839" s="802"/>
      <c r="TAP839" s="802"/>
      <c r="TAQ839" s="802"/>
      <c r="TAR839" s="802"/>
      <c r="TAS839" s="802"/>
      <c r="TAT839" s="802"/>
      <c r="TAU839" s="802"/>
      <c r="TAV839" s="802"/>
      <c r="TAW839" s="802"/>
      <c r="TAX839" s="802"/>
      <c r="TAY839" s="802"/>
      <c r="TAZ839" s="802"/>
      <c r="TBA839" s="802"/>
      <c r="TBB839" s="802"/>
      <c r="TBC839" s="802"/>
      <c r="TBD839" s="802"/>
      <c r="TBE839" s="802"/>
      <c r="TBF839" s="802"/>
      <c r="TBG839" s="802"/>
      <c r="TBH839" s="802"/>
      <c r="TBI839" s="802"/>
      <c r="TBJ839" s="802"/>
      <c r="TBK839" s="802"/>
      <c r="TBL839" s="802"/>
      <c r="TBM839" s="802"/>
      <c r="TBN839" s="802"/>
      <c r="TBO839" s="802"/>
      <c r="TBP839" s="802"/>
      <c r="TBQ839" s="802"/>
      <c r="TBR839" s="802"/>
      <c r="TBS839" s="802"/>
      <c r="TBT839" s="802"/>
      <c r="TBU839" s="802"/>
      <c r="TBV839" s="802"/>
      <c r="TBW839" s="802"/>
      <c r="TBX839" s="802"/>
      <c r="TBY839" s="802"/>
      <c r="TBZ839" s="802"/>
      <c r="TCA839" s="802"/>
      <c r="TCB839" s="802"/>
      <c r="TCC839" s="802"/>
      <c r="TCD839" s="802"/>
      <c r="TCE839" s="802"/>
      <c r="TCF839" s="802"/>
      <c r="TCG839" s="802"/>
      <c r="TCH839" s="802"/>
      <c r="TCI839" s="802"/>
      <c r="TCJ839" s="802"/>
      <c r="TCK839" s="802"/>
      <c r="TCL839" s="802"/>
      <c r="TCM839" s="802"/>
      <c r="TCN839" s="802"/>
      <c r="TCO839" s="802"/>
      <c r="TCP839" s="802"/>
      <c r="TCQ839" s="802"/>
      <c r="TCR839" s="802"/>
      <c r="TCS839" s="802"/>
      <c r="TCT839" s="802"/>
      <c r="TCU839" s="802"/>
      <c r="TCV839" s="802"/>
      <c r="TCW839" s="802"/>
      <c r="TCX839" s="802"/>
      <c r="TCY839" s="802"/>
      <c r="TCZ839" s="802"/>
      <c r="TDA839" s="802"/>
      <c r="TDB839" s="802"/>
      <c r="TDC839" s="802"/>
      <c r="TDD839" s="802"/>
      <c r="TDE839" s="802"/>
      <c r="TDF839" s="802"/>
      <c r="TDG839" s="802"/>
      <c r="TDH839" s="802"/>
      <c r="TDI839" s="802"/>
      <c r="TDJ839" s="802"/>
      <c r="TDK839" s="802"/>
      <c r="TDL839" s="802"/>
      <c r="TDM839" s="802"/>
      <c r="TDN839" s="802"/>
      <c r="TDO839" s="802"/>
      <c r="TDP839" s="802"/>
      <c r="TDQ839" s="802"/>
      <c r="TDR839" s="802"/>
      <c r="TDS839" s="802"/>
      <c r="TDT839" s="802"/>
      <c r="TDU839" s="802"/>
      <c r="TDV839" s="802"/>
      <c r="TDW839" s="802"/>
      <c r="TDX839" s="802"/>
      <c r="TDY839" s="802"/>
      <c r="TDZ839" s="802"/>
      <c r="TEA839" s="802"/>
      <c r="TEB839" s="802"/>
      <c r="TEC839" s="802"/>
      <c r="TED839" s="802"/>
      <c r="TEE839" s="802"/>
      <c r="TEF839" s="802"/>
      <c r="TEG839" s="802"/>
      <c r="TEH839" s="802"/>
      <c r="TEI839" s="802"/>
      <c r="TEJ839" s="802"/>
      <c r="TEK839" s="802"/>
      <c r="TEL839" s="802"/>
      <c r="TEM839" s="802"/>
      <c r="TEN839" s="802"/>
      <c r="TEO839" s="802"/>
      <c r="TEP839" s="802"/>
      <c r="TEQ839" s="802"/>
      <c r="TER839" s="802"/>
      <c r="TES839" s="802"/>
      <c r="TET839" s="802"/>
      <c r="TEU839" s="802"/>
      <c r="TEV839" s="802"/>
      <c r="TEW839" s="802"/>
      <c r="TEX839" s="802"/>
      <c r="TEY839" s="802"/>
      <c r="TEZ839" s="802"/>
      <c r="TFA839" s="802"/>
      <c r="TFB839" s="802"/>
      <c r="TFC839" s="802"/>
      <c r="TFD839" s="802"/>
      <c r="TFE839" s="802"/>
      <c r="TFF839" s="802"/>
      <c r="TFG839" s="802"/>
      <c r="TFH839" s="802"/>
      <c r="TFI839" s="802"/>
      <c r="TFJ839" s="802"/>
      <c r="TFK839" s="802"/>
      <c r="TFL839" s="802"/>
      <c r="TFM839" s="802"/>
      <c r="TFN839" s="802"/>
      <c r="TFO839" s="802"/>
      <c r="TFP839" s="802"/>
      <c r="TFQ839" s="802"/>
      <c r="TFR839" s="802"/>
      <c r="TFS839" s="802"/>
      <c r="TFT839" s="802"/>
      <c r="TFU839" s="802"/>
      <c r="TFV839" s="802"/>
      <c r="TFW839" s="802"/>
      <c r="TFX839" s="802"/>
      <c r="TFY839" s="802"/>
      <c r="TFZ839" s="802"/>
      <c r="TGA839" s="802"/>
      <c r="TGB839" s="802"/>
      <c r="TGC839" s="802"/>
      <c r="TGD839" s="802"/>
      <c r="TGE839" s="802"/>
      <c r="TGF839" s="802"/>
      <c r="TGG839" s="802"/>
      <c r="TGH839" s="802"/>
      <c r="TGI839" s="802"/>
      <c r="TGJ839" s="802"/>
      <c r="TGK839" s="802"/>
      <c r="TGL839" s="802"/>
      <c r="TGM839" s="802"/>
      <c r="TGN839" s="802"/>
      <c r="TGO839" s="802"/>
      <c r="TGP839" s="802"/>
      <c r="TGQ839" s="802"/>
      <c r="TGR839" s="802"/>
      <c r="TGS839" s="802"/>
      <c r="TGT839" s="802"/>
      <c r="TGU839" s="802"/>
      <c r="TGV839" s="802"/>
      <c r="TGW839" s="802"/>
      <c r="TGX839" s="802"/>
      <c r="TGY839" s="802"/>
      <c r="TGZ839" s="802"/>
      <c r="THA839" s="802"/>
      <c r="THB839" s="802"/>
      <c r="THC839" s="802"/>
      <c r="THD839" s="802"/>
      <c r="THE839" s="802"/>
      <c r="THF839" s="802"/>
      <c r="THG839" s="802"/>
      <c r="THH839" s="802"/>
      <c r="THI839" s="802"/>
      <c r="THJ839" s="802"/>
      <c r="THK839" s="802"/>
      <c r="THL839" s="802"/>
      <c r="THM839" s="802"/>
      <c r="THN839" s="802"/>
      <c r="THO839" s="802"/>
      <c r="THP839" s="802"/>
      <c r="THQ839" s="802"/>
      <c r="THR839" s="802"/>
      <c r="THS839" s="802"/>
      <c r="THT839" s="802"/>
      <c r="THU839" s="802"/>
      <c r="THV839" s="802"/>
      <c r="THW839" s="802"/>
      <c r="THX839" s="802"/>
      <c r="THY839" s="802"/>
      <c r="THZ839" s="802"/>
      <c r="TIA839" s="802"/>
      <c r="TIB839" s="802"/>
      <c r="TIC839" s="802"/>
      <c r="TID839" s="802"/>
      <c r="TIE839" s="802"/>
      <c r="TIF839" s="802"/>
      <c r="TIG839" s="802"/>
      <c r="TIH839" s="802"/>
      <c r="TII839" s="802"/>
      <c r="TIJ839" s="802"/>
      <c r="TIK839" s="802"/>
      <c r="TIL839" s="802"/>
      <c r="TIM839" s="802"/>
      <c r="TIN839" s="802"/>
      <c r="TIO839" s="802"/>
      <c r="TIP839" s="802"/>
      <c r="TIQ839" s="802"/>
      <c r="TIR839" s="802"/>
      <c r="TIS839" s="802"/>
      <c r="TIT839" s="802"/>
      <c r="TIU839" s="802"/>
      <c r="TIV839" s="802"/>
      <c r="TIW839" s="802"/>
      <c r="TIX839" s="802"/>
      <c r="TIY839" s="802"/>
      <c r="TIZ839" s="802"/>
      <c r="TJA839" s="802"/>
      <c r="TJB839" s="802"/>
      <c r="TJC839" s="802"/>
      <c r="TJD839" s="802"/>
      <c r="TJE839" s="802"/>
      <c r="TJF839" s="802"/>
      <c r="TJG839" s="802"/>
      <c r="TJH839" s="802"/>
      <c r="TJI839" s="802"/>
      <c r="TJJ839" s="802"/>
      <c r="TJK839" s="802"/>
      <c r="TJL839" s="802"/>
      <c r="TJM839" s="802"/>
      <c r="TJN839" s="802"/>
      <c r="TJO839" s="802"/>
      <c r="TJP839" s="802"/>
      <c r="TJQ839" s="802"/>
      <c r="TJR839" s="802"/>
      <c r="TJS839" s="802"/>
      <c r="TJT839" s="802"/>
      <c r="TJU839" s="802"/>
      <c r="TJV839" s="802"/>
      <c r="TJW839" s="802"/>
      <c r="TJX839" s="802"/>
      <c r="TJY839" s="802"/>
      <c r="TJZ839" s="802"/>
      <c r="TKA839" s="802"/>
      <c r="TKB839" s="802"/>
      <c r="TKC839" s="802"/>
      <c r="TKD839" s="802"/>
      <c r="TKE839" s="802"/>
      <c r="TKF839" s="802"/>
      <c r="TKG839" s="802"/>
      <c r="TKH839" s="802"/>
      <c r="TKI839" s="802"/>
      <c r="TKJ839" s="802"/>
      <c r="TKK839" s="802"/>
      <c r="TKL839" s="802"/>
      <c r="TKM839" s="802"/>
      <c r="TKN839" s="802"/>
      <c r="TKO839" s="802"/>
      <c r="TKP839" s="802"/>
      <c r="TKQ839" s="802"/>
      <c r="TKR839" s="802"/>
      <c r="TKS839" s="802"/>
      <c r="TKT839" s="802"/>
      <c r="TKU839" s="802"/>
      <c r="TKV839" s="802"/>
      <c r="TKW839" s="802"/>
      <c r="TKX839" s="802"/>
      <c r="TKY839" s="802"/>
      <c r="TKZ839" s="802"/>
      <c r="TLA839" s="802"/>
      <c r="TLB839" s="802"/>
      <c r="TLC839" s="802"/>
      <c r="TLD839" s="802"/>
      <c r="TLE839" s="802"/>
      <c r="TLF839" s="802"/>
      <c r="TLG839" s="802"/>
      <c r="TLH839" s="802"/>
      <c r="TLI839" s="802"/>
      <c r="TLJ839" s="802"/>
      <c r="TLK839" s="802"/>
      <c r="TLL839" s="802"/>
      <c r="TLM839" s="802"/>
      <c r="TLN839" s="802"/>
      <c r="TLO839" s="802"/>
      <c r="TLP839" s="802"/>
      <c r="TLQ839" s="802"/>
      <c r="TLR839" s="802"/>
      <c r="TLS839" s="802"/>
      <c r="TLT839" s="802"/>
      <c r="TLU839" s="802"/>
      <c r="TLV839" s="802"/>
      <c r="TLW839" s="802"/>
      <c r="TLX839" s="802"/>
      <c r="TLY839" s="802"/>
      <c r="TLZ839" s="802"/>
      <c r="TMA839" s="802"/>
      <c r="TMB839" s="802"/>
      <c r="TMC839" s="802"/>
      <c r="TMD839" s="802"/>
      <c r="TME839" s="802"/>
      <c r="TMF839" s="802"/>
      <c r="TMG839" s="802"/>
      <c r="TMH839" s="802"/>
      <c r="TMI839" s="802"/>
      <c r="TMJ839" s="802"/>
      <c r="TMK839" s="802"/>
      <c r="TML839" s="802"/>
      <c r="TMM839" s="802"/>
      <c r="TMN839" s="802"/>
      <c r="TMO839" s="802"/>
      <c r="TMP839" s="802"/>
      <c r="TMQ839" s="802"/>
      <c r="TMR839" s="802"/>
      <c r="TMS839" s="802"/>
      <c r="TMT839" s="802"/>
      <c r="TMU839" s="802"/>
      <c r="TMV839" s="802"/>
      <c r="TMW839" s="802"/>
      <c r="TMX839" s="802"/>
      <c r="TMY839" s="802"/>
      <c r="TMZ839" s="802"/>
      <c r="TNA839" s="802"/>
      <c r="TNB839" s="802"/>
      <c r="TNC839" s="802"/>
      <c r="TND839" s="802"/>
      <c r="TNE839" s="802"/>
      <c r="TNF839" s="802"/>
      <c r="TNG839" s="802"/>
      <c r="TNH839" s="802"/>
      <c r="TNI839" s="802"/>
      <c r="TNJ839" s="802"/>
      <c r="TNK839" s="802"/>
      <c r="TNL839" s="802"/>
      <c r="TNM839" s="802"/>
      <c r="TNN839" s="802"/>
      <c r="TNO839" s="802"/>
      <c r="TNP839" s="802"/>
      <c r="TNQ839" s="802"/>
      <c r="TNR839" s="802"/>
      <c r="TNS839" s="802"/>
      <c r="TNT839" s="802"/>
      <c r="TNU839" s="802"/>
      <c r="TNV839" s="802"/>
      <c r="TNW839" s="802"/>
      <c r="TNX839" s="802"/>
      <c r="TNY839" s="802"/>
      <c r="TNZ839" s="802"/>
      <c r="TOA839" s="802"/>
      <c r="TOB839" s="802"/>
      <c r="TOC839" s="802"/>
      <c r="TOD839" s="802"/>
      <c r="TOE839" s="802"/>
      <c r="TOF839" s="802"/>
      <c r="TOG839" s="802"/>
      <c r="TOH839" s="802"/>
      <c r="TOI839" s="802"/>
      <c r="TOJ839" s="802"/>
      <c r="TOK839" s="802"/>
      <c r="TOL839" s="802"/>
      <c r="TOM839" s="802"/>
      <c r="TON839" s="802"/>
      <c r="TOO839" s="802"/>
      <c r="TOP839" s="802"/>
      <c r="TOQ839" s="802"/>
      <c r="TOR839" s="802"/>
      <c r="TOS839" s="802"/>
      <c r="TOT839" s="802"/>
      <c r="TOU839" s="802"/>
      <c r="TOV839" s="802"/>
      <c r="TOW839" s="802"/>
      <c r="TOX839" s="802"/>
      <c r="TOY839" s="802"/>
      <c r="TOZ839" s="802"/>
      <c r="TPA839" s="802"/>
      <c r="TPB839" s="802"/>
      <c r="TPC839" s="802"/>
      <c r="TPD839" s="802"/>
      <c r="TPE839" s="802"/>
      <c r="TPF839" s="802"/>
      <c r="TPG839" s="802"/>
      <c r="TPH839" s="802"/>
      <c r="TPI839" s="802"/>
      <c r="TPJ839" s="802"/>
      <c r="TPK839" s="802"/>
      <c r="TPL839" s="802"/>
      <c r="TPM839" s="802"/>
      <c r="TPN839" s="802"/>
      <c r="TPO839" s="802"/>
      <c r="TPP839" s="802"/>
      <c r="TPQ839" s="802"/>
      <c r="TPR839" s="802"/>
      <c r="TPS839" s="802"/>
      <c r="TPT839" s="802"/>
      <c r="TPU839" s="802"/>
      <c r="TPV839" s="802"/>
      <c r="TPW839" s="802"/>
      <c r="TPX839" s="802"/>
      <c r="TPY839" s="802"/>
      <c r="TPZ839" s="802"/>
      <c r="TQA839" s="802"/>
      <c r="TQB839" s="802"/>
      <c r="TQC839" s="802"/>
      <c r="TQD839" s="802"/>
      <c r="TQE839" s="802"/>
      <c r="TQF839" s="802"/>
      <c r="TQG839" s="802"/>
      <c r="TQH839" s="802"/>
      <c r="TQI839" s="802"/>
      <c r="TQJ839" s="802"/>
      <c r="TQK839" s="802"/>
      <c r="TQL839" s="802"/>
      <c r="TQM839" s="802"/>
      <c r="TQN839" s="802"/>
      <c r="TQO839" s="802"/>
      <c r="TQP839" s="802"/>
      <c r="TQQ839" s="802"/>
      <c r="TQR839" s="802"/>
      <c r="TQS839" s="802"/>
      <c r="TQT839" s="802"/>
      <c r="TQU839" s="802"/>
      <c r="TQV839" s="802"/>
      <c r="TQW839" s="802"/>
      <c r="TQX839" s="802"/>
      <c r="TQY839" s="802"/>
      <c r="TQZ839" s="802"/>
      <c r="TRA839" s="802"/>
      <c r="TRB839" s="802"/>
      <c r="TRC839" s="802"/>
      <c r="TRD839" s="802"/>
      <c r="TRE839" s="802"/>
      <c r="TRF839" s="802"/>
      <c r="TRG839" s="802"/>
      <c r="TRH839" s="802"/>
      <c r="TRI839" s="802"/>
      <c r="TRJ839" s="802"/>
      <c r="TRK839" s="802"/>
      <c r="TRL839" s="802"/>
      <c r="TRM839" s="802"/>
      <c r="TRN839" s="802"/>
      <c r="TRO839" s="802"/>
      <c r="TRP839" s="802"/>
      <c r="TRQ839" s="802"/>
      <c r="TRR839" s="802"/>
      <c r="TRS839" s="802"/>
      <c r="TRT839" s="802"/>
      <c r="TRU839" s="802"/>
      <c r="TRV839" s="802"/>
      <c r="TRW839" s="802"/>
      <c r="TRX839" s="802"/>
      <c r="TRY839" s="802"/>
      <c r="TRZ839" s="802"/>
      <c r="TSA839" s="802"/>
      <c r="TSB839" s="802"/>
      <c r="TSC839" s="802"/>
      <c r="TSD839" s="802"/>
      <c r="TSE839" s="802"/>
      <c r="TSF839" s="802"/>
      <c r="TSG839" s="802"/>
      <c r="TSH839" s="802"/>
      <c r="TSI839" s="802"/>
      <c r="TSJ839" s="802"/>
      <c r="TSK839" s="802"/>
      <c r="TSL839" s="802"/>
      <c r="TSM839" s="802"/>
      <c r="TSN839" s="802"/>
      <c r="TSO839" s="802"/>
      <c r="TSP839" s="802"/>
      <c r="TSQ839" s="802"/>
      <c r="TSR839" s="802"/>
      <c r="TSS839" s="802"/>
      <c r="TST839" s="802"/>
      <c r="TSU839" s="802"/>
      <c r="TSV839" s="802"/>
      <c r="TSW839" s="802"/>
      <c r="TSX839" s="802"/>
      <c r="TSY839" s="802"/>
      <c r="TSZ839" s="802"/>
      <c r="TTA839" s="802"/>
      <c r="TTB839" s="802"/>
      <c r="TTC839" s="802"/>
      <c r="TTD839" s="802"/>
      <c r="TTE839" s="802"/>
      <c r="TTF839" s="802"/>
      <c r="TTG839" s="802"/>
      <c r="TTH839" s="802"/>
      <c r="TTI839" s="802"/>
      <c r="TTJ839" s="802"/>
      <c r="TTK839" s="802"/>
      <c r="TTL839" s="802"/>
      <c r="TTM839" s="802"/>
      <c r="TTN839" s="802"/>
      <c r="TTO839" s="802"/>
      <c r="TTP839" s="802"/>
      <c r="TTQ839" s="802"/>
      <c r="TTR839" s="802"/>
      <c r="TTS839" s="802"/>
      <c r="TTT839" s="802"/>
      <c r="TTU839" s="802"/>
      <c r="TTV839" s="802"/>
      <c r="TTW839" s="802"/>
      <c r="TTX839" s="802"/>
      <c r="TTY839" s="802"/>
      <c r="TTZ839" s="802"/>
      <c r="TUA839" s="802"/>
      <c r="TUB839" s="802"/>
      <c r="TUC839" s="802"/>
      <c r="TUD839" s="802"/>
      <c r="TUE839" s="802"/>
      <c r="TUF839" s="802"/>
      <c r="TUG839" s="802"/>
      <c r="TUH839" s="802"/>
      <c r="TUI839" s="802"/>
      <c r="TUJ839" s="802"/>
      <c r="TUK839" s="802"/>
      <c r="TUL839" s="802"/>
      <c r="TUM839" s="802"/>
      <c r="TUN839" s="802"/>
      <c r="TUO839" s="802"/>
      <c r="TUP839" s="802"/>
      <c r="TUQ839" s="802"/>
      <c r="TUR839" s="802"/>
      <c r="TUS839" s="802"/>
      <c r="TUT839" s="802"/>
      <c r="TUU839" s="802"/>
      <c r="TUV839" s="802"/>
      <c r="TUW839" s="802"/>
      <c r="TUX839" s="802"/>
      <c r="TUY839" s="802"/>
      <c r="TUZ839" s="802"/>
      <c r="TVA839" s="802"/>
      <c r="TVB839" s="802"/>
      <c r="TVC839" s="802"/>
      <c r="TVD839" s="802"/>
      <c r="TVE839" s="802"/>
      <c r="TVF839" s="802"/>
      <c r="TVG839" s="802"/>
      <c r="TVH839" s="802"/>
      <c r="TVI839" s="802"/>
      <c r="TVJ839" s="802"/>
      <c r="TVK839" s="802"/>
      <c r="TVL839" s="802"/>
      <c r="TVM839" s="802"/>
      <c r="TVN839" s="802"/>
      <c r="TVO839" s="802"/>
      <c r="TVP839" s="802"/>
      <c r="TVQ839" s="802"/>
      <c r="TVR839" s="802"/>
      <c r="TVS839" s="802"/>
      <c r="TVT839" s="802"/>
      <c r="TVU839" s="802"/>
      <c r="TVV839" s="802"/>
      <c r="TVW839" s="802"/>
      <c r="TVX839" s="802"/>
      <c r="TVY839" s="802"/>
      <c r="TVZ839" s="802"/>
      <c r="TWA839" s="802"/>
      <c r="TWB839" s="802"/>
      <c r="TWC839" s="802"/>
      <c r="TWD839" s="802"/>
      <c r="TWE839" s="802"/>
      <c r="TWF839" s="802"/>
      <c r="TWG839" s="802"/>
      <c r="TWH839" s="802"/>
      <c r="TWI839" s="802"/>
      <c r="TWJ839" s="802"/>
      <c r="TWK839" s="802"/>
      <c r="TWL839" s="802"/>
      <c r="TWM839" s="802"/>
      <c r="TWN839" s="802"/>
      <c r="TWO839" s="802"/>
      <c r="TWP839" s="802"/>
      <c r="TWQ839" s="802"/>
      <c r="TWR839" s="802"/>
      <c r="TWS839" s="802"/>
      <c r="TWT839" s="802"/>
      <c r="TWU839" s="802"/>
      <c r="TWV839" s="802"/>
      <c r="TWW839" s="802"/>
      <c r="TWX839" s="802"/>
      <c r="TWY839" s="802"/>
      <c r="TWZ839" s="802"/>
      <c r="TXA839" s="802"/>
      <c r="TXB839" s="802"/>
      <c r="TXC839" s="802"/>
      <c r="TXD839" s="802"/>
      <c r="TXE839" s="802"/>
      <c r="TXF839" s="802"/>
      <c r="TXG839" s="802"/>
      <c r="TXH839" s="802"/>
      <c r="TXI839" s="802"/>
      <c r="TXJ839" s="802"/>
      <c r="TXK839" s="802"/>
      <c r="TXL839" s="802"/>
      <c r="TXM839" s="802"/>
      <c r="TXN839" s="802"/>
      <c r="TXO839" s="802"/>
      <c r="TXP839" s="802"/>
      <c r="TXQ839" s="802"/>
      <c r="TXR839" s="802"/>
      <c r="TXS839" s="802"/>
      <c r="TXT839" s="802"/>
      <c r="TXU839" s="802"/>
      <c r="TXV839" s="802"/>
      <c r="TXW839" s="802"/>
      <c r="TXX839" s="802"/>
      <c r="TXY839" s="802"/>
      <c r="TXZ839" s="802"/>
      <c r="TYA839" s="802"/>
      <c r="TYB839" s="802"/>
      <c r="TYC839" s="802"/>
      <c r="TYD839" s="802"/>
      <c r="TYE839" s="802"/>
      <c r="TYF839" s="802"/>
      <c r="TYG839" s="802"/>
      <c r="TYH839" s="802"/>
      <c r="TYI839" s="802"/>
      <c r="TYJ839" s="802"/>
      <c r="TYK839" s="802"/>
      <c r="TYL839" s="802"/>
      <c r="TYM839" s="802"/>
      <c r="TYN839" s="802"/>
      <c r="TYO839" s="802"/>
      <c r="TYP839" s="802"/>
      <c r="TYQ839" s="802"/>
      <c r="TYR839" s="802"/>
      <c r="TYS839" s="802"/>
      <c r="TYT839" s="802"/>
      <c r="TYU839" s="802"/>
      <c r="TYV839" s="802"/>
      <c r="TYW839" s="802"/>
      <c r="TYX839" s="802"/>
      <c r="TYY839" s="802"/>
      <c r="TYZ839" s="802"/>
      <c r="TZA839" s="802"/>
      <c r="TZB839" s="802"/>
      <c r="TZC839" s="802"/>
      <c r="TZD839" s="802"/>
      <c r="TZE839" s="802"/>
      <c r="TZF839" s="802"/>
      <c r="TZG839" s="802"/>
      <c r="TZH839" s="802"/>
      <c r="TZI839" s="802"/>
      <c r="TZJ839" s="802"/>
      <c r="TZK839" s="802"/>
      <c r="TZL839" s="802"/>
      <c r="TZM839" s="802"/>
      <c r="TZN839" s="802"/>
      <c r="TZO839" s="802"/>
      <c r="TZP839" s="802"/>
      <c r="TZQ839" s="802"/>
      <c r="TZR839" s="802"/>
      <c r="TZS839" s="802"/>
      <c r="TZT839" s="802"/>
      <c r="TZU839" s="802"/>
      <c r="TZV839" s="802"/>
      <c r="TZW839" s="802"/>
      <c r="TZX839" s="802"/>
      <c r="TZY839" s="802"/>
      <c r="TZZ839" s="802"/>
      <c r="UAA839" s="802"/>
      <c r="UAB839" s="802"/>
      <c r="UAC839" s="802"/>
      <c r="UAD839" s="802"/>
      <c r="UAE839" s="802"/>
      <c r="UAF839" s="802"/>
      <c r="UAG839" s="802"/>
      <c r="UAH839" s="802"/>
      <c r="UAI839" s="802"/>
      <c r="UAJ839" s="802"/>
      <c r="UAK839" s="802"/>
      <c r="UAL839" s="802"/>
      <c r="UAM839" s="802"/>
      <c r="UAN839" s="802"/>
      <c r="UAO839" s="802"/>
      <c r="UAP839" s="802"/>
      <c r="UAQ839" s="802"/>
      <c r="UAR839" s="802"/>
      <c r="UAS839" s="802"/>
      <c r="UAT839" s="802"/>
      <c r="UAU839" s="802"/>
      <c r="UAV839" s="802"/>
      <c r="UAW839" s="802"/>
      <c r="UAX839" s="802"/>
      <c r="UAY839" s="802"/>
      <c r="UAZ839" s="802"/>
      <c r="UBA839" s="802"/>
      <c r="UBB839" s="802"/>
      <c r="UBC839" s="802"/>
      <c r="UBD839" s="802"/>
      <c r="UBE839" s="802"/>
      <c r="UBF839" s="802"/>
      <c r="UBG839" s="802"/>
      <c r="UBH839" s="802"/>
      <c r="UBI839" s="802"/>
      <c r="UBJ839" s="802"/>
      <c r="UBK839" s="802"/>
      <c r="UBL839" s="802"/>
      <c r="UBM839" s="802"/>
      <c r="UBN839" s="802"/>
      <c r="UBO839" s="802"/>
      <c r="UBP839" s="802"/>
      <c r="UBQ839" s="802"/>
      <c r="UBR839" s="802"/>
      <c r="UBS839" s="802"/>
      <c r="UBT839" s="802"/>
      <c r="UBU839" s="802"/>
      <c r="UBV839" s="802"/>
      <c r="UBW839" s="802"/>
      <c r="UBX839" s="802"/>
      <c r="UBY839" s="802"/>
      <c r="UBZ839" s="802"/>
      <c r="UCA839" s="802"/>
      <c r="UCB839" s="802"/>
      <c r="UCC839" s="802"/>
      <c r="UCD839" s="802"/>
      <c r="UCE839" s="802"/>
      <c r="UCF839" s="802"/>
      <c r="UCG839" s="802"/>
      <c r="UCH839" s="802"/>
      <c r="UCI839" s="802"/>
      <c r="UCJ839" s="802"/>
      <c r="UCK839" s="802"/>
      <c r="UCL839" s="802"/>
      <c r="UCM839" s="802"/>
      <c r="UCN839" s="802"/>
      <c r="UCO839" s="802"/>
      <c r="UCP839" s="802"/>
      <c r="UCQ839" s="802"/>
      <c r="UCR839" s="802"/>
      <c r="UCS839" s="802"/>
      <c r="UCT839" s="802"/>
      <c r="UCU839" s="802"/>
      <c r="UCV839" s="802"/>
      <c r="UCW839" s="802"/>
      <c r="UCX839" s="802"/>
      <c r="UCY839" s="802"/>
      <c r="UCZ839" s="802"/>
      <c r="UDA839" s="802"/>
      <c r="UDB839" s="802"/>
      <c r="UDC839" s="802"/>
      <c r="UDD839" s="802"/>
      <c r="UDE839" s="802"/>
      <c r="UDF839" s="802"/>
      <c r="UDG839" s="802"/>
      <c r="UDH839" s="802"/>
      <c r="UDI839" s="802"/>
      <c r="UDJ839" s="802"/>
      <c r="UDK839" s="802"/>
      <c r="UDL839" s="802"/>
      <c r="UDM839" s="802"/>
      <c r="UDN839" s="802"/>
      <c r="UDO839" s="802"/>
      <c r="UDP839" s="802"/>
      <c r="UDQ839" s="802"/>
      <c r="UDR839" s="802"/>
      <c r="UDS839" s="802"/>
      <c r="UDT839" s="802"/>
      <c r="UDU839" s="802"/>
      <c r="UDV839" s="802"/>
      <c r="UDW839" s="802"/>
      <c r="UDX839" s="802"/>
      <c r="UDY839" s="802"/>
      <c r="UDZ839" s="802"/>
      <c r="UEA839" s="802"/>
      <c r="UEB839" s="802"/>
      <c r="UEC839" s="802"/>
      <c r="UED839" s="802"/>
      <c r="UEE839" s="802"/>
      <c r="UEF839" s="802"/>
      <c r="UEG839" s="802"/>
      <c r="UEH839" s="802"/>
      <c r="UEI839" s="802"/>
      <c r="UEJ839" s="802"/>
      <c r="UEK839" s="802"/>
      <c r="UEL839" s="802"/>
      <c r="UEM839" s="802"/>
      <c r="UEN839" s="802"/>
      <c r="UEO839" s="802"/>
      <c r="UEP839" s="802"/>
      <c r="UEQ839" s="802"/>
      <c r="UER839" s="802"/>
      <c r="UES839" s="802"/>
      <c r="UET839" s="802"/>
      <c r="UEU839" s="802"/>
      <c r="UEV839" s="802"/>
      <c r="UEW839" s="802"/>
      <c r="UEX839" s="802"/>
      <c r="UEY839" s="802"/>
      <c r="UEZ839" s="802"/>
      <c r="UFA839" s="802"/>
      <c r="UFB839" s="802"/>
      <c r="UFC839" s="802"/>
      <c r="UFD839" s="802"/>
      <c r="UFE839" s="802"/>
      <c r="UFF839" s="802"/>
      <c r="UFG839" s="802"/>
      <c r="UFH839" s="802"/>
      <c r="UFI839" s="802"/>
      <c r="UFJ839" s="802"/>
      <c r="UFK839" s="802"/>
      <c r="UFL839" s="802"/>
      <c r="UFM839" s="802"/>
      <c r="UFN839" s="802"/>
      <c r="UFO839" s="802"/>
      <c r="UFP839" s="802"/>
      <c r="UFQ839" s="802"/>
      <c r="UFR839" s="802"/>
      <c r="UFS839" s="802"/>
      <c r="UFT839" s="802"/>
      <c r="UFU839" s="802"/>
      <c r="UFV839" s="802"/>
      <c r="UFW839" s="802"/>
      <c r="UFX839" s="802"/>
      <c r="UFY839" s="802"/>
      <c r="UFZ839" s="802"/>
      <c r="UGA839" s="802"/>
      <c r="UGB839" s="802"/>
      <c r="UGC839" s="802"/>
      <c r="UGD839" s="802"/>
      <c r="UGE839" s="802"/>
      <c r="UGF839" s="802"/>
      <c r="UGG839" s="802"/>
      <c r="UGH839" s="802"/>
      <c r="UGI839" s="802"/>
      <c r="UGJ839" s="802"/>
      <c r="UGK839" s="802"/>
      <c r="UGL839" s="802"/>
      <c r="UGM839" s="802"/>
      <c r="UGN839" s="802"/>
      <c r="UGO839" s="802"/>
      <c r="UGP839" s="802"/>
      <c r="UGQ839" s="802"/>
      <c r="UGR839" s="802"/>
      <c r="UGS839" s="802"/>
      <c r="UGT839" s="802"/>
      <c r="UGU839" s="802"/>
      <c r="UGV839" s="802"/>
      <c r="UGW839" s="802"/>
      <c r="UGX839" s="802"/>
      <c r="UGY839" s="802"/>
      <c r="UGZ839" s="802"/>
      <c r="UHA839" s="802"/>
      <c r="UHB839" s="802"/>
      <c r="UHC839" s="802"/>
      <c r="UHD839" s="802"/>
      <c r="UHE839" s="802"/>
      <c r="UHF839" s="802"/>
      <c r="UHG839" s="802"/>
      <c r="UHH839" s="802"/>
      <c r="UHI839" s="802"/>
      <c r="UHJ839" s="802"/>
      <c r="UHK839" s="802"/>
      <c r="UHL839" s="802"/>
      <c r="UHM839" s="802"/>
      <c r="UHN839" s="802"/>
      <c r="UHO839" s="802"/>
      <c r="UHP839" s="802"/>
      <c r="UHQ839" s="802"/>
      <c r="UHR839" s="802"/>
      <c r="UHS839" s="802"/>
      <c r="UHT839" s="802"/>
      <c r="UHU839" s="802"/>
      <c r="UHV839" s="802"/>
      <c r="UHW839" s="802"/>
      <c r="UHX839" s="802"/>
      <c r="UHY839" s="802"/>
      <c r="UHZ839" s="802"/>
      <c r="UIA839" s="802"/>
      <c r="UIB839" s="802"/>
      <c r="UIC839" s="802"/>
      <c r="UID839" s="802"/>
      <c r="UIE839" s="802"/>
      <c r="UIF839" s="802"/>
      <c r="UIG839" s="802"/>
      <c r="UIH839" s="802"/>
      <c r="UII839" s="802"/>
      <c r="UIJ839" s="802"/>
      <c r="UIK839" s="802"/>
      <c r="UIL839" s="802"/>
      <c r="UIM839" s="802"/>
      <c r="UIN839" s="802"/>
      <c r="UIO839" s="802"/>
      <c r="UIP839" s="802"/>
      <c r="UIQ839" s="802"/>
      <c r="UIR839" s="802"/>
      <c r="UIS839" s="802"/>
      <c r="UIT839" s="802"/>
      <c r="UIU839" s="802"/>
      <c r="UIV839" s="802"/>
      <c r="UIW839" s="802"/>
      <c r="UIX839" s="802"/>
      <c r="UIY839" s="802"/>
      <c r="UIZ839" s="802"/>
      <c r="UJA839" s="802"/>
      <c r="UJB839" s="802"/>
      <c r="UJC839" s="802"/>
      <c r="UJD839" s="802"/>
      <c r="UJE839" s="802"/>
      <c r="UJF839" s="802"/>
      <c r="UJG839" s="802"/>
      <c r="UJH839" s="802"/>
      <c r="UJI839" s="802"/>
      <c r="UJJ839" s="802"/>
      <c r="UJK839" s="802"/>
      <c r="UJL839" s="802"/>
      <c r="UJM839" s="802"/>
      <c r="UJN839" s="802"/>
      <c r="UJO839" s="802"/>
      <c r="UJP839" s="802"/>
      <c r="UJQ839" s="802"/>
      <c r="UJR839" s="802"/>
      <c r="UJS839" s="802"/>
      <c r="UJT839" s="802"/>
      <c r="UJU839" s="802"/>
      <c r="UJV839" s="802"/>
      <c r="UJW839" s="802"/>
      <c r="UJX839" s="802"/>
      <c r="UJY839" s="802"/>
      <c r="UJZ839" s="802"/>
      <c r="UKA839" s="802"/>
      <c r="UKB839" s="802"/>
      <c r="UKC839" s="802"/>
      <c r="UKD839" s="802"/>
      <c r="UKE839" s="802"/>
      <c r="UKF839" s="802"/>
      <c r="UKG839" s="802"/>
      <c r="UKH839" s="802"/>
      <c r="UKI839" s="802"/>
      <c r="UKJ839" s="802"/>
      <c r="UKK839" s="802"/>
      <c r="UKL839" s="802"/>
      <c r="UKM839" s="802"/>
      <c r="UKN839" s="802"/>
      <c r="UKO839" s="802"/>
      <c r="UKP839" s="802"/>
      <c r="UKQ839" s="802"/>
      <c r="UKR839" s="802"/>
      <c r="UKS839" s="802"/>
      <c r="UKT839" s="802"/>
      <c r="UKU839" s="802"/>
      <c r="UKV839" s="802"/>
      <c r="UKW839" s="802"/>
      <c r="UKX839" s="802"/>
      <c r="UKY839" s="802"/>
      <c r="UKZ839" s="802"/>
      <c r="ULA839" s="802"/>
      <c r="ULB839" s="802"/>
      <c r="ULC839" s="802"/>
      <c r="ULD839" s="802"/>
      <c r="ULE839" s="802"/>
      <c r="ULF839" s="802"/>
      <c r="ULG839" s="802"/>
      <c r="ULH839" s="802"/>
      <c r="ULI839" s="802"/>
      <c r="ULJ839" s="802"/>
      <c r="ULK839" s="802"/>
      <c r="ULL839" s="802"/>
      <c r="ULM839" s="802"/>
      <c r="ULN839" s="802"/>
      <c r="ULO839" s="802"/>
      <c r="ULP839" s="802"/>
      <c r="ULQ839" s="802"/>
      <c r="ULR839" s="802"/>
      <c r="ULS839" s="802"/>
      <c r="ULT839" s="802"/>
      <c r="ULU839" s="802"/>
      <c r="ULV839" s="802"/>
      <c r="ULW839" s="802"/>
      <c r="ULX839" s="802"/>
      <c r="ULY839" s="802"/>
      <c r="ULZ839" s="802"/>
      <c r="UMA839" s="802"/>
      <c r="UMB839" s="802"/>
      <c r="UMC839" s="802"/>
      <c r="UMD839" s="802"/>
      <c r="UME839" s="802"/>
      <c r="UMF839" s="802"/>
      <c r="UMG839" s="802"/>
      <c r="UMH839" s="802"/>
      <c r="UMI839" s="802"/>
      <c r="UMJ839" s="802"/>
      <c r="UMK839" s="802"/>
      <c r="UML839" s="802"/>
      <c r="UMM839" s="802"/>
      <c r="UMN839" s="802"/>
      <c r="UMO839" s="802"/>
      <c r="UMP839" s="802"/>
      <c r="UMQ839" s="802"/>
      <c r="UMR839" s="802"/>
      <c r="UMS839" s="802"/>
      <c r="UMT839" s="802"/>
      <c r="UMU839" s="802"/>
      <c r="UMV839" s="802"/>
      <c r="UMW839" s="802"/>
      <c r="UMX839" s="802"/>
      <c r="UMY839" s="802"/>
      <c r="UMZ839" s="802"/>
      <c r="UNA839" s="802"/>
      <c r="UNB839" s="802"/>
      <c r="UNC839" s="802"/>
      <c r="UND839" s="802"/>
      <c r="UNE839" s="802"/>
      <c r="UNF839" s="802"/>
      <c r="UNG839" s="802"/>
      <c r="UNH839" s="802"/>
      <c r="UNI839" s="802"/>
      <c r="UNJ839" s="802"/>
      <c r="UNK839" s="802"/>
      <c r="UNL839" s="802"/>
      <c r="UNM839" s="802"/>
      <c r="UNN839" s="802"/>
      <c r="UNO839" s="802"/>
      <c r="UNP839" s="802"/>
      <c r="UNQ839" s="802"/>
      <c r="UNR839" s="802"/>
      <c r="UNS839" s="802"/>
      <c r="UNT839" s="802"/>
      <c r="UNU839" s="802"/>
      <c r="UNV839" s="802"/>
      <c r="UNW839" s="802"/>
      <c r="UNX839" s="802"/>
      <c r="UNY839" s="802"/>
      <c r="UNZ839" s="802"/>
      <c r="UOA839" s="802"/>
      <c r="UOB839" s="802"/>
      <c r="UOC839" s="802"/>
      <c r="UOD839" s="802"/>
      <c r="UOE839" s="802"/>
      <c r="UOF839" s="802"/>
      <c r="UOG839" s="802"/>
      <c r="UOH839" s="802"/>
      <c r="UOI839" s="802"/>
      <c r="UOJ839" s="802"/>
      <c r="UOK839" s="802"/>
      <c r="UOL839" s="802"/>
      <c r="UOM839" s="802"/>
      <c r="UON839" s="802"/>
      <c r="UOO839" s="802"/>
      <c r="UOP839" s="802"/>
      <c r="UOQ839" s="802"/>
      <c r="UOR839" s="802"/>
      <c r="UOS839" s="802"/>
      <c r="UOT839" s="802"/>
      <c r="UOU839" s="802"/>
      <c r="UOV839" s="802"/>
      <c r="UOW839" s="802"/>
      <c r="UOX839" s="802"/>
      <c r="UOY839" s="802"/>
      <c r="UOZ839" s="802"/>
      <c r="UPA839" s="802"/>
      <c r="UPB839" s="802"/>
      <c r="UPC839" s="802"/>
      <c r="UPD839" s="802"/>
      <c r="UPE839" s="802"/>
      <c r="UPF839" s="802"/>
      <c r="UPG839" s="802"/>
      <c r="UPH839" s="802"/>
      <c r="UPI839" s="802"/>
      <c r="UPJ839" s="802"/>
      <c r="UPK839" s="802"/>
      <c r="UPL839" s="802"/>
      <c r="UPM839" s="802"/>
      <c r="UPN839" s="802"/>
      <c r="UPO839" s="802"/>
      <c r="UPP839" s="802"/>
      <c r="UPQ839" s="802"/>
      <c r="UPR839" s="802"/>
      <c r="UPS839" s="802"/>
      <c r="UPT839" s="802"/>
      <c r="UPU839" s="802"/>
      <c r="UPV839" s="802"/>
      <c r="UPW839" s="802"/>
      <c r="UPX839" s="802"/>
      <c r="UPY839" s="802"/>
      <c r="UPZ839" s="802"/>
      <c r="UQA839" s="802"/>
      <c r="UQB839" s="802"/>
      <c r="UQC839" s="802"/>
      <c r="UQD839" s="802"/>
      <c r="UQE839" s="802"/>
      <c r="UQF839" s="802"/>
      <c r="UQG839" s="802"/>
      <c r="UQH839" s="802"/>
      <c r="UQI839" s="802"/>
      <c r="UQJ839" s="802"/>
      <c r="UQK839" s="802"/>
      <c r="UQL839" s="802"/>
      <c r="UQM839" s="802"/>
      <c r="UQN839" s="802"/>
      <c r="UQO839" s="802"/>
      <c r="UQP839" s="802"/>
      <c r="UQQ839" s="802"/>
      <c r="UQR839" s="802"/>
      <c r="UQS839" s="802"/>
      <c r="UQT839" s="802"/>
      <c r="UQU839" s="802"/>
      <c r="UQV839" s="802"/>
      <c r="UQW839" s="802"/>
      <c r="UQX839" s="802"/>
      <c r="UQY839" s="802"/>
      <c r="UQZ839" s="802"/>
      <c r="URA839" s="802"/>
      <c r="URB839" s="802"/>
      <c r="URC839" s="802"/>
      <c r="URD839" s="802"/>
      <c r="URE839" s="802"/>
      <c r="URF839" s="802"/>
      <c r="URG839" s="802"/>
      <c r="URH839" s="802"/>
      <c r="URI839" s="802"/>
      <c r="URJ839" s="802"/>
      <c r="URK839" s="802"/>
      <c r="URL839" s="802"/>
      <c r="URM839" s="802"/>
      <c r="URN839" s="802"/>
      <c r="URO839" s="802"/>
      <c r="URP839" s="802"/>
      <c r="URQ839" s="802"/>
      <c r="URR839" s="802"/>
      <c r="URS839" s="802"/>
      <c r="URT839" s="802"/>
      <c r="URU839" s="802"/>
      <c r="URV839" s="802"/>
      <c r="URW839" s="802"/>
      <c r="URX839" s="802"/>
      <c r="URY839" s="802"/>
      <c r="URZ839" s="802"/>
      <c r="USA839" s="802"/>
      <c r="USB839" s="802"/>
      <c r="USC839" s="802"/>
      <c r="USD839" s="802"/>
      <c r="USE839" s="802"/>
      <c r="USF839" s="802"/>
      <c r="USG839" s="802"/>
      <c r="USH839" s="802"/>
      <c r="USI839" s="802"/>
      <c r="USJ839" s="802"/>
      <c r="USK839" s="802"/>
      <c r="USL839" s="802"/>
      <c r="USM839" s="802"/>
      <c r="USN839" s="802"/>
      <c r="USO839" s="802"/>
      <c r="USP839" s="802"/>
      <c r="USQ839" s="802"/>
      <c r="USR839" s="802"/>
      <c r="USS839" s="802"/>
      <c r="UST839" s="802"/>
      <c r="USU839" s="802"/>
      <c r="USV839" s="802"/>
      <c r="USW839" s="802"/>
      <c r="USX839" s="802"/>
      <c r="USY839" s="802"/>
      <c r="USZ839" s="802"/>
      <c r="UTA839" s="802"/>
      <c r="UTB839" s="802"/>
      <c r="UTC839" s="802"/>
      <c r="UTD839" s="802"/>
      <c r="UTE839" s="802"/>
      <c r="UTF839" s="802"/>
      <c r="UTG839" s="802"/>
      <c r="UTH839" s="802"/>
      <c r="UTI839" s="802"/>
      <c r="UTJ839" s="802"/>
      <c r="UTK839" s="802"/>
      <c r="UTL839" s="802"/>
      <c r="UTM839" s="802"/>
      <c r="UTN839" s="802"/>
      <c r="UTO839" s="802"/>
      <c r="UTP839" s="802"/>
      <c r="UTQ839" s="802"/>
      <c r="UTR839" s="802"/>
      <c r="UTS839" s="802"/>
      <c r="UTT839" s="802"/>
      <c r="UTU839" s="802"/>
      <c r="UTV839" s="802"/>
      <c r="UTW839" s="802"/>
      <c r="UTX839" s="802"/>
      <c r="UTY839" s="802"/>
      <c r="UTZ839" s="802"/>
      <c r="UUA839" s="802"/>
      <c r="UUB839" s="802"/>
      <c r="UUC839" s="802"/>
      <c r="UUD839" s="802"/>
      <c r="UUE839" s="802"/>
      <c r="UUF839" s="802"/>
      <c r="UUG839" s="802"/>
      <c r="UUH839" s="802"/>
      <c r="UUI839" s="802"/>
      <c r="UUJ839" s="802"/>
      <c r="UUK839" s="802"/>
      <c r="UUL839" s="802"/>
      <c r="UUM839" s="802"/>
      <c r="UUN839" s="802"/>
      <c r="UUO839" s="802"/>
      <c r="UUP839" s="802"/>
      <c r="UUQ839" s="802"/>
      <c r="UUR839" s="802"/>
      <c r="UUS839" s="802"/>
      <c r="UUT839" s="802"/>
      <c r="UUU839" s="802"/>
      <c r="UUV839" s="802"/>
      <c r="UUW839" s="802"/>
      <c r="UUX839" s="802"/>
      <c r="UUY839" s="802"/>
      <c r="UUZ839" s="802"/>
      <c r="UVA839" s="802"/>
      <c r="UVB839" s="802"/>
      <c r="UVC839" s="802"/>
      <c r="UVD839" s="802"/>
      <c r="UVE839" s="802"/>
      <c r="UVF839" s="802"/>
      <c r="UVG839" s="802"/>
      <c r="UVH839" s="802"/>
      <c r="UVI839" s="802"/>
      <c r="UVJ839" s="802"/>
      <c r="UVK839" s="802"/>
      <c r="UVL839" s="802"/>
      <c r="UVM839" s="802"/>
      <c r="UVN839" s="802"/>
      <c r="UVO839" s="802"/>
      <c r="UVP839" s="802"/>
      <c r="UVQ839" s="802"/>
      <c r="UVR839" s="802"/>
      <c r="UVS839" s="802"/>
      <c r="UVT839" s="802"/>
      <c r="UVU839" s="802"/>
      <c r="UVV839" s="802"/>
      <c r="UVW839" s="802"/>
      <c r="UVX839" s="802"/>
      <c r="UVY839" s="802"/>
      <c r="UVZ839" s="802"/>
      <c r="UWA839" s="802"/>
      <c r="UWB839" s="802"/>
      <c r="UWC839" s="802"/>
      <c r="UWD839" s="802"/>
      <c r="UWE839" s="802"/>
      <c r="UWF839" s="802"/>
      <c r="UWG839" s="802"/>
      <c r="UWH839" s="802"/>
      <c r="UWI839" s="802"/>
      <c r="UWJ839" s="802"/>
      <c r="UWK839" s="802"/>
      <c r="UWL839" s="802"/>
      <c r="UWM839" s="802"/>
      <c r="UWN839" s="802"/>
      <c r="UWO839" s="802"/>
      <c r="UWP839" s="802"/>
      <c r="UWQ839" s="802"/>
      <c r="UWR839" s="802"/>
      <c r="UWS839" s="802"/>
      <c r="UWT839" s="802"/>
      <c r="UWU839" s="802"/>
      <c r="UWV839" s="802"/>
      <c r="UWW839" s="802"/>
      <c r="UWX839" s="802"/>
      <c r="UWY839" s="802"/>
      <c r="UWZ839" s="802"/>
      <c r="UXA839" s="802"/>
      <c r="UXB839" s="802"/>
      <c r="UXC839" s="802"/>
      <c r="UXD839" s="802"/>
      <c r="UXE839" s="802"/>
      <c r="UXF839" s="802"/>
      <c r="UXG839" s="802"/>
      <c r="UXH839" s="802"/>
      <c r="UXI839" s="802"/>
      <c r="UXJ839" s="802"/>
      <c r="UXK839" s="802"/>
      <c r="UXL839" s="802"/>
      <c r="UXM839" s="802"/>
      <c r="UXN839" s="802"/>
      <c r="UXO839" s="802"/>
      <c r="UXP839" s="802"/>
      <c r="UXQ839" s="802"/>
      <c r="UXR839" s="802"/>
      <c r="UXS839" s="802"/>
      <c r="UXT839" s="802"/>
      <c r="UXU839" s="802"/>
      <c r="UXV839" s="802"/>
      <c r="UXW839" s="802"/>
      <c r="UXX839" s="802"/>
      <c r="UXY839" s="802"/>
      <c r="UXZ839" s="802"/>
      <c r="UYA839" s="802"/>
      <c r="UYB839" s="802"/>
      <c r="UYC839" s="802"/>
      <c r="UYD839" s="802"/>
      <c r="UYE839" s="802"/>
      <c r="UYF839" s="802"/>
      <c r="UYG839" s="802"/>
      <c r="UYH839" s="802"/>
      <c r="UYI839" s="802"/>
      <c r="UYJ839" s="802"/>
      <c r="UYK839" s="802"/>
      <c r="UYL839" s="802"/>
      <c r="UYM839" s="802"/>
      <c r="UYN839" s="802"/>
      <c r="UYO839" s="802"/>
      <c r="UYP839" s="802"/>
      <c r="UYQ839" s="802"/>
      <c r="UYR839" s="802"/>
      <c r="UYS839" s="802"/>
      <c r="UYT839" s="802"/>
      <c r="UYU839" s="802"/>
      <c r="UYV839" s="802"/>
      <c r="UYW839" s="802"/>
      <c r="UYX839" s="802"/>
      <c r="UYY839" s="802"/>
      <c r="UYZ839" s="802"/>
      <c r="UZA839" s="802"/>
      <c r="UZB839" s="802"/>
      <c r="UZC839" s="802"/>
      <c r="UZD839" s="802"/>
      <c r="UZE839" s="802"/>
      <c r="UZF839" s="802"/>
      <c r="UZG839" s="802"/>
      <c r="UZH839" s="802"/>
      <c r="UZI839" s="802"/>
      <c r="UZJ839" s="802"/>
      <c r="UZK839" s="802"/>
      <c r="UZL839" s="802"/>
      <c r="UZM839" s="802"/>
      <c r="UZN839" s="802"/>
      <c r="UZO839" s="802"/>
      <c r="UZP839" s="802"/>
      <c r="UZQ839" s="802"/>
      <c r="UZR839" s="802"/>
      <c r="UZS839" s="802"/>
      <c r="UZT839" s="802"/>
      <c r="UZU839" s="802"/>
      <c r="UZV839" s="802"/>
      <c r="UZW839" s="802"/>
      <c r="UZX839" s="802"/>
      <c r="UZY839" s="802"/>
      <c r="UZZ839" s="802"/>
      <c r="VAA839" s="802"/>
      <c r="VAB839" s="802"/>
      <c r="VAC839" s="802"/>
      <c r="VAD839" s="802"/>
      <c r="VAE839" s="802"/>
      <c r="VAF839" s="802"/>
      <c r="VAG839" s="802"/>
      <c r="VAH839" s="802"/>
      <c r="VAI839" s="802"/>
      <c r="VAJ839" s="802"/>
      <c r="VAK839" s="802"/>
      <c r="VAL839" s="802"/>
      <c r="VAM839" s="802"/>
      <c r="VAN839" s="802"/>
      <c r="VAO839" s="802"/>
      <c r="VAP839" s="802"/>
      <c r="VAQ839" s="802"/>
      <c r="VAR839" s="802"/>
      <c r="VAS839" s="802"/>
      <c r="VAT839" s="802"/>
      <c r="VAU839" s="802"/>
      <c r="VAV839" s="802"/>
      <c r="VAW839" s="802"/>
      <c r="VAX839" s="802"/>
      <c r="VAY839" s="802"/>
      <c r="VAZ839" s="802"/>
      <c r="VBA839" s="802"/>
      <c r="VBB839" s="802"/>
      <c r="VBC839" s="802"/>
      <c r="VBD839" s="802"/>
      <c r="VBE839" s="802"/>
      <c r="VBF839" s="802"/>
      <c r="VBG839" s="802"/>
      <c r="VBH839" s="802"/>
      <c r="VBI839" s="802"/>
      <c r="VBJ839" s="802"/>
      <c r="VBK839" s="802"/>
      <c r="VBL839" s="802"/>
      <c r="VBM839" s="802"/>
      <c r="VBN839" s="802"/>
      <c r="VBO839" s="802"/>
      <c r="VBP839" s="802"/>
      <c r="VBQ839" s="802"/>
      <c r="VBR839" s="802"/>
      <c r="VBS839" s="802"/>
      <c r="VBT839" s="802"/>
      <c r="VBU839" s="802"/>
      <c r="VBV839" s="802"/>
      <c r="VBW839" s="802"/>
      <c r="VBX839" s="802"/>
      <c r="VBY839" s="802"/>
      <c r="VBZ839" s="802"/>
      <c r="VCA839" s="802"/>
      <c r="VCB839" s="802"/>
      <c r="VCC839" s="802"/>
      <c r="VCD839" s="802"/>
      <c r="VCE839" s="802"/>
      <c r="VCF839" s="802"/>
      <c r="VCG839" s="802"/>
      <c r="VCH839" s="802"/>
      <c r="VCI839" s="802"/>
      <c r="VCJ839" s="802"/>
      <c r="VCK839" s="802"/>
      <c r="VCL839" s="802"/>
      <c r="VCM839" s="802"/>
      <c r="VCN839" s="802"/>
      <c r="VCO839" s="802"/>
      <c r="VCP839" s="802"/>
      <c r="VCQ839" s="802"/>
      <c r="VCR839" s="802"/>
      <c r="VCS839" s="802"/>
      <c r="VCT839" s="802"/>
      <c r="VCU839" s="802"/>
      <c r="VCV839" s="802"/>
      <c r="VCW839" s="802"/>
      <c r="VCX839" s="802"/>
      <c r="VCY839" s="802"/>
      <c r="VCZ839" s="802"/>
      <c r="VDA839" s="802"/>
      <c r="VDB839" s="802"/>
      <c r="VDC839" s="802"/>
      <c r="VDD839" s="802"/>
      <c r="VDE839" s="802"/>
      <c r="VDF839" s="802"/>
      <c r="VDG839" s="802"/>
      <c r="VDH839" s="802"/>
      <c r="VDI839" s="802"/>
      <c r="VDJ839" s="802"/>
      <c r="VDK839" s="802"/>
      <c r="VDL839" s="802"/>
      <c r="VDM839" s="802"/>
      <c r="VDN839" s="802"/>
      <c r="VDO839" s="802"/>
      <c r="VDP839" s="802"/>
      <c r="VDQ839" s="802"/>
      <c r="VDR839" s="802"/>
      <c r="VDS839" s="802"/>
      <c r="VDT839" s="802"/>
      <c r="VDU839" s="802"/>
      <c r="VDV839" s="802"/>
      <c r="VDW839" s="802"/>
      <c r="VDX839" s="802"/>
      <c r="VDY839" s="802"/>
      <c r="VDZ839" s="802"/>
      <c r="VEA839" s="802"/>
      <c r="VEB839" s="802"/>
      <c r="VEC839" s="802"/>
      <c r="VED839" s="802"/>
      <c r="VEE839" s="802"/>
      <c r="VEF839" s="802"/>
      <c r="VEG839" s="802"/>
      <c r="VEH839" s="802"/>
      <c r="VEI839" s="802"/>
      <c r="VEJ839" s="802"/>
      <c r="VEK839" s="802"/>
      <c r="VEL839" s="802"/>
      <c r="VEM839" s="802"/>
      <c r="VEN839" s="802"/>
      <c r="VEO839" s="802"/>
      <c r="VEP839" s="802"/>
      <c r="VEQ839" s="802"/>
      <c r="VER839" s="802"/>
      <c r="VES839" s="802"/>
      <c r="VET839" s="802"/>
      <c r="VEU839" s="802"/>
      <c r="VEV839" s="802"/>
      <c r="VEW839" s="802"/>
      <c r="VEX839" s="802"/>
      <c r="VEY839" s="802"/>
      <c r="VEZ839" s="802"/>
      <c r="VFA839" s="802"/>
      <c r="VFB839" s="802"/>
      <c r="VFC839" s="802"/>
      <c r="VFD839" s="802"/>
      <c r="VFE839" s="802"/>
      <c r="VFF839" s="802"/>
      <c r="VFG839" s="802"/>
      <c r="VFH839" s="802"/>
      <c r="VFI839" s="802"/>
      <c r="VFJ839" s="802"/>
      <c r="VFK839" s="802"/>
      <c r="VFL839" s="802"/>
      <c r="VFM839" s="802"/>
      <c r="VFN839" s="802"/>
      <c r="VFO839" s="802"/>
      <c r="VFP839" s="802"/>
      <c r="VFQ839" s="802"/>
      <c r="VFR839" s="802"/>
      <c r="VFS839" s="802"/>
      <c r="VFT839" s="802"/>
      <c r="VFU839" s="802"/>
      <c r="VFV839" s="802"/>
      <c r="VFW839" s="802"/>
      <c r="VFX839" s="802"/>
      <c r="VFY839" s="802"/>
      <c r="VFZ839" s="802"/>
      <c r="VGA839" s="802"/>
      <c r="VGB839" s="802"/>
      <c r="VGC839" s="802"/>
      <c r="VGD839" s="802"/>
      <c r="VGE839" s="802"/>
      <c r="VGF839" s="802"/>
      <c r="VGG839" s="802"/>
      <c r="VGH839" s="802"/>
      <c r="VGI839" s="802"/>
      <c r="VGJ839" s="802"/>
      <c r="VGK839" s="802"/>
      <c r="VGL839" s="802"/>
      <c r="VGM839" s="802"/>
      <c r="VGN839" s="802"/>
      <c r="VGO839" s="802"/>
      <c r="VGP839" s="802"/>
      <c r="VGQ839" s="802"/>
      <c r="VGR839" s="802"/>
      <c r="VGS839" s="802"/>
      <c r="VGT839" s="802"/>
      <c r="VGU839" s="802"/>
      <c r="VGV839" s="802"/>
      <c r="VGW839" s="802"/>
      <c r="VGX839" s="802"/>
      <c r="VGY839" s="802"/>
      <c r="VGZ839" s="802"/>
      <c r="VHA839" s="802"/>
      <c r="VHB839" s="802"/>
      <c r="VHC839" s="802"/>
      <c r="VHD839" s="802"/>
      <c r="VHE839" s="802"/>
      <c r="VHF839" s="802"/>
      <c r="VHG839" s="802"/>
      <c r="VHH839" s="802"/>
      <c r="VHI839" s="802"/>
      <c r="VHJ839" s="802"/>
      <c r="VHK839" s="802"/>
      <c r="VHL839" s="802"/>
      <c r="VHM839" s="802"/>
      <c r="VHN839" s="802"/>
      <c r="VHO839" s="802"/>
      <c r="VHP839" s="802"/>
      <c r="VHQ839" s="802"/>
      <c r="VHR839" s="802"/>
      <c r="VHS839" s="802"/>
      <c r="VHT839" s="802"/>
      <c r="VHU839" s="802"/>
      <c r="VHV839" s="802"/>
      <c r="VHW839" s="802"/>
      <c r="VHX839" s="802"/>
      <c r="VHY839" s="802"/>
      <c r="VHZ839" s="802"/>
      <c r="VIA839" s="802"/>
      <c r="VIB839" s="802"/>
      <c r="VIC839" s="802"/>
      <c r="VID839" s="802"/>
      <c r="VIE839" s="802"/>
      <c r="VIF839" s="802"/>
      <c r="VIG839" s="802"/>
      <c r="VIH839" s="802"/>
      <c r="VII839" s="802"/>
      <c r="VIJ839" s="802"/>
      <c r="VIK839" s="802"/>
      <c r="VIL839" s="802"/>
      <c r="VIM839" s="802"/>
      <c r="VIN839" s="802"/>
      <c r="VIO839" s="802"/>
      <c r="VIP839" s="802"/>
      <c r="VIQ839" s="802"/>
      <c r="VIR839" s="802"/>
      <c r="VIS839" s="802"/>
      <c r="VIT839" s="802"/>
      <c r="VIU839" s="802"/>
      <c r="VIV839" s="802"/>
      <c r="VIW839" s="802"/>
      <c r="VIX839" s="802"/>
      <c r="VIY839" s="802"/>
      <c r="VIZ839" s="802"/>
      <c r="VJA839" s="802"/>
      <c r="VJB839" s="802"/>
      <c r="VJC839" s="802"/>
      <c r="VJD839" s="802"/>
      <c r="VJE839" s="802"/>
      <c r="VJF839" s="802"/>
      <c r="VJG839" s="802"/>
      <c r="VJH839" s="802"/>
      <c r="VJI839" s="802"/>
      <c r="VJJ839" s="802"/>
      <c r="VJK839" s="802"/>
      <c r="VJL839" s="802"/>
      <c r="VJM839" s="802"/>
      <c r="VJN839" s="802"/>
      <c r="VJO839" s="802"/>
      <c r="VJP839" s="802"/>
      <c r="VJQ839" s="802"/>
      <c r="VJR839" s="802"/>
      <c r="VJS839" s="802"/>
      <c r="VJT839" s="802"/>
      <c r="VJU839" s="802"/>
      <c r="VJV839" s="802"/>
      <c r="VJW839" s="802"/>
      <c r="VJX839" s="802"/>
      <c r="VJY839" s="802"/>
      <c r="VJZ839" s="802"/>
      <c r="VKA839" s="802"/>
      <c r="VKB839" s="802"/>
      <c r="VKC839" s="802"/>
      <c r="VKD839" s="802"/>
      <c r="VKE839" s="802"/>
      <c r="VKF839" s="802"/>
      <c r="VKG839" s="802"/>
      <c r="VKH839" s="802"/>
      <c r="VKI839" s="802"/>
      <c r="VKJ839" s="802"/>
      <c r="VKK839" s="802"/>
      <c r="VKL839" s="802"/>
      <c r="VKM839" s="802"/>
      <c r="VKN839" s="802"/>
      <c r="VKO839" s="802"/>
      <c r="VKP839" s="802"/>
      <c r="VKQ839" s="802"/>
      <c r="VKR839" s="802"/>
      <c r="VKS839" s="802"/>
      <c r="VKT839" s="802"/>
      <c r="VKU839" s="802"/>
      <c r="VKV839" s="802"/>
      <c r="VKW839" s="802"/>
      <c r="VKX839" s="802"/>
      <c r="VKY839" s="802"/>
      <c r="VKZ839" s="802"/>
      <c r="VLA839" s="802"/>
      <c r="VLB839" s="802"/>
      <c r="VLC839" s="802"/>
      <c r="VLD839" s="802"/>
      <c r="VLE839" s="802"/>
      <c r="VLF839" s="802"/>
      <c r="VLG839" s="802"/>
      <c r="VLH839" s="802"/>
      <c r="VLI839" s="802"/>
      <c r="VLJ839" s="802"/>
      <c r="VLK839" s="802"/>
      <c r="VLL839" s="802"/>
      <c r="VLM839" s="802"/>
      <c r="VLN839" s="802"/>
      <c r="VLO839" s="802"/>
      <c r="VLP839" s="802"/>
      <c r="VLQ839" s="802"/>
      <c r="VLR839" s="802"/>
      <c r="VLS839" s="802"/>
      <c r="VLT839" s="802"/>
      <c r="VLU839" s="802"/>
      <c r="VLV839" s="802"/>
      <c r="VLW839" s="802"/>
      <c r="VLX839" s="802"/>
      <c r="VLY839" s="802"/>
      <c r="VLZ839" s="802"/>
      <c r="VMA839" s="802"/>
      <c r="VMB839" s="802"/>
      <c r="VMC839" s="802"/>
      <c r="VMD839" s="802"/>
      <c r="VME839" s="802"/>
      <c r="VMF839" s="802"/>
      <c r="VMG839" s="802"/>
      <c r="VMH839" s="802"/>
      <c r="VMI839" s="802"/>
      <c r="VMJ839" s="802"/>
      <c r="VMK839" s="802"/>
      <c r="VML839" s="802"/>
      <c r="VMM839" s="802"/>
      <c r="VMN839" s="802"/>
      <c r="VMO839" s="802"/>
      <c r="VMP839" s="802"/>
      <c r="VMQ839" s="802"/>
      <c r="VMR839" s="802"/>
      <c r="VMS839" s="802"/>
      <c r="VMT839" s="802"/>
      <c r="VMU839" s="802"/>
      <c r="VMV839" s="802"/>
      <c r="VMW839" s="802"/>
      <c r="VMX839" s="802"/>
      <c r="VMY839" s="802"/>
      <c r="VMZ839" s="802"/>
      <c r="VNA839" s="802"/>
      <c r="VNB839" s="802"/>
      <c r="VNC839" s="802"/>
      <c r="VND839" s="802"/>
      <c r="VNE839" s="802"/>
      <c r="VNF839" s="802"/>
      <c r="VNG839" s="802"/>
      <c r="VNH839" s="802"/>
      <c r="VNI839" s="802"/>
      <c r="VNJ839" s="802"/>
      <c r="VNK839" s="802"/>
      <c r="VNL839" s="802"/>
      <c r="VNM839" s="802"/>
      <c r="VNN839" s="802"/>
      <c r="VNO839" s="802"/>
      <c r="VNP839" s="802"/>
      <c r="VNQ839" s="802"/>
      <c r="VNR839" s="802"/>
      <c r="VNS839" s="802"/>
      <c r="VNT839" s="802"/>
      <c r="VNU839" s="802"/>
      <c r="VNV839" s="802"/>
      <c r="VNW839" s="802"/>
      <c r="VNX839" s="802"/>
      <c r="VNY839" s="802"/>
      <c r="VNZ839" s="802"/>
      <c r="VOA839" s="802"/>
      <c r="VOB839" s="802"/>
      <c r="VOC839" s="802"/>
      <c r="VOD839" s="802"/>
      <c r="VOE839" s="802"/>
      <c r="VOF839" s="802"/>
      <c r="VOG839" s="802"/>
      <c r="VOH839" s="802"/>
      <c r="VOI839" s="802"/>
      <c r="VOJ839" s="802"/>
      <c r="VOK839" s="802"/>
      <c r="VOL839" s="802"/>
      <c r="VOM839" s="802"/>
      <c r="VON839" s="802"/>
      <c r="VOO839" s="802"/>
      <c r="VOP839" s="802"/>
      <c r="VOQ839" s="802"/>
      <c r="VOR839" s="802"/>
      <c r="VOS839" s="802"/>
      <c r="VOT839" s="802"/>
      <c r="VOU839" s="802"/>
      <c r="VOV839" s="802"/>
      <c r="VOW839" s="802"/>
      <c r="VOX839" s="802"/>
      <c r="VOY839" s="802"/>
      <c r="VOZ839" s="802"/>
      <c r="VPA839" s="802"/>
      <c r="VPB839" s="802"/>
      <c r="VPC839" s="802"/>
      <c r="VPD839" s="802"/>
      <c r="VPE839" s="802"/>
      <c r="VPF839" s="802"/>
      <c r="VPG839" s="802"/>
      <c r="VPH839" s="802"/>
      <c r="VPI839" s="802"/>
      <c r="VPJ839" s="802"/>
      <c r="VPK839" s="802"/>
      <c r="VPL839" s="802"/>
      <c r="VPM839" s="802"/>
      <c r="VPN839" s="802"/>
      <c r="VPO839" s="802"/>
      <c r="VPP839" s="802"/>
      <c r="VPQ839" s="802"/>
      <c r="VPR839" s="802"/>
      <c r="VPS839" s="802"/>
      <c r="VPT839" s="802"/>
      <c r="VPU839" s="802"/>
      <c r="VPV839" s="802"/>
      <c r="VPW839" s="802"/>
      <c r="VPX839" s="802"/>
      <c r="VPY839" s="802"/>
      <c r="VPZ839" s="802"/>
      <c r="VQA839" s="802"/>
      <c r="VQB839" s="802"/>
      <c r="VQC839" s="802"/>
      <c r="VQD839" s="802"/>
      <c r="VQE839" s="802"/>
      <c r="VQF839" s="802"/>
      <c r="VQG839" s="802"/>
      <c r="VQH839" s="802"/>
      <c r="VQI839" s="802"/>
      <c r="VQJ839" s="802"/>
      <c r="VQK839" s="802"/>
      <c r="VQL839" s="802"/>
      <c r="VQM839" s="802"/>
      <c r="VQN839" s="802"/>
      <c r="VQO839" s="802"/>
      <c r="VQP839" s="802"/>
      <c r="VQQ839" s="802"/>
      <c r="VQR839" s="802"/>
      <c r="VQS839" s="802"/>
      <c r="VQT839" s="802"/>
      <c r="VQU839" s="802"/>
      <c r="VQV839" s="802"/>
      <c r="VQW839" s="802"/>
      <c r="VQX839" s="802"/>
      <c r="VQY839" s="802"/>
      <c r="VQZ839" s="802"/>
      <c r="VRA839" s="802"/>
      <c r="VRB839" s="802"/>
      <c r="VRC839" s="802"/>
      <c r="VRD839" s="802"/>
      <c r="VRE839" s="802"/>
      <c r="VRF839" s="802"/>
      <c r="VRG839" s="802"/>
      <c r="VRH839" s="802"/>
      <c r="VRI839" s="802"/>
      <c r="VRJ839" s="802"/>
      <c r="VRK839" s="802"/>
      <c r="VRL839" s="802"/>
      <c r="VRM839" s="802"/>
      <c r="VRN839" s="802"/>
      <c r="VRO839" s="802"/>
      <c r="VRP839" s="802"/>
      <c r="VRQ839" s="802"/>
      <c r="VRR839" s="802"/>
      <c r="VRS839" s="802"/>
      <c r="VRT839" s="802"/>
      <c r="VRU839" s="802"/>
      <c r="VRV839" s="802"/>
      <c r="VRW839" s="802"/>
      <c r="VRX839" s="802"/>
      <c r="VRY839" s="802"/>
      <c r="VRZ839" s="802"/>
      <c r="VSA839" s="802"/>
      <c r="VSB839" s="802"/>
      <c r="VSC839" s="802"/>
      <c r="VSD839" s="802"/>
      <c r="VSE839" s="802"/>
      <c r="VSF839" s="802"/>
      <c r="VSG839" s="802"/>
      <c r="VSH839" s="802"/>
      <c r="VSI839" s="802"/>
      <c r="VSJ839" s="802"/>
      <c r="VSK839" s="802"/>
      <c r="VSL839" s="802"/>
      <c r="VSM839" s="802"/>
      <c r="VSN839" s="802"/>
      <c r="VSO839" s="802"/>
      <c r="VSP839" s="802"/>
      <c r="VSQ839" s="802"/>
      <c r="VSR839" s="802"/>
      <c r="VSS839" s="802"/>
      <c r="VST839" s="802"/>
      <c r="VSU839" s="802"/>
      <c r="VSV839" s="802"/>
      <c r="VSW839" s="802"/>
      <c r="VSX839" s="802"/>
      <c r="VSY839" s="802"/>
      <c r="VSZ839" s="802"/>
      <c r="VTA839" s="802"/>
      <c r="VTB839" s="802"/>
      <c r="VTC839" s="802"/>
      <c r="VTD839" s="802"/>
      <c r="VTE839" s="802"/>
      <c r="VTF839" s="802"/>
      <c r="VTG839" s="802"/>
      <c r="VTH839" s="802"/>
      <c r="VTI839" s="802"/>
      <c r="VTJ839" s="802"/>
      <c r="VTK839" s="802"/>
      <c r="VTL839" s="802"/>
      <c r="VTM839" s="802"/>
      <c r="VTN839" s="802"/>
      <c r="VTO839" s="802"/>
      <c r="VTP839" s="802"/>
      <c r="VTQ839" s="802"/>
      <c r="VTR839" s="802"/>
      <c r="VTS839" s="802"/>
      <c r="VTT839" s="802"/>
      <c r="VTU839" s="802"/>
      <c r="VTV839" s="802"/>
      <c r="VTW839" s="802"/>
      <c r="VTX839" s="802"/>
      <c r="VTY839" s="802"/>
      <c r="VTZ839" s="802"/>
      <c r="VUA839" s="802"/>
      <c r="VUB839" s="802"/>
      <c r="VUC839" s="802"/>
      <c r="VUD839" s="802"/>
      <c r="VUE839" s="802"/>
      <c r="VUF839" s="802"/>
      <c r="VUG839" s="802"/>
      <c r="VUH839" s="802"/>
      <c r="VUI839" s="802"/>
      <c r="VUJ839" s="802"/>
      <c r="VUK839" s="802"/>
      <c r="VUL839" s="802"/>
      <c r="VUM839" s="802"/>
      <c r="VUN839" s="802"/>
      <c r="VUO839" s="802"/>
      <c r="VUP839" s="802"/>
      <c r="VUQ839" s="802"/>
      <c r="VUR839" s="802"/>
      <c r="VUS839" s="802"/>
      <c r="VUT839" s="802"/>
      <c r="VUU839" s="802"/>
      <c r="VUV839" s="802"/>
      <c r="VUW839" s="802"/>
      <c r="VUX839" s="802"/>
      <c r="VUY839" s="802"/>
      <c r="VUZ839" s="802"/>
      <c r="VVA839" s="802"/>
      <c r="VVB839" s="802"/>
      <c r="VVC839" s="802"/>
      <c r="VVD839" s="802"/>
      <c r="VVE839" s="802"/>
      <c r="VVF839" s="802"/>
      <c r="VVG839" s="802"/>
      <c r="VVH839" s="802"/>
      <c r="VVI839" s="802"/>
      <c r="VVJ839" s="802"/>
      <c r="VVK839" s="802"/>
      <c r="VVL839" s="802"/>
      <c r="VVM839" s="802"/>
      <c r="VVN839" s="802"/>
      <c r="VVO839" s="802"/>
      <c r="VVP839" s="802"/>
      <c r="VVQ839" s="802"/>
      <c r="VVR839" s="802"/>
      <c r="VVS839" s="802"/>
      <c r="VVT839" s="802"/>
      <c r="VVU839" s="802"/>
      <c r="VVV839" s="802"/>
      <c r="VVW839" s="802"/>
      <c r="VVX839" s="802"/>
      <c r="VVY839" s="802"/>
      <c r="VVZ839" s="802"/>
      <c r="VWA839" s="802"/>
      <c r="VWB839" s="802"/>
      <c r="VWC839" s="802"/>
      <c r="VWD839" s="802"/>
      <c r="VWE839" s="802"/>
      <c r="VWF839" s="802"/>
      <c r="VWG839" s="802"/>
      <c r="VWH839" s="802"/>
      <c r="VWI839" s="802"/>
      <c r="VWJ839" s="802"/>
      <c r="VWK839" s="802"/>
      <c r="VWL839" s="802"/>
      <c r="VWM839" s="802"/>
      <c r="VWN839" s="802"/>
      <c r="VWO839" s="802"/>
      <c r="VWP839" s="802"/>
      <c r="VWQ839" s="802"/>
      <c r="VWR839" s="802"/>
      <c r="VWS839" s="802"/>
      <c r="VWT839" s="802"/>
      <c r="VWU839" s="802"/>
      <c r="VWV839" s="802"/>
      <c r="VWW839" s="802"/>
      <c r="VWX839" s="802"/>
      <c r="VWY839" s="802"/>
      <c r="VWZ839" s="802"/>
      <c r="VXA839" s="802"/>
      <c r="VXB839" s="802"/>
      <c r="VXC839" s="802"/>
      <c r="VXD839" s="802"/>
      <c r="VXE839" s="802"/>
      <c r="VXF839" s="802"/>
      <c r="VXG839" s="802"/>
      <c r="VXH839" s="802"/>
      <c r="VXI839" s="802"/>
      <c r="VXJ839" s="802"/>
      <c r="VXK839" s="802"/>
      <c r="VXL839" s="802"/>
      <c r="VXM839" s="802"/>
      <c r="VXN839" s="802"/>
      <c r="VXO839" s="802"/>
      <c r="VXP839" s="802"/>
      <c r="VXQ839" s="802"/>
      <c r="VXR839" s="802"/>
      <c r="VXS839" s="802"/>
      <c r="VXT839" s="802"/>
      <c r="VXU839" s="802"/>
      <c r="VXV839" s="802"/>
      <c r="VXW839" s="802"/>
      <c r="VXX839" s="802"/>
      <c r="VXY839" s="802"/>
      <c r="VXZ839" s="802"/>
      <c r="VYA839" s="802"/>
      <c r="VYB839" s="802"/>
      <c r="VYC839" s="802"/>
      <c r="VYD839" s="802"/>
      <c r="VYE839" s="802"/>
      <c r="VYF839" s="802"/>
      <c r="VYG839" s="802"/>
      <c r="VYH839" s="802"/>
      <c r="VYI839" s="802"/>
      <c r="VYJ839" s="802"/>
      <c r="VYK839" s="802"/>
      <c r="VYL839" s="802"/>
      <c r="VYM839" s="802"/>
      <c r="VYN839" s="802"/>
      <c r="VYO839" s="802"/>
      <c r="VYP839" s="802"/>
      <c r="VYQ839" s="802"/>
      <c r="VYR839" s="802"/>
      <c r="VYS839" s="802"/>
      <c r="VYT839" s="802"/>
      <c r="VYU839" s="802"/>
      <c r="VYV839" s="802"/>
      <c r="VYW839" s="802"/>
      <c r="VYX839" s="802"/>
      <c r="VYY839" s="802"/>
      <c r="VYZ839" s="802"/>
      <c r="VZA839" s="802"/>
      <c r="VZB839" s="802"/>
      <c r="VZC839" s="802"/>
      <c r="VZD839" s="802"/>
      <c r="VZE839" s="802"/>
      <c r="VZF839" s="802"/>
      <c r="VZG839" s="802"/>
      <c r="VZH839" s="802"/>
      <c r="VZI839" s="802"/>
      <c r="VZJ839" s="802"/>
      <c r="VZK839" s="802"/>
      <c r="VZL839" s="802"/>
      <c r="VZM839" s="802"/>
      <c r="VZN839" s="802"/>
      <c r="VZO839" s="802"/>
      <c r="VZP839" s="802"/>
      <c r="VZQ839" s="802"/>
      <c r="VZR839" s="802"/>
      <c r="VZS839" s="802"/>
      <c r="VZT839" s="802"/>
      <c r="VZU839" s="802"/>
      <c r="VZV839" s="802"/>
      <c r="VZW839" s="802"/>
      <c r="VZX839" s="802"/>
      <c r="VZY839" s="802"/>
      <c r="VZZ839" s="802"/>
      <c r="WAA839" s="802"/>
      <c r="WAB839" s="802"/>
      <c r="WAC839" s="802"/>
      <c r="WAD839" s="802"/>
      <c r="WAE839" s="802"/>
      <c r="WAF839" s="802"/>
      <c r="WAG839" s="802"/>
      <c r="WAH839" s="802"/>
      <c r="WAI839" s="802"/>
      <c r="WAJ839" s="802"/>
      <c r="WAK839" s="802"/>
      <c r="WAL839" s="802"/>
      <c r="WAM839" s="802"/>
      <c r="WAN839" s="802"/>
      <c r="WAO839" s="802"/>
      <c r="WAP839" s="802"/>
      <c r="WAQ839" s="802"/>
      <c r="WAR839" s="802"/>
      <c r="WAS839" s="802"/>
      <c r="WAT839" s="802"/>
      <c r="WAU839" s="802"/>
      <c r="WAV839" s="802"/>
      <c r="WAW839" s="802"/>
      <c r="WAX839" s="802"/>
      <c r="WAY839" s="802"/>
      <c r="WAZ839" s="802"/>
      <c r="WBA839" s="802"/>
      <c r="WBB839" s="802"/>
      <c r="WBC839" s="802"/>
      <c r="WBD839" s="802"/>
      <c r="WBE839" s="802"/>
      <c r="WBF839" s="802"/>
      <c r="WBG839" s="802"/>
      <c r="WBH839" s="802"/>
      <c r="WBI839" s="802"/>
      <c r="WBJ839" s="802"/>
      <c r="WBK839" s="802"/>
      <c r="WBL839" s="802"/>
      <c r="WBM839" s="802"/>
      <c r="WBN839" s="802"/>
      <c r="WBO839" s="802"/>
      <c r="WBP839" s="802"/>
      <c r="WBQ839" s="802"/>
      <c r="WBR839" s="802"/>
      <c r="WBS839" s="802"/>
      <c r="WBT839" s="802"/>
      <c r="WBU839" s="802"/>
      <c r="WBV839" s="802"/>
      <c r="WBW839" s="802"/>
      <c r="WBX839" s="802"/>
      <c r="WBY839" s="802"/>
      <c r="WBZ839" s="802"/>
      <c r="WCA839" s="802"/>
      <c r="WCB839" s="802"/>
      <c r="WCC839" s="802"/>
      <c r="WCD839" s="802"/>
      <c r="WCE839" s="802"/>
      <c r="WCF839" s="802"/>
      <c r="WCG839" s="802"/>
      <c r="WCH839" s="802"/>
      <c r="WCI839" s="802"/>
      <c r="WCJ839" s="802"/>
      <c r="WCK839" s="802"/>
      <c r="WCL839" s="802"/>
      <c r="WCM839" s="802"/>
      <c r="WCN839" s="802"/>
      <c r="WCO839" s="802"/>
      <c r="WCP839" s="802"/>
      <c r="WCQ839" s="802"/>
      <c r="WCR839" s="802"/>
      <c r="WCS839" s="802"/>
      <c r="WCT839" s="802"/>
      <c r="WCU839" s="802"/>
      <c r="WCV839" s="802"/>
      <c r="WCW839" s="802"/>
      <c r="WCX839" s="802"/>
      <c r="WCY839" s="802"/>
      <c r="WCZ839" s="802"/>
      <c r="WDA839" s="802"/>
      <c r="WDB839" s="802"/>
      <c r="WDC839" s="802"/>
      <c r="WDD839" s="802"/>
      <c r="WDE839" s="802"/>
      <c r="WDF839" s="802"/>
      <c r="WDG839" s="802"/>
      <c r="WDH839" s="802"/>
      <c r="WDI839" s="802"/>
      <c r="WDJ839" s="802"/>
      <c r="WDK839" s="802"/>
      <c r="WDL839" s="802"/>
      <c r="WDM839" s="802"/>
      <c r="WDN839" s="802"/>
      <c r="WDO839" s="802"/>
      <c r="WDP839" s="802"/>
      <c r="WDQ839" s="802"/>
      <c r="WDR839" s="802"/>
      <c r="WDS839" s="802"/>
      <c r="WDT839" s="802"/>
      <c r="WDU839" s="802"/>
      <c r="WDV839" s="802"/>
      <c r="WDW839" s="802"/>
      <c r="WDX839" s="802"/>
      <c r="WDY839" s="802"/>
      <c r="WDZ839" s="802"/>
      <c r="WEA839" s="802"/>
      <c r="WEB839" s="802"/>
      <c r="WEC839" s="802"/>
      <c r="WED839" s="802"/>
      <c r="WEE839" s="802"/>
      <c r="WEF839" s="802"/>
      <c r="WEG839" s="802"/>
      <c r="WEH839" s="802"/>
      <c r="WEI839" s="802"/>
      <c r="WEJ839" s="802"/>
      <c r="WEK839" s="802"/>
      <c r="WEL839" s="802"/>
      <c r="WEM839" s="802"/>
      <c r="WEN839" s="802"/>
      <c r="WEO839" s="802"/>
      <c r="WEP839" s="802"/>
      <c r="WEQ839" s="802"/>
      <c r="WER839" s="802"/>
      <c r="WES839" s="802"/>
      <c r="WET839" s="802"/>
      <c r="WEU839" s="802"/>
      <c r="WEV839" s="802"/>
      <c r="WEW839" s="802"/>
      <c r="WEX839" s="802"/>
      <c r="WEY839" s="802"/>
      <c r="WEZ839" s="802"/>
      <c r="WFA839" s="802"/>
      <c r="WFB839" s="802"/>
      <c r="WFC839" s="802"/>
      <c r="WFD839" s="802"/>
      <c r="WFE839" s="802"/>
      <c r="WFF839" s="802"/>
      <c r="WFG839" s="802"/>
      <c r="WFH839" s="802"/>
      <c r="WFI839" s="802"/>
      <c r="WFJ839" s="802"/>
      <c r="WFK839" s="802"/>
      <c r="WFL839" s="802"/>
      <c r="WFM839" s="802"/>
      <c r="WFN839" s="802"/>
      <c r="WFO839" s="802"/>
      <c r="WFP839" s="802"/>
      <c r="WFQ839" s="802"/>
      <c r="WFR839" s="802"/>
      <c r="WFS839" s="802"/>
      <c r="WFT839" s="802"/>
      <c r="WFU839" s="802"/>
      <c r="WFV839" s="802"/>
      <c r="WFW839" s="802"/>
      <c r="WFX839" s="802"/>
      <c r="WFY839" s="802"/>
      <c r="WFZ839" s="802"/>
      <c r="WGA839" s="802"/>
      <c r="WGB839" s="802"/>
      <c r="WGC839" s="802"/>
      <c r="WGD839" s="802"/>
      <c r="WGE839" s="802"/>
      <c r="WGF839" s="802"/>
      <c r="WGG839" s="802"/>
      <c r="WGH839" s="802"/>
      <c r="WGI839" s="802"/>
      <c r="WGJ839" s="802"/>
      <c r="WGK839" s="802"/>
      <c r="WGL839" s="802"/>
      <c r="WGM839" s="802"/>
      <c r="WGN839" s="802"/>
      <c r="WGO839" s="802"/>
      <c r="WGP839" s="802"/>
      <c r="WGQ839" s="802"/>
      <c r="WGR839" s="802"/>
      <c r="WGS839" s="802"/>
      <c r="WGT839" s="802"/>
      <c r="WGU839" s="802"/>
      <c r="WGV839" s="802"/>
      <c r="WGW839" s="802"/>
      <c r="WGX839" s="802"/>
      <c r="WGY839" s="802"/>
      <c r="WGZ839" s="802"/>
      <c r="WHA839" s="802"/>
      <c r="WHB839" s="802"/>
      <c r="WHC839" s="802"/>
      <c r="WHD839" s="802"/>
      <c r="WHE839" s="802"/>
      <c r="WHF839" s="802"/>
      <c r="WHG839" s="802"/>
      <c r="WHH839" s="802"/>
      <c r="WHI839" s="802"/>
      <c r="WHJ839" s="802"/>
      <c r="WHK839" s="802"/>
      <c r="WHL839" s="802"/>
      <c r="WHM839" s="802"/>
      <c r="WHN839" s="802"/>
      <c r="WHO839" s="802"/>
      <c r="WHP839" s="802"/>
      <c r="WHQ839" s="802"/>
      <c r="WHR839" s="802"/>
      <c r="WHS839" s="802"/>
      <c r="WHT839" s="802"/>
      <c r="WHU839" s="802"/>
      <c r="WHV839" s="802"/>
      <c r="WHW839" s="802"/>
      <c r="WHX839" s="802"/>
      <c r="WHY839" s="802"/>
      <c r="WHZ839" s="802"/>
      <c r="WIA839" s="802"/>
      <c r="WIB839" s="802"/>
      <c r="WIC839" s="802"/>
      <c r="WID839" s="802"/>
      <c r="WIE839" s="802"/>
      <c r="WIF839" s="802"/>
      <c r="WIG839" s="802"/>
      <c r="WIH839" s="802"/>
      <c r="WII839" s="802"/>
      <c r="WIJ839" s="802"/>
      <c r="WIK839" s="802"/>
      <c r="WIL839" s="802"/>
      <c r="WIM839" s="802"/>
      <c r="WIN839" s="802"/>
      <c r="WIO839" s="802"/>
      <c r="WIP839" s="802"/>
      <c r="WIQ839" s="802"/>
      <c r="WIR839" s="802"/>
      <c r="WIS839" s="802"/>
      <c r="WIT839" s="802"/>
      <c r="WIU839" s="802"/>
      <c r="WIV839" s="802"/>
      <c r="WIW839" s="802"/>
      <c r="WIX839" s="802"/>
      <c r="WIY839" s="802"/>
      <c r="WIZ839" s="802"/>
      <c r="WJA839" s="802"/>
      <c r="WJB839" s="802"/>
      <c r="WJC839" s="802"/>
      <c r="WJD839" s="802"/>
      <c r="WJE839" s="802"/>
      <c r="WJF839" s="802"/>
      <c r="WJG839" s="802"/>
      <c r="WJH839" s="802"/>
      <c r="WJI839" s="802"/>
      <c r="WJJ839" s="802"/>
      <c r="WJK839" s="802"/>
      <c r="WJL839" s="802"/>
      <c r="WJM839" s="802"/>
      <c r="WJN839" s="802"/>
      <c r="WJO839" s="802"/>
      <c r="WJP839" s="802"/>
      <c r="WJQ839" s="802"/>
      <c r="WJR839" s="802"/>
      <c r="WJS839" s="802"/>
      <c r="WJT839" s="802"/>
      <c r="WJU839" s="802"/>
      <c r="WJV839" s="802"/>
      <c r="WJW839" s="802"/>
      <c r="WJX839" s="802"/>
      <c r="WJY839" s="802"/>
      <c r="WJZ839" s="802"/>
      <c r="WKA839" s="802"/>
      <c r="WKB839" s="802"/>
      <c r="WKC839" s="802"/>
      <c r="WKD839" s="802"/>
      <c r="WKE839" s="802"/>
      <c r="WKF839" s="802"/>
      <c r="WKG839" s="802"/>
      <c r="WKH839" s="802"/>
      <c r="WKI839" s="802"/>
      <c r="WKJ839" s="802"/>
      <c r="WKK839" s="802"/>
      <c r="WKL839" s="802"/>
      <c r="WKM839" s="802"/>
      <c r="WKN839" s="802"/>
      <c r="WKO839" s="802"/>
      <c r="WKP839" s="802"/>
      <c r="WKQ839" s="802"/>
      <c r="WKR839" s="802"/>
      <c r="WKS839" s="802"/>
      <c r="WKT839" s="802"/>
      <c r="WKU839" s="802"/>
      <c r="WKV839" s="802"/>
      <c r="WKW839" s="802"/>
      <c r="WKX839" s="802"/>
      <c r="WKY839" s="802"/>
      <c r="WKZ839" s="802"/>
      <c r="WLA839" s="802"/>
      <c r="WLB839" s="802"/>
      <c r="WLC839" s="802"/>
      <c r="WLD839" s="802"/>
      <c r="WLE839" s="802"/>
      <c r="WLF839" s="802"/>
      <c r="WLG839" s="802"/>
      <c r="WLH839" s="802"/>
      <c r="WLI839" s="802"/>
      <c r="WLJ839" s="802"/>
      <c r="WLK839" s="802"/>
      <c r="WLL839" s="802"/>
      <c r="WLM839" s="802"/>
      <c r="WLN839" s="802"/>
      <c r="WLO839" s="802"/>
      <c r="WLP839" s="802"/>
      <c r="WLQ839" s="802"/>
      <c r="WLR839" s="802"/>
      <c r="WLS839" s="802"/>
      <c r="WLT839" s="802"/>
      <c r="WLU839" s="802"/>
      <c r="WLV839" s="802"/>
      <c r="WLW839" s="802"/>
      <c r="WLX839" s="802"/>
      <c r="WLY839" s="802"/>
      <c r="WLZ839" s="802"/>
      <c r="WMA839" s="802"/>
      <c r="WMB839" s="802"/>
      <c r="WMC839" s="802"/>
      <c r="WMD839" s="802"/>
      <c r="WME839" s="802"/>
      <c r="WMF839" s="802"/>
      <c r="WMG839" s="802"/>
      <c r="WMH839" s="802"/>
      <c r="WMI839" s="802"/>
      <c r="WMJ839" s="802"/>
      <c r="WMK839" s="802"/>
      <c r="WML839" s="802"/>
      <c r="WMM839" s="802"/>
      <c r="WMN839" s="802"/>
      <c r="WMO839" s="802"/>
      <c r="WMP839" s="802"/>
      <c r="WMQ839" s="802"/>
      <c r="WMR839" s="802"/>
      <c r="WMS839" s="802"/>
      <c r="WMT839" s="802"/>
      <c r="WMU839" s="802"/>
      <c r="WMV839" s="802"/>
      <c r="WMW839" s="802"/>
      <c r="WMX839" s="802"/>
      <c r="WMY839" s="802"/>
      <c r="WMZ839" s="802"/>
      <c r="WNA839" s="802"/>
      <c r="WNB839" s="802"/>
      <c r="WNC839" s="802"/>
      <c r="WND839" s="802"/>
      <c r="WNE839" s="802"/>
      <c r="WNF839" s="802"/>
      <c r="WNG839" s="802"/>
      <c r="WNH839" s="802"/>
      <c r="WNI839" s="802"/>
      <c r="WNJ839" s="802"/>
      <c r="WNK839" s="802"/>
      <c r="WNL839" s="802"/>
      <c r="WNM839" s="802"/>
      <c r="WNN839" s="802"/>
      <c r="WNO839" s="802"/>
      <c r="WNP839" s="802"/>
      <c r="WNQ839" s="802"/>
      <c r="WNR839" s="802"/>
      <c r="WNS839" s="802"/>
      <c r="WNT839" s="802"/>
      <c r="WNU839" s="802"/>
      <c r="WNV839" s="802"/>
      <c r="WNW839" s="802"/>
      <c r="WNX839" s="802"/>
      <c r="WNY839" s="802"/>
      <c r="WNZ839" s="802"/>
      <c r="WOA839" s="802"/>
      <c r="WOB839" s="802"/>
      <c r="WOC839" s="802"/>
      <c r="WOD839" s="802"/>
      <c r="WOE839" s="802"/>
      <c r="WOF839" s="802"/>
      <c r="WOG839" s="802"/>
      <c r="WOH839" s="802"/>
      <c r="WOI839" s="802"/>
      <c r="WOJ839" s="802"/>
      <c r="WOK839" s="802"/>
      <c r="WOL839" s="802"/>
      <c r="WOM839" s="802"/>
      <c r="WON839" s="802"/>
      <c r="WOO839" s="802"/>
      <c r="WOP839" s="802"/>
      <c r="WOQ839" s="802"/>
      <c r="WOR839" s="802"/>
      <c r="WOS839" s="802"/>
      <c r="WOT839" s="802"/>
      <c r="WOU839" s="802"/>
      <c r="WOV839" s="802"/>
      <c r="WOW839" s="802"/>
      <c r="WOX839" s="802"/>
      <c r="WOY839" s="802"/>
      <c r="WOZ839" s="802"/>
      <c r="WPA839" s="802"/>
      <c r="WPB839" s="802"/>
      <c r="WPC839" s="802"/>
      <c r="WPD839" s="802"/>
      <c r="WPE839" s="802"/>
      <c r="WPF839" s="802"/>
      <c r="WPG839" s="802"/>
      <c r="WPH839" s="802"/>
      <c r="WPI839" s="802"/>
      <c r="WPJ839" s="802"/>
      <c r="WPK839" s="802"/>
      <c r="WPL839" s="802"/>
      <c r="WPM839" s="802"/>
      <c r="WPN839" s="802"/>
      <c r="WPO839" s="802"/>
      <c r="WPP839" s="802"/>
      <c r="WPQ839" s="802"/>
      <c r="WPR839" s="802"/>
      <c r="WPS839" s="802"/>
      <c r="WPT839" s="802"/>
      <c r="WPU839" s="802"/>
      <c r="WPV839" s="802"/>
      <c r="WPW839" s="802"/>
      <c r="WPX839" s="802"/>
      <c r="WPY839" s="802"/>
      <c r="WPZ839" s="802"/>
      <c r="WQA839" s="802"/>
      <c r="WQB839" s="802"/>
      <c r="WQC839" s="802"/>
      <c r="WQD839" s="802"/>
      <c r="WQE839" s="802"/>
      <c r="WQF839" s="802"/>
      <c r="WQG839" s="802"/>
      <c r="WQH839" s="802"/>
      <c r="WQI839" s="802"/>
      <c r="WQJ839" s="802"/>
      <c r="WQK839" s="802"/>
      <c r="WQL839" s="802"/>
      <c r="WQM839" s="802"/>
      <c r="WQN839" s="802"/>
      <c r="WQO839" s="802"/>
      <c r="WQP839" s="802"/>
      <c r="WQQ839" s="802"/>
      <c r="WQR839" s="802"/>
      <c r="WQS839" s="802"/>
      <c r="WQT839" s="802"/>
      <c r="WQU839" s="802"/>
      <c r="WQV839" s="802"/>
      <c r="WQW839" s="802"/>
      <c r="WQX839" s="802"/>
      <c r="WQY839" s="802"/>
      <c r="WQZ839" s="802"/>
      <c r="WRA839" s="802"/>
      <c r="WRB839" s="802"/>
      <c r="WRC839" s="802"/>
      <c r="WRD839" s="802"/>
      <c r="WRE839" s="802"/>
      <c r="WRF839" s="802"/>
      <c r="WRG839" s="802"/>
      <c r="WRH839" s="802"/>
      <c r="WRI839" s="802"/>
      <c r="WRJ839" s="802"/>
      <c r="WRK839" s="802"/>
      <c r="WRL839" s="802"/>
      <c r="WRM839" s="802"/>
      <c r="WRN839" s="802"/>
      <c r="WRO839" s="802"/>
      <c r="WRP839" s="802"/>
      <c r="WRQ839" s="802"/>
      <c r="WRR839" s="802"/>
      <c r="WRS839" s="802"/>
      <c r="WRT839" s="802"/>
      <c r="WRU839" s="802"/>
      <c r="WRV839" s="802"/>
      <c r="WRW839" s="802"/>
      <c r="WRX839" s="802"/>
      <c r="WRY839" s="802"/>
      <c r="WRZ839" s="802"/>
      <c r="WSA839" s="802"/>
      <c r="WSB839" s="802"/>
      <c r="WSC839" s="802"/>
      <c r="WSD839" s="802"/>
      <c r="WSE839" s="802"/>
      <c r="WSF839" s="802"/>
      <c r="WSG839" s="802"/>
      <c r="WSH839" s="802"/>
      <c r="WSI839" s="802"/>
      <c r="WSJ839" s="802"/>
      <c r="WSK839" s="802"/>
      <c r="WSL839" s="802"/>
      <c r="WSM839" s="802"/>
      <c r="WSN839" s="802"/>
      <c r="WSO839" s="802"/>
      <c r="WSP839" s="802"/>
      <c r="WSQ839" s="802"/>
      <c r="WSR839" s="802"/>
      <c r="WSS839" s="802"/>
      <c r="WST839" s="802"/>
      <c r="WSU839" s="802"/>
      <c r="WSV839" s="802"/>
      <c r="WSW839" s="802"/>
      <c r="WSX839" s="802"/>
      <c r="WSY839" s="802"/>
      <c r="WSZ839" s="802"/>
      <c r="WTA839" s="802"/>
      <c r="WTB839" s="802"/>
      <c r="WTC839" s="802"/>
      <c r="WTD839" s="802"/>
      <c r="WTE839" s="802"/>
      <c r="WTF839" s="802"/>
      <c r="WTG839" s="802"/>
      <c r="WTH839" s="802"/>
      <c r="WTI839" s="802"/>
      <c r="WTJ839" s="802"/>
      <c r="WTK839" s="802"/>
      <c r="WTL839" s="802"/>
      <c r="WTM839" s="802"/>
      <c r="WTN839" s="802"/>
      <c r="WTO839" s="802"/>
      <c r="WTP839" s="802"/>
      <c r="WTQ839" s="802"/>
      <c r="WTR839" s="802"/>
      <c r="WTS839" s="802"/>
      <c r="WTT839" s="802"/>
      <c r="WTU839" s="802"/>
      <c r="WTV839" s="802"/>
      <c r="WTW839" s="802"/>
      <c r="WTX839" s="802"/>
      <c r="WTY839" s="802"/>
      <c r="WTZ839" s="802"/>
      <c r="WUA839" s="802"/>
      <c r="WUB839" s="802"/>
      <c r="WUC839" s="802"/>
      <c r="WUD839" s="802"/>
      <c r="WUE839" s="802"/>
      <c r="WUF839" s="802"/>
      <c r="WUG839" s="802"/>
      <c r="WUH839" s="802"/>
      <c r="WUI839" s="802"/>
      <c r="WUJ839" s="802"/>
      <c r="WUK839" s="802"/>
      <c r="WUL839" s="802"/>
      <c r="WUM839" s="802"/>
      <c r="WUN839" s="802"/>
      <c r="WUO839" s="802"/>
      <c r="WUP839" s="802"/>
      <c r="WUQ839" s="802"/>
      <c r="WUR839" s="802"/>
      <c r="WUS839" s="802"/>
      <c r="WUT839" s="802"/>
      <c r="WUU839" s="802"/>
      <c r="WUV839" s="802"/>
      <c r="WUW839" s="802"/>
      <c r="WUX839" s="802"/>
      <c r="WUY839" s="802"/>
      <c r="WUZ839" s="802"/>
      <c r="WVA839" s="802"/>
      <c r="WVB839" s="802"/>
      <c r="WVC839" s="802"/>
      <c r="WVD839" s="802"/>
      <c r="WVE839" s="802"/>
      <c r="WVF839" s="802"/>
      <c r="WVG839" s="802"/>
      <c r="WVH839" s="802"/>
      <c r="WVI839" s="802"/>
      <c r="WVJ839" s="802"/>
      <c r="WVK839" s="802"/>
      <c r="WVL839" s="802"/>
      <c r="WVM839" s="802"/>
      <c r="WVN839" s="802"/>
      <c r="WVO839" s="802"/>
      <c r="WVP839" s="802"/>
      <c r="WVQ839" s="802"/>
      <c r="WVR839" s="802"/>
    </row>
    <row r="840" spans="1:16138" s="1336" customFormat="1">
      <c r="A840" s="802"/>
      <c r="B840" s="802"/>
      <c r="C840" s="803"/>
      <c r="D840" s="1335"/>
      <c r="E840" s="1334"/>
      <c r="F840" s="1334"/>
      <c r="G840" s="1333"/>
      <c r="H840" s="1333"/>
      <c r="I840" s="802"/>
      <c r="J840" s="802"/>
      <c r="K840" s="802"/>
      <c r="L840" s="802"/>
      <c r="M840" s="802"/>
      <c r="N840" s="802"/>
      <c r="O840" s="802"/>
      <c r="P840" s="802"/>
      <c r="Q840" s="802"/>
      <c r="R840" s="802"/>
      <c r="S840" s="802"/>
      <c r="T840" s="802"/>
      <c r="U840" s="802"/>
      <c r="V840" s="802"/>
      <c r="W840" s="802"/>
      <c r="X840" s="802"/>
      <c r="Y840" s="802"/>
      <c r="Z840" s="802"/>
      <c r="AA840" s="802"/>
      <c r="AB840" s="802"/>
      <c r="AC840" s="802"/>
      <c r="AD840" s="802"/>
      <c r="AE840" s="802"/>
      <c r="AF840" s="802"/>
      <c r="AG840" s="802"/>
      <c r="AH840" s="802"/>
      <c r="AI840" s="802"/>
      <c r="AJ840" s="802"/>
      <c r="AK840" s="802"/>
      <c r="AL840" s="802"/>
      <c r="AM840" s="802"/>
      <c r="AN840" s="802"/>
      <c r="AO840" s="802"/>
      <c r="AP840" s="802"/>
      <c r="AQ840" s="802"/>
      <c r="AR840" s="802"/>
      <c r="AS840" s="802"/>
      <c r="AT840" s="802"/>
      <c r="AU840" s="802"/>
      <c r="AV840" s="802"/>
      <c r="AW840" s="802"/>
      <c r="AX840" s="802"/>
      <c r="AY840" s="802"/>
      <c r="AZ840" s="802"/>
      <c r="BA840" s="802"/>
      <c r="BB840" s="802"/>
      <c r="BC840" s="802"/>
      <c r="BD840" s="802"/>
      <c r="BE840" s="802"/>
      <c r="BF840" s="802"/>
      <c r="BG840" s="802"/>
      <c r="BH840" s="802"/>
      <c r="BI840" s="802"/>
      <c r="BJ840" s="802"/>
      <c r="BK840" s="802"/>
      <c r="BL840" s="802"/>
      <c r="BM840" s="802"/>
      <c r="BN840" s="802"/>
      <c r="BO840" s="802"/>
      <c r="BP840" s="802"/>
      <c r="BQ840" s="802"/>
      <c r="BR840" s="802"/>
      <c r="BS840" s="802"/>
      <c r="BT840" s="802"/>
      <c r="BU840" s="802"/>
      <c r="BV840" s="802"/>
      <c r="BW840" s="802"/>
      <c r="BX840" s="802"/>
      <c r="BY840" s="802"/>
      <c r="BZ840" s="802"/>
      <c r="CA840" s="802"/>
      <c r="CB840" s="802"/>
      <c r="CC840" s="802"/>
      <c r="CD840" s="802"/>
      <c r="CE840" s="802"/>
      <c r="CF840" s="802"/>
      <c r="CG840" s="802"/>
      <c r="CH840" s="802"/>
      <c r="CI840" s="802"/>
      <c r="CJ840" s="802"/>
      <c r="CK840" s="802"/>
      <c r="CL840" s="802"/>
      <c r="CM840" s="802"/>
      <c r="CN840" s="802"/>
      <c r="CO840" s="802"/>
      <c r="CP840" s="802"/>
      <c r="CQ840" s="802"/>
      <c r="CR840" s="802"/>
      <c r="CS840" s="802"/>
      <c r="CT840" s="802"/>
      <c r="CU840" s="802"/>
      <c r="CV840" s="802"/>
      <c r="CW840" s="802"/>
      <c r="CX840" s="802"/>
      <c r="CY840" s="802"/>
      <c r="CZ840" s="802"/>
      <c r="DA840" s="802"/>
      <c r="DB840" s="802"/>
      <c r="DC840" s="802"/>
      <c r="DD840" s="802"/>
      <c r="DE840" s="802"/>
      <c r="DF840" s="802"/>
      <c r="DG840" s="802"/>
      <c r="DH840" s="802"/>
      <c r="DI840" s="802"/>
      <c r="DJ840" s="802"/>
      <c r="DK840" s="802"/>
      <c r="DL840" s="802"/>
      <c r="DM840" s="802"/>
      <c r="DN840" s="802"/>
      <c r="DO840" s="802"/>
      <c r="DP840" s="802"/>
      <c r="DQ840" s="802"/>
      <c r="DR840" s="802"/>
      <c r="DS840" s="802"/>
      <c r="DT840" s="802"/>
      <c r="DU840" s="802"/>
      <c r="DV840" s="802"/>
      <c r="DW840" s="802"/>
      <c r="DX840" s="802"/>
      <c r="DY840" s="802"/>
      <c r="DZ840" s="802"/>
      <c r="EA840" s="802"/>
      <c r="EB840" s="802"/>
      <c r="EC840" s="802"/>
      <c r="ED840" s="802"/>
      <c r="EE840" s="802"/>
      <c r="EF840" s="802"/>
      <c r="EG840" s="802"/>
      <c r="EH840" s="802"/>
      <c r="EI840" s="802"/>
      <c r="EJ840" s="802"/>
      <c r="EK840" s="802"/>
      <c r="EL840" s="802"/>
      <c r="EM840" s="802"/>
      <c r="EN840" s="802"/>
      <c r="EO840" s="802"/>
      <c r="EP840" s="802"/>
      <c r="EQ840" s="802"/>
      <c r="ER840" s="802"/>
      <c r="ES840" s="802"/>
      <c r="ET840" s="802"/>
      <c r="EU840" s="802"/>
      <c r="EV840" s="802"/>
      <c r="EW840" s="802"/>
      <c r="EX840" s="802"/>
      <c r="EY840" s="802"/>
      <c r="EZ840" s="802"/>
      <c r="FA840" s="802"/>
      <c r="FB840" s="802"/>
      <c r="FC840" s="802"/>
      <c r="FD840" s="802"/>
      <c r="FE840" s="802"/>
      <c r="FF840" s="802"/>
      <c r="FG840" s="802"/>
      <c r="FH840" s="802"/>
      <c r="FI840" s="802"/>
      <c r="FJ840" s="802"/>
      <c r="FK840" s="802"/>
      <c r="FL840" s="802"/>
      <c r="FM840" s="802"/>
      <c r="FN840" s="802"/>
      <c r="FO840" s="802"/>
      <c r="FP840" s="802"/>
      <c r="FQ840" s="802"/>
      <c r="FR840" s="802"/>
      <c r="FS840" s="802"/>
      <c r="FT840" s="802"/>
      <c r="FU840" s="802"/>
      <c r="FV840" s="802"/>
      <c r="FW840" s="802"/>
      <c r="FX840" s="802"/>
      <c r="FY840" s="802"/>
      <c r="FZ840" s="802"/>
      <c r="GA840" s="802"/>
      <c r="GB840" s="802"/>
      <c r="GC840" s="802"/>
      <c r="GD840" s="802"/>
      <c r="GE840" s="802"/>
      <c r="GF840" s="802"/>
      <c r="GG840" s="802"/>
      <c r="GH840" s="802"/>
      <c r="GI840" s="802"/>
      <c r="GJ840" s="802"/>
      <c r="GK840" s="802"/>
      <c r="GL840" s="802"/>
      <c r="GM840" s="802"/>
      <c r="GN840" s="802"/>
      <c r="GO840" s="802"/>
      <c r="GP840" s="802"/>
      <c r="GQ840" s="802"/>
      <c r="GR840" s="802"/>
      <c r="GS840" s="802"/>
      <c r="GT840" s="802"/>
      <c r="GU840" s="802"/>
      <c r="GV840" s="802"/>
      <c r="GW840" s="802"/>
      <c r="GX840" s="802"/>
      <c r="GY840" s="802"/>
      <c r="GZ840" s="802"/>
      <c r="HA840" s="802"/>
      <c r="HB840" s="802"/>
      <c r="HC840" s="802"/>
      <c r="HD840" s="802"/>
      <c r="HE840" s="802"/>
      <c r="HF840" s="802"/>
      <c r="HG840" s="802"/>
      <c r="HH840" s="802"/>
      <c r="HI840" s="802"/>
      <c r="HJ840" s="802"/>
      <c r="HK840" s="802"/>
      <c r="HL840" s="802"/>
      <c r="HM840" s="802"/>
      <c r="HN840" s="802"/>
      <c r="HO840" s="802"/>
      <c r="HP840" s="802"/>
      <c r="HQ840" s="802"/>
      <c r="HR840" s="802"/>
      <c r="HS840" s="802"/>
      <c r="HT840" s="802"/>
      <c r="HU840" s="802"/>
      <c r="HV840" s="802"/>
      <c r="HW840" s="802"/>
      <c r="HX840" s="802"/>
      <c r="HY840" s="802"/>
      <c r="HZ840" s="802"/>
      <c r="IA840" s="802"/>
      <c r="IB840" s="802"/>
      <c r="IC840" s="802"/>
      <c r="ID840" s="802"/>
      <c r="IE840" s="802"/>
      <c r="IF840" s="802"/>
      <c r="IG840" s="802"/>
      <c r="IH840" s="802"/>
      <c r="II840" s="802"/>
      <c r="IJ840" s="802"/>
      <c r="IK840" s="802"/>
      <c r="IL840" s="802"/>
      <c r="IM840" s="802"/>
      <c r="IN840" s="802"/>
      <c r="IO840" s="802"/>
      <c r="IP840" s="802"/>
      <c r="IQ840" s="802"/>
      <c r="IR840" s="802"/>
      <c r="IS840" s="802"/>
      <c r="IT840" s="802"/>
      <c r="IU840" s="802"/>
      <c r="IV840" s="802"/>
      <c r="IW840" s="802"/>
      <c r="IX840" s="802"/>
      <c r="IY840" s="802"/>
      <c r="IZ840" s="802"/>
      <c r="JA840" s="802"/>
      <c r="JB840" s="802"/>
      <c r="JC840" s="802"/>
      <c r="JD840" s="802"/>
      <c r="JE840" s="802"/>
      <c r="JF840" s="802"/>
      <c r="JG840" s="802"/>
      <c r="JH840" s="802"/>
      <c r="JI840" s="802"/>
      <c r="JJ840" s="802"/>
      <c r="JK840" s="802"/>
      <c r="JL840" s="802"/>
      <c r="JM840" s="802"/>
      <c r="JN840" s="802"/>
      <c r="JO840" s="802"/>
      <c r="JP840" s="802"/>
      <c r="JQ840" s="802"/>
      <c r="JR840" s="802"/>
      <c r="JS840" s="802"/>
      <c r="JT840" s="802"/>
      <c r="JU840" s="802"/>
      <c r="JV840" s="802"/>
      <c r="JW840" s="802"/>
      <c r="JX840" s="802"/>
      <c r="JY840" s="802"/>
      <c r="JZ840" s="802"/>
      <c r="KA840" s="802"/>
      <c r="KB840" s="802"/>
      <c r="KC840" s="802"/>
      <c r="KD840" s="802"/>
      <c r="KE840" s="802"/>
      <c r="KF840" s="802"/>
      <c r="KG840" s="802"/>
      <c r="KH840" s="802"/>
      <c r="KI840" s="802"/>
      <c r="KJ840" s="802"/>
      <c r="KK840" s="802"/>
      <c r="KL840" s="802"/>
      <c r="KM840" s="802"/>
      <c r="KN840" s="802"/>
      <c r="KO840" s="802"/>
      <c r="KP840" s="802"/>
      <c r="KQ840" s="802"/>
      <c r="KR840" s="802"/>
      <c r="KS840" s="802"/>
      <c r="KT840" s="802"/>
      <c r="KU840" s="802"/>
      <c r="KV840" s="802"/>
      <c r="KW840" s="802"/>
      <c r="KX840" s="802"/>
      <c r="KY840" s="802"/>
      <c r="KZ840" s="802"/>
      <c r="LA840" s="802"/>
      <c r="LB840" s="802"/>
      <c r="LC840" s="802"/>
      <c r="LD840" s="802"/>
      <c r="LE840" s="802"/>
      <c r="LF840" s="802"/>
      <c r="LG840" s="802"/>
      <c r="LH840" s="802"/>
      <c r="LI840" s="802"/>
      <c r="LJ840" s="802"/>
      <c r="LK840" s="802"/>
      <c r="LL840" s="802"/>
      <c r="LM840" s="802"/>
      <c r="LN840" s="802"/>
      <c r="LO840" s="802"/>
      <c r="LP840" s="802"/>
      <c r="LQ840" s="802"/>
      <c r="LR840" s="802"/>
      <c r="LS840" s="802"/>
      <c r="LT840" s="802"/>
      <c r="LU840" s="802"/>
      <c r="LV840" s="802"/>
      <c r="LW840" s="802"/>
      <c r="LX840" s="802"/>
      <c r="LY840" s="802"/>
      <c r="LZ840" s="802"/>
      <c r="MA840" s="802"/>
      <c r="MB840" s="802"/>
      <c r="MC840" s="802"/>
      <c r="MD840" s="802"/>
      <c r="ME840" s="802"/>
      <c r="MF840" s="802"/>
      <c r="MG840" s="802"/>
      <c r="MH840" s="802"/>
      <c r="MI840" s="802"/>
      <c r="MJ840" s="802"/>
      <c r="MK840" s="802"/>
      <c r="ML840" s="802"/>
      <c r="MM840" s="802"/>
      <c r="MN840" s="802"/>
      <c r="MO840" s="802"/>
      <c r="MP840" s="802"/>
      <c r="MQ840" s="802"/>
      <c r="MR840" s="802"/>
      <c r="MS840" s="802"/>
      <c r="MT840" s="802"/>
      <c r="MU840" s="802"/>
      <c r="MV840" s="802"/>
      <c r="MW840" s="802"/>
      <c r="MX840" s="802"/>
      <c r="MY840" s="802"/>
      <c r="MZ840" s="802"/>
      <c r="NA840" s="802"/>
      <c r="NB840" s="802"/>
      <c r="NC840" s="802"/>
      <c r="ND840" s="802"/>
      <c r="NE840" s="802"/>
      <c r="NF840" s="802"/>
      <c r="NG840" s="802"/>
      <c r="NH840" s="802"/>
      <c r="NI840" s="802"/>
      <c r="NJ840" s="802"/>
      <c r="NK840" s="802"/>
      <c r="NL840" s="802"/>
      <c r="NM840" s="802"/>
      <c r="NN840" s="802"/>
      <c r="NO840" s="802"/>
      <c r="NP840" s="802"/>
      <c r="NQ840" s="802"/>
      <c r="NR840" s="802"/>
      <c r="NS840" s="802"/>
      <c r="NT840" s="802"/>
      <c r="NU840" s="802"/>
      <c r="NV840" s="802"/>
      <c r="NW840" s="802"/>
      <c r="NX840" s="802"/>
      <c r="NY840" s="802"/>
      <c r="NZ840" s="802"/>
      <c r="OA840" s="802"/>
      <c r="OB840" s="802"/>
      <c r="OC840" s="802"/>
      <c r="OD840" s="802"/>
      <c r="OE840" s="802"/>
      <c r="OF840" s="802"/>
      <c r="OG840" s="802"/>
      <c r="OH840" s="802"/>
      <c r="OI840" s="802"/>
      <c r="OJ840" s="802"/>
      <c r="OK840" s="802"/>
      <c r="OL840" s="802"/>
      <c r="OM840" s="802"/>
      <c r="ON840" s="802"/>
      <c r="OO840" s="802"/>
      <c r="OP840" s="802"/>
      <c r="OQ840" s="802"/>
      <c r="OR840" s="802"/>
      <c r="OS840" s="802"/>
      <c r="OT840" s="802"/>
      <c r="OU840" s="802"/>
      <c r="OV840" s="802"/>
      <c r="OW840" s="802"/>
      <c r="OX840" s="802"/>
      <c r="OY840" s="802"/>
      <c r="OZ840" s="802"/>
      <c r="PA840" s="802"/>
      <c r="PB840" s="802"/>
      <c r="PC840" s="802"/>
      <c r="PD840" s="802"/>
      <c r="PE840" s="802"/>
      <c r="PF840" s="802"/>
      <c r="PG840" s="802"/>
      <c r="PH840" s="802"/>
      <c r="PI840" s="802"/>
      <c r="PJ840" s="802"/>
      <c r="PK840" s="802"/>
      <c r="PL840" s="802"/>
      <c r="PM840" s="802"/>
      <c r="PN840" s="802"/>
      <c r="PO840" s="802"/>
      <c r="PP840" s="802"/>
      <c r="PQ840" s="802"/>
      <c r="PR840" s="802"/>
      <c r="PS840" s="802"/>
      <c r="PT840" s="802"/>
      <c r="PU840" s="802"/>
      <c r="PV840" s="802"/>
      <c r="PW840" s="802"/>
      <c r="PX840" s="802"/>
      <c r="PY840" s="802"/>
      <c r="PZ840" s="802"/>
      <c r="QA840" s="802"/>
      <c r="QB840" s="802"/>
      <c r="QC840" s="802"/>
      <c r="QD840" s="802"/>
      <c r="QE840" s="802"/>
      <c r="QF840" s="802"/>
      <c r="QG840" s="802"/>
      <c r="QH840" s="802"/>
      <c r="QI840" s="802"/>
      <c r="QJ840" s="802"/>
      <c r="QK840" s="802"/>
      <c r="QL840" s="802"/>
      <c r="QM840" s="802"/>
      <c r="QN840" s="802"/>
      <c r="QO840" s="802"/>
      <c r="QP840" s="802"/>
      <c r="QQ840" s="802"/>
      <c r="QR840" s="802"/>
      <c r="QS840" s="802"/>
      <c r="QT840" s="802"/>
      <c r="QU840" s="802"/>
      <c r="QV840" s="802"/>
      <c r="QW840" s="802"/>
      <c r="QX840" s="802"/>
      <c r="QY840" s="802"/>
      <c r="QZ840" s="802"/>
      <c r="RA840" s="802"/>
      <c r="RB840" s="802"/>
      <c r="RC840" s="802"/>
      <c r="RD840" s="802"/>
      <c r="RE840" s="802"/>
      <c r="RF840" s="802"/>
      <c r="RG840" s="802"/>
      <c r="RH840" s="802"/>
      <c r="RI840" s="802"/>
      <c r="RJ840" s="802"/>
      <c r="RK840" s="802"/>
      <c r="RL840" s="802"/>
      <c r="RM840" s="802"/>
      <c r="RN840" s="802"/>
      <c r="RO840" s="802"/>
      <c r="RP840" s="802"/>
      <c r="RQ840" s="802"/>
      <c r="RR840" s="802"/>
      <c r="RS840" s="802"/>
      <c r="RT840" s="802"/>
      <c r="RU840" s="802"/>
      <c r="RV840" s="802"/>
      <c r="RW840" s="802"/>
      <c r="RX840" s="802"/>
      <c r="RY840" s="802"/>
      <c r="RZ840" s="802"/>
      <c r="SA840" s="802"/>
      <c r="SB840" s="802"/>
      <c r="SC840" s="802"/>
      <c r="SD840" s="802"/>
      <c r="SE840" s="802"/>
      <c r="SF840" s="802"/>
      <c r="SG840" s="802"/>
      <c r="SH840" s="802"/>
      <c r="SI840" s="802"/>
      <c r="SJ840" s="802"/>
      <c r="SK840" s="802"/>
      <c r="SL840" s="802"/>
      <c r="SM840" s="802"/>
      <c r="SN840" s="802"/>
      <c r="SO840" s="802"/>
      <c r="SP840" s="802"/>
      <c r="SQ840" s="802"/>
      <c r="SR840" s="802"/>
      <c r="SS840" s="802"/>
      <c r="ST840" s="802"/>
      <c r="SU840" s="802"/>
      <c r="SV840" s="802"/>
      <c r="SW840" s="802"/>
      <c r="SX840" s="802"/>
      <c r="SY840" s="802"/>
      <c r="SZ840" s="802"/>
      <c r="TA840" s="802"/>
      <c r="TB840" s="802"/>
      <c r="TC840" s="802"/>
      <c r="TD840" s="802"/>
      <c r="TE840" s="802"/>
      <c r="TF840" s="802"/>
      <c r="TG840" s="802"/>
      <c r="TH840" s="802"/>
      <c r="TI840" s="802"/>
      <c r="TJ840" s="802"/>
      <c r="TK840" s="802"/>
      <c r="TL840" s="802"/>
      <c r="TM840" s="802"/>
      <c r="TN840" s="802"/>
      <c r="TO840" s="802"/>
      <c r="TP840" s="802"/>
      <c r="TQ840" s="802"/>
      <c r="TR840" s="802"/>
      <c r="TS840" s="802"/>
      <c r="TT840" s="802"/>
      <c r="TU840" s="802"/>
      <c r="TV840" s="802"/>
      <c r="TW840" s="802"/>
      <c r="TX840" s="802"/>
      <c r="TY840" s="802"/>
      <c r="TZ840" s="802"/>
      <c r="UA840" s="802"/>
      <c r="UB840" s="802"/>
      <c r="UC840" s="802"/>
      <c r="UD840" s="802"/>
      <c r="UE840" s="802"/>
      <c r="UF840" s="802"/>
      <c r="UG840" s="802"/>
      <c r="UH840" s="802"/>
      <c r="UI840" s="802"/>
      <c r="UJ840" s="802"/>
      <c r="UK840" s="802"/>
      <c r="UL840" s="802"/>
      <c r="UM840" s="802"/>
      <c r="UN840" s="802"/>
      <c r="UO840" s="802"/>
      <c r="UP840" s="802"/>
      <c r="UQ840" s="802"/>
      <c r="UR840" s="802"/>
      <c r="US840" s="802"/>
      <c r="UT840" s="802"/>
      <c r="UU840" s="802"/>
      <c r="UV840" s="802"/>
      <c r="UW840" s="802"/>
      <c r="UX840" s="802"/>
      <c r="UY840" s="802"/>
      <c r="UZ840" s="802"/>
      <c r="VA840" s="802"/>
      <c r="VB840" s="802"/>
      <c r="VC840" s="802"/>
      <c r="VD840" s="802"/>
      <c r="VE840" s="802"/>
      <c r="VF840" s="802"/>
      <c r="VG840" s="802"/>
      <c r="VH840" s="802"/>
      <c r="VI840" s="802"/>
      <c r="VJ840" s="802"/>
      <c r="VK840" s="802"/>
      <c r="VL840" s="802"/>
      <c r="VM840" s="802"/>
      <c r="VN840" s="802"/>
      <c r="VO840" s="802"/>
      <c r="VP840" s="802"/>
      <c r="VQ840" s="802"/>
      <c r="VR840" s="802"/>
      <c r="VS840" s="802"/>
      <c r="VT840" s="802"/>
      <c r="VU840" s="802"/>
      <c r="VV840" s="802"/>
      <c r="VW840" s="802"/>
      <c r="VX840" s="802"/>
      <c r="VY840" s="802"/>
      <c r="VZ840" s="802"/>
      <c r="WA840" s="802"/>
      <c r="WB840" s="802"/>
      <c r="WC840" s="802"/>
      <c r="WD840" s="802"/>
      <c r="WE840" s="802"/>
      <c r="WF840" s="802"/>
      <c r="WG840" s="802"/>
      <c r="WH840" s="802"/>
      <c r="WI840" s="802"/>
      <c r="WJ840" s="802"/>
      <c r="WK840" s="802"/>
      <c r="WL840" s="802"/>
      <c r="WM840" s="802"/>
      <c r="WN840" s="802"/>
      <c r="WO840" s="802"/>
      <c r="WP840" s="802"/>
      <c r="WQ840" s="802"/>
      <c r="WR840" s="802"/>
      <c r="WS840" s="802"/>
      <c r="WT840" s="802"/>
      <c r="WU840" s="802"/>
      <c r="WV840" s="802"/>
      <c r="WW840" s="802"/>
      <c r="WX840" s="802"/>
      <c r="WY840" s="802"/>
      <c r="WZ840" s="802"/>
      <c r="XA840" s="802"/>
      <c r="XB840" s="802"/>
      <c r="XC840" s="802"/>
      <c r="XD840" s="802"/>
      <c r="XE840" s="802"/>
      <c r="XF840" s="802"/>
      <c r="XG840" s="802"/>
      <c r="XH840" s="802"/>
      <c r="XI840" s="802"/>
      <c r="XJ840" s="802"/>
      <c r="XK840" s="802"/>
      <c r="XL840" s="802"/>
      <c r="XM840" s="802"/>
      <c r="XN840" s="802"/>
      <c r="XO840" s="802"/>
      <c r="XP840" s="802"/>
      <c r="XQ840" s="802"/>
      <c r="XR840" s="802"/>
      <c r="XS840" s="802"/>
      <c r="XT840" s="802"/>
      <c r="XU840" s="802"/>
      <c r="XV840" s="802"/>
      <c r="XW840" s="802"/>
      <c r="XX840" s="802"/>
      <c r="XY840" s="802"/>
      <c r="XZ840" s="802"/>
      <c r="YA840" s="802"/>
      <c r="YB840" s="802"/>
      <c r="YC840" s="802"/>
      <c r="YD840" s="802"/>
      <c r="YE840" s="802"/>
      <c r="YF840" s="802"/>
      <c r="YG840" s="802"/>
      <c r="YH840" s="802"/>
      <c r="YI840" s="802"/>
      <c r="YJ840" s="802"/>
      <c r="YK840" s="802"/>
      <c r="YL840" s="802"/>
      <c r="YM840" s="802"/>
      <c r="YN840" s="802"/>
      <c r="YO840" s="802"/>
      <c r="YP840" s="802"/>
      <c r="YQ840" s="802"/>
      <c r="YR840" s="802"/>
      <c r="YS840" s="802"/>
      <c r="YT840" s="802"/>
      <c r="YU840" s="802"/>
      <c r="YV840" s="802"/>
      <c r="YW840" s="802"/>
      <c r="YX840" s="802"/>
      <c r="YY840" s="802"/>
      <c r="YZ840" s="802"/>
      <c r="ZA840" s="802"/>
      <c r="ZB840" s="802"/>
      <c r="ZC840" s="802"/>
      <c r="ZD840" s="802"/>
      <c r="ZE840" s="802"/>
      <c r="ZF840" s="802"/>
      <c r="ZG840" s="802"/>
      <c r="ZH840" s="802"/>
      <c r="ZI840" s="802"/>
      <c r="ZJ840" s="802"/>
      <c r="ZK840" s="802"/>
      <c r="ZL840" s="802"/>
      <c r="ZM840" s="802"/>
      <c r="ZN840" s="802"/>
      <c r="ZO840" s="802"/>
      <c r="ZP840" s="802"/>
      <c r="ZQ840" s="802"/>
      <c r="ZR840" s="802"/>
      <c r="ZS840" s="802"/>
      <c r="ZT840" s="802"/>
      <c r="ZU840" s="802"/>
      <c r="ZV840" s="802"/>
      <c r="ZW840" s="802"/>
      <c r="ZX840" s="802"/>
      <c r="ZY840" s="802"/>
      <c r="ZZ840" s="802"/>
      <c r="AAA840" s="802"/>
      <c r="AAB840" s="802"/>
      <c r="AAC840" s="802"/>
      <c r="AAD840" s="802"/>
      <c r="AAE840" s="802"/>
      <c r="AAF840" s="802"/>
      <c r="AAG840" s="802"/>
      <c r="AAH840" s="802"/>
      <c r="AAI840" s="802"/>
      <c r="AAJ840" s="802"/>
      <c r="AAK840" s="802"/>
      <c r="AAL840" s="802"/>
      <c r="AAM840" s="802"/>
      <c r="AAN840" s="802"/>
      <c r="AAO840" s="802"/>
      <c r="AAP840" s="802"/>
      <c r="AAQ840" s="802"/>
      <c r="AAR840" s="802"/>
      <c r="AAS840" s="802"/>
      <c r="AAT840" s="802"/>
      <c r="AAU840" s="802"/>
      <c r="AAV840" s="802"/>
      <c r="AAW840" s="802"/>
      <c r="AAX840" s="802"/>
      <c r="AAY840" s="802"/>
      <c r="AAZ840" s="802"/>
      <c r="ABA840" s="802"/>
      <c r="ABB840" s="802"/>
      <c r="ABC840" s="802"/>
      <c r="ABD840" s="802"/>
      <c r="ABE840" s="802"/>
      <c r="ABF840" s="802"/>
      <c r="ABG840" s="802"/>
      <c r="ABH840" s="802"/>
      <c r="ABI840" s="802"/>
      <c r="ABJ840" s="802"/>
      <c r="ABK840" s="802"/>
      <c r="ABL840" s="802"/>
      <c r="ABM840" s="802"/>
      <c r="ABN840" s="802"/>
      <c r="ABO840" s="802"/>
      <c r="ABP840" s="802"/>
      <c r="ABQ840" s="802"/>
      <c r="ABR840" s="802"/>
      <c r="ABS840" s="802"/>
      <c r="ABT840" s="802"/>
      <c r="ABU840" s="802"/>
      <c r="ABV840" s="802"/>
      <c r="ABW840" s="802"/>
      <c r="ABX840" s="802"/>
      <c r="ABY840" s="802"/>
      <c r="ABZ840" s="802"/>
      <c r="ACA840" s="802"/>
      <c r="ACB840" s="802"/>
      <c r="ACC840" s="802"/>
      <c r="ACD840" s="802"/>
      <c r="ACE840" s="802"/>
      <c r="ACF840" s="802"/>
      <c r="ACG840" s="802"/>
      <c r="ACH840" s="802"/>
      <c r="ACI840" s="802"/>
      <c r="ACJ840" s="802"/>
      <c r="ACK840" s="802"/>
      <c r="ACL840" s="802"/>
      <c r="ACM840" s="802"/>
      <c r="ACN840" s="802"/>
      <c r="ACO840" s="802"/>
      <c r="ACP840" s="802"/>
      <c r="ACQ840" s="802"/>
      <c r="ACR840" s="802"/>
      <c r="ACS840" s="802"/>
      <c r="ACT840" s="802"/>
      <c r="ACU840" s="802"/>
      <c r="ACV840" s="802"/>
      <c r="ACW840" s="802"/>
      <c r="ACX840" s="802"/>
      <c r="ACY840" s="802"/>
      <c r="ACZ840" s="802"/>
      <c r="ADA840" s="802"/>
      <c r="ADB840" s="802"/>
      <c r="ADC840" s="802"/>
      <c r="ADD840" s="802"/>
      <c r="ADE840" s="802"/>
      <c r="ADF840" s="802"/>
      <c r="ADG840" s="802"/>
      <c r="ADH840" s="802"/>
      <c r="ADI840" s="802"/>
      <c r="ADJ840" s="802"/>
      <c r="ADK840" s="802"/>
      <c r="ADL840" s="802"/>
      <c r="ADM840" s="802"/>
      <c r="ADN840" s="802"/>
      <c r="ADO840" s="802"/>
      <c r="ADP840" s="802"/>
      <c r="ADQ840" s="802"/>
      <c r="ADR840" s="802"/>
      <c r="ADS840" s="802"/>
      <c r="ADT840" s="802"/>
      <c r="ADU840" s="802"/>
      <c r="ADV840" s="802"/>
      <c r="ADW840" s="802"/>
      <c r="ADX840" s="802"/>
      <c r="ADY840" s="802"/>
      <c r="ADZ840" s="802"/>
      <c r="AEA840" s="802"/>
      <c r="AEB840" s="802"/>
      <c r="AEC840" s="802"/>
      <c r="AED840" s="802"/>
      <c r="AEE840" s="802"/>
      <c r="AEF840" s="802"/>
      <c r="AEG840" s="802"/>
      <c r="AEH840" s="802"/>
      <c r="AEI840" s="802"/>
      <c r="AEJ840" s="802"/>
      <c r="AEK840" s="802"/>
      <c r="AEL840" s="802"/>
      <c r="AEM840" s="802"/>
      <c r="AEN840" s="802"/>
      <c r="AEO840" s="802"/>
      <c r="AEP840" s="802"/>
      <c r="AEQ840" s="802"/>
      <c r="AER840" s="802"/>
      <c r="AES840" s="802"/>
      <c r="AET840" s="802"/>
      <c r="AEU840" s="802"/>
      <c r="AEV840" s="802"/>
      <c r="AEW840" s="802"/>
      <c r="AEX840" s="802"/>
      <c r="AEY840" s="802"/>
      <c r="AEZ840" s="802"/>
      <c r="AFA840" s="802"/>
      <c r="AFB840" s="802"/>
      <c r="AFC840" s="802"/>
      <c r="AFD840" s="802"/>
      <c r="AFE840" s="802"/>
      <c r="AFF840" s="802"/>
      <c r="AFG840" s="802"/>
      <c r="AFH840" s="802"/>
      <c r="AFI840" s="802"/>
      <c r="AFJ840" s="802"/>
      <c r="AFK840" s="802"/>
      <c r="AFL840" s="802"/>
      <c r="AFM840" s="802"/>
      <c r="AFN840" s="802"/>
      <c r="AFO840" s="802"/>
      <c r="AFP840" s="802"/>
      <c r="AFQ840" s="802"/>
      <c r="AFR840" s="802"/>
      <c r="AFS840" s="802"/>
      <c r="AFT840" s="802"/>
      <c r="AFU840" s="802"/>
      <c r="AFV840" s="802"/>
      <c r="AFW840" s="802"/>
      <c r="AFX840" s="802"/>
      <c r="AFY840" s="802"/>
      <c r="AFZ840" s="802"/>
      <c r="AGA840" s="802"/>
      <c r="AGB840" s="802"/>
      <c r="AGC840" s="802"/>
      <c r="AGD840" s="802"/>
      <c r="AGE840" s="802"/>
      <c r="AGF840" s="802"/>
      <c r="AGG840" s="802"/>
      <c r="AGH840" s="802"/>
      <c r="AGI840" s="802"/>
      <c r="AGJ840" s="802"/>
      <c r="AGK840" s="802"/>
      <c r="AGL840" s="802"/>
      <c r="AGM840" s="802"/>
      <c r="AGN840" s="802"/>
      <c r="AGO840" s="802"/>
      <c r="AGP840" s="802"/>
      <c r="AGQ840" s="802"/>
      <c r="AGR840" s="802"/>
      <c r="AGS840" s="802"/>
      <c r="AGT840" s="802"/>
      <c r="AGU840" s="802"/>
      <c r="AGV840" s="802"/>
      <c r="AGW840" s="802"/>
      <c r="AGX840" s="802"/>
      <c r="AGY840" s="802"/>
      <c r="AGZ840" s="802"/>
      <c r="AHA840" s="802"/>
      <c r="AHB840" s="802"/>
      <c r="AHC840" s="802"/>
      <c r="AHD840" s="802"/>
      <c r="AHE840" s="802"/>
      <c r="AHF840" s="802"/>
      <c r="AHG840" s="802"/>
      <c r="AHH840" s="802"/>
      <c r="AHI840" s="802"/>
      <c r="AHJ840" s="802"/>
      <c r="AHK840" s="802"/>
      <c r="AHL840" s="802"/>
      <c r="AHM840" s="802"/>
      <c r="AHN840" s="802"/>
      <c r="AHO840" s="802"/>
      <c r="AHP840" s="802"/>
      <c r="AHQ840" s="802"/>
      <c r="AHR840" s="802"/>
      <c r="AHS840" s="802"/>
      <c r="AHT840" s="802"/>
      <c r="AHU840" s="802"/>
      <c r="AHV840" s="802"/>
      <c r="AHW840" s="802"/>
      <c r="AHX840" s="802"/>
      <c r="AHY840" s="802"/>
      <c r="AHZ840" s="802"/>
      <c r="AIA840" s="802"/>
      <c r="AIB840" s="802"/>
      <c r="AIC840" s="802"/>
      <c r="AID840" s="802"/>
      <c r="AIE840" s="802"/>
      <c r="AIF840" s="802"/>
      <c r="AIG840" s="802"/>
      <c r="AIH840" s="802"/>
      <c r="AII840" s="802"/>
      <c r="AIJ840" s="802"/>
      <c r="AIK840" s="802"/>
      <c r="AIL840" s="802"/>
      <c r="AIM840" s="802"/>
      <c r="AIN840" s="802"/>
      <c r="AIO840" s="802"/>
      <c r="AIP840" s="802"/>
      <c r="AIQ840" s="802"/>
      <c r="AIR840" s="802"/>
      <c r="AIS840" s="802"/>
      <c r="AIT840" s="802"/>
      <c r="AIU840" s="802"/>
      <c r="AIV840" s="802"/>
      <c r="AIW840" s="802"/>
      <c r="AIX840" s="802"/>
      <c r="AIY840" s="802"/>
      <c r="AIZ840" s="802"/>
      <c r="AJA840" s="802"/>
      <c r="AJB840" s="802"/>
      <c r="AJC840" s="802"/>
      <c r="AJD840" s="802"/>
      <c r="AJE840" s="802"/>
      <c r="AJF840" s="802"/>
      <c r="AJG840" s="802"/>
      <c r="AJH840" s="802"/>
      <c r="AJI840" s="802"/>
      <c r="AJJ840" s="802"/>
      <c r="AJK840" s="802"/>
      <c r="AJL840" s="802"/>
      <c r="AJM840" s="802"/>
      <c r="AJN840" s="802"/>
      <c r="AJO840" s="802"/>
      <c r="AJP840" s="802"/>
      <c r="AJQ840" s="802"/>
      <c r="AJR840" s="802"/>
      <c r="AJS840" s="802"/>
      <c r="AJT840" s="802"/>
      <c r="AJU840" s="802"/>
      <c r="AJV840" s="802"/>
      <c r="AJW840" s="802"/>
      <c r="AJX840" s="802"/>
      <c r="AJY840" s="802"/>
      <c r="AJZ840" s="802"/>
      <c r="AKA840" s="802"/>
      <c r="AKB840" s="802"/>
      <c r="AKC840" s="802"/>
      <c r="AKD840" s="802"/>
      <c r="AKE840" s="802"/>
      <c r="AKF840" s="802"/>
      <c r="AKG840" s="802"/>
      <c r="AKH840" s="802"/>
      <c r="AKI840" s="802"/>
      <c r="AKJ840" s="802"/>
      <c r="AKK840" s="802"/>
      <c r="AKL840" s="802"/>
      <c r="AKM840" s="802"/>
      <c r="AKN840" s="802"/>
      <c r="AKO840" s="802"/>
      <c r="AKP840" s="802"/>
      <c r="AKQ840" s="802"/>
      <c r="AKR840" s="802"/>
      <c r="AKS840" s="802"/>
      <c r="AKT840" s="802"/>
      <c r="AKU840" s="802"/>
      <c r="AKV840" s="802"/>
      <c r="AKW840" s="802"/>
      <c r="AKX840" s="802"/>
      <c r="AKY840" s="802"/>
      <c r="AKZ840" s="802"/>
      <c r="ALA840" s="802"/>
      <c r="ALB840" s="802"/>
      <c r="ALC840" s="802"/>
      <c r="ALD840" s="802"/>
      <c r="ALE840" s="802"/>
      <c r="ALF840" s="802"/>
      <c r="ALG840" s="802"/>
      <c r="ALH840" s="802"/>
      <c r="ALI840" s="802"/>
      <c r="ALJ840" s="802"/>
      <c r="ALK840" s="802"/>
      <c r="ALL840" s="802"/>
      <c r="ALM840" s="802"/>
      <c r="ALN840" s="802"/>
      <c r="ALO840" s="802"/>
      <c r="ALP840" s="802"/>
      <c r="ALQ840" s="802"/>
      <c r="ALR840" s="802"/>
      <c r="ALS840" s="802"/>
      <c r="ALT840" s="802"/>
      <c r="ALU840" s="802"/>
      <c r="ALV840" s="802"/>
      <c r="ALW840" s="802"/>
      <c r="ALX840" s="802"/>
      <c r="ALY840" s="802"/>
      <c r="ALZ840" s="802"/>
      <c r="AMA840" s="802"/>
      <c r="AMB840" s="802"/>
      <c r="AMC840" s="802"/>
      <c r="AMD840" s="802"/>
      <c r="AME840" s="802"/>
      <c r="AMF840" s="802"/>
      <c r="AMG840" s="802"/>
      <c r="AMH840" s="802"/>
      <c r="AMI840" s="802"/>
      <c r="AMJ840" s="802"/>
      <c r="AMK840" s="802"/>
      <c r="AML840" s="802"/>
      <c r="AMM840" s="802"/>
      <c r="AMN840" s="802"/>
      <c r="AMO840" s="802"/>
      <c r="AMP840" s="802"/>
      <c r="AMQ840" s="802"/>
      <c r="AMR840" s="802"/>
      <c r="AMS840" s="802"/>
      <c r="AMT840" s="802"/>
      <c r="AMU840" s="802"/>
      <c r="AMV840" s="802"/>
      <c r="AMW840" s="802"/>
      <c r="AMX840" s="802"/>
      <c r="AMY840" s="802"/>
      <c r="AMZ840" s="802"/>
      <c r="ANA840" s="802"/>
      <c r="ANB840" s="802"/>
      <c r="ANC840" s="802"/>
      <c r="AND840" s="802"/>
      <c r="ANE840" s="802"/>
      <c r="ANF840" s="802"/>
      <c r="ANG840" s="802"/>
      <c r="ANH840" s="802"/>
      <c r="ANI840" s="802"/>
      <c r="ANJ840" s="802"/>
      <c r="ANK840" s="802"/>
      <c r="ANL840" s="802"/>
      <c r="ANM840" s="802"/>
      <c r="ANN840" s="802"/>
      <c r="ANO840" s="802"/>
      <c r="ANP840" s="802"/>
      <c r="ANQ840" s="802"/>
      <c r="ANR840" s="802"/>
      <c r="ANS840" s="802"/>
      <c r="ANT840" s="802"/>
      <c r="ANU840" s="802"/>
      <c r="ANV840" s="802"/>
      <c r="ANW840" s="802"/>
      <c r="ANX840" s="802"/>
      <c r="ANY840" s="802"/>
      <c r="ANZ840" s="802"/>
      <c r="AOA840" s="802"/>
      <c r="AOB840" s="802"/>
      <c r="AOC840" s="802"/>
      <c r="AOD840" s="802"/>
      <c r="AOE840" s="802"/>
      <c r="AOF840" s="802"/>
      <c r="AOG840" s="802"/>
      <c r="AOH840" s="802"/>
      <c r="AOI840" s="802"/>
      <c r="AOJ840" s="802"/>
      <c r="AOK840" s="802"/>
      <c r="AOL840" s="802"/>
      <c r="AOM840" s="802"/>
      <c r="AON840" s="802"/>
      <c r="AOO840" s="802"/>
      <c r="AOP840" s="802"/>
      <c r="AOQ840" s="802"/>
      <c r="AOR840" s="802"/>
      <c r="AOS840" s="802"/>
      <c r="AOT840" s="802"/>
      <c r="AOU840" s="802"/>
      <c r="AOV840" s="802"/>
      <c r="AOW840" s="802"/>
      <c r="AOX840" s="802"/>
      <c r="AOY840" s="802"/>
      <c r="AOZ840" s="802"/>
      <c r="APA840" s="802"/>
      <c r="APB840" s="802"/>
      <c r="APC840" s="802"/>
      <c r="APD840" s="802"/>
      <c r="APE840" s="802"/>
      <c r="APF840" s="802"/>
      <c r="APG840" s="802"/>
      <c r="APH840" s="802"/>
      <c r="API840" s="802"/>
      <c r="APJ840" s="802"/>
      <c r="APK840" s="802"/>
      <c r="APL840" s="802"/>
      <c r="APM840" s="802"/>
      <c r="APN840" s="802"/>
      <c r="APO840" s="802"/>
      <c r="APP840" s="802"/>
      <c r="APQ840" s="802"/>
      <c r="APR840" s="802"/>
      <c r="APS840" s="802"/>
      <c r="APT840" s="802"/>
      <c r="APU840" s="802"/>
      <c r="APV840" s="802"/>
      <c r="APW840" s="802"/>
      <c r="APX840" s="802"/>
      <c r="APY840" s="802"/>
      <c r="APZ840" s="802"/>
      <c r="AQA840" s="802"/>
      <c r="AQB840" s="802"/>
      <c r="AQC840" s="802"/>
      <c r="AQD840" s="802"/>
      <c r="AQE840" s="802"/>
      <c r="AQF840" s="802"/>
      <c r="AQG840" s="802"/>
      <c r="AQH840" s="802"/>
      <c r="AQI840" s="802"/>
      <c r="AQJ840" s="802"/>
      <c r="AQK840" s="802"/>
      <c r="AQL840" s="802"/>
      <c r="AQM840" s="802"/>
      <c r="AQN840" s="802"/>
      <c r="AQO840" s="802"/>
      <c r="AQP840" s="802"/>
      <c r="AQQ840" s="802"/>
      <c r="AQR840" s="802"/>
      <c r="AQS840" s="802"/>
      <c r="AQT840" s="802"/>
      <c r="AQU840" s="802"/>
      <c r="AQV840" s="802"/>
      <c r="AQW840" s="802"/>
      <c r="AQX840" s="802"/>
      <c r="AQY840" s="802"/>
      <c r="AQZ840" s="802"/>
      <c r="ARA840" s="802"/>
      <c r="ARB840" s="802"/>
      <c r="ARC840" s="802"/>
      <c r="ARD840" s="802"/>
      <c r="ARE840" s="802"/>
      <c r="ARF840" s="802"/>
      <c r="ARG840" s="802"/>
      <c r="ARH840" s="802"/>
      <c r="ARI840" s="802"/>
      <c r="ARJ840" s="802"/>
      <c r="ARK840" s="802"/>
      <c r="ARL840" s="802"/>
      <c r="ARM840" s="802"/>
      <c r="ARN840" s="802"/>
      <c r="ARO840" s="802"/>
      <c r="ARP840" s="802"/>
      <c r="ARQ840" s="802"/>
      <c r="ARR840" s="802"/>
      <c r="ARS840" s="802"/>
      <c r="ART840" s="802"/>
      <c r="ARU840" s="802"/>
      <c r="ARV840" s="802"/>
      <c r="ARW840" s="802"/>
      <c r="ARX840" s="802"/>
      <c r="ARY840" s="802"/>
      <c r="ARZ840" s="802"/>
      <c r="ASA840" s="802"/>
      <c r="ASB840" s="802"/>
      <c r="ASC840" s="802"/>
      <c r="ASD840" s="802"/>
      <c r="ASE840" s="802"/>
      <c r="ASF840" s="802"/>
      <c r="ASG840" s="802"/>
      <c r="ASH840" s="802"/>
      <c r="ASI840" s="802"/>
      <c r="ASJ840" s="802"/>
      <c r="ASK840" s="802"/>
      <c r="ASL840" s="802"/>
      <c r="ASM840" s="802"/>
      <c r="ASN840" s="802"/>
      <c r="ASO840" s="802"/>
      <c r="ASP840" s="802"/>
      <c r="ASQ840" s="802"/>
      <c r="ASR840" s="802"/>
      <c r="ASS840" s="802"/>
      <c r="AST840" s="802"/>
      <c r="ASU840" s="802"/>
      <c r="ASV840" s="802"/>
      <c r="ASW840" s="802"/>
      <c r="ASX840" s="802"/>
      <c r="ASY840" s="802"/>
      <c r="ASZ840" s="802"/>
      <c r="ATA840" s="802"/>
      <c r="ATB840" s="802"/>
      <c r="ATC840" s="802"/>
      <c r="ATD840" s="802"/>
      <c r="ATE840" s="802"/>
      <c r="ATF840" s="802"/>
      <c r="ATG840" s="802"/>
      <c r="ATH840" s="802"/>
      <c r="ATI840" s="802"/>
      <c r="ATJ840" s="802"/>
      <c r="ATK840" s="802"/>
      <c r="ATL840" s="802"/>
      <c r="ATM840" s="802"/>
      <c r="ATN840" s="802"/>
      <c r="ATO840" s="802"/>
      <c r="ATP840" s="802"/>
      <c r="ATQ840" s="802"/>
      <c r="ATR840" s="802"/>
      <c r="ATS840" s="802"/>
      <c r="ATT840" s="802"/>
      <c r="ATU840" s="802"/>
      <c r="ATV840" s="802"/>
      <c r="ATW840" s="802"/>
      <c r="ATX840" s="802"/>
      <c r="ATY840" s="802"/>
      <c r="ATZ840" s="802"/>
      <c r="AUA840" s="802"/>
      <c r="AUB840" s="802"/>
      <c r="AUC840" s="802"/>
      <c r="AUD840" s="802"/>
      <c r="AUE840" s="802"/>
      <c r="AUF840" s="802"/>
      <c r="AUG840" s="802"/>
      <c r="AUH840" s="802"/>
      <c r="AUI840" s="802"/>
      <c r="AUJ840" s="802"/>
      <c r="AUK840" s="802"/>
      <c r="AUL840" s="802"/>
      <c r="AUM840" s="802"/>
      <c r="AUN840" s="802"/>
      <c r="AUO840" s="802"/>
      <c r="AUP840" s="802"/>
      <c r="AUQ840" s="802"/>
      <c r="AUR840" s="802"/>
      <c r="AUS840" s="802"/>
      <c r="AUT840" s="802"/>
      <c r="AUU840" s="802"/>
      <c r="AUV840" s="802"/>
      <c r="AUW840" s="802"/>
      <c r="AUX840" s="802"/>
      <c r="AUY840" s="802"/>
      <c r="AUZ840" s="802"/>
      <c r="AVA840" s="802"/>
      <c r="AVB840" s="802"/>
      <c r="AVC840" s="802"/>
      <c r="AVD840" s="802"/>
      <c r="AVE840" s="802"/>
      <c r="AVF840" s="802"/>
      <c r="AVG840" s="802"/>
      <c r="AVH840" s="802"/>
      <c r="AVI840" s="802"/>
      <c r="AVJ840" s="802"/>
      <c r="AVK840" s="802"/>
      <c r="AVL840" s="802"/>
      <c r="AVM840" s="802"/>
      <c r="AVN840" s="802"/>
      <c r="AVO840" s="802"/>
      <c r="AVP840" s="802"/>
      <c r="AVQ840" s="802"/>
      <c r="AVR840" s="802"/>
      <c r="AVS840" s="802"/>
      <c r="AVT840" s="802"/>
      <c r="AVU840" s="802"/>
      <c r="AVV840" s="802"/>
      <c r="AVW840" s="802"/>
      <c r="AVX840" s="802"/>
      <c r="AVY840" s="802"/>
      <c r="AVZ840" s="802"/>
      <c r="AWA840" s="802"/>
      <c r="AWB840" s="802"/>
      <c r="AWC840" s="802"/>
      <c r="AWD840" s="802"/>
      <c r="AWE840" s="802"/>
      <c r="AWF840" s="802"/>
      <c r="AWG840" s="802"/>
      <c r="AWH840" s="802"/>
      <c r="AWI840" s="802"/>
      <c r="AWJ840" s="802"/>
      <c r="AWK840" s="802"/>
      <c r="AWL840" s="802"/>
      <c r="AWM840" s="802"/>
      <c r="AWN840" s="802"/>
      <c r="AWO840" s="802"/>
      <c r="AWP840" s="802"/>
      <c r="AWQ840" s="802"/>
      <c r="AWR840" s="802"/>
      <c r="AWS840" s="802"/>
      <c r="AWT840" s="802"/>
      <c r="AWU840" s="802"/>
      <c r="AWV840" s="802"/>
      <c r="AWW840" s="802"/>
      <c r="AWX840" s="802"/>
      <c r="AWY840" s="802"/>
      <c r="AWZ840" s="802"/>
      <c r="AXA840" s="802"/>
      <c r="AXB840" s="802"/>
      <c r="AXC840" s="802"/>
      <c r="AXD840" s="802"/>
      <c r="AXE840" s="802"/>
      <c r="AXF840" s="802"/>
      <c r="AXG840" s="802"/>
      <c r="AXH840" s="802"/>
      <c r="AXI840" s="802"/>
      <c r="AXJ840" s="802"/>
      <c r="AXK840" s="802"/>
      <c r="AXL840" s="802"/>
      <c r="AXM840" s="802"/>
      <c r="AXN840" s="802"/>
      <c r="AXO840" s="802"/>
      <c r="AXP840" s="802"/>
      <c r="AXQ840" s="802"/>
      <c r="AXR840" s="802"/>
      <c r="AXS840" s="802"/>
      <c r="AXT840" s="802"/>
      <c r="AXU840" s="802"/>
      <c r="AXV840" s="802"/>
      <c r="AXW840" s="802"/>
      <c r="AXX840" s="802"/>
      <c r="AXY840" s="802"/>
      <c r="AXZ840" s="802"/>
      <c r="AYA840" s="802"/>
      <c r="AYB840" s="802"/>
      <c r="AYC840" s="802"/>
      <c r="AYD840" s="802"/>
      <c r="AYE840" s="802"/>
      <c r="AYF840" s="802"/>
      <c r="AYG840" s="802"/>
      <c r="AYH840" s="802"/>
      <c r="AYI840" s="802"/>
      <c r="AYJ840" s="802"/>
      <c r="AYK840" s="802"/>
      <c r="AYL840" s="802"/>
      <c r="AYM840" s="802"/>
      <c r="AYN840" s="802"/>
      <c r="AYO840" s="802"/>
      <c r="AYP840" s="802"/>
      <c r="AYQ840" s="802"/>
      <c r="AYR840" s="802"/>
      <c r="AYS840" s="802"/>
      <c r="AYT840" s="802"/>
      <c r="AYU840" s="802"/>
      <c r="AYV840" s="802"/>
      <c r="AYW840" s="802"/>
      <c r="AYX840" s="802"/>
      <c r="AYY840" s="802"/>
      <c r="AYZ840" s="802"/>
      <c r="AZA840" s="802"/>
      <c r="AZB840" s="802"/>
      <c r="AZC840" s="802"/>
      <c r="AZD840" s="802"/>
      <c r="AZE840" s="802"/>
      <c r="AZF840" s="802"/>
      <c r="AZG840" s="802"/>
      <c r="AZH840" s="802"/>
      <c r="AZI840" s="802"/>
      <c r="AZJ840" s="802"/>
      <c r="AZK840" s="802"/>
      <c r="AZL840" s="802"/>
      <c r="AZM840" s="802"/>
      <c r="AZN840" s="802"/>
      <c r="AZO840" s="802"/>
      <c r="AZP840" s="802"/>
      <c r="AZQ840" s="802"/>
      <c r="AZR840" s="802"/>
      <c r="AZS840" s="802"/>
      <c r="AZT840" s="802"/>
      <c r="AZU840" s="802"/>
      <c r="AZV840" s="802"/>
      <c r="AZW840" s="802"/>
      <c r="AZX840" s="802"/>
      <c r="AZY840" s="802"/>
      <c r="AZZ840" s="802"/>
      <c r="BAA840" s="802"/>
      <c r="BAB840" s="802"/>
      <c r="BAC840" s="802"/>
      <c r="BAD840" s="802"/>
      <c r="BAE840" s="802"/>
      <c r="BAF840" s="802"/>
      <c r="BAG840" s="802"/>
      <c r="BAH840" s="802"/>
      <c r="BAI840" s="802"/>
      <c r="BAJ840" s="802"/>
      <c r="BAK840" s="802"/>
      <c r="BAL840" s="802"/>
      <c r="BAM840" s="802"/>
      <c r="BAN840" s="802"/>
      <c r="BAO840" s="802"/>
      <c r="BAP840" s="802"/>
      <c r="BAQ840" s="802"/>
      <c r="BAR840" s="802"/>
      <c r="BAS840" s="802"/>
      <c r="BAT840" s="802"/>
      <c r="BAU840" s="802"/>
      <c r="BAV840" s="802"/>
      <c r="BAW840" s="802"/>
      <c r="BAX840" s="802"/>
      <c r="BAY840" s="802"/>
      <c r="BAZ840" s="802"/>
      <c r="BBA840" s="802"/>
      <c r="BBB840" s="802"/>
      <c r="BBC840" s="802"/>
      <c r="BBD840" s="802"/>
      <c r="BBE840" s="802"/>
      <c r="BBF840" s="802"/>
      <c r="BBG840" s="802"/>
      <c r="BBH840" s="802"/>
      <c r="BBI840" s="802"/>
      <c r="BBJ840" s="802"/>
      <c r="BBK840" s="802"/>
      <c r="BBL840" s="802"/>
      <c r="BBM840" s="802"/>
      <c r="BBN840" s="802"/>
      <c r="BBO840" s="802"/>
      <c r="BBP840" s="802"/>
      <c r="BBQ840" s="802"/>
      <c r="BBR840" s="802"/>
      <c r="BBS840" s="802"/>
      <c r="BBT840" s="802"/>
      <c r="BBU840" s="802"/>
      <c r="BBV840" s="802"/>
      <c r="BBW840" s="802"/>
      <c r="BBX840" s="802"/>
      <c r="BBY840" s="802"/>
      <c r="BBZ840" s="802"/>
      <c r="BCA840" s="802"/>
      <c r="BCB840" s="802"/>
      <c r="BCC840" s="802"/>
      <c r="BCD840" s="802"/>
      <c r="BCE840" s="802"/>
      <c r="BCF840" s="802"/>
      <c r="BCG840" s="802"/>
      <c r="BCH840" s="802"/>
      <c r="BCI840" s="802"/>
      <c r="BCJ840" s="802"/>
      <c r="BCK840" s="802"/>
      <c r="BCL840" s="802"/>
      <c r="BCM840" s="802"/>
      <c r="BCN840" s="802"/>
      <c r="BCO840" s="802"/>
      <c r="BCP840" s="802"/>
      <c r="BCQ840" s="802"/>
      <c r="BCR840" s="802"/>
      <c r="BCS840" s="802"/>
      <c r="BCT840" s="802"/>
      <c r="BCU840" s="802"/>
      <c r="BCV840" s="802"/>
      <c r="BCW840" s="802"/>
      <c r="BCX840" s="802"/>
      <c r="BCY840" s="802"/>
      <c r="BCZ840" s="802"/>
      <c r="BDA840" s="802"/>
      <c r="BDB840" s="802"/>
      <c r="BDC840" s="802"/>
      <c r="BDD840" s="802"/>
      <c r="BDE840" s="802"/>
      <c r="BDF840" s="802"/>
      <c r="BDG840" s="802"/>
      <c r="BDH840" s="802"/>
      <c r="BDI840" s="802"/>
      <c r="BDJ840" s="802"/>
      <c r="BDK840" s="802"/>
      <c r="BDL840" s="802"/>
      <c r="BDM840" s="802"/>
      <c r="BDN840" s="802"/>
      <c r="BDO840" s="802"/>
      <c r="BDP840" s="802"/>
      <c r="BDQ840" s="802"/>
      <c r="BDR840" s="802"/>
      <c r="BDS840" s="802"/>
      <c r="BDT840" s="802"/>
      <c r="BDU840" s="802"/>
      <c r="BDV840" s="802"/>
      <c r="BDW840" s="802"/>
      <c r="BDX840" s="802"/>
      <c r="BDY840" s="802"/>
      <c r="BDZ840" s="802"/>
      <c r="BEA840" s="802"/>
      <c r="BEB840" s="802"/>
      <c r="BEC840" s="802"/>
      <c r="BED840" s="802"/>
      <c r="BEE840" s="802"/>
      <c r="BEF840" s="802"/>
      <c r="BEG840" s="802"/>
      <c r="BEH840" s="802"/>
      <c r="BEI840" s="802"/>
      <c r="BEJ840" s="802"/>
      <c r="BEK840" s="802"/>
      <c r="BEL840" s="802"/>
      <c r="BEM840" s="802"/>
      <c r="BEN840" s="802"/>
      <c r="BEO840" s="802"/>
      <c r="BEP840" s="802"/>
      <c r="BEQ840" s="802"/>
      <c r="BER840" s="802"/>
      <c r="BES840" s="802"/>
      <c r="BET840" s="802"/>
      <c r="BEU840" s="802"/>
      <c r="BEV840" s="802"/>
      <c r="BEW840" s="802"/>
      <c r="BEX840" s="802"/>
      <c r="BEY840" s="802"/>
      <c r="BEZ840" s="802"/>
      <c r="BFA840" s="802"/>
      <c r="BFB840" s="802"/>
      <c r="BFC840" s="802"/>
      <c r="BFD840" s="802"/>
      <c r="BFE840" s="802"/>
      <c r="BFF840" s="802"/>
      <c r="BFG840" s="802"/>
      <c r="BFH840" s="802"/>
      <c r="BFI840" s="802"/>
      <c r="BFJ840" s="802"/>
      <c r="BFK840" s="802"/>
      <c r="BFL840" s="802"/>
      <c r="BFM840" s="802"/>
      <c r="BFN840" s="802"/>
      <c r="BFO840" s="802"/>
      <c r="BFP840" s="802"/>
      <c r="BFQ840" s="802"/>
      <c r="BFR840" s="802"/>
      <c r="BFS840" s="802"/>
      <c r="BFT840" s="802"/>
      <c r="BFU840" s="802"/>
      <c r="BFV840" s="802"/>
      <c r="BFW840" s="802"/>
      <c r="BFX840" s="802"/>
      <c r="BFY840" s="802"/>
      <c r="BFZ840" s="802"/>
      <c r="BGA840" s="802"/>
      <c r="BGB840" s="802"/>
      <c r="BGC840" s="802"/>
      <c r="BGD840" s="802"/>
      <c r="BGE840" s="802"/>
      <c r="BGF840" s="802"/>
      <c r="BGG840" s="802"/>
      <c r="BGH840" s="802"/>
      <c r="BGI840" s="802"/>
      <c r="BGJ840" s="802"/>
      <c r="BGK840" s="802"/>
      <c r="BGL840" s="802"/>
      <c r="BGM840" s="802"/>
      <c r="BGN840" s="802"/>
      <c r="BGO840" s="802"/>
      <c r="BGP840" s="802"/>
      <c r="BGQ840" s="802"/>
      <c r="BGR840" s="802"/>
      <c r="BGS840" s="802"/>
      <c r="BGT840" s="802"/>
      <c r="BGU840" s="802"/>
      <c r="BGV840" s="802"/>
      <c r="BGW840" s="802"/>
      <c r="BGX840" s="802"/>
      <c r="BGY840" s="802"/>
      <c r="BGZ840" s="802"/>
      <c r="BHA840" s="802"/>
      <c r="BHB840" s="802"/>
      <c r="BHC840" s="802"/>
      <c r="BHD840" s="802"/>
      <c r="BHE840" s="802"/>
      <c r="BHF840" s="802"/>
      <c r="BHG840" s="802"/>
      <c r="BHH840" s="802"/>
      <c r="BHI840" s="802"/>
      <c r="BHJ840" s="802"/>
      <c r="BHK840" s="802"/>
      <c r="BHL840" s="802"/>
      <c r="BHM840" s="802"/>
      <c r="BHN840" s="802"/>
      <c r="BHO840" s="802"/>
      <c r="BHP840" s="802"/>
      <c r="BHQ840" s="802"/>
      <c r="BHR840" s="802"/>
      <c r="BHS840" s="802"/>
      <c r="BHT840" s="802"/>
      <c r="BHU840" s="802"/>
      <c r="BHV840" s="802"/>
      <c r="BHW840" s="802"/>
      <c r="BHX840" s="802"/>
      <c r="BHY840" s="802"/>
      <c r="BHZ840" s="802"/>
      <c r="BIA840" s="802"/>
      <c r="BIB840" s="802"/>
      <c r="BIC840" s="802"/>
      <c r="BID840" s="802"/>
      <c r="BIE840" s="802"/>
      <c r="BIF840" s="802"/>
      <c r="BIG840" s="802"/>
      <c r="BIH840" s="802"/>
      <c r="BII840" s="802"/>
      <c r="BIJ840" s="802"/>
      <c r="BIK840" s="802"/>
      <c r="BIL840" s="802"/>
      <c r="BIM840" s="802"/>
      <c r="BIN840" s="802"/>
      <c r="BIO840" s="802"/>
      <c r="BIP840" s="802"/>
      <c r="BIQ840" s="802"/>
      <c r="BIR840" s="802"/>
      <c r="BIS840" s="802"/>
      <c r="BIT840" s="802"/>
      <c r="BIU840" s="802"/>
      <c r="BIV840" s="802"/>
      <c r="BIW840" s="802"/>
      <c r="BIX840" s="802"/>
      <c r="BIY840" s="802"/>
      <c r="BIZ840" s="802"/>
      <c r="BJA840" s="802"/>
      <c r="BJB840" s="802"/>
      <c r="BJC840" s="802"/>
      <c r="BJD840" s="802"/>
      <c r="BJE840" s="802"/>
      <c r="BJF840" s="802"/>
      <c r="BJG840" s="802"/>
      <c r="BJH840" s="802"/>
      <c r="BJI840" s="802"/>
      <c r="BJJ840" s="802"/>
      <c r="BJK840" s="802"/>
      <c r="BJL840" s="802"/>
      <c r="BJM840" s="802"/>
      <c r="BJN840" s="802"/>
      <c r="BJO840" s="802"/>
      <c r="BJP840" s="802"/>
      <c r="BJQ840" s="802"/>
      <c r="BJR840" s="802"/>
      <c r="BJS840" s="802"/>
      <c r="BJT840" s="802"/>
      <c r="BJU840" s="802"/>
      <c r="BJV840" s="802"/>
      <c r="BJW840" s="802"/>
      <c r="BJX840" s="802"/>
      <c r="BJY840" s="802"/>
      <c r="BJZ840" s="802"/>
      <c r="BKA840" s="802"/>
      <c r="BKB840" s="802"/>
      <c r="BKC840" s="802"/>
      <c r="BKD840" s="802"/>
      <c r="BKE840" s="802"/>
      <c r="BKF840" s="802"/>
      <c r="BKG840" s="802"/>
      <c r="BKH840" s="802"/>
      <c r="BKI840" s="802"/>
      <c r="BKJ840" s="802"/>
      <c r="BKK840" s="802"/>
      <c r="BKL840" s="802"/>
      <c r="BKM840" s="802"/>
      <c r="BKN840" s="802"/>
      <c r="BKO840" s="802"/>
      <c r="BKP840" s="802"/>
      <c r="BKQ840" s="802"/>
      <c r="BKR840" s="802"/>
      <c r="BKS840" s="802"/>
      <c r="BKT840" s="802"/>
      <c r="BKU840" s="802"/>
      <c r="BKV840" s="802"/>
      <c r="BKW840" s="802"/>
      <c r="BKX840" s="802"/>
      <c r="BKY840" s="802"/>
      <c r="BKZ840" s="802"/>
      <c r="BLA840" s="802"/>
      <c r="BLB840" s="802"/>
      <c r="BLC840" s="802"/>
      <c r="BLD840" s="802"/>
      <c r="BLE840" s="802"/>
      <c r="BLF840" s="802"/>
      <c r="BLG840" s="802"/>
      <c r="BLH840" s="802"/>
      <c r="BLI840" s="802"/>
      <c r="BLJ840" s="802"/>
      <c r="BLK840" s="802"/>
      <c r="BLL840" s="802"/>
      <c r="BLM840" s="802"/>
      <c r="BLN840" s="802"/>
      <c r="BLO840" s="802"/>
      <c r="BLP840" s="802"/>
      <c r="BLQ840" s="802"/>
      <c r="BLR840" s="802"/>
      <c r="BLS840" s="802"/>
      <c r="BLT840" s="802"/>
      <c r="BLU840" s="802"/>
      <c r="BLV840" s="802"/>
      <c r="BLW840" s="802"/>
      <c r="BLX840" s="802"/>
      <c r="BLY840" s="802"/>
      <c r="BLZ840" s="802"/>
      <c r="BMA840" s="802"/>
      <c r="BMB840" s="802"/>
      <c r="BMC840" s="802"/>
      <c r="BMD840" s="802"/>
      <c r="BME840" s="802"/>
      <c r="BMF840" s="802"/>
      <c r="BMG840" s="802"/>
      <c r="BMH840" s="802"/>
      <c r="BMI840" s="802"/>
      <c r="BMJ840" s="802"/>
      <c r="BMK840" s="802"/>
      <c r="BML840" s="802"/>
      <c r="BMM840" s="802"/>
      <c r="BMN840" s="802"/>
      <c r="BMO840" s="802"/>
      <c r="BMP840" s="802"/>
      <c r="BMQ840" s="802"/>
      <c r="BMR840" s="802"/>
      <c r="BMS840" s="802"/>
      <c r="BMT840" s="802"/>
      <c r="BMU840" s="802"/>
      <c r="BMV840" s="802"/>
      <c r="BMW840" s="802"/>
      <c r="BMX840" s="802"/>
      <c r="BMY840" s="802"/>
      <c r="BMZ840" s="802"/>
      <c r="BNA840" s="802"/>
      <c r="BNB840" s="802"/>
      <c r="BNC840" s="802"/>
      <c r="BND840" s="802"/>
      <c r="BNE840" s="802"/>
      <c r="BNF840" s="802"/>
      <c r="BNG840" s="802"/>
      <c r="BNH840" s="802"/>
      <c r="BNI840" s="802"/>
      <c r="BNJ840" s="802"/>
      <c r="BNK840" s="802"/>
      <c r="BNL840" s="802"/>
      <c r="BNM840" s="802"/>
      <c r="BNN840" s="802"/>
      <c r="BNO840" s="802"/>
      <c r="BNP840" s="802"/>
      <c r="BNQ840" s="802"/>
      <c r="BNR840" s="802"/>
      <c r="BNS840" s="802"/>
      <c r="BNT840" s="802"/>
      <c r="BNU840" s="802"/>
      <c r="BNV840" s="802"/>
      <c r="BNW840" s="802"/>
      <c r="BNX840" s="802"/>
      <c r="BNY840" s="802"/>
      <c r="BNZ840" s="802"/>
      <c r="BOA840" s="802"/>
      <c r="BOB840" s="802"/>
      <c r="BOC840" s="802"/>
      <c r="BOD840" s="802"/>
      <c r="BOE840" s="802"/>
      <c r="BOF840" s="802"/>
      <c r="BOG840" s="802"/>
      <c r="BOH840" s="802"/>
      <c r="BOI840" s="802"/>
      <c r="BOJ840" s="802"/>
      <c r="BOK840" s="802"/>
      <c r="BOL840" s="802"/>
      <c r="BOM840" s="802"/>
      <c r="BON840" s="802"/>
      <c r="BOO840" s="802"/>
      <c r="BOP840" s="802"/>
      <c r="BOQ840" s="802"/>
      <c r="BOR840" s="802"/>
      <c r="BOS840" s="802"/>
      <c r="BOT840" s="802"/>
      <c r="BOU840" s="802"/>
      <c r="BOV840" s="802"/>
      <c r="BOW840" s="802"/>
      <c r="BOX840" s="802"/>
      <c r="BOY840" s="802"/>
      <c r="BOZ840" s="802"/>
      <c r="BPA840" s="802"/>
      <c r="BPB840" s="802"/>
      <c r="BPC840" s="802"/>
      <c r="BPD840" s="802"/>
      <c r="BPE840" s="802"/>
      <c r="BPF840" s="802"/>
      <c r="BPG840" s="802"/>
      <c r="BPH840" s="802"/>
      <c r="BPI840" s="802"/>
      <c r="BPJ840" s="802"/>
      <c r="BPK840" s="802"/>
      <c r="BPL840" s="802"/>
      <c r="BPM840" s="802"/>
      <c r="BPN840" s="802"/>
      <c r="BPO840" s="802"/>
      <c r="BPP840" s="802"/>
      <c r="BPQ840" s="802"/>
      <c r="BPR840" s="802"/>
      <c r="BPS840" s="802"/>
      <c r="BPT840" s="802"/>
      <c r="BPU840" s="802"/>
      <c r="BPV840" s="802"/>
      <c r="BPW840" s="802"/>
      <c r="BPX840" s="802"/>
      <c r="BPY840" s="802"/>
      <c r="BPZ840" s="802"/>
      <c r="BQA840" s="802"/>
      <c r="BQB840" s="802"/>
      <c r="BQC840" s="802"/>
      <c r="BQD840" s="802"/>
      <c r="BQE840" s="802"/>
      <c r="BQF840" s="802"/>
      <c r="BQG840" s="802"/>
      <c r="BQH840" s="802"/>
      <c r="BQI840" s="802"/>
      <c r="BQJ840" s="802"/>
      <c r="BQK840" s="802"/>
      <c r="BQL840" s="802"/>
      <c r="BQM840" s="802"/>
      <c r="BQN840" s="802"/>
      <c r="BQO840" s="802"/>
      <c r="BQP840" s="802"/>
      <c r="BQQ840" s="802"/>
      <c r="BQR840" s="802"/>
      <c r="BQS840" s="802"/>
      <c r="BQT840" s="802"/>
      <c r="BQU840" s="802"/>
      <c r="BQV840" s="802"/>
      <c r="BQW840" s="802"/>
      <c r="BQX840" s="802"/>
      <c r="BQY840" s="802"/>
      <c r="BQZ840" s="802"/>
      <c r="BRA840" s="802"/>
      <c r="BRB840" s="802"/>
      <c r="BRC840" s="802"/>
      <c r="BRD840" s="802"/>
      <c r="BRE840" s="802"/>
      <c r="BRF840" s="802"/>
      <c r="BRG840" s="802"/>
      <c r="BRH840" s="802"/>
      <c r="BRI840" s="802"/>
      <c r="BRJ840" s="802"/>
      <c r="BRK840" s="802"/>
      <c r="BRL840" s="802"/>
      <c r="BRM840" s="802"/>
      <c r="BRN840" s="802"/>
      <c r="BRO840" s="802"/>
      <c r="BRP840" s="802"/>
      <c r="BRQ840" s="802"/>
      <c r="BRR840" s="802"/>
      <c r="BRS840" s="802"/>
      <c r="BRT840" s="802"/>
      <c r="BRU840" s="802"/>
      <c r="BRV840" s="802"/>
      <c r="BRW840" s="802"/>
      <c r="BRX840" s="802"/>
      <c r="BRY840" s="802"/>
      <c r="BRZ840" s="802"/>
      <c r="BSA840" s="802"/>
      <c r="BSB840" s="802"/>
      <c r="BSC840" s="802"/>
      <c r="BSD840" s="802"/>
      <c r="BSE840" s="802"/>
      <c r="BSF840" s="802"/>
      <c r="BSG840" s="802"/>
      <c r="BSH840" s="802"/>
      <c r="BSI840" s="802"/>
      <c r="BSJ840" s="802"/>
      <c r="BSK840" s="802"/>
      <c r="BSL840" s="802"/>
      <c r="BSM840" s="802"/>
      <c r="BSN840" s="802"/>
      <c r="BSO840" s="802"/>
      <c r="BSP840" s="802"/>
      <c r="BSQ840" s="802"/>
      <c r="BSR840" s="802"/>
      <c r="BSS840" s="802"/>
      <c r="BST840" s="802"/>
      <c r="BSU840" s="802"/>
      <c r="BSV840" s="802"/>
      <c r="BSW840" s="802"/>
      <c r="BSX840" s="802"/>
      <c r="BSY840" s="802"/>
      <c r="BSZ840" s="802"/>
      <c r="BTA840" s="802"/>
      <c r="BTB840" s="802"/>
      <c r="BTC840" s="802"/>
      <c r="BTD840" s="802"/>
      <c r="BTE840" s="802"/>
      <c r="BTF840" s="802"/>
      <c r="BTG840" s="802"/>
      <c r="BTH840" s="802"/>
      <c r="BTI840" s="802"/>
      <c r="BTJ840" s="802"/>
      <c r="BTK840" s="802"/>
      <c r="BTL840" s="802"/>
      <c r="BTM840" s="802"/>
      <c r="BTN840" s="802"/>
      <c r="BTO840" s="802"/>
      <c r="BTP840" s="802"/>
      <c r="BTQ840" s="802"/>
      <c r="BTR840" s="802"/>
      <c r="BTS840" s="802"/>
      <c r="BTT840" s="802"/>
      <c r="BTU840" s="802"/>
      <c r="BTV840" s="802"/>
      <c r="BTW840" s="802"/>
      <c r="BTX840" s="802"/>
      <c r="BTY840" s="802"/>
      <c r="BTZ840" s="802"/>
      <c r="BUA840" s="802"/>
      <c r="BUB840" s="802"/>
      <c r="BUC840" s="802"/>
      <c r="BUD840" s="802"/>
      <c r="BUE840" s="802"/>
      <c r="BUF840" s="802"/>
      <c r="BUG840" s="802"/>
      <c r="BUH840" s="802"/>
      <c r="BUI840" s="802"/>
      <c r="BUJ840" s="802"/>
      <c r="BUK840" s="802"/>
      <c r="BUL840" s="802"/>
      <c r="BUM840" s="802"/>
      <c r="BUN840" s="802"/>
      <c r="BUO840" s="802"/>
      <c r="BUP840" s="802"/>
      <c r="BUQ840" s="802"/>
      <c r="BUR840" s="802"/>
      <c r="BUS840" s="802"/>
      <c r="BUT840" s="802"/>
      <c r="BUU840" s="802"/>
      <c r="BUV840" s="802"/>
      <c r="BUW840" s="802"/>
      <c r="BUX840" s="802"/>
      <c r="BUY840" s="802"/>
      <c r="BUZ840" s="802"/>
      <c r="BVA840" s="802"/>
      <c r="BVB840" s="802"/>
      <c r="BVC840" s="802"/>
      <c r="BVD840" s="802"/>
      <c r="BVE840" s="802"/>
      <c r="BVF840" s="802"/>
      <c r="BVG840" s="802"/>
      <c r="BVH840" s="802"/>
      <c r="BVI840" s="802"/>
      <c r="BVJ840" s="802"/>
      <c r="BVK840" s="802"/>
      <c r="BVL840" s="802"/>
      <c r="BVM840" s="802"/>
      <c r="BVN840" s="802"/>
      <c r="BVO840" s="802"/>
      <c r="BVP840" s="802"/>
      <c r="BVQ840" s="802"/>
      <c r="BVR840" s="802"/>
      <c r="BVS840" s="802"/>
      <c r="BVT840" s="802"/>
      <c r="BVU840" s="802"/>
      <c r="BVV840" s="802"/>
      <c r="BVW840" s="802"/>
      <c r="BVX840" s="802"/>
      <c r="BVY840" s="802"/>
      <c r="BVZ840" s="802"/>
      <c r="BWA840" s="802"/>
      <c r="BWB840" s="802"/>
      <c r="BWC840" s="802"/>
      <c r="BWD840" s="802"/>
      <c r="BWE840" s="802"/>
      <c r="BWF840" s="802"/>
      <c r="BWG840" s="802"/>
      <c r="BWH840" s="802"/>
      <c r="BWI840" s="802"/>
      <c r="BWJ840" s="802"/>
      <c r="BWK840" s="802"/>
      <c r="BWL840" s="802"/>
      <c r="BWM840" s="802"/>
      <c r="BWN840" s="802"/>
      <c r="BWO840" s="802"/>
      <c r="BWP840" s="802"/>
      <c r="BWQ840" s="802"/>
      <c r="BWR840" s="802"/>
      <c r="BWS840" s="802"/>
      <c r="BWT840" s="802"/>
      <c r="BWU840" s="802"/>
      <c r="BWV840" s="802"/>
      <c r="BWW840" s="802"/>
      <c r="BWX840" s="802"/>
      <c r="BWY840" s="802"/>
      <c r="BWZ840" s="802"/>
      <c r="BXA840" s="802"/>
      <c r="BXB840" s="802"/>
      <c r="BXC840" s="802"/>
      <c r="BXD840" s="802"/>
      <c r="BXE840" s="802"/>
      <c r="BXF840" s="802"/>
      <c r="BXG840" s="802"/>
      <c r="BXH840" s="802"/>
      <c r="BXI840" s="802"/>
      <c r="BXJ840" s="802"/>
      <c r="BXK840" s="802"/>
      <c r="BXL840" s="802"/>
      <c r="BXM840" s="802"/>
      <c r="BXN840" s="802"/>
      <c r="BXO840" s="802"/>
      <c r="BXP840" s="802"/>
      <c r="BXQ840" s="802"/>
      <c r="BXR840" s="802"/>
      <c r="BXS840" s="802"/>
      <c r="BXT840" s="802"/>
      <c r="BXU840" s="802"/>
      <c r="BXV840" s="802"/>
      <c r="BXW840" s="802"/>
      <c r="BXX840" s="802"/>
      <c r="BXY840" s="802"/>
      <c r="BXZ840" s="802"/>
      <c r="BYA840" s="802"/>
      <c r="BYB840" s="802"/>
      <c r="BYC840" s="802"/>
      <c r="BYD840" s="802"/>
      <c r="BYE840" s="802"/>
      <c r="BYF840" s="802"/>
      <c r="BYG840" s="802"/>
      <c r="BYH840" s="802"/>
      <c r="BYI840" s="802"/>
      <c r="BYJ840" s="802"/>
      <c r="BYK840" s="802"/>
      <c r="BYL840" s="802"/>
      <c r="BYM840" s="802"/>
      <c r="BYN840" s="802"/>
      <c r="BYO840" s="802"/>
      <c r="BYP840" s="802"/>
      <c r="BYQ840" s="802"/>
      <c r="BYR840" s="802"/>
      <c r="BYS840" s="802"/>
      <c r="BYT840" s="802"/>
      <c r="BYU840" s="802"/>
      <c r="BYV840" s="802"/>
      <c r="BYW840" s="802"/>
      <c r="BYX840" s="802"/>
      <c r="BYY840" s="802"/>
      <c r="BYZ840" s="802"/>
      <c r="BZA840" s="802"/>
      <c r="BZB840" s="802"/>
      <c r="BZC840" s="802"/>
      <c r="BZD840" s="802"/>
      <c r="BZE840" s="802"/>
      <c r="BZF840" s="802"/>
      <c r="BZG840" s="802"/>
      <c r="BZH840" s="802"/>
      <c r="BZI840" s="802"/>
      <c r="BZJ840" s="802"/>
      <c r="BZK840" s="802"/>
      <c r="BZL840" s="802"/>
      <c r="BZM840" s="802"/>
      <c r="BZN840" s="802"/>
      <c r="BZO840" s="802"/>
      <c r="BZP840" s="802"/>
      <c r="BZQ840" s="802"/>
      <c r="BZR840" s="802"/>
      <c r="BZS840" s="802"/>
      <c r="BZT840" s="802"/>
      <c r="BZU840" s="802"/>
      <c r="BZV840" s="802"/>
      <c r="BZW840" s="802"/>
      <c r="BZX840" s="802"/>
      <c r="BZY840" s="802"/>
      <c r="BZZ840" s="802"/>
      <c r="CAA840" s="802"/>
      <c r="CAB840" s="802"/>
      <c r="CAC840" s="802"/>
      <c r="CAD840" s="802"/>
      <c r="CAE840" s="802"/>
      <c r="CAF840" s="802"/>
      <c r="CAG840" s="802"/>
      <c r="CAH840" s="802"/>
      <c r="CAI840" s="802"/>
      <c r="CAJ840" s="802"/>
      <c r="CAK840" s="802"/>
      <c r="CAL840" s="802"/>
      <c r="CAM840" s="802"/>
      <c r="CAN840" s="802"/>
      <c r="CAO840" s="802"/>
      <c r="CAP840" s="802"/>
      <c r="CAQ840" s="802"/>
      <c r="CAR840" s="802"/>
      <c r="CAS840" s="802"/>
      <c r="CAT840" s="802"/>
      <c r="CAU840" s="802"/>
      <c r="CAV840" s="802"/>
      <c r="CAW840" s="802"/>
      <c r="CAX840" s="802"/>
      <c r="CAY840" s="802"/>
      <c r="CAZ840" s="802"/>
      <c r="CBA840" s="802"/>
      <c r="CBB840" s="802"/>
      <c r="CBC840" s="802"/>
      <c r="CBD840" s="802"/>
      <c r="CBE840" s="802"/>
      <c r="CBF840" s="802"/>
      <c r="CBG840" s="802"/>
      <c r="CBH840" s="802"/>
      <c r="CBI840" s="802"/>
      <c r="CBJ840" s="802"/>
      <c r="CBK840" s="802"/>
      <c r="CBL840" s="802"/>
      <c r="CBM840" s="802"/>
      <c r="CBN840" s="802"/>
      <c r="CBO840" s="802"/>
      <c r="CBP840" s="802"/>
      <c r="CBQ840" s="802"/>
      <c r="CBR840" s="802"/>
      <c r="CBS840" s="802"/>
      <c r="CBT840" s="802"/>
      <c r="CBU840" s="802"/>
      <c r="CBV840" s="802"/>
      <c r="CBW840" s="802"/>
      <c r="CBX840" s="802"/>
      <c r="CBY840" s="802"/>
      <c r="CBZ840" s="802"/>
      <c r="CCA840" s="802"/>
      <c r="CCB840" s="802"/>
      <c r="CCC840" s="802"/>
      <c r="CCD840" s="802"/>
      <c r="CCE840" s="802"/>
      <c r="CCF840" s="802"/>
      <c r="CCG840" s="802"/>
      <c r="CCH840" s="802"/>
      <c r="CCI840" s="802"/>
      <c r="CCJ840" s="802"/>
      <c r="CCK840" s="802"/>
      <c r="CCL840" s="802"/>
      <c r="CCM840" s="802"/>
      <c r="CCN840" s="802"/>
      <c r="CCO840" s="802"/>
      <c r="CCP840" s="802"/>
      <c r="CCQ840" s="802"/>
      <c r="CCR840" s="802"/>
      <c r="CCS840" s="802"/>
      <c r="CCT840" s="802"/>
      <c r="CCU840" s="802"/>
      <c r="CCV840" s="802"/>
      <c r="CCW840" s="802"/>
      <c r="CCX840" s="802"/>
      <c r="CCY840" s="802"/>
      <c r="CCZ840" s="802"/>
      <c r="CDA840" s="802"/>
      <c r="CDB840" s="802"/>
      <c r="CDC840" s="802"/>
      <c r="CDD840" s="802"/>
      <c r="CDE840" s="802"/>
      <c r="CDF840" s="802"/>
      <c r="CDG840" s="802"/>
      <c r="CDH840" s="802"/>
      <c r="CDI840" s="802"/>
      <c r="CDJ840" s="802"/>
      <c r="CDK840" s="802"/>
      <c r="CDL840" s="802"/>
      <c r="CDM840" s="802"/>
      <c r="CDN840" s="802"/>
      <c r="CDO840" s="802"/>
      <c r="CDP840" s="802"/>
      <c r="CDQ840" s="802"/>
      <c r="CDR840" s="802"/>
      <c r="CDS840" s="802"/>
      <c r="CDT840" s="802"/>
      <c r="CDU840" s="802"/>
      <c r="CDV840" s="802"/>
      <c r="CDW840" s="802"/>
      <c r="CDX840" s="802"/>
      <c r="CDY840" s="802"/>
      <c r="CDZ840" s="802"/>
      <c r="CEA840" s="802"/>
      <c r="CEB840" s="802"/>
      <c r="CEC840" s="802"/>
      <c r="CED840" s="802"/>
      <c r="CEE840" s="802"/>
      <c r="CEF840" s="802"/>
      <c r="CEG840" s="802"/>
      <c r="CEH840" s="802"/>
      <c r="CEI840" s="802"/>
      <c r="CEJ840" s="802"/>
      <c r="CEK840" s="802"/>
      <c r="CEL840" s="802"/>
      <c r="CEM840" s="802"/>
      <c r="CEN840" s="802"/>
      <c r="CEO840" s="802"/>
      <c r="CEP840" s="802"/>
      <c r="CEQ840" s="802"/>
      <c r="CER840" s="802"/>
      <c r="CES840" s="802"/>
      <c r="CET840" s="802"/>
      <c r="CEU840" s="802"/>
      <c r="CEV840" s="802"/>
      <c r="CEW840" s="802"/>
      <c r="CEX840" s="802"/>
      <c r="CEY840" s="802"/>
      <c r="CEZ840" s="802"/>
      <c r="CFA840" s="802"/>
      <c r="CFB840" s="802"/>
      <c r="CFC840" s="802"/>
      <c r="CFD840" s="802"/>
      <c r="CFE840" s="802"/>
      <c r="CFF840" s="802"/>
      <c r="CFG840" s="802"/>
      <c r="CFH840" s="802"/>
      <c r="CFI840" s="802"/>
      <c r="CFJ840" s="802"/>
      <c r="CFK840" s="802"/>
      <c r="CFL840" s="802"/>
      <c r="CFM840" s="802"/>
      <c r="CFN840" s="802"/>
      <c r="CFO840" s="802"/>
      <c r="CFP840" s="802"/>
      <c r="CFQ840" s="802"/>
      <c r="CFR840" s="802"/>
      <c r="CFS840" s="802"/>
      <c r="CFT840" s="802"/>
      <c r="CFU840" s="802"/>
      <c r="CFV840" s="802"/>
      <c r="CFW840" s="802"/>
      <c r="CFX840" s="802"/>
      <c r="CFY840" s="802"/>
      <c r="CFZ840" s="802"/>
      <c r="CGA840" s="802"/>
      <c r="CGB840" s="802"/>
      <c r="CGC840" s="802"/>
      <c r="CGD840" s="802"/>
      <c r="CGE840" s="802"/>
      <c r="CGF840" s="802"/>
      <c r="CGG840" s="802"/>
      <c r="CGH840" s="802"/>
      <c r="CGI840" s="802"/>
      <c r="CGJ840" s="802"/>
      <c r="CGK840" s="802"/>
      <c r="CGL840" s="802"/>
      <c r="CGM840" s="802"/>
      <c r="CGN840" s="802"/>
      <c r="CGO840" s="802"/>
      <c r="CGP840" s="802"/>
      <c r="CGQ840" s="802"/>
      <c r="CGR840" s="802"/>
      <c r="CGS840" s="802"/>
      <c r="CGT840" s="802"/>
      <c r="CGU840" s="802"/>
      <c r="CGV840" s="802"/>
      <c r="CGW840" s="802"/>
      <c r="CGX840" s="802"/>
      <c r="CGY840" s="802"/>
      <c r="CGZ840" s="802"/>
      <c r="CHA840" s="802"/>
      <c r="CHB840" s="802"/>
      <c r="CHC840" s="802"/>
      <c r="CHD840" s="802"/>
      <c r="CHE840" s="802"/>
      <c r="CHF840" s="802"/>
      <c r="CHG840" s="802"/>
      <c r="CHH840" s="802"/>
      <c r="CHI840" s="802"/>
      <c r="CHJ840" s="802"/>
      <c r="CHK840" s="802"/>
      <c r="CHL840" s="802"/>
      <c r="CHM840" s="802"/>
      <c r="CHN840" s="802"/>
      <c r="CHO840" s="802"/>
      <c r="CHP840" s="802"/>
      <c r="CHQ840" s="802"/>
      <c r="CHR840" s="802"/>
      <c r="CHS840" s="802"/>
      <c r="CHT840" s="802"/>
      <c r="CHU840" s="802"/>
      <c r="CHV840" s="802"/>
      <c r="CHW840" s="802"/>
      <c r="CHX840" s="802"/>
      <c r="CHY840" s="802"/>
      <c r="CHZ840" s="802"/>
      <c r="CIA840" s="802"/>
      <c r="CIB840" s="802"/>
      <c r="CIC840" s="802"/>
      <c r="CID840" s="802"/>
      <c r="CIE840" s="802"/>
      <c r="CIF840" s="802"/>
      <c r="CIG840" s="802"/>
      <c r="CIH840" s="802"/>
      <c r="CII840" s="802"/>
      <c r="CIJ840" s="802"/>
      <c r="CIK840" s="802"/>
      <c r="CIL840" s="802"/>
      <c r="CIM840" s="802"/>
      <c r="CIN840" s="802"/>
      <c r="CIO840" s="802"/>
      <c r="CIP840" s="802"/>
      <c r="CIQ840" s="802"/>
      <c r="CIR840" s="802"/>
      <c r="CIS840" s="802"/>
      <c r="CIT840" s="802"/>
      <c r="CIU840" s="802"/>
      <c r="CIV840" s="802"/>
      <c r="CIW840" s="802"/>
      <c r="CIX840" s="802"/>
      <c r="CIY840" s="802"/>
      <c r="CIZ840" s="802"/>
      <c r="CJA840" s="802"/>
      <c r="CJB840" s="802"/>
      <c r="CJC840" s="802"/>
      <c r="CJD840" s="802"/>
      <c r="CJE840" s="802"/>
      <c r="CJF840" s="802"/>
      <c r="CJG840" s="802"/>
      <c r="CJH840" s="802"/>
      <c r="CJI840" s="802"/>
      <c r="CJJ840" s="802"/>
      <c r="CJK840" s="802"/>
      <c r="CJL840" s="802"/>
      <c r="CJM840" s="802"/>
      <c r="CJN840" s="802"/>
      <c r="CJO840" s="802"/>
      <c r="CJP840" s="802"/>
      <c r="CJQ840" s="802"/>
      <c r="CJR840" s="802"/>
      <c r="CJS840" s="802"/>
      <c r="CJT840" s="802"/>
      <c r="CJU840" s="802"/>
      <c r="CJV840" s="802"/>
      <c r="CJW840" s="802"/>
      <c r="CJX840" s="802"/>
      <c r="CJY840" s="802"/>
      <c r="CJZ840" s="802"/>
      <c r="CKA840" s="802"/>
      <c r="CKB840" s="802"/>
      <c r="CKC840" s="802"/>
      <c r="CKD840" s="802"/>
      <c r="CKE840" s="802"/>
      <c r="CKF840" s="802"/>
      <c r="CKG840" s="802"/>
      <c r="CKH840" s="802"/>
      <c r="CKI840" s="802"/>
      <c r="CKJ840" s="802"/>
      <c r="CKK840" s="802"/>
      <c r="CKL840" s="802"/>
      <c r="CKM840" s="802"/>
      <c r="CKN840" s="802"/>
      <c r="CKO840" s="802"/>
      <c r="CKP840" s="802"/>
      <c r="CKQ840" s="802"/>
      <c r="CKR840" s="802"/>
      <c r="CKS840" s="802"/>
      <c r="CKT840" s="802"/>
      <c r="CKU840" s="802"/>
      <c r="CKV840" s="802"/>
      <c r="CKW840" s="802"/>
      <c r="CKX840" s="802"/>
      <c r="CKY840" s="802"/>
      <c r="CKZ840" s="802"/>
      <c r="CLA840" s="802"/>
      <c r="CLB840" s="802"/>
      <c r="CLC840" s="802"/>
      <c r="CLD840" s="802"/>
      <c r="CLE840" s="802"/>
      <c r="CLF840" s="802"/>
      <c r="CLG840" s="802"/>
      <c r="CLH840" s="802"/>
      <c r="CLI840" s="802"/>
      <c r="CLJ840" s="802"/>
      <c r="CLK840" s="802"/>
      <c r="CLL840" s="802"/>
      <c r="CLM840" s="802"/>
      <c r="CLN840" s="802"/>
      <c r="CLO840" s="802"/>
      <c r="CLP840" s="802"/>
      <c r="CLQ840" s="802"/>
      <c r="CLR840" s="802"/>
      <c r="CLS840" s="802"/>
      <c r="CLT840" s="802"/>
      <c r="CLU840" s="802"/>
      <c r="CLV840" s="802"/>
      <c r="CLW840" s="802"/>
      <c r="CLX840" s="802"/>
      <c r="CLY840" s="802"/>
      <c r="CLZ840" s="802"/>
      <c r="CMA840" s="802"/>
      <c r="CMB840" s="802"/>
      <c r="CMC840" s="802"/>
      <c r="CMD840" s="802"/>
      <c r="CME840" s="802"/>
      <c r="CMF840" s="802"/>
      <c r="CMG840" s="802"/>
      <c r="CMH840" s="802"/>
      <c r="CMI840" s="802"/>
      <c r="CMJ840" s="802"/>
      <c r="CMK840" s="802"/>
      <c r="CML840" s="802"/>
      <c r="CMM840" s="802"/>
      <c r="CMN840" s="802"/>
      <c r="CMO840" s="802"/>
      <c r="CMP840" s="802"/>
      <c r="CMQ840" s="802"/>
      <c r="CMR840" s="802"/>
      <c r="CMS840" s="802"/>
      <c r="CMT840" s="802"/>
      <c r="CMU840" s="802"/>
      <c r="CMV840" s="802"/>
      <c r="CMW840" s="802"/>
      <c r="CMX840" s="802"/>
      <c r="CMY840" s="802"/>
      <c r="CMZ840" s="802"/>
      <c r="CNA840" s="802"/>
      <c r="CNB840" s="802"/>
      <c r="CNC840" s="802"/>
      <c r="CND840" s="802"/>
      <c r="CNE840" s="802"/>
      <c r="CNF840" s="802"/>
      <c r="CNG840" s="802"/>
      <c r="CNH840" s="802"/>
      <c r="CNI840" s="802"/>
      <c r="CNJ840" s="802"/>
      <c r="CNK840" s="802"/>
      <c r="CNL840" s="802"/>
      <c r="CNM840" s="802"/>
      <c r="CNN840" s="802"/>
      <c r="CNO840" s="802"/>
      <c r="CNP840" s="802"/>
      <c r="CNQ840" s="802"/>
      <c r="CNR840" s="802"/>
      <c r="CNS840" s="802"/>
      <c r="CNT840" s="802"/>
      <c r="CNU840" s="802"/>
      <c r="CNV840" s="802"/>
      <c r="CNW840" s="802"/>
      <c r="CNX840" s="802"/>
      <c r="CNY840" s="802"/>
      <c r="CNZ840" s="802"/>
      <c r="COA840" s="802"/>
      <c r="COB840" s="802"/>
      <c r="COC840" s="802"/>
      <c r="COD840" s="802"/>
      <c r="COE840" s="802"/>
      <c r="COF840" s="802"/>
      <c r="COG840" s="802"/>
      <c r="COH840" s="802"/>
      <c r="COI840" s="802"/>
      <c r="COJ840" s="802"/>
      <c r="COK840" s="802"/>
      <c r="COL840" s="802"/>
      <c r="COM840" s="802"/>
      <c r="CON840" s="802"/>
      <c r="COO840" s="802"/>
      <c r="COP840" s="802"/>
      <c r="COQ840" s="802"/>
      <c r="COR840" s="802"/>
      <c r="COS840" s="802"/>
      <c r="COT840" s="802"/>
      <c r="COU840" s="802"/>
      <c r="COV840" s="802"/>
      <c r="COW840" s="802"/>
      <c r="COX840" s="802"/>
      <c r="COY840" s="802"/>
      <c r="COZ840" s="802"/>
      <c r="CPA840" s="802"/>
      <c r="CPB840" s="802"/>
      <c r="CPC840" s="802"/>
      <c r="CPD840" s="802"/>
      <c r="CPE840" s="802"/>
      <c r="CPF840" s="802"/>
      <c r="CPG840" s="802"/>
      <c r="CPH840" s="802"/>
      <c r="CPI840" s="802"/>
      <c r="CPJ840" s="802"/>
      <c r="CPK840" s="802"/>
      <c r="CPL840" s="802"/>
      <c r="CPM840" s="802"/>
      <c r="CPN840" s="802"/>
      <c r="CPO840" s="802"/>
      <c r="CPP840" s="802"/>
      <c r="CPQ840" s="802"/>
      <c r="CPR840" s="802"/>
      <c r="CPS840" s="802"/>
      <c r="CPT840" s="802"/>
      <c r="CPU840" s="802"/>
      <c r="CPV840" s="802"/>
      <c r="CPW840" s="802"/>
      <c r="CPX840" s="802"/>
      <c r="CPY840" s="802"/>
      <c r="CPZ840" s="802"/>
      <c r="CQA840" s="802"/>
      <c r="CQB840" s="802"/>
      <c r="CQC840" s="802"/>
      <c r="CQD840" s="802"/>
      <c r="CQE840" s="802"/>
      <c r="CQF840" s="802"/>
      <c r="CQG840" s="802"/>
      <c r="CQH840" s="802"/>
      <c r="CQI840" s="802"/>
      <c r="CQJ840" s="802"/>
      <c r="CQK840" s="802"/>
      <c r="CQL840" s="802"/>
      <c r="CQM840" s="802"/>
      <c r="CQN840" s="802"/>
      <c r="CQO840" s="802"/>
      <c r="CQP840" s="802"/>
      <c r="CQQ840" s="802"/>
      <c r="CQR840" s="802"/>
      <c r="CQS840" s="802"/>
      <c r="CQT840" s="802"/>
      <c r="CQU840" s="802"/>
      <c r="CQV840" s="802"/>
      <c r="CQW840" s="802"/>
      <c r="CQX840" s="802"/>
      <c r="CQY840" s="802"/>
      <c r="CQZ840" s="802"/>
      <c r="CRA840" s="802"/>
      <c r="CRB840" s="802"/>
      <c r="CRC840" s="802"/>
      <c r="CRD840" s="802"/>
      <c r="CRE840" s="802"/>
      <c r="CRF840" s="802"/>
      <c r="CRG840" s="802"/>
      <c r="CRH840" s="802"/>
      <c r="CRI840" s="802"/>
      <c r="CRJ840" s="802"/>
      <c r="CRK840" s="802"/>
      <c r="CRL840" s="802"/>
      <c r="CRM840" s="802"/>
      <c r="CRN840" s="802"/>
      <c r="CRO840" s="802"/>
      <c r="CRP840" s="802"/>
      <c r="CRQ840" s="802"/>
      <c r="CRR840" s="802"/>
      <c r="CRS840" s="802"/>
      <c r="CRT840" s="802"/>
      <c r="CRU840" s="802"/>
      <c r="CRV840" s="802"/>
      <c r="CRW840" s="802"/>
      <c r="CRX840" s="802"/>
      <c r="CRY840" s="802"/>
      <c r="CRZ840" s="802"/>
      <c r="CSA840" s="802"/>
      <c r="CSB840" s="802"/>
      <c r="CSC840" s="802"/>
      <c r="CSD840" s="802"/>
      <c r="CSE840" s="802"/>
      <c r="CSF840" s="802"/>
      <c r="CSG840" s="802"/>
      <c r="CSH840" s="802"/>
      <c r="CSI840" s="802"/>
      <c r="CSJ840" s="802"/>
      <c r="CSK840" s="802"/>
      <c r="CSL840" s="802"/>
      <c r="CSM840" s="802"/>
      <c r="CSN840" s="802"/>
      <c r="CSO840" s="802"/>
      <c r="CSP840" s="802"/>
      <c r="CSQ840" s="802"/>
      <c r="CSR840" s="802"/>
      <c r="CSS840" s="802"/>
      <c r="CST840" s="802"/>
      <c r="CSU840" s="802"/>
      <c r="CSV840" s="802"/>
      <c r="CSW840" s="802"/>
      <c r="CSX840" s="802"/>
      <c r="CSY840" s="802"/>
      <c r="CSZ840" s="802"/>
      <c r="CTA840" s="802"/>
      <c r="CTB840" s="802"/>
      <c r="CTC840" s="802"/>
      <c r="CTD840" s="802"/>
      <c r="CTE840" s="802"/>
      <c r="CTF840" s="802"/>
      <c r="CTG840" s="802"/>
      <c r="CTH840" s="802"/>
      <c r="CTI840" s="802"/>
      <c r="CTJ840" s="802"/>
      <c r="CTK840" s="802"/>
      <c r="CTL840" s="802"/>
      <c r="CTM840" s="802"/>
      <c r="CTN840" s="802"/>
      <c r="CTO840" s="802"/>
      <c r="CTP840" s="802"/>
      <c r="CTQ840" s="802"/>
      <c r="CTR840" s="802"/>
      <c r="CTS840" s="802"/>
      <c r="CTT840" s="802"/>
      <c r="CTU840" s="802"/>
      <c r="CTV840" s="802"/>
      <c r="CTW840" s="802"/>
      <c r="CTX840" s="802"/>
      <c r="CTY840" s="802"/>
      <c r="CTZ840" s="802"/>
      <c r="CUA840" s="802"/>
      <c r="CUB840" s="802"/>
      <c r="CUC840" s="802"/>
      <c r="CUD840" s="802"/>
      <c r="CUE840" s="802"/>
      <c r="CUF840" s="802"/>
      <c r="CUG840" s="802"/>
      <c r="CUH840" s="802"/>
      <c r="CUI840" s="802"/>
      <c r="CUJ840" s="802"/>
      <c r="CUK840" s="802"/>
      <c r="CUL840" s="802"/>
      <c r="CUM840" s="802"/>
      <c r="CUN840" s="802"/>
      <c r="CUO840" s="802"/>
      <c r="CUP840" s="802"/>
      <c r="CUQ840" s="802"/>
      <c r="CUR840" s="802"/>
      <c r="CUS840" s="802"/>
      <c r="CUT840" s="802"/>
      <c r="CUU840" s="802"/>
      <c r="CUV840" s="802"/>
      <c r="CUW840" s="802"/>
      <c r="CUX840" s="802"/>
      <c r="CUY840" s="802"/>
      <c r="CUZ840" s="802"/>
      <c r="CVA840" s="802"/>
      <c r="CVB840" s="802"/>
      <c r="CVC840" s="802"/>
      <c r="CVD840" s="802"/>
      <c r="CVE840" s="802"/>
      <c r="CVF840" s="802"/>
      <c r="CVG840" s="802"/>
      <c r="CVH840" s="802"/>
      <c r="CVI840" s="802"/>
      <c r="CVJ840" s="802"/>
      <c r="CVK840" s="802"/>
      <c r="CVL840" s="802"/>
      <c r="CVM840" s="802"/>
      <c r="CVN840" s="802"/>
      <c r="CVO840" s="802"/>
      <c r="CVP840" s="802"/>
      <c r="CVQ840" s="802"/>
      <c r="CVR840" s="802"/>
      <c r="CVS840" s="802"/>
      <c r="CVT840" s="802"/>
      <c r="CVU840" s="802"/>
      <c r="CVV840" s="802"/>
      <c r="CVW840" s="802"/>
      <c r="CVX840" s="802"/>
      <c r="CVY840" s="802"/>
      <c r="CVZ840" s="802"/>
      <c r="CWA840" s="802"/>
      <c r="CWB840" s="802"/>
      <c r="CWC840" s="802"/>
      <c r="CWD840" s="802"/>
      <c r="CWE840" s="802"/>
      <c r="CWF840" s="802"/>
      <c r="CWG840" s="802"/>
      <c r="CWH840" s="802"/>
      <c r="CWI840" s="802"/>
      <c r="CWJ840" s="802"/>
      <c r="CWK840" s="802"/>
      <c r="CWL840" s="802"/>
      <c r="CWM840" s="802"/>
      <c r="CWN840" s="802"/>
      <c r="CWO840" s="802"/>
      <c r="CWP840" s="802"/>
      <c r="CWQ840" s="802"/>
      <c r="CWR840" s="802"/>
      <c r="CWS840" s="802"/>
      <c r="CWT840" s="802"/>
      <c r="CWU840" s="802"/>
      <c r="CWV840" s="802"/>
      <c r="CWW840" s="802"/>
      <c r="CWX840" s="802"/>
      <c r="CWY840" s="802"/>
      <c r="CWZ840" s="802"/>
      <c r="CXA840" s="802"/>
      <c r="CXB840" s="802"/>
      <c r="CXC840" s="802"/>
      <c r="CXD840" s="802"/>
      <c r="CXE840" s="802"/>
      <c r="CXF840" s="802"/>
      <c r="CXG840" s="802"/>
      <c r="CXH840" s="802"/>
      <c r="CXI840" s="802"/>
      <c r="CXJ840" s="802"/>
      <c r="CXK840" s="802"/>
      <c r="CXL840" s="802"/>
      <c r="CXM840" s="802"/>
      <c r="CXN840" s="802"/>
      <c r="CXO840" s="802"/>
      <c r="CXP840" s="802"/>
      <c r="CXQ840" s="802"/>
      <c r="CXR840" s="802"/>
      <c r="CXS840" s="802"/>
      <c r="CXT840" s="802"/>
      <c r="CXU840" s="802"/>
      <c r="CXV840" s="802"/>
      <c r="CXW840" s="802"/>
      <c r="CXX840" s="802"/>
      <c r="CXY840" s="802"/>
      <c r="CXZ840" s="802"/>
      <c r="CYA840" s="802"/>
      <c r="CYB840" s="802"/>
      <c r="CYC840" s="802"/>
      <c r="CYD840" s="802"/>
      <c r="CYE840" s="802"/>
      <c r="CYF840" s="802"/>
      <c r="CYG840" s="802"/>
      <c r="CYH840" s="802"/>
      <c r="CYI840" s="802"/>
      <c r="CYJ840" s="802"/>
      <c r="CYK840" s="802"/>
      <c r="CYL840" s="802"/>
      <c r="CYM840" s="802"/>
      <c r="CYN840" s="802"/>
      <c r="CYO840" s="802"/>
      <c r="CYP840" s="802"/>
      <c r="CYQ840" s="802"/>
      <c r="CYR840" s="802"/>
      <c r="CYS840" s="802"/>
      <c r="CYT840" s="802"/>
      <c r="CYU840" s="802"/>
      <c r="CYV840" s="802"/>
      <c r="CYW840" s="802"/>
      <c r="CYX840" s="802"/>
      <c r="CYY840" s="802"/>
      <c r="CYZ840" s="802"/>
      <c r="CZA840" s="802"/>
      <c r="CZB840" s="802"/>
      <c r="CZC840" s="802"/>
      <c r="CZD840" s="802"/>
      <c r="CZE840" s="802"/>
      <c r="CZF840" s="802"/>
      <c r="CZG840" s="802"/>
      <c r="CZH840" s="802"/>
      <c r="CZI840" s="802"/>
      <c r="CZJ840" s="802"/>
      <c r="CZK840" s="802"/>
      <c r="CZL840" s="802"/>
      <c r="CZM840" s="802"/>
      <c r="CZN840" s="802"/>
      <c r="CZO840" s="802"/>
      <c r="CZP840" s="802"/>
      <c r="CZQ840" s="802"/>
      <c r="CZR840" s="802"/>
      <c r="CZS840" s="802"/>
      <c r="CZT840" s="802"/>
      <c r="CZU840" s="802"/>
      <c r="CZV840" s="802"/>
      <c r="CZW840" s="802"/>
      <c r="CZX840" s="802"/>
      <c r="CZY840" s="802"/>
      <c r="CZZ840" s="802"/>
      <c r="DAA840" s="802"/>
      <c r="DAB840" s="802"/>
      <c r="DAC840" s="802"/>
      <c r="DAD840" s="802"/>
      <c r="DAE840" s="802"/>
      <c r="DAF840" s="802"/>
      <c r="DAG840" s="802"/>
      <c r="DAH840" s="802"/>
      <c r="DAI840" s="802"/>
      <c r="DAJ840" s="802"/>
      <c r="DAK840" s="802"/>
      <c r="DAL840" s="802"/>
      <c r="DAM840" s="802"/>
      <c r="DAN840" s="802"/>
      <c r="DAO840" s="802"/>
      <c r="DAP840" s="802"/>
      <c r="DAQ840" s="802"/>
      <c r="DAR840" s="802"/>
      <c r="DAS840" s="802"/>
      <c r="DAT840" s="802"/>
      <c r="DAU840" s="802"/>
      <c r="DAV840" s="802"/>
      <c r="DAW840" s="802"/>
      <c r="DAX840" s="802"/>
      <c r="DAY840" s="802"/>
      <c r="DAZ840" s="802"/>
      <c r="DBA840" s="802"/>
      <c r="DBB840" s="802"/>
      <c r="DBC840" s="802"/>
      <c r="DBD840" s="802"/>
      <c r="DBE840" s="802"/>
      <c r="DBF840" s="802"/>
      <c r="DBG840" s="802"/>
      <c r="DBH840" s="802"/>
      <c r="DBI840" s="802"/>
      <c r="DBJ840" s="802"/>
      <c r="DBK840" s="802"/>
      <c r="DBL840" s="802"/>
      <c r="DBM840" s="802"/>
      <c r="DBN840" s="802"/>
      <c r="DBO840" s="802"/>
      <c r="DBP840" s="802"/>
      <c r="DBQ840" s="802"/>
      <c r="DBR840" s="802"/>
      <c r="DBS840" s="802"/>
      <c r="DBT840" s="802"/>
      <c r="DBU840" s="802"/>
      <c r="DBV840" s="802"/>
      <c r="DBW840" s="802"/>
      <c r="DBX840" s="802"/>
      <c r="DBY840" s="802"/>
      <c r="DBZ840" s="802"/>
      <c r="DCA840" s="802"/>
      <c r="DCB840" s="802"/>
      <c r="DCC840" s="802"/>
      <c r="DCD840" s="802"/>
      <c r="DCE840" s="802"/>
      <c r="DCF840" s="802"/>
      <c r="DCG840" s="802"/>
      <c r="DCH840" s="802"/>
      <c r="DCI840" s="802"/>
      <c r="DCJ840" s="802"/>
      <c r="DCK840" s="802"/>
      <c r="DCL840" s="802"/>
      <c r="DCM840" s="802"/>
      <c r="DCN840" s="802"/>
      <c r="DCO840" s="802"/>
      <c r="DCP840" s="802"/>
      <c r="DCQ840" s="802"/>
      <c r="DCR840" s="802"/>
      <c r="DCS840" s="802"/>
      <c r="DCT840" s="802"/>
      <c r="DCU840" s="802"/>
      <c r="DCV840" s="802"/>
      <c r="DCW840" s="802"/>
      <c r="DCX840" s="802"/>
      <c r="DCY840" s="802"/>
      <c r="DCZ840" s="802"/>
      <c r="DDA840" s="802"/>
      <c r="DDB840" s="802"/>
      <c r="DDC840" s="802"/>
      <c r="DDD840" s="802"/>
      <c r="DDE840" s="802"/>
      <c r="DDF840" s="802"/>
      <c r="DDG840" s="802"/>
      <c r="DDH840" s="802"/>
      <c r="DDI840" s="802"/>
      <c r="DDJ840" s="802"/>
      <c r="DDK840" s="802"/>
      <c r="DDL840" s="802"/>
      <c r="DDM840" s="802"/>
      <c r="DDN840" s="802"/>
      <c r="DDO840" s="802"/>
      <c r="DDP840" s="802"/>
      <c r="DDQ840" s="802"/>
      <c r="DDR840" s="802"/>
      <c r="DDS840" s="802"/>
      <c r="DDT840" s="802"/>
      <c r="DDU840" s="802"/>
      <c r="DDV840" s="802"/>
      <c r="DDW840" s="802"/>
      <c r="DDX840" s="802"/>
      <c r="DDY840" s="802"/>
      <c r="DDZ840" s="802"/>
      <c r="DEA840" s="802"/>
      <c r="DEB840" s="802"/>
      <c r="DEC840" s="802"/>
      <c r="DED840" s="802"/>
      <c r="DEE840" s="802"/>
      <c r="DEF840" s="802"/>
      <c r="DEG840" s="802"/>
      <c r="DEH840" s="802"/>
      <c r="DEI840" s="802"/>
      <c r="DEJ840" s="802"/>
      <c r="DEK840" s="802"/>
      <c r="DEL840" s="802"/>
      <c r="DEM840" s="802"/>
      <c r="DEN840" s="802"/>
      <c r="DEO840" s="802"/>
      <c r="DEP840" s="802"/>
      <c r="DEQ840" s="802"/>
      <c r="DER840" s="802"/>
      <c r="DES840" s="802"/>
      <c r="DET840" s="802"/>
      <c r="DEU840" s="802"/>
      <c r="DEV840" s="802"/>
      <c r="DEW840" s="802"/>
      <c r="DEX840" s="802"/>
      <c r="DEY840" s="802"/>
      <c r="DEZ840" s="802"/>
      <c r="DFA840" s="802"/>
      <c r="DFB840" s="802"/>
      <c r="DFC840" s="802"/>
      <c r="DFD840" s="802"/>
      <c r="DFE840" s="802"/>
      <c r="DFF840" s="802"/>
      <c r="DFG840" s="802"/>
      <c r="DFH840" s="802"/>
      <c r="DFI840" s="802"/>
      <c r="DFJ840" s="802"/>
      <c r="DFK840" s="802"/>
      <c r="DFL840" s="802"/>
      <c r="DFM840" s="802"/>
      <c r="DFN840" s="802"/>
      <c r="DFO840" s="802"/>
      <c r="DFP840" s="802"/>
      <c r="DFQ840" s="802"/>
      <c r="DFR840" s="802"/>
      <c r="DFS840" s="802"/>
      <c r="DFT840" s="802"/>
      <c r="DFU840" s="802"/>
      <c r="DFV840" s="802"/>
      <c r="DFW840" s="802"/>
      <c r="DFX840" s="802"/>
      <c r="DFY840" s="802"/>
      <c r="DFZ840" s="802"/>
      <c r="DGA840" s="802"/>
      <c r="DGB840" s="802"/>
      <c r="DGC840" s="802"/>
      <c r="DGD840" s="802"/>
      <c r="DGE840" s="802"/>
      <c r="DGF840" s="802"/>
      <c r="DGG840" s="802"/>
      <c r="DGH840" s="802"/>
      <c r="DGI840" s="802"/>
      <c r="DGJ840" s="802"/>
      <c r="DGK840" s="802"/>
      <c r="DGL840" s="802"/>
      <c r="DGM840" s="802"/>
      <c r="DGN840" s="802"/>
      <c r="DGO840" s="802"/>
      <c r="DGP840" s="802"/>
      <c r="DGQ840" s="802"/>
      <c r="DGR840" s="802"/>
      <c r="DGS840" s="802"/>
      <c r="DGT840" s="802"/>
      <c r="DGU840" s="802"/>
      <c r="DGV840" s="802"/>
      <c r="DGW840" s="802"/>
      <c r="DGX840" s="802"/>
      <c r="DGY840" s="802"/>
      <c r="DGZ840" s="802"/>
      <c r="DHA840" s="802"/>
      <c r="DHB840" s="802"/>
      <c r="DHC840" s="802"/>
      <c r="DHD840" s="802"/>
      <c r="DHE840" s="802"/>
      <c r="DHF840" s="802"/>
      <c r="DHG840" s="802"/>
      <c r="DHH840" s="802"/>
      <c r="DHI840" s="802"/>
      <c r="DHJ840" s="802"/>
      <c r="DHK840" s="802"/>
      <c r="DHL840" s="802"/>
      <c r="DHM840" s="802"/>
      <c r="DHN840" s="802"/>
      <c r="DHO840" s="802"/>
      <c r="DHP840" s="802"/>
      <c r="DHQ840" s="802"/>
      <c r="DHR840" s="802"/>
      <c r="DHS840" s="802"/>
      <c r="DHT840" s="802"/>
      <c r="DHU840" s="802"/>
      <c r="DHV840" s="802"/>
      <c r="DHW840" s="802"/>
      <c r="DHX840" s="802"/>
      <c r="DHY840" s="802"/>
      <c r="DHZ840" s="802"/>
      <c r="DIA840" s="802"/>
      <c r="DIB840" s="802"/>
      <c r="DIC840" s="802"/>
      <c r="DID840" s="802"/>
      <c r="DIE840" s="802"/>
      <c r="DIF840" s="802"/>
      <c r="DIG840" s="802"/>
      <c r="DIH840" s="802"/>
      <c r="DII840" s="802"/>
      <c r="DIJ840" s="802"/>
      <c r="DIK840" s="802"/>
      <c r="DIL840" s="802"/>
      <c r="DIM840" s="802"/>
      <c r="DIN840" s="802"/>
      <c r="DIO840" s="802"/>
      <c r="DIP840" s="802"/>
      <c r="DIQ840" s="802"/>
      <c r="DIR840" s="802"/>
      <c r="DIS840" s="802"/>
      <c r="DIT840" s="802"/>
      <c r="DIU840" s="802"/>
      <c r="DIV840" s="802"/>
      <c r="DIW840" s="802"/>
      <c r="DIX840" s="802"/>
      <c r="DIY840" s="802"/>
      <c r="DIZ840" s="802"/>
      <c r="DJA840" s="802"/>
      <c r="DJB840" s="802"/>
      <c r="DJC840" s="802"/>
      <c r="DJD840" s="802"/>
      <c r="DJE840" s="802"/>
      <c r="DJF840" s="802"/>
      <c r="DJG840" s="802"/>
      <c r="DJH840" s="802"/>
      <c r="DJI840" s="802"/>
      <c r="DJJ840" s="802"/>
      <c r="DJK840" s="802"/>
      <c r="DJL840" s="802"/>
      <c r="DJM840" s="802"/>
      <c r="DJN840" s="802"/>
      <c r="DJO840" s="802"/>
      <c r="DJP840" s="802"/>
      <c r="DJQ840" s="802"/>
      <c r="DJR840" s="802"/>
      <c r="DJS840" s="802"/>
      <c r="DJT840" s="802"/>
      <c r="DJU840" s="802"/>
      <c r="DJV840" s="802"/>
      <c r="DJW840" s="802"/>
      <c r="DJX840" s="802"/>
      <c r="DJY840" s="802"/>
      <c r="DJZ840" s="802"/>
      <c r="DKA840" s="802"/>
      <c r="DKB840" s="802"/>
      <c r="DKC840" s="802"/>
      <c r="DKD840" s="802"/>
      <c r="DKE840" s="802"/>
      <c r="DKF840" s="802"/>
      <c r="DKG840" s="802"/>
      <c r="DKH840" s="802"/>
      <c r="DKI840" s="802"/>
      <c r="DKJ840" s="802"/>
      <c r="DKK840" s="802"/>
      <c r="DKL840" s="802"/>
      <c r="DKM840" s="802"/>
      <c r="DKN840" s="802"/>
      <c r="DKO840" s="802"/>
      <c r="DKP840" s="802"/>
      <c r="DKQ840" s="802"/>
      <c r="DKR840" s="802"/>
      <c r="DKS840" s="802"/>
      <c r="DKT840" s="802"/>
      <c r="DKU840" s="802"/>
      <c r="DKV840" s="802"/>
      <c r="DKW840" s="802"/>
      <c r="DKX840" s="802"/>
      <c r="DKY840" s="802"/>
      <c r="DKZ840" s="802"/>
      <c r="DLA840" s="802"/>
      <c r="DLB840" s="802"/>
      <c r="DLC840" s="802"/>
      <c r="DLD840" s="802"/>
      <c r="DLE840" s="802"/>
      <c r="DLF840" s="802"/>
      <c r="DLG840" s="802"/>
      <c r="DLH840" s="802"/>
      <c r="DLI840" s="802"/>
      <c r="DLJ840" s="802"/>
      <c r="DLK840" s="802"/>
      <c r="DLL840" s="802"/>
      <c r="DLM840" s="802"/>
      <c r="DLN840" s="802"/>
      <c r="DLO840" s="802"/>
      <c r="DLP840" s="802"/>
      <c r="DLQ840" s="802"/>
      <c r="DLR840" s="802"/>
      <c r="DLS840" s="802"/>
      <c r="DLT840" s="802"/>
      <c r="DLU840" s="802"/>
      <c r="DLV840" s="802"/>
      <c r="DLW840" s="802"/>
      <c r="DLX840" s="802"/>
      <c r="DLY840" s="802"/>
      <c r="DLZ840" s="802"/>
      <c r="DMA840" s="802"/>
      <c r="DMB840" s="802"/>
      <c r="DMC840" s="802"/>
      <c r="DMD840" s="802"/>
      <c r="DME840" s="802"/>
      <c r="DMF840" s="802"/>
      <c r="DMG840" s="802"/>
      <c r="DMH840" s="802"/>
      <c r="DMI840" s="802"/>
      <c r="DMJ840" s="802"/>
      <c r="DMK840" s="802"/>
      <c r="DML840" s="802"/>
      <c r="DMM840" s="802"/>
      <c r="DMN840" s="802"/>
      <c r="DMO840" s="802"/>
      <c r="DMP840" s="802"/>
      <c r="DMQ840" s="802"/>
      <c r="DMR840" s="802"/>
      <c r="DMS840" s="802"/>
      <c r="DMT840" s="802"/>
      <c r="DMU840" s="802"/>
      <c r="DMV840" s="802"/>
      <c r="DMW840" s="802"/>
      <c r="DMX840" s="802"/>
      <c r="DMY840" s="802"/>
      <c r="DMZ840" s="802"/>
      <c r="DNA840" s="802"/>
      <c r="DNB840" s="802"/>
      <c r="DNC840" s="802"/>
      <c r="DND840" s="802"/>
      <c r="DNE840" s="802"/>
      <c r="DNF840" s="802"/>
      <c r="DNG840" s="802"/>
      <c r="DNH840" s="802"/>
      <c r="DNI840" s="802"/>
      <c r="DNJ840" s="802"/>
      <c r="DNK840" s="802"/>
      <c r="DNL840" s="802"/>
      <c r="DNM840" s="802"/>
      <c r="DNN840" s="802"/>
      <c r="DNO840" s="802"/>
      <c r="DNP840" s="802"/>
      <c r="DNQ840" s="802"/>
      <c r="DNR840" s="802"/>
      <c r="DNS840" s="802"/>
      <c r="DNT840" s="802"/>
      <c r="DNU840" s="802"/>
      <c r="DNV840" s="802"/>
      <c r="DNW840" s="802"/>
      <c r="DNX840" s="802"/>
      <c r="DNY840" s="802"/>
      <c r="DNZ840" s="802"/>
      <c r="DOA840" s="802"/>
      <c r="DOB840" s="802"/>
      <c r="DOC840" s="802"/>
      <c r="DOD840" s="802"/>
      <c r="DOE840" s="802"/>
      <c r="DOF840" s="802"/>
      <c r="DOG840" s="802"/>
      <c r="DOH840" s="802"/>
      <c r="DOI840" s="802"/>
      <c r="DOJ840" s="802"/>
      <c r="DOK840" s="802"/>
      <c r="DOL840" s="802"/>
      <c r="DOM840" s="802"/>
      <c r="DON840" s="802"/>
      <c r="DOO840" s="802"/>
      <c r="DOP840" s="802"/>
      <c r="DOQ840" s="802"/>
      <c r="DOR840" s="802"/>
      <c r="DOS840" s="802"/>
      <c r="DOT840" s="802"/>
      <c r="DOU840" s="802"/>
      <c r="DOV840" s="802"/>
      <c r="DOW840" s="802"/>
      <c r="DOX840" s="802"/>
      <c r="DOY840" s="802"/>
      <c r="DOZ840" s="802"/>
      <c r="DPA840" s="802"/>
      <c r="DPB840" s="802"/>
      <c r="DPC840" s="802"/>
      <c r="DPD840" s="802"/>
      <c r="DPE840" s="802"/>
      <c r="DPF840" s="802"/>
      <c r="DPG840" s="802"/>
      <c r="DPH840" s="802"/>
      <c r="DPI840" s="802"/>
      <c r="DPJ840" s="802"/>
      <c r="DPK840" s="802"/>
      <c r="DPL840" s="802"/>
      <c r="DPM840" s="802"/>
      <c r="DPN840" s="802"/>
      <c r="DPO840" s="802"/>
      <c r="DPP840" s="802"/>
      <c r="DPQ840" s="802"/>
      <c r="DPR840" s="802"/>
      <c r="DPS840" s="802"/>
      <c r="DPT840" s="802"/>
      <c r="DPU840" s="802"/>
      <c r="DPV840" s="802"/>
      <c r="DPW840" s="802"/>
      <c r="DPX840" s="802"/>
      <c r="DPY840" s="802"/>
      <c r="DPZ840" s="802"/>
      <c r="DQA840" s="802"/>
      <c r="DQB840" s="802"/>
      <c r="DQC840" s="802"/>
      <c r="DQD840" s="802"/>
      <c r="DQE840" s="802"/>
      <c r="DQF840" s="802"/>
      <c r="DQG840" s="802"/>
      <c r="DQH840" s="802"/>
      <c r="DQI840" s="802"/>
      <c r="DQJ840" s="802"/>
      <c r="DQK840" s="802"/>
      <c r="DQL840" s="802"/>
      <c r="DQM840" s="802"/>
      <c r="DQN840" s="802"/>
      <c r="DQO840" s="802"/>
      <c r="DQP840" s="802"/>
      <c r="DQQ840" s="802"/>
      <c r="DQR840" s="802"/>
      <c r="DQS840" s="802"/>
      <c r="DQT840" s="802"/>
      <c r="DQU840" s="802"/>
      <c r="DQV840" s="802"/>
      <c r="DQW840" s="802"/>
      <c r="DQX840" s="802"/>
      <c r="DQY840" s="802"/>
      <c r="DQZ840" s="802"/>
      <c r="DRA840" s="802"/>
      <c r="DRB840" s="802"/>
      <c r="DRC840" s="802"/>
      <c r="DRD840" s="802"/>
      <c r="DRE840" s="802"/>
      <c r="DRF840" s="802"/>
      <c r="DRG840" s="802"/>
      <c r="DRH840" s="802"/>
      <c r="DRI840" s="802"/>
      <c r="DRJ840" s="802"/>
      <c r="DRK840" s="802"/>
      <c r="DRL840" s="802"/>
      <c r="DRM840" s="802"/>
      <c r="DRN840" s="802"/>
      <c r="DRO840" s="802"/>
      <c r="DRP840" s="802"/>
      <c r="DRQ840" s="802"/>
      <c r="DRR840" s="802"/>
      <c r="DRS840" s="802"/>
      <c r="DRT840" s="802"/>
      <c r="DRU840" s="802"/>
      <c r="DRV840" s="802"/>
      <c r="DRW840" s="802"/>
      <c r="DRX840" s="802"/>
      <c r="DRY840" s="802"/>
      <c r="DRZ840" s="802"/>
      <c r="DSA840" s="802"/>
      <c r="DSB840" s="802"/>
      <c r="DSC840" s="802"/>
      <c r="DSD840" s="802"/>
      <c r="DSE840" s="802"/>
      <c r="DSF840" s="802"/>
      <c r="DSG840" s="802"/>
      <c r="DSH840" s="802"/>
      <c r="DSI840" s="802"/>
      <c r="DSJ840" s="802"/>
      <c r="DSK840" s="802"/>
      <c r="DSL840" s="802"/>
      <c r="DSM840" s="802"/>
      <c r="DSN840" s="802"/>
      <c r="DSO840" s="802"/>
      <c r="DSP840" s="802"/>
      <c r="DSQ840" s="802"/>
      <c r="DSR840" s="802"/>
      <c r="DSS840" s="802"/>
      <c r="DST840" s="802"/>
      <c r="DSU840" s="802"/>
      <c r="DSV840" s="802"/>
      <c r="DSW840" s="802"/>
      <c r="DSX840" s="802"/>
      <c r="DSY840" s="802"/>
      <c r="DSZ840" s="802"/>
      <c r="DTA840" s="802"/>
      <c r="DTB840" s="802"/>
      <c r="DTC840" s="802"/>
      <c r="DTD840" s="802"/>
      <c r="DTE840" s="802"/>
      <c r="DTF840" s="802"/>
      <c r="DTG840" s="802"/>
      <c r="DTH840" s="802"/>
      <c r="DTI840" s="802"/>
      <c r="DTJ840" s="802"/>
      <c r="DTK840" s="802"/>
      <c r="DTL840" s="802"/>
      <c r="DTM840" s="802"/>
      <c r="DTN840" s="802"/>
      <c r="DTO840" s="802"/>
      <c r="DTP840" s="802"/>
      <c r="DTQ840" s="802"/>
      <c r="DTR840" s="802"/>
      <c r="DTS840" s="802"/>
      <c r="DTT840" s="802"/>
      <c r="DTU840" s="802"/>
      <c r="DTV840" s="802"/>
      <c r="DTW840" s="802"/>
      <c r="DTX840" s="802"/>
      <c r="DTY840" s="802"/>
      <c r="DTZ840" s="802"/>
      <c r="DUA840" s="802"/>
      <c r="DUB840" s="802"/>
      <c r="DUC840" s="802"/>
      <c r="DUD840" s="802"/>
      <c r="DUE840" s="802"/>
      <c r="DUF840" s="802"/>
      <c r="DUG840" s="802"/>
      <c r="DUH840" s="802"/>
      <c r="DUI840" s="802"/>
      <c r="DUJ840" s="802"/>
      <c r="DUK840" s="802"/>
      <c r="DUL840" s="802"/>
      <c r="DUM840" s="802"/>
      <c r="DUN840" s="802"/>
      <c r="DUO840" s="802"/>
      <c r="DUP840" s="802"/>
      <c r="DUQ840" s="802"/>
      <c r="DUR840" s="802"/>
      <c r="DUS840" s="802"/>
      <c r="DUT840" s="802"/>
      <c r="DUU840" s="802"/>
      <c r="DUV840" s="802"/>
      <c r="DUW840" s="802"/>
      <c r="DUX840" s="802"/>
      <c r="DUY840" s="802"/>
      <c r="DUZ840" s="802"/>
      <c r="DVA840" s="802"/>
      <c r="DVB840" s="802"/>
      <c r="DVC840" s="802"/>
      <c r="DVD840" s="802"/>
      <c r="DVE840" s="802"/>
      <c r="DVF840" s="802"/>
      <c r="DVG840" s="802"/>
      <c r="DVH840" s="802"/>
      <c r="DVI840" s="802"/>
      <c r="DVJ840" s="802"/>
      <c r="DVK840" s="802"/>
      <c r="DVL840" s="802"/>
      <c r="DVM840" s="802"/>
      <c r="DVN840" s="802"/>
      <c r="DVO840" s="802"/>
      <c r="DVP840" s="802"/>
      <c r="DVQ840" s="802"/>
      <c r="DVR840" s="802"/>
      <c r="DVS840" s="802"/>
      <c r="DVT840" s="802"/>
      <c r="DVU840" s="802"/>
      <c r="DVV840" s="802"/>
      <c r="DVW840" s="802"/>
      <c r="DVX840" s="802"/>
      <c r="DVY840" s="802"/>
      <c r="DVZ840" s="802"/>
      <c r="DWA840" s="802"/>
      <c r="DWB840" s="802"/>
      <c r="DWC840" s="802"/>
      <c r="DWD840" s="802"/>
      <c r="DWE840" s="802"/>
      <c r="DWF840" s="802"/>
      <c r="DWG840" s="802"/>
      <c r="DWH840" s="802"/>
      <c r="DWI840" s="802"/>
      <c r="DWJ840" s="802"/>
      <c r="DWK840" s="802"/>
      <c r="DWL840" s="802"/>
      <c r="DWM840" s="802"/>
      <c r="DWN840" s="802"/>
      <c r="DWO840" s="802"/>
      <c r="DWP840" s="802"/>
      <c r="DWQ840" s="802"/>
      <c r="DWR840" s="802"/>
      <c r="DWS840" s="802"/>
      <c r="DWT840" s="802"/>
      <c r="DWU840" s="802"/>
      <c r="DWV840" s="802"/>
      <c r="DWW840" s="802"/>
      <c r="DWX840" s="802"/>
      <c r="DWY840" s="802"/>
      <c r="DWZ840" s="802"/>
      <c r="DXA840" s="802"/>
      <c r="DXB840" s="802"/>
      <c r="DXC840" s="802"/>
      <c r="DXD840" s="802"/>
      <c r="DXE840" s="802"/>
      <c r="DXF840" s="802"/>
      <c r="DXG840" s="802"/>
      <c r="DXH840" s="802"/>
      <c r="DXI840" s="802"/>
      <c r="DXJ840" s="802"/>
      <c r="DXK840" s="802"/>
      <c r="DXL840" s="802"/>
      <c r="DXM840" s="802"/>
      <c r="DXN840" s="802"/>
      <c r="DXO840" s="802"/>
      <c r="DXP840" s="802"/>
      <c r="DXQ840" s="802"/>
      <c r="DXR840" s="802"/>
      <c r="DXS840" s="802"/>
      <c r="DXT840" s="802"/>
      <c r="DXU840" s="802"/>
      <c r="DXV840" s="802"/>
      <c r="DXW840" s="802"/>
      <c r="DXX840" s="802"/>
      <c r="DXY840" s="802"/>
      <c r="DXZ840" s="802"/>
      <c r="DYA840" s="802"/>
      <c r="DYB840" s="802"/>
      <c r="DYC840" s="802"/>
      <c r="DYD840" s="802"/>
      <c r="DYE840" s="802"/>
      <c r="DYF840" s="802"/>
      <c r="DYG840" s="802"/>
      <c r="DYH840" s="802"/>
      <c r="DYI840" s="802"/>
      <c r="DYJ840" s="802"/>
      <c r="DYK840" s="802"/>
      <c r="DYL840" s="802"/>
      <c r="DYM840" s="802"/>
      <c r="DYN840" s="802"/>
      <c r="DYO840" s="802"/>
      <c r="DYP840" s="802"/>
      <c r="DYQ840" s="802"/>
      <c r="DYR840" s="802"/>
      <c r="DYS840" s="802"/>
      <c r="DYT840" s="802"/>
      <c r="DYU840" s="802"/>
      <c r="DYV840" s="802"/>
      <c r="DYW840" s="802"/>
      <c r="DYX840" s="802"/>
      <c r="DYY840" s="802"/>
      <c r="DYZ840" s="802"/>
      <c r="DZA840" s="802"/>
      <c r="DZB840" s="802"/>
      <c r="DZC840" s="802"/>
      <c r="DZD840" s="802"/>
      <c r="DZE840" s="802"/>
      <c r="DZF840" s="802"/>
      <c r="DZG840" s="802"/>
      <c r="DZH840" s="802"/>
      <c r="DZI840" s="802"/>
      <c r="DZJ840" s="802"/>
      <c r="DZK840" s="802"/>
      <c r="DZL840" s="802"/>
      <c r="DZM840" s="802"/>
      <c r="DZN840" s="802"/>
      <c r="DZO840" s="802"/>
      <c r="DZP840" s="802"/>
      <c r="DZQ840" s="802"/>
      <c r="DZR840" s="802"/>
      <c r="DZS840" s="802"/>
      <c r="DZT840" s="802"/>
      <c r="DZU840" s="802"/>
      <c r="DZV840" s="802"/>
      <c r="DZW840" s="802"/>
      <c r="DZX840" s="802"/>
      <c r="DZY840" s="802"/>
      <c r="DZZ840" s="802"/>
      <c r="EAA840" s="802"/>
      <c r="EAB840" s="802"/>
      <c r="EAC840" s="802"/>
      <c r="EAD840" s="802"/>
      <c r="EAE840" s="802"/>
      <c r="EAF840" s="802"/>
      <c r="EAG840" s="802"/>
      <c r="EAH840" s="802"/>
      <c r="EAI840" s="802"/>
      <c r="EAJ840" s="802"/>
      <c r="EAK840" s="802"/>
      <c r="EAL840" s="802"/>
      <c r="EAM840" s="802"/>
      <c r="EAN840" s="802"/>
      <c r="EAO840" s="802"/>
      <c r="EAP840" s="802"/>
      <c r="EAQ840" s="802"/>
      <c r="EAR840" s="802"/>
      <c r="EAS840" s="802"/>
      <c r="EAT840" s="802"/>
      <c r="EAU840" s="802"/>
      <c r="EAV840" s="802"/>
      <c r="EAW840" s="802"/>
      <c r="EAX840" s="802"/>
      <c r="EAY840" s="802"/>
      <c r="EAZ840" s="802"/>
      <c r="EBA840" s="802"/>
      <c r="EBB840" s="802"/>
      <c r="EBC840" s="802"/>
      <c r="EBD840" s="802"/>
      <c r="EBE840" s="802"/>
      <c r="EBF840" s="802"/>
      <c r="EBG840" s="802"/>
      <c r="EBH840" s="802"/>
      <c r="EBI840" s="802"/>
      <c r="EBJ840" s="802"/>
      <c r="EBK840" s="802"/>
      <c r="EBL840" s="802"/>
      <c r="EBM840" s="802"/>
      <c r="EBN840" s="802"/>
      <c r="EBO840" s="802"/>
      <c r="EBP840" s="802"/>
      <c r="EBQ840" s="802"/>
      <c r="EBR840" s="802"/>
      <c r="EBS840" s="802"/>
      <c r="EBT840" s="802"/>
      <c r="EBU840" s="802"/>
      <c r="EBV840" s="802"/>
      <c r="EBW840" s="802"/>
      <c r="EBX840" s="802"/>
      <c r="EBY840" s="802"/>
      <c r="EBZ840" s="802"/>
      <c r="ECA840" s="802"/>
      <c r="ECB840" s="802"/>
      <c r="ECC840" s="802"/>
      <c r="ECD840" s="802"/>
      <c r="ECE840" s="802"/>
      <c r="ECF840" s="802"/>
      <c r="ECG840" s="802"/>
      <c r="ECH840" s="802"/>
      <c r="ECI840" s="802"/>
      <c r="ECJ840" s="802"/>
      <c r="ECK840" s="802"/>
      <c r="ECL840" s="802"/>
      <c r="ECM840" s="802"/>
      <c r="ECN840" s="802"/>
      <c r="ECO840" s="802"/>
      <c r="ECP840" s="802"/>
      <c r="ECQ840" s="802"/>
      <c r="ECR840" s="802"/>
      <c r="ECS840" s="802"/>
      <c r="ECT840" s="802"/>
      <c r="ECU840" s="802"/>
      <c r="ECV840" s="802"/>
      <c r="ECW840" s="802"/>
      <c r="ECX840" s="802"/>
      <c r="ECY840" s="802"/>
      <c r="ECZ840" s="802"/>
      <c r="EDA840" s="802"/>
      <c r="EDB840" s="802"/>
      <c r="EDC840" s="802"/>
      <c r="EDD840" s="802"/>
      <c r="EDE840" s="802"/>
      <c r="EDF840" s="802"/>
      <c r="EDG840" s="802"/>
      <c r="EDH840" s="802"/>
      <c r="EDI840" s="802"/>
      <c r="EDJ840" s="802"/>
      <c r="EDK840" s="802"/>
      <c r="EDL840" s="802"/>
      <c r="EDM840" s="802"/>
      <c r="EDN840" s="802"/>
      <c r="EDO840" s="802"/>
      <c r="EDP840" s="802"/>
      <c r="EDQ840" s="802"/>
      <c r="EDR840" s="802"/>
      <c r="EDS840" s="802"/>
      <c r="EDT840" s="802"/>
      <c r="EDU840" s="802"/>
      <c r="EDV840" s="802"/>
      <c r="EDW840" s="802"/>
      <c r="EDX840" s="802"/>
      <c r="EDY840" s="802"/>
      <c r="EDZ840" s="802"/>
      <c r="EEA840" s="802"/>
      <c r="EEB840" s="802"/>
      <c r="EEC840" s="802"/>
      <c r="EED840" s="802"/>
      <c r="EEE840" s="802"/>
      <c r="EEF840" s="802"/>
      <c r="EEG840" s="802"/>
      <c r="EEH840" s="802"/>
      <c r="EEI840" s="802"/>
      <c r="EEJ840" s="802"/>
      <c r="EEK840" s="802"/>
      <c r="EEL840" s="802"/>
      <c r="EEM840" s="802"/>
      <c r="EEN840" s="802"/>
      <c r="EEO840" s="802"/>
      <c r="EEP840" s="802"/>
      <c r="EEQ840" s="802"/>
      <c r="EER840" s="802"/>
      <c r="EES840" s="802"/>
      <c r="EET840" s="802"/>
      <c r="EEU840" s="802"/>
      <c r="EEV840" s="802"/>
      <c r="EEW840" s="802"/>
      <c r="EEX840" s="802"/>
      <c r="EEY840" s="802"/>
      <c r="EEZ840" s="802"/>
      <c r="EFA840" s="802"/>
      <c r="EFB840" s="802"/>
      <c r="EFC840" s="802"/>
      <c r="EFD840" s="802"/>
      <c r="EFE840" s="802"/>
      <c r="EFF840" s="802"/>
      <c r="EFG840" s="802"/>
      <c r="EFH840" s="802"/>
      <c r="EFI840" s="802"/>
      <c r="EFJ840" s="802"/>
      <c r="EFK840" s="802"/>
      <c r="EFL840" s="802"/>
      <c r="EFM840" s="802"/>
      <c r="EFN840" s="802"/>
      <c r="EFO840" s="802"/>
      <c r="EFP840" s="802"/>
      <c r="EFQ840" s="802"/>
      <c r="EFR840" s="802"/>
      <c r="EFS840" s="802"/>
      <c r="EFT840" s="802"/>
      <c r="EFU840" s="802"/>
      <c r="EFV840" s="802"/>
      <c r="EFW840" s="802"/>
      <c r="EFX840" s="802"/>
      <c r="EFY840" s="802"/>
      <c r="EFZ840" s="802"/>
      <c r="EGA840" s="802"/>
      <c r="EGB840" s="802"/>
      <c r="EGC840" s="802"/>
      <c r="EGD840" s="802"/>
      <c r="EGE840" s="802"/>
      <c r="EGF840" s="802"/>
      <c r="EGG840" s="802"/>
      <c r="EGH840" s="802"/>
      <c r="EGI840" s="802"/>
      <c r="EGJ840" s="802"/>
      <c r="EGK840" s="802"/>
      <c r="EGL840" s="802"/>
      <c r="EGM840" s="802"/>
      <c r="EGN840" s="802"/>
      <c r="EGO840" s="802"/>
      <c r="EGP840" s="802"/>
      <c r="EGQ840" s="802"/>
      <c r="EGR840" s="802"/>
      <c r="EGS840" s="802"/>
      <c r="EGT840" s="802"/>
      <c r="EGU840" s="802"/>
      <c r="EGV840" s="802"/>
      <c r="EGW840" s="802"/>
      <c r="EGX840" s="802"/>
      <c r="EGY840" s="802"/>
      <c r="EGZ840" s="802"/>
      <c r="EHA840" s="802"/>
      <c r="EHB840" s="802"/>
      <c r="EHC840" s="802"/>
      <c r="EHD840" s="802"/>
      <c r="EHE840" s="802"/>
      <c r="EHF840" s="802"/>
      <c r="EHG840" s="802"/>
      <c r="EHH840" s="802"/>
      <c r="EHI840" s="802"/>
      <c r="EHJ840" s="802"/>
      <c r="EHK840" s="802"/>
      <c r="EHL840" s="802"/>
      <c r="EHM840" s="802"/>
      <c r="EHN840" s="802"/>
      <c r="EHO840" s="802"/>
      <c r="EHP840" s="802"/>
      <c r="EHQ840" s="802"/>
      <c r="EHR840" s="802"/>
      <c r="EHS840" s="802"/>
      <c r="EHT840" s="802"/>
      <c r="EHU840" s="802"/>
      <c r="EHV840" s="802"/>
      <c r="EHW840" s="802"/>
      <c r="EHX840" s="802"/>
      <c r="EHY840" s="802"/>
      <c r="EHZ840" s="802"/>
      <c r="EIA840" s="802"/>
      <c r="EIB840" s="802"/>
      <c r="EIC840" s="802"/>
      <c r="EID840" s="802"/>
      <c r="EIE840" s="802"/>
      <c r="EIF840" s="802"/>
      <c r="EIG840" s="802"/>
      <c r="EIH840" s="802"/>
      <c r="EII840" s="802"/>
      <c r="EIJ840" s="802"/>
      <c r="EIK840" s="802"/>
      <c r="EIL840" s="802"/>
      <c r="EIM840" s="802"/>
      <c r="EIN840" s="802"/>
      <c r="EIO840" s="802"/>
      <c r="EIP840" s="802"/>
      <c r="EIQ840" s="802"/>
      <c r="EIR840" s="802"/>
      <c r="EIS840" s="802"/>
      <c r="EIT840" s="802"/>
      <c r="EIU840" s="802"/>
      <c r="EIV840" s="802"/>
      <c r="EIW840" s="802"/>
      <c r="EIX840" s="802"/>
      <c r="EIY840" s="802"/>
      <c r="EIZ840" s="802"/>
      <c r="EJA840" s="802"/>
      <c r="EJB840" s="802"/>
      <c r="EJC840" s="802"/>
      <c r="EJD840" s="802"/>
      <c r="EJE840" s="802"/>
      <c r="EJF840" s="802"/>
      <c r="EJG840" s="802"/>
      <c r="EJH840" s="802"/>
      <c r="EJI840" s="802"/>
      <c r="EJJ840" s="802"/>
      <c r="EJK840" s="802"/>
      <c r="EJL840" s="802"/>
      <c r="EJM840" s="802"/>
      <c r="EJN840" s="802"/>
      <c r="EJO840" s="802"/>
      <c r="EJP840" s="802"/>
      <c r="EJQ840" s="802"/>
      <c r="EJR840" s="802"/>
      <c r="EJS840" s="802"/>
      <c r="EJT840" s="802"/>
      <c r="EJU840" s="802"/>
      <c r="EJV840" s="802"/>
      <c r="EJW840" s="802"/>
      <c r="EJX840" s="802"/>
      <c r="EJY840" s="802"/>
      <c r="EJZ840" s="802"/>
      <c r="EKA840" s="802"/>
      <c r="EKB840" s="802"/>
      <c r="EKC840" s="802"/>
      <c r="EKD840" s="802"/>
      <c r="EKE840" s="802"/>
      <c r="EKF840" s="802"/>
      <c r="EKG840" s="802"/>
      <c r="EKH840" s="802"/>
      <c r="EKI840" s="802"/>
      <c r="EKJ840" s="802"/>
      <c r="EKK840" s="802"/>
      <c r="EKL840" s="802"/>
      <c r="EKM840" s="802"/>
      <c r="EKN840" s="802"/>
      <c r="EKO840" s="802"/>
      <c r="EKP840" s="802"/>
      <c r="EKQ840" s="802"/>
      <c r="EKR840" s="802"/>
      <c r="EKS840" s="802"/>
      <c r="EKT840" s="802"/>
      <c r="EKU840" s="802"/>
      <c r="EKV840" s="802"/>
      <c r="EKW840" s="802"/>
      <c r="EKX840" s="802"/>
      <c r="EKY840" s="802"/>
      <c r="EKZ840" s="802"/>
      <c r="ELA840" s="802"/>
      <c r="ELB840" s="802"/>
      <c r="ELC840" s="802"/>
      <c r="ELD840" s="802"/>
      <c r="ELE840" s="802"/>
      <c r="ELF840" s="802"/>
      <c r="ELG840" s="802"/>
      <c r="ELH840" s="802"/>
      <c r="ELI840" s="802"/>
      <c r="ELJ840" s="802"/>
      <c r="ELK840" s="802"/>
      <c r="ELL840" s="802"/>
      <c r="ELM840" s="802"/>
      <c r="ELN840" s="802"/>
      <c r="ELO840" s="802"/>
      <c r="ELP840" s="802"/>
      <c r="ELQ840" s="802"/>
      <c r="ELR840" s="802"/>
      <c r="ELS840" s="802"/>
      <c r="ELT840" s="802"/>
      <c r="ELU840" s="802"/>
      <c r="ELV840" s="802"/>
      <c r="ELW840" s="802"/>
      <c r="ELX840" s="802"/>
      <c r="ELY840" s="802"/>
      <c r="ELZ840" s="802"/>
      <c r="EMA840" s="802"/>
      <c r="EMB840" s="802"/>
      <c r="EMC840" s="802"/>
      <c r="EMD840" s="802"/>
      <c r="EME840" s="802"/>
      <c r="EMF840" s="802"/>
      <c r="EMG840" s="802"/>
      <c r="EMH840" s="802"/>
      <c r="EMI840" s="802"/>
      <c r="EMJ840" s="802"/>
      <c r="EMK840" s="802"/>
      <c r="EML840" s="802"/>
      <c r="EMM840" s="802"/>
      <c r="EMN840" s="802"/>
      <c r="EMO840" s="802"/>
      <c r="EMP840" s="802"/>
      <c r="EMQ840" s="802"/>
      <c r="EMR840" s="802"/>
      <c r="EMS840" s="802"/>
      <c r="EMT840" s="802"/>
      <c r="EMU840" s="802"/>
      <c r="EMV840" s="802"/>
      <c r="EMW840" s="802"/>
      <c r="EMX840" s="802"/>
      <c r="EMY840" s="802"/>
      <c r="EMZ840" s="802"/>
      <c r="ENA840" s="802"/>
      <c r="ENB840" s="802"/>
      <c r="ENC840" s="802"/>
      <c r="END840" s="802"/>
      <c r="ENE840" s="802"/>
      <c r="ENF840" s="802"/>
      <c r="ENG840" s="802"/>
      <c r="ENH840" s="802"/>
      <c r="ENI840" s="802"/>
      <c r="ENJ840" s="802"/>
      <c r="ENK840" s="802"/>
      <c r="ENL840" s="802"/>
      <c r="ENM840" s="802"/>
      <c r="ENN840" s="802"/>
      <c r="ENO840" s="802"/>
      <c r="ENP840" s="802"/>
      <c r="ENQ840" s="802"/>
      <c r="ENR840" s="802"/>
      <c r="ENS840" s="802"/>
      <c r="ENT840" s="802"/>
      <c r="ENU840" s="802"/>
      <c r="ENV840" s="802"/>
      <c r="ENW840" s="802"/>
      <c r="ENX840" s="802"/>
      <c r="ENY840" s="802"/>
      <c r="ENZ840" s="802"/>
      <c r="EOA840" s="802"/>
      <c r="EOB840" s="802"/>
      <c r="EOC840" s="802"/>
      <c r="EOD840" s="802"/>
      <c r="EOE840" s="802"/>
      <c r="EOF840" s="802"/>
      <c r="EOG840" s="802"/>
      <c r="EOH840" s="802"/>
      <c r="EOI840" s="802"/>
      <c r="EOJ840" s="802"/>
      <c r="EOK840" s="802"/>
      <c r="EOL840" s="802"/>
      <c r="EOM840" s="802"/>
      <c r="EON840" s="802"/>
      <c r="EOO840" s="802"/>
      <c r="EOP840" s="802"/>
      <c r="EOQ840" s="802"/>
      <c r="EOR840" s="802"/>
      <c r="EOS840" s="802"/>
      <c r="EOT840" s="802"/>
      <c r="EOU840" s="802"/>
      <c r="EOV840" s="802"/>
      <c r="EOW840" s="802"/>
      <c r="EOX840" s="802"/>
      <c r="EOY840" s="802"/>
      <c r="EOZ840" s="802"/>
      <c r="EPA840" s="802"/>
      <c r="EPB840" s="802"/>
      <c r="EPC840" s="802"/>
      <c r="EPD840" s="802"/>
      <c r="EPE840" s="802"/>
      <c r="EPF840" s="802"/>
      <c r="EPG840" s="802"/>
      <c r="EPH840" s="802"/>
      <c r="EPI840" s="802"/>
      <c r="EPJ840" s="802"/>
      <c r="EPK840" s="802"/>
      <c r="EPL840" s="802"/>
      <c r="EPM840" s="802"/>
      <c r="EPN840" s="802"/>
      <c r="EPO840" s="802"/>
      <c r="EPP840" s="802"/>
      <c r="EPQ840" s="802"/>
      <c r="EPR840" s="802"/>
      <c r="EPS840" s="802"/>
      <c r="EPT840" s="802"/>
      <c r="EPU840" s="802"/>
      <c r="EPV840" s="802"/>
      <c r="EPW840" s="802"/>
      <c r="EPX840" s="802"/>
      <c r="EPY840" s="802"/>
      <c r="EPZ840" s="802"/>
      <c r="EQA840" s="802"/>
      <c r="EQB840" s="802"/>
      <c r="EQC840" s="802"/>
      <c r="EQD840" s="802"/>
      <c r="EQE840" s="802"/>
      <c r="EQF840" s="802"/>
      <c r="EQG840" s="802"/>
      <c r="EQH840" s="802"/>
      <c r="EQI840" s="802"/>
      <c r="EQJ840" s="802"/>
      <c r="EQK840" s="802"/>
      <c r="EQL840" s="802"/>
      <c r="EQM840" s="802"/>
      <c r="EQN840" s="802"/>
      <c r="EQO840" s="802"/>
      <c r="EQP840" s="802"/>
      <c r="EQQ840" s="802"/>
      <c r="EQR840" s="802"/>
      <c r="EQS840" s="802"/>
      <c r="EQT840" s="802"/>
      <c r="EQU840" s="802"/>
      <c r="EQV840" s="802"/>
      <c r="EQW840" s="802"/>
      <c r="EQX840" s="802"/>
      <c r="EQY840" s="802"/>
      <c r="EQZ840" s="802"/>
      <c r="ERA840" s="802"/>
      <c r="ERB840" s="802"/>
      <c r="ERC840" s="802"/>
      <c r="ERD840" s="802"/>
      <c r="ERE840" s="802"/>
      <c r="ERF840" s="802"/>
      <c r="ERG840" s="802"/>
      <c r="ERH840" s="802"/>
      <c r="ERI840" s="802"/>
      <c r="ERJ840" s="802"/>
      <c r="ERK840" s="802"/>
      <c r="ERL840" s="802"/>
      <c r="ERM840" s="802"/>
      <c r="ERN840" s="802"/>
      <c r="ERO840" s="802"/>
      <c r="ERP840" s="802"/>
      <c r="ERQ840" s="802"/>
      <c r="ERR840" s="802"/>
      <c r="ERS840" s="802"/>
      <c r="ERT840" s="802"/>
      <c r="ERU840" s="802"/>
      <c r="ERV840" s="802"/>
      <c r="ERW840" s="802"/>
      <c r="ERX840" s="802"/>
      <c r="ERY840" s="802"/>
      <c r="ERZ840" s="802"/>
      <c r="ESA840" s="802"/>
      <c r="ESB840" s="802"/>
      <c r="ESC840" s="802"/>
      <c r="ESD840" s="802"/>
      <c r="ESE840" s="802"/>
      <c r="ESF840" s="802"/>
      <c r="ESG840" s="802"/>
      <c r="ESH840" s="802"/>
      <c r="ESI840" s="802"/>
      <c r="ESJ840" s="802"/>
      <c r="ESK840" s="802"/>
      <c r="ESL840" s="802"/>
      <c r="ESM840" s="802"/>
      <c r="ESN840" s="802"/>
      <c r="ESO840" s="802"/>
      <c r="ESP840" s="802"/>
      <c r="ESQ840" s="802"/>
      <c r="ESR840" s="802"/>
      <c r="ESS840" s="802"/>
      <c r="EST840" s="802"/>
      <c r="ESU840" s="802"/>
      <c r="ESV840" s="802"/>
      <c r="ESW840" s="802"/>
      <c r="ESX840" s="802"/>
      <c r="ESY840" s="802"/>
      <c r="ESZ840" s="802"/>
      <c r="ETA840" s="802"/>
      <c r="ETB840" s="802"/>
      <c r="ETC840" s="802"/>
      <c r="ETD840" s="802"/>
      <c r="ETE840" s="802"/>
      <c r="ETF840" s="802"/>
      <c r="ETG840" s="802"/>
      <c r="ETH840" s="802"/>
      <c r="ETI840" s="802"/>
      <c r="ETJ840" s="802"/>
      <c r="ETK840" s="802"/>
      <c r="ETL840" s="802"/>
      <c r="ETM840" s="802"/>
      <c r="ETN840" s="802"/>
      <c r="ETO840" s="802"/>
      <c r="ETP840" s="802"/>
      <c r="ETQ840" s="802"/>
      <c r="ETR840" s="802"/>
      <c r="ETS840" s="802"/>
      <c r="ETT840" s="802"/>
      <c r="ETU840" s="802"/>
      <c r="ETV840" s="802"/>
      <c r="ETW840" s="802"/>
      <c r="ETX840" s="802"/>
      <c r="ETY840" s="802"/>
      <c r="ETZ840" s="802"/>
      <c r="EUA840" s="802"/>
      <c r="EUB840" s="802"/>
      <c r="EUC840" s="802"/>
      <c r="EUD840" s="802"/>
      <c r="EUE840" s="802"/>
      <c r="EUF840" s="802"/>
      <c r="EUG840" s="802"/>
      <c r="EUH840" s="802"/>
      <c r="EUI840" s="802"/>
      <c r="EUJ840" s="802"/>
      <c r="EUK840" s="802"/>
      <c r="EUL840" s="802"/>
      <c r="EUM840" s="802"/>
      <c r="EUN840" s="802"/>
      <c r="EUO840" s="802"/>
      <c r="EUP840" s="802"/>
      <c r="EUQ840" s="802"/>
      <c r="EUR840" s="802"/>
      <c r="EUS840" s="802"/>
      <c r="EUT840" s="802"/>
      <c r="EUU840" s="802"/>
      <c r="EUV840" s="802"/>
      <c r="EUW840" s="802"/>
      <c r="EUX840" s="802"/>
      <c r="EUY840" s="802"/>
      <c r="EUZ840" s="802"/>
      <c r="EVA840" s="802"/>
      <c r="EVB840" s="802"/>
      <c r="EVC840" s="802"/>
      <c r="EVD840" s="802"/>
      <c r="EVE840" s="802"/>
      <c r="EVF840" s="802"/>
      <c r="EVG840" s="802"/>
      <c r="EVH840" s="802"/>
      <c r="EVI840" s="802"/>
      <c r="EVJ840" s="802"/>
      <c r="EVK840" s="802"/>
      <c r="EVL840" s="802"/>
      <c r="EVM840" s="802"/>
      <c r="EVN840" s="802"/>
      <c r="EVO840" s="802"/>
      <c r="EVP840" s="802"/>
      <c r="EVQ840" s="802"/>
      <c r="EVR840" s="802"/>
      <c r="EVS840" s="802"/>
      <c r="EVT840" s="802"/>
      <c r="EVU840" s="802"/>
      <c r="EVV840" s="802"/>
      <c r="EVW840" s="802"/>
      <c r="EVX840" s="802"/>
      <c r="EVY840" s="802"/>
      <c r="EVZ840" s="802"/>
      <c r="EWA840" s="802"/>
      <c r="EWB840" s="802"/>
      <c r="EWC840" s="802"/>
      <c r="EWD840" s="802"/>
      <c r="EWE840" s="802"/>
      <c r="EWF840" s="802"/>
      <c r="EWG840" s="802"/>
      <c r="EWH840" s="802"/>
      <c r="EWI840" s="802"/>
      <c r="EWJ840" s="802"/>
      <c r="EWK840" s="802"/>
      <c r="EWL840" s="802"/>
      <c r="EWM840" s="802"/>
      <c r="EWN840" s="802"/>
      <c r="EWO840" s="802"/>
      <c r="EWP840" s="802"/>
      <c r="EWQ840" s="802"/>
      <c r="EWR840" s="802"/>
      <c r="EWS840" s="802"/>
      <c r="EWT840" s="802"/>
      <c r="EWU840" s="802"/>
      <c r="EWV840" s="802"/>
      <c r="EWW840" s="802"/>
      <c r="EWX840" s="802"/>
      <c r="EWY840" s="802"/>
      <c r="EWZ840" s="802"/>
      <c r="EXA840" s="802"/>
      <c r="EXB840" s="802"/>
      <c r="EXC840" s="802"/>
      <c r="EXD840" s="802"/>
      <c r="EXE840" s="802"/>
      <c r="EXF840" s="802"/>
      <c r="EXG840" s="802"/>
      <c r="EXH840" s="802"/>
      <c r="EXI840" s="802"/>
      <c r="EXJ840" s="802"/>
      <c r="EXK840" s="802"/>
      <c r="EXL840" s="802"/>
      <c r="EXM840" s="802"/>
      <c r="EXN840" s="802"/>
      <c r="EXO840" s="802"/>
      <c r="EXP840" s="802"/>
      <c r="EXQ840" s="802"/>
      <c r="EXR840" s="802"/>
      <c r="EXS840" s="802"/>
      <c r="EXT840" s="802"/>
      <c r="EXU840" s="802"/>
      <c r="EXV840" s="802"/>
      <c r="EXW840" s="802"/>
      <c r="EXX840" s="802"/>
      <c r="EXY840" s="802"/>
      <c r="EXZ840" s="802"/>
      <c r="EYA840" s="802"/>
      <c r="EYB840" s="802"/>
      <c r="EYC840" s="802"/>
      <c r="EYD840" s="802"/>
      <c r="EYE840" s="802"/>
      <c r="EYF840" s="802"/>
      <c r="EYG840" s="802"/>
      <c r="EYH840" s="802"/>
      <c r="EYI840" s="802"/>
      <c r="EYJ840" s="802"/>
      <c r="EYK840" s="802"/>
      <c r="EYL840" s="802"/>
      <c r="EYM840" s="802"/>
      <c r="EYN840" s="802"/>
      <c r="EYO840" s="802"/>
      <c r="EYP840" s="802"/>
      <c r="EYQ840" s="802"/>
      <c r="EYR840" s="802"/>
      <c r="EYS840" s="802"/>
      <c r="EYT840" s="802"/>
      <c r="EYU840" s="802"/>
      <c r="EYV840" s="802"/>
      <c r="EYW840" s="802"/>
      <c r="EYX840" s="802"/>
      <c r="EYY840" s="802"/>
      <c r="EYZ840" s="802"/>
      <c r="EZA840" s="802"/>
      <c r="EZB840" s="802"/>
      <c r="EZC840" s="802"/>
      <c r="EZD840" s="802"/>
      <c r="EZE840" s="802"/>
      <c r="EZF840" s="802"/>
      <c r="EZG840" s="802"/>
      <c r="EZH840" s="802"/>
      <c r="EZI840" s="802"/>
      <c r="EZJ840" s="802"/>
      <c r="EZK840" s="802"/>
      <c r="EZL840" s="802"/>
      <c r="EZM840" s="802"/>
      <c r="EZN840" s="802"/>
      <c r="EZO840" s="802"/>
      <c r="EZP840" s="802"/>
      <c r="EZQ840" s="802"/>
      <c r="EZR840" s="802"/>
      <c r="EZS840" s="802"/>
      <c r="EZT840" s="802"/>
      <c r="EZU840" s="802"/>
      <c r="EZV840" s="802"/>
      <c r="EZW840" s="802"/>
      <c r="EZX840" s="802"/>
      <c r="EZY840" s="802"/>
      <c r="EZZ840" s="802"/>
      <c r="FAA840" s="802"/>
      <c r="FAB840" s="802"/>
      <c r="FAC840" s="802"/>
      <c r="FAD840" s="802"/>
      <c r="FAE840" s="802"/>
      <c r="FAF840" s="802"/>
      <c r="FAG840" s="802"/>
      <c r="FAH840" s="802"/>
      <c r="FAI840" s="802"/>
      <c r="FAJ840" s="802"/>
      <c r="FAK840" s="802"/>
      <c r="FAL840" s="802"/>
      <c r="FAM840" s="802"/>
      <c r="FAN840" s="802"/>
      <c r="FAO840" s="802"/>
      <c r="FAP840" s="802"/>
      <c r="FAQ840" s="802"/>
      <c r="FAR840" s="802"/>
      <c r="FAS840" s="802"/>
      <c r="FAT840" s="802"/>
      <c r="FAU840" s="802"/>
      <c r="FAV840" s="802"/>
      <c r="FAW840" s="802"/>
      <c r="FAX840" s="802"/>
      <c r="FAY840" s="802"/>
      <c r="FAZ840" s="802"/>
      <c r="FBA840" s="802"/>
      <c r="FBB840" s="802"/>
      <c r="FBC840" s="802"/>
      <c r="FBD840" s="802"/>
      <c r="FBE840" s="802"/>
      <c r="FBF840" s="802"/>
      <c r="FBG840" s="802"/>
      <c r="FBH840" s="802"/>
      <c r="FBI840" s="802"/>
      <c r="FBJ840" s="802"/>
      <c r="FBK840" s="802"/>
      <c r="FBL840" s="802"/>
      <c r="FBM840" s="802"/>
      <c r="FBN840" s="802"/>
      <c r="FBO840" s="802"/>
      <c r="FBP840" s="802"/>
      <c r="FBQ840" s="802"/>
      <c r="FBR840" s="802"/>
      <c r="FBS840" s="802"/>
      <c r="FBT840" s="802"/>
      <c r="FBU840" s="802"/>
      <c r="FBV840" s="802"/>
      <c r="FBW840" s="802"/>
      <c r="FBX840" s="802"/>
      <c r="FBY840" s="802"/>
      <c r="FBZ840" s="802"/>
      <c r="FCA840" s="802"/>
      <c r="FCB840" s="802"/>
      <c r="FCC840" s="802"/>
      <c r="FCD840" s="802"/>
      <c r="FCE840" s="802"/>
      <c r="FCF840" s="802"/>
      <c r="FCG840" s="802"/>
      <c r="FCH840" s="802"/>
      <c r="FCI840" s="802"/>
      <c r="FCJ840" s="802"/>
      <c r="FCK840" s="802"/>
      <c r="FCL840" s="802"/>
      <c r="FCM840" s="802"/>
      <c r="FCN840" s="802"/>
      <c r="FCO840" s="802"/>
      <c r="FCP840" s="802"/>
      <c r="FCQ840" s="802"/>
      <c r="FCR840" s="802"/>
      <c r="FCS840" s="802"/>
      <c r="FCT840" s="802"/>
      <c r="FCU840" s="802"/>
      <c r="FCV840" s="802"/>
      <c r="FCW840" s="802"/>
      <c r="FCX840" s="802"/>
      <c r="FCY840" s="802"/>
      <c r="FCZ840" s="802"/>
      <c r="FDA840" s="802"/>
      <c r="FDB840" s="802"/>
      <c r="FDC840" s="802"/>
      <c r="FDD840" s="802"/>
      <c r="FDE840" s="802"/>
      <c r="FDF840" s="802"/>
      <c r="FDG840" s="802"/>
      <c r="FDH840" s="802"/>
      <c r="FDI840" s="802"/>
      <c r="FDJ840" s="802"/>
      <c r="FDK840" s="802"/>
      <c r="FDL840" s="802"/>
      <c r="FDM840" s="802"/>
      <c r="FDN840" s="802"/>
      <c r="FDO840" s="802"/>
      <c r="FDP840" s="802"/>
      <c r="FDQ840" s="802"/>
      <c r="FDR840" s="802"/>
      <c r="FDS840" s="802"/>
      <c r="FDT840" s="802"/>
      <c r="FDU840" s="802"/>
      <c r="FDV840" s="802"/>
      <c r="FDW840" s="802"/>
      <c r="FDX840" s="802"/>
      <c r="FDY840" s="802"/>
      <c r="FDZ840" s="802"/>
      <c r="FEA840" s="802"/>
      <c r="FEB840" s="802"/>
      <c r="FEC840" s="802"/>
      <c r="FED840" s="802"/>
      <c r="FEE840" s="802"/>
      <c r="FEF840" s="802"/>
      <c r="FEG840" s="802"/>
      <c r="FEH840" s="802"/>
      <c r="FEI840" s="802"/>
      <c r="FEJ840" s="802"/>
      <c r="FEK840" s="802"/>
      <c r="FEL840" s="802"/>
      <c r="FEM840" s="802"/>
      <c r="FEN840" s="802"/>
      <c r="FEO840" s="802"/>
      <c r="FEP840" s="802"/>
      <c r="FEQ840" s="802"/>
      <c r="FER840" s="802"/>
      <c r="FES840" s="802"/>
      <c r="FET840" s="802"/>
      <c r="FEU840" s="802"/>
      <c r="FEV840" s="802"/>
      <c r="FEW840" s="802"/>
      <c r="FEX840" s="802"/>
      <c r="FEY840" s="802"/>
      <c r="FEZ840" s="802"/>
      <c r="FFA840" s="802"/>
      <c r="FFB840" s="802"/>
      <c r="FFC840" s="802"/>
      <c r="FFD840" s="802"/>
      <c r="FFE840" s="802"/>
      <c r="FFF840" s="802"/>
      <c r="FFG840" s="802"/>
      <c r="FFH840" s="802"/>
      <c r="FFI840" s="802"/>
      <c r="FFJ840" s="802"/>
      <c r="FFK840" s="802"/>
      <c r="FFL840" s="802"/>
      <c r="FFM840" s="802"/>
      <c r="FFN840" s="802"/>
      <c r="FFO840" s="802"/>
      <c r="FFP840" s="802"/>
      <c r="FFQ840" s="802"/>
      <c r="FFR840" s="802"/>
      <c r="FFS840" s="802"/>
      <c r="FFT840" s="802"/>
      <c r="FFU840" s="802"/>
      <c r="FFV840" s="802"/>
      <c r="FFW840" s="802"/>
      <c r="FFX840" s="802"/>
      <c r="FFY840" s="802"/>
      <c r="FFZ840" s="802"/>
      <c r="FGA840" s="802"/>
      <c r="FGB840" s="802"/>
      <c r="FGC840" s="802"/>
      <c r="FGD840" s="802"/>
      <c r="FGE840" s="802"/>
      <c r="FGF840" s="802"/>
      <c r="FGG840" s="802"/>
      <c r="FGH840" s="802"/>
      <c r="FGI840" s="802"/>
      <c r="FGJ840" s="802"/>
      <c r="FGK840" s="802"/>
      <c r="FGL840" s="802"/>
      <c r="FGM840" s="802"/>
      <c r="FGN840" s="802"/>
      <c r="FGO840" s="802"/>
      <c r="FGP840" s="802"/>
      <c r="FGQ840" s="802"/>
      <c r="FGR840" s="802"/>
      <c r="FGS840" s="802"/>
      <c r="FGT840" s="802"/>
      <c r="FGU840" s="802"/>
      <c r="FGV840" s="802"/>
      <c r="FGW840" s="802"/>
      <c r="FGX840" s="802"/>
      <c r="FGY840" s="802"/>
      <c r="FGZ840" s="802"/>
      <c r="FHA840" s="802"/>
      <c r="FHB840" s="802"/>
      <c r="FHC840" s="802"/>
      <c r="FHD840" s="802"/>
      <c r="FHE840" s="802"/>
      <c r="FHF840" s="802"/>
      <c r="FHG840" s="802"/>
      <c r="FHH840" s="802"/>
      <c r="FHI840" s="802"/>
      <c r="FHJ840" s="802"/>
      <c r="FHK840" s="802"/>
      <c r="FHL840" s="802"/>
      <c r="FHM840" s="802"/>
      <c r="FHN840" s="802"/>
      <c r="FHO840" s="802"/>
      <c r="FHP840" s="802"/>
      <c r="FHQ840" s="802"/>
      <c r="FHR840" s="802"/>
      <c r="FHS840" s="802"/>
      <c r="FHT840" s="802"/>
      <c r="FHU840" s="802"/>
      <c r="FHV840" s="802"/>
      <c r="FHW840" s="802"/>
      <c r="FHX840" s="802"/>
      <c r="FHY840" s="802"/>
      <c r="FHZ840" s="802"/>
      <c r="FIA840" s="802"/>
      <c r="FIB840" s="802"/>
      <c r="FIC840" s="802"/>
      <c r="FID840" s="802"/>
      <c r="FIE840" s="802"/>
      <c r="FIF840" s="802"/>
      <c r="FIG840" s="802"/>
      <c r="FIH840" s="802"/>
      <c r="FII840" s="802"/>
      <c r="FIJ840" s="802"/>
      <c r="FIK840" s="802"/>
      <c r="FIL840" s="802"/>
      <c r="FIM840" s="802"/>
      <c r="FIN840" s="802"/>
      <c r="FIO840" s="802"/>
      <c r="FIP840" s="802"/>
      <c r="FIQ840" s="802"/>
      <c r="FIR840" s="802"/>
      <c r="FIS840" s="802"/>
      <c r="FIT840" s="802"/>
      <c r="FIU840" s="802"/>
      <c r="FIV840" s="802"/>
      <c r="FIW840" s="802"/>
      <c r="FIX840" s="802"/>
      <c r="FIY840" s="802"/>
      <c r="FIZ840" s="802"/>
      <c r="FJA840" s="802"/>
      <c r="FJB840" s="802"/>
      <c r="FJC840" s="802"/>
      <c r="FJD840" s="802"/>
      <c r="FJE840" s="802"/>
      <c r="FJF840" s="802"/>
      <c r="FJG840" s="802"/>
      <c r="FJH840" s="802"/>
      <c r="FJI840" s="802"/>
      <c r="FJJ840" s="802"/>
      <c r="FJK840" s="802"/>
      <c r="FJL840" s="802"/>
      <c r="FJM840" s="802"/>
      <c r="FJN840" s="802"/>
      <c r="FJO840" s="802"/>
      <c r="FJP840" s="802"/>
      <c r="FJQ840" s="802"/>
      <c r="FJR840" s="802"/>
      <c r="FJS840" s="802"/>
      <c r="FJT840" s="802"/>
      <c r="FJU840" s="802"/>
      <c r="FJV840" s="802"/>
      <c r="FJW840" s="802"/>
      <c r="FJX840" s="802"/>
      <c r="FJY840" s="802"/>
      <c r="FJZ840" s="802"/>
      <c r="FKA840" s="802"/>
      <c r="FKB840" s="802"/>
      <c r="FKC840" s="802"/>
      <c r="FKD840" s="802"/>
      <c r="FKE840" s="802"/>
      <c r="FKF840" s="802"/>
      <c r="FKG840" s="802"/>
      <c r="FKH840" s="802"/>
      <c r="FKI840" s="802"/>
      <c r="FKJ840" s="802"/>
      <c r="FKK840" s="802"/>
      <c r="FKL840" s="802"/>
      <c r="FKM840" s="802"/>
      <c r="FKN840" s="802"/>
      <c r="FKO840" s="802"/>
      <c r="FKP840" s="802"/>
      <c r="FKQ840" s="802"/>
      <c r="FKR840" s="802"/>
      <c r="FKS840" s="802"/>
      <c r="FKT840" s="802"/>
      <c r="FKU840" s="802"/>
      <c r="FKV840" s="802"/>
      <c r="FKW840" s="802"/>
      <c r="FKX840" s="802"/>
      <c r="FKY840" s="802"/>
      <c r="FKZ840" s="802"/>
      <c r="FLA840" s="802"/>
      <c r="FLB840" s="802"/>
      <c r="FLC840" s="802"/>
      <c r="FLD840" s="802"/>
      <c r="FLE840" s="802"/>
      <c r="FLF840" s="802"/>
      <c r="FLG840" s="802"/>
      <c r="FLH840" s="802"/>
      <c r="FLI840" s="802"/>
      <c r="FLJ840" s="802"/>
      <c r="FLK840" s="802"/>
      <c r="FLL840" s="802"/>
      <c r="FLM840" s="802"/>
      <c r="FLN840" s="802"/>
      <c r="FLO840" s="802"/>
      <c r="FLP840" s="802"/>
      <c r="FLQ840" s="802"/>
      <c r="FLR840" s="802"/>
      <c r="FLS840" s="802"/>
      <c r="FLT840" s="802"/>
      <c r="FLU840" s="802"/>
      <c r="FLV840" s="802"/>
      <c r="FLW840" s="802"/>
      <c r="FLX840" s="802"/>
      <c r="FLY840" s="802"/>
      <c r="FLZ840" s="802"/>
      <c r="FMA840" s="802"/>
      <c r="FMB840" s="802"/>
      <c r="FMC840" s="802"/>
      <c r="FMD840" s="802"/>
      <c r="FME840" s="802"/>
      <c r="FMF840" s="802"/>
      <c r="FMG840" s="802"/>
      <c r="FMH840" s="802"/>
      <c r="FMI840" s="802"/>
      <c r="FMJ840" s="802"/>
      <c r="FMK840" s="802"/>
      <c r="FML840" s="802"/>
      <c r="FMM840" s="802"/>
      <c r="FMN840" s="802"/>
      <c r="FMO840" s="802"/>
      <c r="FMP840" s="802"/>
      <c r="FMQ840" s="802"/>
      <c r="FMR840" s="802"/>
      <c r="FMS840" s="802"/>
      <c r="FMT840" s="802"/>
      <c r="FMU840" s="802"/>
      <c r="FMV840" s="802"/>
      <c r="FMW840" s="802"/>
      <c r="FMX840" s="802"/>
      <c r="FMY840" s="802"/>
      <c r="FMZ840" s="802"/>
      <c r="FNA840" s="802"/>
      <c r="FNB840" s="802"/>
      <c r="FNC840" s="802"/>
      <c r="FND840" s="802"/>
      <c r="FNE840" s="802"/>
      <c r="FNF840" s="802"/>
      <c r="FNG840" s="802"/>
      <c r="FNH840" s="802"/>
      <c r="FNI840" s="802"/>
      <c r="FNJ840" s="802"/>
      <c r="FNK840" s="802"/>
      <c r="FNL840" s="802"/>
      <c r="FNM840" s="802"/>
      <c r="FNN840" s="802"/>
      <c r="FNO840" s="802"/>
      <c r="FNP840" s="802"/>
      <c r="FNQ840" s="802"/>
      <c r="FNR840" s="802"/>
      <c r="FNS840" s="802"/>
      <c r="FNT840" s="802"/>
      <c r="FNU840" s="802"/>
      <c r="FNV840" s="802"/>
      <c r="FNW840" s="802"/>
      <c r="FNX840" s="802"/>
      <c r="FNY840" s="802"/>
      <c r="FNZ840" s="802"/>
      <c r="FOA840" s="802"/>
      <c r="FOB840" s="802"/>
      <c r="FOC840" s="802"/>
      <c r="FOD840" s="802"/>
      <c r="FOE840" s="802"/>
      <c r="FOF840" s="802"/>
      <c r="FOG840" s="802"/>
      <c r="FOH840" s="802"/>
      <c r="FOI840" s="802"/>
      <c r="FOJ840" s="802"/>
      <c r="FOK840" s="802"/>
      <c r="FOL840" s="802"/>
      <c r="FOM840" s="802"/>
      <c r="FON840" s="802"/>
      <c r="FOO840" s="802"/>
      <c r="FOP840" s="802"/>
      <c r="FOQ840" s="802"/>
      <c r="FOR840" s="802"/>
      <c r="FOS840" s="802"/>
      <c r="FOT840" s="802"/>
      <c r="FOU840" s="802"/>
      <c r="FOV840" s="802"/>
      <c r="FOW840" s="802"/>
      <c r="FOX840" s="802"/>
      <c r="FOY840" s="802"/>
      <c r="FOZ840" s="802"/>
      <c r="FPA840" s="802"/>
      <c r="FPB840" s="802"/>
      <c r="FPC840" s="802"/>
      <c r="FPD840" s="802"/>
      <c r="FPE840" s="802"/>
      <c r="FPF840" s="802"/>
      <c r="FPG840" s="802"/>
      <c r="FPH840" s="802"/>
      <c r="FPI840" s="802"/>
      <c r="FPJ840" s="802"/>
      <c r="FPK840" s="802"/>
      <c r="FPL840" s="802"/>
      <c r="FPM840" s="802"/>
      <c r="FPN840" s="802"/>
      <c r="FPO840" s="802"/>
      <c r="FPP840" s="802"/>
      <c r="FPQ840" s="802"/>
      <c r="FPR840" s="802"/>
      <c r="FPS840" s="802"/>
      <c r="FPT840" s="802"/>
      <c r="FPU840" s="802"/>
      <c r="FPV840" s="802"/>
      <c r="FPW840" s="802"/>
      <c r="FPX840" s="802"/>
      <c r="FPY840" s="802"/>
      <c r="FPZ840" s="802"/>
      <c r="FQA840" s="802"/>
      <c r="FQB840" s="802"/>
      <c r="FQC840" s="802"/>
      <c r="FQD840" s="802"/>
      <c r="FQE840" s="802"/>
      <c r="FQF840" s="802"/>
      <c r="FQG840" s="802"/>
      <c r="FQH840" s="802"/>
      <c r="FQI840" s="802"/>
      <c r="FQJ840" s="802"/>
      <c r="FQK840" s="802"/>
      <c r="FQL840" s="802"/>
      <c r="FQM840" s="802"/>
      <c r="FQN840" s="802"/>
      <c r="FQO840" s="802"/>
      <c r="FQP840" s="802"/>
      <c r="FQQ840" s="802"/>
      <c r="FQR840" s="802"/>
      <c r="FQS840" s="802"/>
      <c r="FQT840" s="802"/>
      <c r="FQU840" s="802"/>
      <c r="FQV840" s="802"/>
      <c r="FQW840" s="802"/>
      <c r="FQX840" s="802"/>
      <c r="FQY840" s="802"/>
      <c r="FQZ840" s="802"/>
      <c r="FRA840" s="802"/>
      <c r="FRB840" s="802"/>
      <c r="FRC840" s="802"/>
      <c r="FRD840" s="802"/>
      <c r="FRE840" s="802"/>
      <c r="FRF840" s="802"/>
      <c r="FRG840" s="802"/>
      <c r="FRH840" s="802"/>
      <c r="FRI840" s="802"/>
      <c r="FRJ840" s="802"/>
      <c r="FRK840" s="802"/>
      <c r="FRL840" s="802"/>
      <c r="FRM840" s="802"/>
      <c r="FRN840" s="802"/>
      <c r="FRO840" s="802"/>
      <c r="FRP840" s="802"/>
      <c r="FRQ840" s="802"/>
      <c r="FRR840" s="802"/>
      <c r="FRS840" s="802"/>
      <c r="FRT840" s="802"/>
      <c r="FRU840" s="802"/>
      <c r="FRV840" s="802"/>
      <c r="FRW840" s="802"/>
      <c r="FRX840" s="802"/>
      <c r="FRY840" s="802"/>
      <c r="FRZ840" s="802"/>
      <c r="FSA840" s="802"/>
      <c r="FSB840" s="802"/>
      <c r="FSC840" s="802"/>
      <c r="FSD840" s="802"/>
      <c r="FSE840" s="802"/>
      <c r="FSF840" s="802"/>
      <c r="FSG840" s="802"/>
      <c r="FSH840" s="802"/>
      <c r="FSI840" s="802"/>
      <c r="FSJ840" s="802"/>
      <c r="FSK840" s="802"/>
      <c r="FSL840" s="802"/>
      <c r="FSM840" s="802"/>
      <c r="FSN840" s="802"/>
      <c r="FSO840" s="802"/>
      <c r="FSP840" s="802"/>
      <c r="FSQ840" s="802"/>
      <c r="FSR840" s="802"/>
      <c r="FSS840" s="802"/>
      <c r="FST840" s="802"/>
      <c r="FSU840" s="802"/>
      <c r="FSV840" s="802"/>
      <c r="FSW840" s="802"/>
      <c r="FSX840" s="802"/>
      <c r="FSY840" s="802"/>
      <c r="FSZ840" s="802"/>
      <c r="FTA840" s="802"/>
      <c r="FTB840" s="802"/>
      <c r="FTC840" s="802"/>
      <c r="FTD840" s="802"/>
      <c r="FTE840" s="802"/>
      <c r="FTF840" s="802"/>
      <c r="FTG840" s="802"/>
      <c r="FTH840" s="802"/>
      <c r="FTI840" s="802"/>
      <c r="FTJ840" s="802"/>
      <c r="FTK840" s="802"/>
      <c r="FTL840" s="802"/>
      <c r="FTM840" s="802"/>
      <c r="FTN840" s="802"/>
      <c r="FTO840" s="802"/>
      <c r="FTP840" s="802"/>
      <c r="FTQ840" s="802"/>
      <c r="FTR840" s="802"/>
      <c r="FTS840" s="802"/>
      <c r="FTT840" s="802"/>
      <c r="FTU840" s="802"/>
      <c r="FTV840" s="802"/>
      <c r="FTW840" s="802"/>
      <c r="FTX840" s="802"/>
      <c r="FTY840" s="802"/>
      <c r="FTZ840" s="802"/>
      <c r="FUA840" s="802"/>
      <c r="FUB840" s="802"/>
      <c r="FUC840" s="802"/>
      <c r="FUD840" s="802"/>
      <c r="FUE840" s="802"/>
      <c r="FUF840" s="802"/>
      <c r="FUG840" s="802"/>
      <c r="FUH840" s="802"/>
      <c r="FUI840" s="802"/>
      <c r="FUJ840" s="802"/>
      <c r="FUK840" s="802"/>
      <c r="FUL840" s="802"/>
      <c r="FUM840" s="802"/>
      <c r="FUN840" s="802"/>
      <c r="FUO840" s="802"/>
      <c r="FUP840" s="802"/>
      <c r="FUQ840" s="802"/>
      <c r="FUR840" s="802"/>
      <c r="FUS840" s="802"/>
      <c r="FUT840" s="802"/>
      <c r="FUU840" s="802"/>
      <c r="FUV840" s="802"/>
      <c r="FUW840" s="802"/>
      <c r="FUX840" s="802"/>
      <c r="FUY840" s="802"/>
      <c r="FUZ840" s="802"/>
      <c r="FVA840" s="802"/>
      <c r="FVB840" s="802"/>
      <c r="FVC840" s="802"/>
      <c r="FVD840" s="802"/>
      <c r="FVE840" s="802"/>
      <c r="FVF840" s="802"/>
      <c r="FVG840" s="802"/>
      <c r="FVH840" s="802"/>
      <c r="FVI840" s="802"/>
      <c r="FVJ840" s="802"/>
      <c r="FVK840" s="802"/>
      <c r="FVL840" s="802"/>
      <c r="FVM840" s="802"/>
      <c r="FVN840" s="802"/>
      <c r="FVO840" s="802"/>
      <c r="FVP840" s="802"/>
      <c r="FVQ840" s="802"/>
      <c r="FVR840" s="802"/>
      <c r="FVS840" s="802"/>
      <c r="FVT840" s="802"/>
      <c r="FVU840" s="802"/>
      <c r="FVV840" s="802"/>
      <c r="FVW840" s="802"/>
      <c r="FVX840" s="802"/>
      <c r="FVY840" s="802"/>
      <c r="FVZ840" s="802"/>
      <c r="FWA840" s="802"/>
      <c r="FWB840" s="802"/>
      <c r="FWC840" s="802"/>
      <c r="FWD840" s="802"/>
      <c r="FWE840" s="802"/>
      <c r="FWF840" s="802"/>
      <c r="FWG840" s="802"/>
      <c r="FWH840" s="802"/>
      <c r="FWI840" s="802"/>
      <c r="FWJ840" s="802"/>
      <c r="FWK840" s="802"/>
      <c r="FWL840" s="802"/>
      <c r="FWM840" s="802"/>
      <c r="FWN840" s="802"/>
      <c r="FWO840" s="802"/>
      <c r="FWP840" s="802"/>
      <c r="FWQ840" s="802"/>
      <c r="FWR840" s="802"/>
      <c r="FWS840" s="802"/>
      <c r="FWT840" s="802"/>
      <c r="FWU840" s="802"/>
      <c r="FWV840" s="802"/>
      <c r="FWW840" s="802"/>
      <c r="FWX840" s="802"/>
      <c r="FWY840" s="802"/>
      <c r="FWZ840" s="802"/>
      <c r="FXA840" s="802"/>
      <c r="FXB840" s="802"/>
      <c r="FXC840" s="802"/>
      <c r="FXD840" s="802"/>
      <c r="FXE840" s="802"/>
      <c r="FXF840" s="802"/>
      <c r="FXG840" s="802"/>
      <c r="FXH840" s="802"/>
      <c r="FXI840" s="802"/>
      <c r="FXJ840" s="802"/>
      <c r="FXK840" s="802"/>
      <c r="FXL840" s="802"/>
      <c r="FXM840" s="802"/>
      <c r="FXN840" s="802"/>
      <c r="FXO840" s="802"/>
      <c r="FXP840" s="802"/>
      <c r="FXQ840" s="802"/>
      <c r="FXR840" s="802"/>
      <c r="FXS840" s="802"/>
      <c r="FXT840" s="802"/>
      <c r="FXU840" s="802"/>
      <c r="FXV840" s="802"/>
      <c r="FXW840" s="802"/>
      <c r="FXX840" s="802"/>
      <c r="FXY840" s="802"/>
      <c r="FXZ840" s="802"/>
      <c r="FYA840" s="802"/>
      <c r="FYB840" s="802"/>
      <c r="FYC840" s="802"/>
      <c r="FYD840" s="802"/>
      <c r="FYE840" s="802"/>
      <c r="FYF840" s="802"/>
      <c r="FYG840" s="802"/>
      <c r="FYH840" s="802"/>
      <c r="FYI840" s="802"/>
      <c r="FYJ840" s="802"/>
      <c r="FYK840" s="802"/>
      <c r="FYL840" s="802"/>
      <c r="FYM840" s="802"/>
      <c r="FYN840" s="802"/>
      <c r="FYO840" s="802"/>
      <c r="FYP840" s="802"/>
      <c r="FYQ840" s="802"/>
      <c r="FYR840" s="802"/>
      <c r="FYS840" s="802"/>
      <c r="FYT840" s="802"/>
      <c r="FYU840" s="802"/>
      <c r="FYV840" s="802"/>
      <c r="FYW840" s="802"/>
      <c r="FYX840" s="802"/>
      <c r="FYY840" s="802"/>
      <c r="FYZ840" s="802"/>
      <c r="FZA840" s="802"/>
      <c r="FZB840" s="802"/>
      <c r="FZC840" s="802"/>
      <c r="FZD840" s="802"/>
      <c r="FZE840" s="802"/>
      <c r="FZF840" s="802"/>
      <c r="FZG840" s="802"/>
      <c r="FZH840" s="802"/>
      <c r="FZI840" s="802"/>
      <c r="FZJ840" s="802"/>
      <c r="FZK840" s="802"/>
      <c r="FZL840" s="802"/>
      <c r="FZM840" s="802"/>
      <c r="FZN840" s="802"/>
      <c r="FZO840" s="802"/>
      <c r="FZP840" s="802"/>
      <c r="FZQ840" s="802"/>
      <c r="FZR840" s="802"/>
      <c r="FZS840" s="802"/>
      <c r="FZT840" s="802"/>
      <c r="FZU840" s="802"/>
      <c r="FZV840" s="802"/>
      <c r="FZW840" s="802"/>
      <c r="FZX840" s="802"/>
      <c r="FZY840" s="802"/>
      <c r="FZZ840" s="802"/>
      <c r="GAA840" s="802"/>
      <c r="GAB840" s="802"/>
      <c r="GAC840" s="802"/>
      <c r="GAD840" s="802"/>
      <c r="GAE840" s="802"/>
      <c r="GAF840" s="802"/>
      <c r="GAG840" s="802"/>
      <c r="GAH840" s="802"/>
      <c r="GAI840" s="802"/>
      <c r="GAJ840" s="802"/>
      <c r="GAK840" s="802"/>
      <c r="GAL840" s="802"/>
      <c r="GAM840" s="802"/>
      <c r="GAN840" s="802"/>
      <c r="GAO840" s="802"/>
      <c r="GAP840" s="802"/>
      <c r="GAQ840" s="802"/>
      <c r="GAR840" s="802"/>
      <c r="GAS840" s="802"/>
      <c r="GAT840" s="802"/>
      <c r="GAU840" s="802"/>
      <c r="GAV840" s="802"/>
      <c r="GAW840" s="802"/>
      <c r="GAX840" s="802"/>
      <c r="GAY840" s="802"/>
      <c r="GAZ840" s="802"/>
      <c r="GBA840" s="802"/>
      <c r="GBB840" s="802"/>
      <c r="GBC840" s="802"/>
      <c r="GBD840" s="802"/>
      <c r="GBE840" s="802"/>
      <c r="GBF840" s="802"/>
      <c r="GBG840" s="802"/>
      <c r="GBH840" s="802"/>
      <c r="GBI840" s="802"/>
      <c r="GBJ840" s="802"/>
      <c r="GBK840" s="802"/>
      <c r="GBL840" s="802"/>
      <c r="GBM840" s="802"/>
      <c r="GBN840" s="802"/>
      <c r="GBO840" s="802"/>
      <c r="GBP840" s="802"/>
      <c r="GBQ840" s="802"/>
      <c r="GBR840" s="802"/>
      <c r="GBS840" s="802"/>
      <c r="GBT840" s="802"/>
      <c r="GBU840" s="802"/>
      <c r="GBV840" s="802"/>
      <c r="GBW840" s="802"/>
      <c r="GBX840" s="802"/>
      <c r="GBY840" s="802"/>
      <c r="GBZ840" s="802"/>
      <c r="GCA840" s="802"/>
      <c r="GCB840" s="802"/>
      <c r="GCC840" s="802"/>
      <c r="GCD840" s="802"/>
      <c r="GCE840" s="802"/>
      <c r="GCF840" s="802"/>
      <c r="GCG840" s="802"/>
      <c r="GCH840" s="802"/>
      <c r="GCI840" s="802"/>
      <c r="GCJ840" s="802"/>
      <c r="GCK840" s="802"/>
      <c r="GCL840" s="802"/>
      <c r="GCM840" s="802"/>
      <c r="GCN840" s="802"/>
      <c r="GCO840" s="802"/>
      <c r="GCP840" s="802"/>
      <c r="GCQ840" s="802"/>
      <c r="GCR840" s="802"/>
      <c r="GCS840" s="802"/>
      <c r="GCT840" s="802"/>
      <c r="GCU840" s="802"/>
      <c r="GCV840" s="802"/>
      <c r="GCW840" s="802"/>
      <c r="GCX840" s="802"/>
      <c r="GCY840" s="802"/>
      <c r="GCZ840" s="802"/>
      <c r="GDA840" s="802"/>
      <c r="GDB840" s="802"/>
      <c r="GDC840" s="802"/>
      <c r="GDD840" s="802"/>
      <c r="GDE840" s="802"/>
      <c r="GDF840" s="802"/>
      <c r="GDG840" s="802"/>
      <c r="GDH840" s="802"/>
      <c r="GDI840" s="802"/>
      <c r="GDJ840" s="802"/>
      <c r="GDK840" s="802"/>
      <c r="GDL840" s="802"/>
      <c r="GDM840" s="802"/>
      <c r="GDN840" s="802"/>
      <c r="GDO840" s="802"/>
      <c r="GDP840" s="802"/>
      <c r="GDQ840" s="802"/>
      <c r="GDR840" s="802"/>
      <c r="GDS840" s="802"/>
      <c r="GDT840" s="802"/>
      <c r="GDU840" s="802"/>
      <c r="GDV840" s="802"/>
      <c r="GDW840" s="802"/>
      <c r="GDX840" s="802"/>
      <c r="GDY840" s="802"/>
      <c r="GDZ840" s="802"/>
      <c r="GEA840" s="802"/>
      <c r="GEB840" s="802"/>
      <c r="GEC840" s="802"/>
      <c r="GED840" s="802"/>
      <c r="GEE840" s="802"/>
      <c r="GEF840" s="802"/>
      <c r="GEG840" s="802"/>
      <c r="GEH840" s="802"/>
      <c r="GEI840" s="802"/>
      <c r="GEJ840" s="802"/>
      <c r="GEK840" s="802"/>
      <c r="GEL840" s="802"/>
      <c r="GEM840" s="802"/>
      <c r="GEN840" s="802"/>
      <c r="GEO840" s="802"/>
      <c r="GEP840" s="802"/>
      <c r="GEQ840" s="802"/>
      <c r="GER840" s="802"/>
      <c r="GES840" s="802"/>
      <c r="GET840" s="802"/>
      <c r="GEU840" s="802"/>
      <c r="GEV840" s="802"/>
      <c r="GEW840" s="802"/>
      <c r="GEX840" s="802"/>
      <c r="GEY840" s="802"/>
      <c r="GEZ840" s="802"/>
      <c r="GFA840" s="802"/>
      <c r="GFB840" s="802"/>
      <c r="GFC840" s="802"/>
      <c r="GFD840" s="802"/>
      <c r="GFE840" s="802"/>
      <c r="GFF840" s="802"/>
      <c r="GFG840" s="802"/>
      <c r="GFH840" s="802"/>
      <c r="GFI840" s="802"/>
      <c r="GFJ840" s="802"/>
      <c r="GFK840" s="802"/>
      <c r="GFL840" s="802"/>
      <c r="GFM840" s="802"/>
      <c r="GFN840" s="802"/>
      <c r="GFO840" s="802"/>
      <c r="GFP840" s="802"/>
      <c r="GFQ840" s="802"/>
      <c r="GFR840" s="802"/>
      <c r="GFS840" s="802"/>
      <c r="GFT840" s="802"/>
      <c r="GFU840" s="802"/>
      <c r="GFV840" s="802"/>
      <c r="GFW840" s="802"/>
      <c r="GFX840" s="802"/>
      <c r="GFY840" s="802"/>
      <c r="GFZ840" s="802"/>
      <c r="GGA840" s="802"/>
      <c r="GGB840" s="802"/>
      <c r="GGC840" s="802"/>
      <c r="GGD840" s="802"/>
      <c r="GGE840" s="802"/>
      <c r="GGF840" s="802"/>
      <c r="GGG840" s="802"/>
      <c r="GGH840" s="802"/>
      <c r="GGI840" s="802"/>
      <c r="GGJ840" s="802"/>
      <c r="GGK840" s="802"/>
      <c r="GGL840" s="802"/>
      <c r="GGM840" s="802"/>
      <c r="GGN840" s="802"/>
      <c r="GGO840" s="802"/>
      <c r="GGP840" s="802"/>
      <c r="GGQ840" s="802"/>
      <c r="GGR840" s="802"/>
      <c r="GGS840" s="802"/>
      <c r="GGT840" s="802"/>
      <c r="GGU840" s="802"/>
      <c r="GGV840" s="802"/>
      <c r="GGW840" s="802"/>
      <c r="GGX840" s="802"/>
      <c r="GGY840" s="802"/>
      <c r="GGZ840" s="802"/>
      <c r="GHA840" s="802"/>
      <c r="GHB840" s="802"/>
      <c r="GHC840" s="802"/>
      <c r="GHD840" s="802"/>
      <c r="GHE840" s="802"/>
      <c r="GHF840" s="802"/>
      <c r="GHG840" s="802"/>
      <c r="GHH840" s="802"/>
      <c r="GHI840" s="802"/>
      <c r="GHJ840" s="802"/>
      <c r="GHK840" s="802"/>
      <c r="GHL840" s="802"/>
      <c r="GHM840" s="802"/>
      <c r="GHN840" s="802"/>
      <c r="GHO840" s="802"/>
      <c r="GHP840" s="802"/>
      <c r="GHQ840" s="802"/>
      <c r="GHR840" s="802"/>
      <c r="GHS840" s="802"/>
      <c r="GHT840" s="802"/>
      <c r="GHU840" s="802"/>
      <c r="GHV840" s="802"/>
      <c r="GHW840" s="802"/>
      <c r="GHX840" s="802"/>
      <c r="GHY840" s="802"/>
      <c r="GHZ840" s="802"/>
      <c r="GIA840" s="802"/>
      <c r="GIB840" s="802"/>
      <c r="GIC840" s="802"/>
      <c r="GID840" s="802"/>
      <c r="GIE840" s="802"/>
      <c r="GIF840" s="802"/>
      <c r="GIG840" s="802"/>
      <c r="GIH840" s="802"/>
      <c r="GII840" s="802"/>
      <c r="GIJ840" s="802"/>
      <c r="GIK840" s="802"/>
      <c r="GIL840" s="802"/>
      <c r="GIM840" s="802"/>
      <c r="GIN840" s="802"/>
      <c r="GIO840" s="802"/>
      <c r="GIP840" s="802"/>
      <c r="GIQ840" s="802"/>
      <c r="GIR840" s="802"/>
      <c r="GIS840" s="802"/>
      <c r="GIT840" s="802"/>
      <c r="GIU840" s="802"/>
      <c r="GIV840" s="802"/>
      <c r="GIW840" s="802"/>
      <c r="GIX840" s="802"/>
      <c r="GIY840" s="802"/>
      <c r="GIZ840" s="802"/>
      <c r="GJA840" s="802"/>
      <c r="GJB840" s="802"/>
      <c r="GJC840" s="802"/>
      <c r="GJD840" s="802"/>
      <c r="GJE840" s="802"/>
      <c r="GJF840" s="802"/>
      <c r="GJG840" s="802"/>
      <c r="GJH840" s="802"/>
      <c r="GJI840" s="802"/>
      <c r="GJJ840" s="802"/>
      <c r="GJK840" s="802"/>
      <c r="GJL840" s="802"/>
      <c r="GJM840" s="802"/>
      <c r="GJN840" s="802"/>
      <c r="GJO840" s="802"/>
      <c r="GJP840" s="802"/>
      <c r="GJQ840" s="802"/>
      <c r="GJR840" s="802"/>
      <c r="GJS840" s="802"/>
      <c r="GJT840" s="802"/>
      <c r="GJU840" s="802"/>
      <c r="GJV840" s="802"/>
      <c r="GJW840" s="802"/>
      <c r="GJX840" s="802"/>
      <c r="GJY840" s="802"/>
      <c r="GJZ840" s="802"/>
      <c r="GKA840" s="802"/>
      <c r="GKB840" s="802"/>
      <c r="GKC840" s="802"/>
      <c r="GKD840" s="802"/>
      <c r="GKE840" s="802"/>
      <c r="GKF840" s="802"/>
      <c r="GKG840" s="802"/>
      <c r="GKH840" s="802"/>
      <c r="GKI840" s="802"/>
      <c r="GKJ840" s="802"/>
      <c r="GKK840" s="802"/>
      <c r="GKL840" s="802"/>
      <c r="GKM840" s="802"/>
      <c r="GKN840" s="802"/>
      <c r="GKO840" s="802"/>
      <c r="GKP840" s="802"/>
      <c r="GKQ840" s="802"/>
      <c r="GKR840" s="802"/>
      <c r="GKS840" s="802"/>
      <c r="GKT840" s="802"/>
      <c r="GKU840" s="802"/>
      <c r="GKV840" s="802"/>
      <c r="GKW840" s="802"/>
      <c r="GKX840" s="802"/>
      <c r="GKY840" s="802"/>
      <c r="GKZ840" s="802"/>
      <c r="GLA840" s="802"/>
      <c r="GLB840" s="802"/>
      <c r="GLC840" s="802"/>
      <c r="GLD840" s="802"/>
      <c r="GLE840" s="802"/>
      <c r="GLF840" s="802"/>
      <c r="GLG840" s="802"/>
      <c r="GLH840" s="802"/>
      <c r="GLI840" s="802"/>
      <c r="GLJ840" s="802"/>
      <c r="GLK840" s="802"/>
      <c r="GLL840" s="802"/>
      <c r="GLM840" s="802"/>
      <c r="GLN840" s="802"/>
      <c r="GLO840" s="802"/>
      <c r="GLP840" s="802"/>
      <c r="GLQ840" s="802"/>
      <c r="GLR840" s="802"/>
      <c r="GLS840" s="802"/>
      <c r="GLT840" s="802"/>
      <c r="GLU840" s="802"/>
      <c r="GLV840" s="802"/>
      <c r="GLW840" s="802"/>
      <c r="GLX840" s="802"/>
      <c r="GLY840" s="802"/>
      <c r="GLZ840" s="802"/>
      <c r="GMA840" s="802"/>
      <c r="GMB840" s="802"/>
      <c r="GMC840" s="802"/>
      <c r="GMD840" s="802"/>
      <c r="GME840" s="802"/>
      <c r="GMF840" s="802"/>
      <c r="GMG840" s="802"/>
      <c r="GMH840" s="802"/>
      <c r="GMI840" s="802"/>
      <c r="GMJ840" s="802"/>
      <c r="GMK840" s="802"/>
      <c r="GML840" s="802"/>
      <c r="GMM840" s="802"/>
      <c r="GMN840" s="802"/>
      <c r="GMO840" s="802"/>
      <c r="GMP840" s="802"/>
      <c r="GMQ840" s="802"/>
      <c r="GMR840" s="802"/>
      <c r="GMS840" s="802"/>
      <c r="GMT840" s="802"/>
      <c r="GMU840" s="802"/>
      <c r="GMV840" s="802"/>
      <c r="GMW840" s="802"/>
      <c r="GMX840" s="802"/>
      <c r="GMY840" s="802"/>
      <c r="GMZ840" s="802"/>
      <c r="GNA840" s="802"/>
      <c r="GNB840" s="802"/>
      <c r="GNC840" s="802"/>
      <c r="GND840" s="802"/>
      <c r="GNE840" s="802"/>
      <c r="GNF840" s="802"/>
      <c r="GNG840" s="802"/>
      <c r="GNH840" s="802"/>
      <c r="GNI840" s="802"/>
      <c r="GNJ840" s="802"/>
      <c r="GNK840" s="802"/>
      <c r="GNL840" s="802"/>
      <c r="GNM840" s="802"/>
      <c r="GNN840" s="802"/>
      <c r="GNO840" s="802"/>
      <c r="GNP840" s="802"/>
      <c r="GNQ840" s="802"/>
      <c r="GNR840" s="802"/>
      <c r="GNS840" s="802"/>
      <c r="GNT840" s="802"/>
      <c r="GNU840" s="802"/>
      <c r="GNV840" s="802"/>
      <c r="GNW840" s="802"/>
      <c r="GNX840" s="802"/>
      <c r="GNY840" s="802"/>
      <c r="GNZ840" s="802"/>
      <c r="GOA840" s="802"/>
      <c r="GOB840" s="802"/>
      <c r="GOC840" s="802"/>
      <c r="GOD840" s="802"/>
      <c r="GOE840" s="802"/>
      <c r="GOF840" s="802"/>
      <c r="GOG840" s="802"/>
      <c r="GOH840" s="802"/>
      <c r="GOI840" s="802"/>
      <c r="GOJ840" s="802"/>
      <c r="GOK840" s="802"/>
      <c r="GOL840" s="802"/>
      <c r="GOM840" s="802"/>
      <c r="GON840" s="802"/>
      <c r="GOO840" s="802"/>
      <c r="GOP840" s="802"/>
      <c r="GOQ840" s="802"/>
      <c r="GOR840" s="802"/>
      <c r="GOS840" s="802"/>
      <c r="GOT840" s="802"/>
      <c r="GOU840" s="802"/>
      <c r="GOV840" s="802"/>
      <c r="GOW840" s="802"/>
      <c r="GOX840" s="802"/>
      <c r="GOY840" s="802"/>
      <c r="GOZ840" s="802"/>
      <c r="GPA840" s="802"/>
      <c r="GPB840" s="802"/>
      <c r="GPC840" s="802"/>
      <c r="GPD840" s="802"/>
      <c r="GPE840" s="802"/>
      <c r="GPF840" s="802"/>
      <c r="GPG840" s="802"/>
      <c r="GPH840" s="802"/>
      <c r="GPI840" s="802"/>
      <c r="GPJ840" s="802"/>
      <c r="GPK840" s="802"/>
      <c r="GPL840" s="802"/>
      <c r="GPM840" s="802"/>
      <c r="GPN840" s="802"/>
      <c r="GPO840" s="802"/>
      <c r="GPP840" s="802"/>
      <c r="GPQ840" s="802"/>
      <c r="GPR840" s="802"/>
      <c r="GPS840" s="802"/>
      <c r="GPT840" s="802"/>
      <c r="GPU840" s="802"/>
      <c r="GPV840" s="802"/>
      <c r="GPW840" s="802"/>
      <c r="GPX840" s="802"/>
      <c r="GPY840" s="802"/>
      <c r="GPZ840" s="802"/>
      <c r="GQA840" s="802"/>
      <c r="GQB840" s="802"/>
      <c r="GQC840" s="802"/>
      <c r="GQD840" s="802"/>
      <c r="GQE840" s="802"/>
      <c r="GQF840" s="802"/>
      <c r="GQG840" s="802"/>
      <c r="GQH840" s="802"/>
      <c r="GQI840" s="802"/>
      <c r="GQJ840" s="802"/>
      <c r="GQK840" s="802"/>
      <c r="GQL840" s="802"/>
      <c r="GQM840" s="802"/>
      <c r="GQN840" s="802"/>
      <c r="GQO840" s="802"/>
      <c r="GQP840" s="802"/>
      <c r="GQQ840" s="802"/>
      <c r="GQR840" s="802"/>
      <c r="GQS840" s="802"/>
      <c r="GQT840" s="802"/>
      <c r="GQU840" s="802"/>
      <c r="GQV840" s="802"/>
      <c r="GQW840" s="802"/>
      <c r="GQX840" s="802"/>
      <c r="GQY840" s="802"/>
      <c r="GQZ840" s="802"/>
      <c r="GRA840" s="802"/>
      <c r="GRB840" s="802"/>
      <c r="GRC840" s="802"/>
      <c r="GRD840" s="802"/>
      <c r="GRE840" s="802"/>
      <c r="GRF840" s="802"/>
      <c r="GRG840" s="802"/>
      <c r="GRH840" s="802"/>
      <c r="GRI840" s="802"/>
      <c r="GRJ840" s="802"/>
      <c r="GRK840" s="802"/>
      <c r="GRL840" s="802"/>
      <c r="GRM840" s="802"/>
      <c r="GRN840" s="802"/>
      <c r="GRO840" s="802"/>
      <c r="GRP840" s="802"/>
      <c r="GRQ840" s="802"/>
      <c r="GRR840" s="802"/>
      <c r="GRS840" s="802"/>
      <c r="GRT840" s="802"/>
      <c r="GRU840" s="802"/>
      <c r="GRV840" s="802"/>
      <c r="GRW840" s="802"/>
      <c r="GRX840" s="802"/>
      <c r="GRY840" s="802"/>
      <c r="GRZ840" s="802"/>
      <c r="GSA840" s="802"/>
      <c r="GSB840" s="802"/>
      <c r="GSC840" s="802"/>
      <c r="GSD840" s="802"/>
      <c r="GSE840" s="802"/>
      <c r="GSF840" s="802"/>
      <c r="GSG840" s="802"/>
      <c r="GSH840" s="802"/>
      <c r="GSI840" s="802"/>
      <c r="GSJ840" s="802"/>
      <c r="GSK840" s="802"/>
      <c r="GSL840" s="802"/>
      <c r="GSM840" s="802"/>
      <c r="GSN840" s="802"/>
      <c r="GSO840" s="802"/>
      <c r="GSP840" s="802"/>
      <c r="GSQ840" s="802"/>
      <c r="GSR840" s="802"/>
      <c r="GSS840" s="802"/>
      <c r="GST840" s="802"/>
      <c r="GSU840" s="802"/>
      <c r="GSV840" s="802"/>
      <c r="GSW840" s="802"/>
      <c r="GSX840" s="802"/>
      <c r="GSY840" s="802"/>
      <c r="GSZ840" s="802"/>
      <c r="GTA840" s="802"/>
      <c r="GTB840" s="802"/>
      <c r="GTC840" s="802"/>
      <c r="GTD840" s="802"/>
      <c r="GTE840" s="802"/>
      <c r="GTF840" s="802"/>
      <c r="GTG840" s="802"/>
      <c r="GTH840" s="802"/>
      <c r="GTI840" s="802"/>
      <c r="GTJ840" s="802"/>
      <c r="GTK840" s="802"/>
      <c r="GTL840" s="802"/>
      <c r="GTM840" s="802"/>
      <c r="GTN840" s="802"/>
      <c r="GTO840" s="802"/>
      <c r="GTP840" s="802"/>
      <c r="GTQ840" s="802"/>
      <c r="GTR840" s="802"/>
      <c r="GTS840" s="802"/>
      <c r="GTT840" s="802"/>
      <c r="GTU840" s="802"/>
      <c r="GTV840" s="802"/>
      <c r="GTW840" s="802"/>
      <c r="GTX840" s="802"/>
      <c r="GTY840" s="802"/>
      <c r="GTZ840" s="802"/>
      <c r="GUA840" s="802"/>
      <c r="GUB840" s="802"/>
      <c r="GUC840" s="802"/>
      <c r="GUD840" s="802"/>
      <c r="GUE840" s="802"/>
      <c r="GUF840" s="802"/>
      <c r="GUG840" s="802"/>
      <c r="GUH840" s="802"/>
      <c r="GUI840" s="802"/>
      <c r="GUJ840" s="802"/>
      <c r="GUK840" s="802"/>
      <c r="GUL840" s="802"/>
      <c r="GUM840" s="802"/>
      <c r="GUN840" s="802"/>
      <c r="GUO840" s="802"/>
      <c r="GUP840" s="802"/>
      <c r="GUQ840" s="802"/>
      <c r="GUR840" s="802"/>
      <c r="GUS840" s="802"/>
      <c r="GUT840" s="802"/>
      <c r="GUU840" s="802"/>
      <c r="GUV840" s="802"/>
      <c r="GUW840" s="802"/>
      <c r="GUX840" s="802"/>
      <c r="GUY840" s="802"/>
      <c r="GUZ840" s="802"/>
      <c r="GVA840" s="802"/>
      <c r="GVB840" s="802"/>
      <c r="GVC840" s="802"/>
      <c r="GVD840" s="802"/>
      <c r="GVE840" s="802"/>
      <c r="GVF840" s="802"/>
      <c r="GVG840" s="802"/>
      <c r="GVH840" s="802"/>
      <c r="GVI840" s="802"/>
      <c r="GVJ840" s="802"/>
      <c r="GVK840" s="802"/>
      <c r="GVL840" s="802"/>
      <c r="GVM840" s="802"/>
      <c r="GVN840" s="802"/>
      <c r="GVO840" s="802"/>
      <c r="GVP840" s="802"/>
      <c r="GVQ840" s="802"/>
      <c r="GVR840" s="802"/>
      <c r="GVS840" s="802"/>
      <c r="GVT840" s="802"/>
      <c r="GVU840" s="802"/>
      <c r="GVV840" s="802"/>
      <c r="GVW840" s="802"/>
      <c r="GVX840" s="802"/>
      <c r="GVY840" s="802"/>
      <c r="GVZ840" s="802"/>
      <c r="GWA840" s="802"/>
      <c r="GWB840" s="802"/>
      <c r="GWC840" s="802"/>
      <c r="GWD840" s="802"/>
      <c r="GWE840" s="802"/>
      <c r="GWF840" s="802"/>
      <c r="GWG840" s="802"/>
      <c r="GWH840" s="802"/>
      <c r="GWI840" s="802"/>
      <c r="GWJ840" s="802"/>
      <c r="GWK840" s="802"/>
      <c r="GWL840" s="802"/>
      <c r="GWM840" s="802"/>
      <c r="GWN840" s="802"/>
      <c r="GWO840" s="802"/>
      <c r="GWP840" s="802"/>
      <c r="GWQ840" s="802"/>
      <c r="GWR840" s="802"/>
      <c r="GWS840" s="802"/>
      <c r="GWT840" s="802"/>
      <c r="GWU840" s="802"/>
      <c r="GWV840" s="802"/>
      <c r="GWW840" s="802"/>
      <c r="GWX840" s="802"/>
      <c r="GWY840" s="802"/>
      <c r="GWZ840" s="802"/>
      <c r="GXA840" s="802"/>
      <c r="GXB840" s="802"/>
      <c r="GXC840" s="802"/>
      <c r="GXD840" s="802"/>
      <c r="GXE840" s="802"/>
      <c r="GXF840" s="802"/>
      <c r="GXG840" s="802"/>
      <c r="GXH840" s="802"/>
      <c r="GXI840" s="802"/>
      <c r="GXJ840" s="802"/>
      <c r="GXK840" s="802"/>
      <c r="GXL840" s="802"/>
      <c r="GXM840" s="802"/>
      <c r="GXN840" s="802"/>
      <c r="GXO840" s="802"/>
      <c r="GXP840" s="802"/>
      <c r="GXQ840" s="802"/>
      <c r="GXR840" s="802"/>
      <c r="GXS840" s="802"/>
      <c r="GXT840" s="802"/>
      <c r="GXU840" s="802"/>
      <c r="GXV840" s="802"/>
      <c r="GXW840" s="802"/>
      <c r="GXX840" s="802"/>
      <c r="GXY840" s="802"/>
      <c r="GXZ840" s="802"/>
      <c r="GYA840" s="802"/>
      <c r="GYB840" s="802"/>
      <c r="GYC840" s="802"/>
      <c r="GYD840" s="802"/>
      <c r="GYE840" s="802"/>
      <c r="GYF840" s="802"/>
      <c r="GYG840" s="802"/>
      <c r="GYH840" s="802"/>
      <c r="GYI840" s="802"/>
      <c r="GYJ840" s="802"/>
      <c r="GYK840" s="802"/>
      <c r="GYL840" s="802"/>
      <c r="GYM840" s="802"/>
      <c r="GYN840" s="802"/>
      <c r="GYO840" s="802"/>
      <c r="GYP840" s="802"/>
      <c r="GYQ840" s="802"/>
      <c r="GYR840" s="802"/>
      <c r="GYS840" s="802"/>
      <c r="GYT840" s="802"/>
      <c r="GYU840" s="802"/>
      <c r="GYV840" s="802"/>
      <c r="GYW840" s="802"/>
      <c r="GYX840" s="802"/>
      <c r="GYY840" s="802"/>
      <c r="GYZ840" s="802"/>
      <c r="GZA840" s="802"/>
      <c r="GZB840" s="802"/>
      <c r="GZC840" s="802"/>
      <c r="GZD840" s="802"/>
      <c r="GZE840" s="802"/>
      <c r="GZF840" s="802"/>
      <c r="GZG840" s="802"/>
      <c r="GZH840" s="802"/>
      <c r="GZI840" s="802"/>
      <c r="GZJ840" s="802"/>
      <c r="GZK840" s="802"/>
      <c r="GZL840" s="802"/>
      <c r="GZM840" s="802"/>
      <c r="GZN840" s="802"/>
      <c r="GZO840" s="802"/>
      <c r="GZP840" s="802"/>
      <c r="GZQ840" s="802"/>
      <c r="GZR840" s="802"/>
      <c r="GZS840" s="802"/>
      <c r="GZT840" s="802"/>
      <c r="GZU840" s="802"/>
      <c r="GZV840" s="802"/>
      <c r="GZW840" s="802"/>
      <c r="GZX840" s="802"/>
      <c r="GZY840" s="802"/>
      <c r="GZZ840" s="802"/>
      <c r="HAA840" s="802"/>
      <c r="HAB840" s="802"/>
      <c r="HAC840" s="802"/>
      <c r="HAD840" s="802"/>
      <c r="HAE840" s="802"/>
      <c r="HAF840" s="802"/>
      <c r="HAG840" s="802"/>
      <c r="HAH840" s="802"/>
      <c r="HAI840" s="802"/>
      <c r="HAJ840" s="802"/>
      <c r="HAK840" s="802"/>
      <c r="HAL840" s="802"/>
      <c r="HAM840" s="802"/>
      <c r="HAN840" s="802"/>
      <c r="HAO840" s="802"/>
      <c r="HAP840" s="802"/>
      <c r="HAQ840" s="802"/>
      <c r="HAR840" s="802"/>
      <c r="HAS840" s="802"/>
      <c r="HAT840" s="802"/>
      <c r="HAU840" s="802"/>
      <c r="HAV840" s="802"/>
      <c r="HAW840" s="802"/>
      <c r="HAX840" s="802"/>
      <c r="HAY840" s="802"/>
      <c r="HAZ840" s="802"/>
      <c r="HBA840" s="802"/>
      <c r="HBB840" s="802"/>
      <c r="HBC840" s="802"/>
      <c r="HBD840" s="802"/>
      <c r="HBE840" s="802"/>
      <c r="HBF840" s="802"/>
      <c r="HBG840" s="802"/>
      <c r="HBH840" s="802"/>
      <c r="HBI840" s="802"/>
      <c r="HBJ840" s="802"/>
      <c r="HBK840" s="802"/>
      <c r="HBL840" s="802"/>
      <c r="HBM840" s="802"/>
      <c r="HBN840" s="802"/>
      <c r="HBO840" s="802"/>
      <c r="HBP840" s="802"/>
      <c r="HBQ840" s="802"/>
      <c r="HBR840" s="802"/>
      <c r="HBS840" s="802"/>
      <c r="HBT840" s="802"/>
      <c r="HBU840" s="802"/>
      <c r="HBV840" s="802"/>
      <c r="HBW840" s="802"/>
      <c r="HBX840" s="802"/>
      <c r="HBY840" s="802"/>
      <c r="HBZ840" s="802"/>
      <c r="HCA840" s="802"/>
      <c r="HCB840" s="802"/>
      <c r="HCC840" s="802"/>
      <c r="HCD840" s="802"/>
      <c r="HCE840" s="802"/>
      <c r="HCF840" s="802"/>
      <c r="HCG840" s="802"/>
      <c r="HCH840" s="802"/>
      <c r="HCI840" s="802"/>
      <c r="HCJ840" s="802"/>
      <c r="HCK840" s="802"/>
      <c r="HCL840" s="802"/>
      <c r="HCM840" s="802"/>
      <c r="HCN840" s="802"/>
      <c r="HCO840" s="802"/>
      <c r="HCP840" s="802"/>
      <c r="HCQ840" s="802"/>
      <c r="HCR840" s="802"/>
      <c r="HCS840" s="802"/>
      <c r="HCT840" s="802"/>
      <c r="HCU840" s="802"/>
      <c r="HCV840" s="802"/>
      <c r="HCW840" s="802"/>
      <c r="HCX840" s="802"/>
      <c r="HCY840" s="802"/>
      <c r="HCZ840" s="802"/>
      <c r="HDA840" s="802"/>
      <c r="HDB840" s="802"/>
      <c r="HDC840" s="802"/>
      <c r="HDD840" s="802"/>
      <c r="HDE840" s="802"/>
      <c r="HDF840" s="802"/>
      <c r="HDG840" s="802"/>
      <c r="HDH840" s="802"/>
      <c r="HDI840" s="802"/>
      <c r="HDJ840" s="802"/>
      <c r="HDK840" s="802"/>
      <c r="HDL840" s="802"/>
      <c r="HDM840" s="802"/>
      <c r="HDN840" s="802"/>
      <c r="HDO840" s="802"/>
      <c r="HDP840" s="802"/>
      <c r="HDQ840" s="802"/>
      <c r="HDR840" s="802"/>
      <c r="HDS840" s="802"/>
      <c r="HDT840" s="802"/>
      <c r="HDU840" s="802"/>
      <c r="HDV840" s="802"/>
      <c r="HDW840" s="802"/>
      <c r="HDX840" s="802"/>
      <c r="HDY840" s="802"/>
      <c r="HDZ840" s="802"/>
      <c r="HEA840" s="802"/>
      <c r="HEB840" s="802"/>
      <c r="HEC840" s="802"/>
      <c r="HED840" s="802"/>
      <c r="HEE840" s="802"/>
      <c r="HEF840" s="802"/>
      <c r="HEG840" s="802"/>
      <c r="HEH840" s="802"/>
      <c r="HEI840" s="802"/>
      <c r="HEJ840" s="802"/>
      <c r="HEK840" s="802"/>
      <c r="HEL840" s="802"/>
      <c r="HEM840" s="802"/>
      <c r="HEN840" s="802"/>
      <c r="HEO840" s="802"/>
      <c r="HEP840" s="802"/>
      <c r="HEQ840" s="802"/>
      <c r="HER840" s="802"/>
      <c r="HES840" s="802"/>
      <c r="HET840" s="802"/>
      <c r="HEU840" s="802"/>
      <c r="HEV840" s="802"/>
      <c r="HEW840" s="802"/>
      <c r="HEX840" s="802"/>
      <c r="HEY840" s="802"/>
      <c r="HEZ840" s="802"/>
      <c r="HFA840" s="802"/>
      <c r="HFB840" s="802"/>
      <c r="HFC840" s="802"/>
      <c r="HFD840" s="802"/>
      <c r="HFE840" s="802"/>
      <c r="HFF840" s="802"/>
      <c r="HFG840" s="802"/>
      <c r="HFH840" s="802"/>
      <c r="HFI840" s="802"/>
      <c r="HFJ840" s="802"/>
      <c r="HFK840" s="802"/>
      <c r="HFL840" s="802"/>
      <c r="HFM840" s="802"/>
      <c r="HFN840" s="802"/>
      <c r="HFO840" s="802"/>
      <c r="HFP840" s="802"/>
      <c r="HFQ840" s="802"/>
      <c r="HFR840" s="802"/>
      <c r="HFS840" s="802"/>
      <c r="HFT840" s="802"/>
      <c r="HFU840" s="802"/>
      <c r="HFV840" s="802"/>
      <c r="HFW840" s="802"/>
      <c r="HFX840" s="802"/>
      <c r="HFY840" s="802"/>
      <c r="HFZ840" s="802"/>
      <c r="HGA840" s="802"/>
      <c r="HGB840" s="802"/>
      <c r="HGC840" s="802"/>
      <c r="HGD840" s="802"/>
      <c r="HGE840" s="802"/>
      <c r="HGF840" s="802"/>
      <c r="HGG840" s="802"/>
      <c r="HGH840" s="802"/>
      <c r="HGI840" s="802"/>
      <c r="HGJ840" s="802"/>
      <c r="HGK840" s="802"/>
      <c r="HGL840" s="802"/>
      <c r="HGM840" s="802"/>
      <c r="HGN840" s="802"/>
      <c r="HGO840" s="802"/>
      <c r="HGP840" s="802"/>
      <c r="HGQ840" s="802"/>
      <c r="HGR840" s="802"/>
      <c r="HGS840" s="802"/>
      <c r="HGT840" s="802"/>
      <c r="HGU840" s="802"/>
      <c r="HGV840" s="802"/>
      <c r="HGW840" s="802"/>
      <c r="HGX840" s="802"/>
      <c r="HGY840" s="802"/>
      <c r="HGZ840" s="802"/>
      <c r="HHA840" s="802"/>
      <c r="HHB840" s="802"/>
      <c r="HHC840" s="802"/>
      <c r="HHD840" s="802"/>
      <c r="HHE840" s="802"/>
      <c r="HHF840" s="802"/>
      <c r="HHG840" s="802"/>
      <c r="HHH840" s="802"/>
      <c r="HHI840" s="802"/>
      <c r="HHJ840" s="802"/>
      <c r="HHK840" s="802"/>
      <c r="HHL840" s="802"/>
      <c r="HHM840" s="802"/>
      <c r="HHN840" s="802"/>
      <c r="HHO840" s="802"/>
      <c r="HHP840" s="802"/>
      <c r="HHQ840" s="802"/>
      <c r="HHR840" s="802"/>
      <c r="HHS840" s="802"/>
      <c r="HHT840" s="802"/>
      <c r="HHU840" s="802"/>
      <c r="HHV840" s="802"/>
      <c r="HHW840" s="802"/>
      <c r="HHX840" s="802"/>
      <c r="HHY840" s="802"/>
      <c r="HHZ840" s="802"/>
      <c r="HIA840" s="802"/>
      <c r="HIB840" s="802"/>
      <c r="HIC840" s="802"/>
      <c r="HID840" s="802"/>
      <c r="HIE840" s="802"/>
      <c r="HIF840" s="802"/>
      <c r="HIG840" s="802"/>
      <c r="HIH840" s="802"/>
      <c r="HII840" s="802"/>
      <c r="HIJ840" s="802"/>
      <c r="HIK840" s="802"/>
      <c r="HIL840" s="802"/>
      <c r="HIM840" s="802"/>
      <c r="HIN840" s="802"/>
      <c r="HIO840" s="802"/>
      <c r="HIP840" s="802"/>
      <c r="HIQ840" s="802"/>
      <c r="HIR840" s="802"/>
      <c r="HIS840" s="802"/>
      <c r="HIT840" s="802"/>
      <c r="HIU840" s="802"/>
      <c r="HIV840" s="802"/>
      <c r="HIW840" s="802"/>
      <c r="HIX840" s="802"/>
      <c r="HIY840" s="802"/>
      <c r="HIZ840" s="802"/>
      <c r="HJA840" s="802"/>
      <c r="HJB840" s="802"/>
      <c r="HJC840" s="802"/>
      <c r="HJD840" s="802"/>
      <c r="HJE840" s="802"/>
      <c r="HJF840" s="802"/>
      <c r="HJG840" s="802"/>
      <c r="HJH840" s="802"/>
      <c r="HJI840" s="802"/>
      <c r="HJJ840" s="802"/>
      <c r="HJK840" s="802"/>
      <c r="HJL840" s="802"/>
      <c r="HJM840" s="802"/>
      <c r="HJN840" s="802"/>
      <c r="HJO840" s="802"/>
      <c r="HJP840" s="802"/>
      <c r="HJQ840" s="802"/>
      <c r="HJR840" s="802"/>
      <c r="HJS840" s="802"/>
      <c r="HJT840" s="802"/>
      <c r="HJU840" s="802"/>
      <c r="HJV840" s="802"/>
      <c r="HJW840" s="802"/>
      <c r="HJX840" s="802"/>
      <c r="HJY840" s="802"/>
      <c r="HJZ840" s="802"/>
      <c r="HKA840" s="802"/>
      <c r="HKB840" s="802"/>
      <c r="HKC840" s="802"/>
      <c r="HKD840" s="802"/>
      <c r="HKE840" s="802"/>
      <c r="HKF840" s="802"/>
      <c r="HKG840" s="802"/>
      <c r="HKH840" s="802"/>
      <c r="HKI840" s="802"/>
      <c r="HKJ840" s="802"/>
      <c r="HKK840" s="802"/>
      <c r="HKL840" s="802"/>
      <c r="HKM840" s="802"/>
      <c r="HKN840" s="802"/>
      <c r="HKO840" s="802"/>
      <c r="HKP840" s="802"/>
      <c r="HKQ840" s="802"/>
      <c r="HKR840" s="802"/>
      <c r="HKS840" s="802"/>
      <c r="HKT840" s="802"/>
      <c r="HKU840" s="802"/>
      <c r="HKV840" s="802"/>
      <c r="HKW840" s="802"/>
      <c r="HKX840" s="802"/>
      <c r="HKY840" s="802"/>
      <c r="HKZ840" s="802"/>
      <c r="HLA840" s="802"/>
      <c r="HLB840" s="802"/>
      <c r="HLC840" s="802"/>
      <c r="HLD840" s="802"/>
      <c r="HLE840" s="802"/>
      <c r="HLF840" s="802"/>
      <c r="HLG840" s="802"/>
      <c r="HLH840" s="802"/>
      <c r="HLI840" s="802"/>
      <c r="HLJ840" s="802"/>
      <c r="HLK840" s="802"/>
      <c r="HLL840" s="802"/>
      <c r="HLM840" s="802"/>
      <c r="HLN840" s="802"/>
      <c r="HLO840" s="802"/>
      <c r="HLP840" s="802"/>
      <c r="HLQ840" s="802"/>
      <c r="HLR840" s="802"/>
      <c r="HLS840" s="802"/>
      <c r="HLT840" s="802"/>
      <c r="HLU840" s="802"/>
      <c r="HLV840" s="802"/>
      <c r="HLW840" s="802"/>
      <c r="HLX840" s="802"/>
      <c r="HLY840" s="802"/>
      <c r="HLZ840" s="802"/>
      <c r="HMA840" s="802"/>
      <c r="HMB840" s="802"/>
      <c r="HMC840" s="802"/>
      <c r="HMD840" s="802"/>
      <c r="HME840" s="802"/>
      <c r="HMF840" s="802"/>
      <c r="HMG840" s="802"/>
      <c r="HMH840" s="802"/>
      <c r="HMI840" s="802"/>
      <c r="HMJ840" s="802"/>
      <c r="HMK840" s="802"/>
      <c r="HML840" s="802"/>
      <c r="HMM840" s="802"/>
      <c r="HMN840" s="802"/>
      <c r="HMO840" s="802"/>
      <c r="HMP840" s="802"/>
      <c r="HMQ840" s="802"/>
      <c r="HMR840" s="802"/>
      <c r="HMS840" s="802"/>
      <c r="HMT840" s="802"/>
      <c r="HMU840" s="802"/>
      <c r="HMV840" s="802"/>
      <c r="HMW840" s="802"/>
      <c r="HMX840" s="802"/>
      <c r="HMY840" s="802"/>
      <c r="HMZ840" s="802"/>
      <c r="HNA840" s="802"/>
      <c r="HNB840" s="802"/>
      <c r="HNC840" s="802"/>
      <c r="HND840" s="802"/>
      <c r="HNE840" s="802"/>
      <c r="HNF840" s="802"/>
      <c r="HNG840" s="802"/>
      <c r="HNH840" s="802"/>
      <c r="HNI840" s="802"/>
      <c r="HNJ840" s="802"/>
      <c r="HNK840" s="802"/>
      <c r="HNL840" s="802"/>
      <c r="HNM840" s="802"/>
      <c r="HNN840" s="802"/>
      <c r="HNO840" s="802"/>
      <c r="HNP840" s="802"/>
      <c r="HNQ840" s="802"/>
      <c r="HNR840" s="802"/>
      <c r="HNS840" s="802"/>
      <c r="HNT840" s="802"/>
      <c r="HNU840" s="802"/>
      <c r="HNV840" s="802"/>
      <c r="HNW840" s="802"/>
      <c r="HNX840" s="802"/>
      <c r="HNY840" s="802"/>
      <c r="HNZ840" s="802"/>
      <c r="HOA840" s="802"/>
      <c r="HOB840" s="802"/>
      <c r="HOC840" s="802"/>
      <c r="HOD840" s="802"/>
      <c r="HOE840" s="802"/>
      <c r="HOF840" s="802"/>
      <c r="HOG840" s="802"/>
      <c r="HOH840" s="802"/>
      <c r="HOI840" s="802"/>
      <c r="HOJ840" s="802"/>
      <c r="HOK840" s="802"/>
      <c r="HOL840" s="802"/>
      <c r="HOM840" s="802"/>
      <c r="HON840" s="802"/>
      <c r="HOO840" s="802"/>
      <c r="HOP840" s="802"/>
      <c r="HOQ840" s="802"/>
      <c r="HOR840" s="802"/>
      <c r="HOS840" s="802"/>
      <c r="HOT840" s="802"/>
      <c r="HOU840" s="802"/>
      <c r="HOV840" s="802"/>
      <c r="HOW840" s="802"/>
      <c r="HOX840" s="802"/>
      <c r="HOY840" s="802"/>
      <c r="HOZ840" s="802"/>
      <c r="HPA840" s="802"/>
      <c r="HPB840" s="802"/>
      <c r="HPC840" s="802"/>
      <c r="HPD840" s="802"/>
      <c r="HPE840" s="802"/>
      <c r="HPF840" s="802"/>
      <c r="HPG840" s="802"/>
      <c r="HPH840" s="802"/>
      <c r="HPI840" s="802"/>
      <c r="HPJ840" s="802"/>
      <c r="HPK840" s="802"/>
      <c r="HPL840" s="802"/>
      <c r="HPM840" s="802"/>
      <c r="HPN840" s="802"/>
      <c r="HPO840" s="802"/>
      <c r="HPP840" s="802"/>
      <c r="HPQ840" s="802"/>
      <c r="HPR840" s="802"/>
      <c r="HPS840" s="802"/>
      <c r="HPT840" s="802"/>
      <c r="HPU840" s="802"/>
      <c r="HPV840" s="802"/>
      <c r="HPW840" s="802"/>
      <c r="HPX840" s="802"/>
      <c r="HPY840" s="802"/>
      <c r="HPZ840" s="802"/>
      <c r="HQA840" s="802"/>
      <c r="HQB840" s="802"/>
      <c r="HQC840" s="802"/>
      <c r="HQD840" s="802"/>
      <c r="HQE840" s="802"/>
      <c r="HQF840" s="802"/>
      <c r="HQG840" s="802"/>
      <c r="HQH840" s="802"/>
      <c r="HQI840" s="802"/>
      <c r="HQJ840" s="802"/>
      <c r="HQK840" s="802"/>
      <c r="HQL840" s="802"/>
      <c r="HQM840" s="802"/>
      <c r="HQN840" s="802"/>
      <c r="HQO840" s="802"/>
      <c r="HQP840" s="802"/>
      <c r="HQQ840" s="802"/>
      <c r="HQR840" s="802"/>
      <c r="HQS840" s="802"/>
      <c r="HQT840" s="802"/>
      <c r="HQU840" s="802"/>
      <c r="HQV840" s="802"/>
      <c r="HQW840" s="802"/>
      <c r="HQX840" s="802"/>
      <c r="HQY840" s="802"/>
      <c r="HQZ840" s="802"/>
      <c r="HRA840" s="802"/>
      <c r="HRB840" s="802"/>
      <c r="HRC840" s="802"/>
      <c r="HRD840" s="802"/>
      <c r="HRE840" s="802"/>
      <c r="HRF840" s="802"/>
      <c r="HRG840" s="802"/>
      <c r="HRH840" s="802"/>
      <c r="HRI840" s="802"/>
      <c r="HRJ840" s="802"/>
      <c r="HRK840" s="802"/>
      <c r="HRL840" s="802"/>
      <c r="HRM840" s="802"/>
      <c r="HRN840" s="802"/>
      <c r="HRO840" s="802"/>
      <c r="HRP840" s="802"/>
      <c r="HRQ840" s="802"/>
      <c r="HRR840" s="802"/>
      <c r="HRS840" s="802"/>
      <c r="HRT840" s="802"/>
      <c r="HRU840" s="802"/>
      <c r="HRV840" s="802"/>
      <c r="HRW840" s="802"/>
      <c r="HRX840" s="802"/>
      <c r="HRY840" s="802"/>
      <c r="HRZ840" s="802"/>
      <c r="HSA840" s="802"/>
      <c r="HSB840" s="802"/>
      <c r="HSC840" s="802"/>
      <c r="HSD840" s="802"/>
      <c r="HSE840" s="802"/>
      <c r="HSF840" s="802"/>
      <c r="HSG840" s="802"/>
      <c r="HSH840" s="802"/>
      <c r="HSI840" s="802"/>
      <c r="HSJ840" s="802"/>
      <c r="HSK840" s="802"/>
      <c r="HSL840" s="802"/>
      <c r="HSM840" s="802"/>
      <c r="HSN840" s="802"/>
      <c r="HSO840" s="802"/>
      <c r="HSP840" s="802"/>
      <c r="HSQ840" s="802"/>
      <c r="HSR840" s="802"/>
      <c r="HSS840" s="802"/>
      <c r="HST840" s="802"/>
      <c r="HSU840" s="802"/>
      <c r="HSV840" s="802"/>
      <c r="HSW840" s="802"/>
      <c r="HSX840" s="802"/>
      <c r="HSY840" s="802"/>
      <c r="HSZ840" s="802"/>
      <c r="HTA840" s="802"/>
      <c r="HTB840" s="802"/>
      <c r="HTC840" s="802"/>
      <c r="HTD840" s="802"/>
      <c r="HTE840" s="802"/>
      <c r="HTF840" s="802"/>
      <c r="HTG840" s="802"/>
      <c r="HTH840" s="802"/>
      <c r="HTI840" s="802"/>
      <c r="HTJ840" s="802"/>
      <c r="HTK840" s="802"/>
      <c r="HTL840" s="802"/>
      <c r="HTM840" s="802"/>
      <c r="HTN840" s="802"/>
      <c r="HTO840" s="802"/>
      <c r="HTP840" s="802"/>
      <c r="HTQ840" s="802"/>
      <c r="HTR840" s="802"/>
      <c r="HTS840" s="802"/>
      <c r="HTT840" s="802"/>
      <c r="HTU840" s="802"/>
      <c r="HTV840" s="802"/>
      <c r="HTW840" s="802"/>
      <c r="HTX840" s="802"/>
      <c r="HTY840" s="802"/>
      <c r="HTZ840" s="802"/>
      <c r="HUA840" s="802"/>
      <c r="HUB840" s="802"/>
      <c r="HUC840" s="802"/>
      <c r="HUD840" s="802"/>
      <c r="HUE840" s="802"/>
      <c r="HUF840" s="802"/>
      <c r="HUG840" s="802"/>
      <c r="HUH840" s="802"/>
      <c r="HUI840" s="802"/>
      <c r="HUJ840" s="802"/>
      <c r="HUK840" s="802"/>
      <c r="HUL840" s="802"/>
      <c r="HUM840" s="802"/>
      <c r="HUN840" s="802"/>
      <c r="HUO840" s="802"/>
      <c r="HUP840" s="802"/>
      <c r="HUQ840" s="802"/>
      <c r="HUR840" s="802"/>
      <c r="HUS840" s="802"/>
      <c r="HUT840" s="802"/>
      <c r="HUU840" s="802"/>
      <c r="HUV840" s="802"/>
      <c r="HUW840" s="802"/>
      <c r="HUX840" s="802"/>
      <c r="HUY840" s="802"/>
      <c r="HUZ840" s="802"/>
      <c r="HVA840" s="802"/>
      <c r="HVB840" s="802"/>
      <c r="HVC840" s="802"/>
      <c r="HVD840" s="802"/>
      <c r="HVE840" s="802"/>
      <c r="HVF840" s="802"/>
      <c r="HVG840" s="802"/>
      <c r="HVH840" s="802"/>
      <c r="HVI840" s="802"/>
      <c r="HVJ840" s="802"/>
      <c r="HVK840" s="802"/>
      <c r="HVL840" s="802"/>
      <c r="HVM840" s="802"/>
      <c r="HVN840" s="802"/>
      <c r="HVO840" s="802"/>
      <c r="HVP840" s="802"/>
      <c r="HVQ840" s="802"/>
      <c r="HVR840" s="802"/>
      <c r="HVS840" s="802"/>
      <c r="HVT840" s="802"/>
      <c r="HVU840" s="802"/>
      <c r="HVV840" s="802"/>
      <c r="HVW840" s="802"/>
      <c r="HVX840" s="802"/>
      <c r="HVY840" s="802"/>
      <c r="HVZ840" s="802"/>
      <c r="HWA840" s="802"/>
      <c r="HWB840" s="802"/>
      <c r="HWC840" s="802"/>
      <c r="HWD840" s="802"/>
      <c r="HWE840" s="802"/>
      <c r="HWF840" s="802"/>
      <c r="HWG840" s="802"/>
      <c r="HWH840" s="802"/>
      <c r="HWI840" s="802"/>
      <c r="HWJ840" s="802"/>
      <c r="HWK840" s="802"/>
      <c r="HWL840" s="802"/>
      <c r="HWM840" s="802"/>
      <c r="HWN840" s="802"/>
      <c r="HWO840" s="802"/>
      <c r="HWP840" s="802"/>
      <c r="HWQ840" s="802"/>
      <c r="HWR840" s="802"/>
      <c r="HWS840" s="802"/>
      <c r="HWT840" s="802"/>
      <c r="HWU840" s="802"/>
      <c r="HWV840" s="802"/>
      <c r="HWW840" s="802"/>
      <c r="HWX840" s="802"/>
      <c r="HWY840" s="802"/>
      <c r="HWZ840" s="802"/>
      <c r="HXA840" s="802"/>
      <c r="HXB840" s="802"/>
      <c r="HXC840" s="802"/>
      <c r="HXD840" s="802"/>
      <c r="HXE840" s="802"/>
      <c r="HXF840" s="802"/>
      <c r="HXG840" s="802"/>
      <c r="HXH840" s="802"/>
      <c r="HXI840" s="802"/>
      <c r="HXJ840" s="802"/>
      <c r="HXK840" s="802"/>
      <c r="HXL840" s="802"/>
      <c r="HXM840" s="802"/>
      <c r="HXN840" s="802"/>
      <c r="HXO840" s="802"/>
      <c r="HXP840" s="802"/>
      <c r="HXQ840" s="802"/>
      <c r="HXR840" s="802"/>
      <c r="HXS840" s="802"/>
      <c r="HXT840" s="802"/>
      <c r="HXU840" s="802"/>
      <c r="HXV840" s="802"/>
      <c r="HXW840" s="802"/>
      <c r="HXX840" s="802"/>
      <c r="HXY840" s="802"/>
      <c r="HXZ840" s="802"/>
      <c r="HYA840" s="802"/>
      <c r="HYB840" s="802"/>
      <c r="HYC840" s="802"/>
      <c r="HYD840" s="802"/>
      <c r="HYE840" s="802"/>
      <c r="HYF840" s="802"/>
      <c r="HYG840" s="802"/>
      <c r="HYH840" s="802"/>
      <c r="HYI840" s="802"/>
      <c r="HYJ840" s="802"/>
      <c r="HYK840" s="802"/>
      <c r="HYL840" s="802"/>
      <c r="HYM840" s="802"/>
      <c r="HYN840" s="802"/>
      <c r="HYO840" s="802"/>
      <c r="HYP840" s="802"/>
      <c r="HYQ840" s="802"/>
      <c r="HYR840" s="802"/>
      <c r="HYS840" s="802"/>
      <c r="HYT840" s="802"/>
      <c r="HYU840" s="802"/>
      <c r="HYV840" s="802"/>
      <c r="HYW840" s="802"/>
      <c r="HYX840" s="802"/>
      <c r="HYY840" s="802"/>
      <c r="HYZ840" s="802"/>
      <c r="HZA840" s="802"/>
      <c r="HZB840" s="802"/>
      <c r="HZC840" s="802"/>
      <c r="HZD840" s="802"/>
      <c r="HZE840" s="802"/>
      <c r="HZF840" s="802"/>
      <c r="HZG840" s="802"/>
      <c r="HZH840" s="802"/>
      <c r="HZI840" s="802"/>
      <c r="HZJ840" s="802"/>
      <c r="HZK840" s="802"/>
      <c r="HZL840" s="802"/>
      <c r="HZM840" s="802"/>
      <c r="HZN840" s="802"/>
      <c r="HZO840" s="802"/>
      <c r="HZP840" s="802"/>
      <c r="HZQ840" s="802"/>
      <c r="HZR840" s="802"/>
      <c r="HZS840" s="802"/>
      <c r="HZT840" s="802"/>
      <c r="HZU840" s="802"/>
      <c r="HZV840" s="802"/>
      <c r="HZW840" s="802"/>
      <c r="HZX840" s="802"/>
      <c r="HZY840" s="802"/>
      <c r="HZZ840" s="802"/>
      <c r="IAA840" s="802"/>
      <c r="IAB840" s="802"/>
      <c r="IAC840" s="802"/>
      <c r="IAD840" s="802"/>
      <c r="IAE840" s="802"/>
      <c r="IAF840" s="802"/>
      <c r="IAG840" s="802"/>
      <c r="IAH840" s="802"/>
      <c r="IAI840" s="802"/>
      <c r="IAJ840" s="802"/>
      <c r="IAK840" s="802"/>
      <c r="IAL840" s="802"/>
      <c r="IAM840" s="802"/>
      <c r="IAN840" s="802"/>
      <c r="IAO840" s="802"/>
      <c r="IAP840" s="802"/>
      <c r="IAQ840" s="802"/>
      <c r="IAR840" s="802"/>
      <c r="IAS840" s="802"/>
      <c r="IAT840" s="802"/>
      <c r="IAU840" s="802"/>
      <c r="IAV840" s="802"/>
      <c r="IAW840" s="802"/>
      <c r="IAX840" s="802"/>
      <c r="IAY840" s="802"/>
      <c r="IAZ840" s="802"/>
      <c r="IBA840" s="802"/>
      <c r="IBB840" s="802"/>
      <c r="IBC840" s="802"/>
      <c r="IBD840" s="802"/>
      <c r="IBE840" s="802"/>
      <c r="IBF840" s="802"/>
      <c r="IBG840" s="802"/>
      <c r="IBH840" s="802"/>
      <c r="IBI840" s="802"/>
      <c r="IBJ840" s="802"/>
      <c r="IBK840" s="802"/>
      <c r="IBL840" s="802"/>
      <c r="IBM840" s="802"/>
      <c r="IBN840" s="802"/>
      <c r="IBO840" s="802"/>
      <c r="IBP840" s="802"/>
      <c r="IBQ840" s="802"/>
      <c r="IBR840" s="802"/>
      <c r="IBS840" s="802"/>
      <c r="IBT840" s="802"/>
      <c r="IBU840" s="802"/>
      <c r="IBV840" s="802"/>
      <c r="IBW840" s="802"/>
      <c r="IBX840" s="802"/>
      <c r="IBY840" s="802"/>
      <c r="IBZ840" s="802"/>
      <c r="ICA840" s="802"/>
      <c r="ICB840" s="802"/>
      <c r="ICC840" s="802"/>
      <c r="ICD840" s="802"/>
      <c r="ICE840" s="802"/>
      <c r="ICF840" s="802"/>
      <c r="ICG840" s="802"/>
      <c r="ICH840" s="802"/>
      <c r="ICI840" s="802"/>
      <c r="ICJ840" s="802"/>
      <c r="ICK840" s="802"/>
      <c r="ICL840" s="802"/>
      <c r="ICM840" s="802"/>
      <c r="ICN840" s="802"/>
      <c r="ICO840" s="802"/>
      <c r="ICP840" s="802"/>
      <c r="ICQ840" s="802"/>
      <c r="ICR840" s="802"/>
      <c r="ICS840" s="802"/>
      <c r="ICT840" s="802"/>
      <c r="ICU840" s="802"/>
      <c r="ICV840" s="802"/>
      <c r="ICW840" s="802"/>
      <c r="ICX840" s="802"/>
      <c r="ICY840" s="802"/>
      <c r="ICZ840" s="802"/>
      <c r="IDA840" s="802"/>
      <c r="IDB840" s="802"/>
      <c r="IDC840" s="802"/>
      <c r="IDD840" s="802"/>
      <c r="IDE840" s="802"/>
      <c r="IDF840" s="802"/>
      <c r="IDG840" s="802"/>
      <c r="IDH840" s="802"/>
      <c r="IDI840" s="802"/>
      <c r="IDJ840" s="802"/>
      <c r="IDK840" s="802"/>
      <c r="IDL840" s="802"/>
      <c r="IDM840" s="802"/>
      <c r="IDN840" s="802"/>
      <c r="IDO840" s="802"/>
      <c r="IDP840" s="802"/>
      <c r="IDQ840" s="802"/>
      <c r="IDR840" s="802"/>
      <c r="IDS840" s="802"/>
      <c r="IDT840" s="802"/>
      <c r="IDU840" s="802"/>
      <c r="IDV840" s="802"/>
      <c r="IDW840" s="802"/>
      <c r="IDX840" s="802"/>
      <c r="IDY840" s="802"/>
      <c r="IDZ840" s="802"/>
      <c r="IEA840" s="802"/>
      <c r="IEB840" s="802"/>
      <c r="IEC840" s="802"/>
      <c r="IED840" s="802"/>
      <c r="IEE840" s="802"/>
      <c r="IEF840" s="802"/>
      <c r="IEG840" s="802"/>
      <c r="IEH840" s="802"/>
      <c r="IEI840" s="802"/>
      <c r="IEJ840" s="802"/>
      <c r="IEK840" s="802"/>
      <c r="IEL840" s="802"/>
      <c r="IEM840" s="802"/>
      <c r="IEN840" s="802"/>
      <c r="IEO840" s="802"/>
      <c r="IEP840" s="802"/>
      <c r="IEQ840" s="802"/>
      <c r="IER840" s="802"/>
      <c r="IES840" s="802"/>
      <c r="IET840" s="802"/>
      <c r="IEU840" s="802"/>
      <c r="IEV840" s="802"/>
      <c r="IEW840" s="802"/>
      <c r="IEX840" s="802"/>
      <c r="IEY840" s="802"/>
      <c r="IEZ840" s="802"/>
      <c r="IFA840" s="802"/>
      <c r="IFB840" s="802"/>
      <c r="IFC840" s="802"/>
      <c r="IFD840" s="802"/>
      <c r="IFE840" s="802"/>
      <c r="IFF840" s="802"/>
      <c r="IFG840" s="802"/>
      <c r="IFH840" s="802"/>
      <c r="IFI840" s="802"/>
      <c r="IFJ840" s="802"/>
      <c r="IFK840" s="802"/>
      <c r="IFL840" s="802"/>
      <c r="IFM840" s="802"/>
      <c r="IFN840" s="802"/>
      <c r="IFO840" s="802"/>
      <c r="IFP840" s="802"/>
      <c r="IFQ840" s="802"/>
      <c r="IFR840" s="802"/>
      <c r="IFS840" s="802"/>
      <c r="IFT840" s="802"/>
      <c r="IFU840" s="802"/>
      <c r="IFV840" s="802"/>
      <c r="IFW840" s="802"/>
      <c r="IFX840" s="802"/>
      <c r="IFY840" s="802"/>
      <c r="IFZ840" s="802"/>
      <c r="IGA840" s="802"/>
      <c r="IGB840" s="802"/>
      <c r="IGC840" s="802"/>
      <c r="IGD840" s="802"/>
      <c r="IGE840" s="802"/>
      <c r="IGF840" s="802"/>
      <c r="IGG840" s="802"/>
      <c r="IGH840" s="802"/>
      <c r="IGI840" s="802"/>
      <c r="IGJ840" s="802"/>
      <c r="IGK840" s="802"/>
      <c r="IGL840" s="802"/>
      <c r="IGM840" s="802"/>
      <c r="IGN840" s="802"/>
      <c r="IGO840" s="802"/>
      <c r="IGP840" s="802"/>
      <c r="IGQ840" s="802"/>
      <c r="IGR840" s="802"/>
      <c r="IGS840" s="802"/>
      <c r="IGT840" s="802"/>
      <c r="IGU840" s="802"/>
      <c r="IGV840" s="802"/>
      <c r="IGW840" s="802"/>
      <c r="IGX840" s="802"/>
      <c r="IGY840" s="802"/>
      <c r="IGZ840" s="802"/>
      <c r="IHA840" s="802"/>
      <c r="IHB840" s="802"/>
      <c r="IHC840" s="802"/>
      <c r="IHD840" s="802"/>
      <c r="IHE840" s="802"/>
      <c r="IHF840" s="802"/>
      <c r="IHG840" s="802"/>
      <c r="IHH840" s="802"/>
      <c r="IHI840" s="802"/>
      <c r="IHJ840" s="802"/>
      <c r="IHK840" s="802"/>
      <c r="IHL840" s="802"/>
      <c r="IHM840" s="802"/>
      <c r="IHN840" s="802"/>
      <c r="IHO840" s="802"/>
      <c r="IHP840" s="802"/>
      <c r="IHQ840" s="802"/>
      <c r="IHR840" s="802"/>
      <c r="IHS840" s="802"/>
      <c r="IHT840" s="802"/>
      <c r="IHU840" s="802"/>
      <c r="IHV840" s="802"/>
      <c r="IHW840" s="802"/>
      <c r="IHX840" s="802"/>
      <c r="IHY840" s="802"/>
      <c r="IHZ840" s="802"/>
      <c r="IIA840" s="802"/>
      <c r="IIB840" s="802"/>
      <c r="IIC840" s="802"/>
      <c r="IID840" s="802"/>
      <c r="IIE840" s="802"/>
      <c r="IIF840" s="802"/>
      <c r="IIG840" s="802"/>
      <c r="IIH840" s="802"/>
      <c r="III840" s="802"/>
      <c r="IIJ840" s="802"/>
      <c r="IIK840" s="802"/>
      <c r="IIL840" s="802"/>
      <c r="IIM840" s="802"/>
      <c r="IIN840" s="802"/>
      <c r="IIO840" s="802"/>
      <c r="IIP840" s="802"/>
      <c r="IIQ840" s="802"/>
      <c r="IIR840" s="802"/>
      <c r="IIS840" s="802"/>
      <c r="IIT840" s="802"/>
      <c r="IIU840" s="802"/>
      <c r="IIV840" s="802"/>
      <c r="IIW840" s="802"/>
      <c r="IIX840" s="802"/>
      <c r="IIY840" s="802"/>
      <c r="IIZ840" s="802"/>
      <c r="IJA840" s="802"/>
      <c r="IJB840" s="802"/>
      <c r="IJC840" s="802"/>
      <c r="IJD840" s="802"/>
      <c r="IJE840" s="802"/>
      <c r="IJF840" s="802"/>
      <c r="IJG840" s="802"/>
      <c r="IJH840" s="802"/>
      <c r="IJI840" s="802"/>
      <c r="IJJ840" s="802"/>
      <c r="IJK840" s="802"/>
      <c r="IJL840" s="802"/>
      <c r="IJM840" s="802"/>
      <c r="IJN840" s="802"/>
      <c r="IJO840" s="802"/>
      <c r="IJP840" s="802"/>
      <c r="IJQ840" s="802"/>
      <c r="IJR840" s="802"/>
      <c r="IJS840" s="802"/>
      <c r="IJT840" s="802"/>
      <c r="IJU840" s="802"/>
      <c r="IJV840" s="802"/>
      <c r="IJW840" s="802"/>
      <c r="IJX840" s="802"/>
      <c r="IJY840" s="802"/>
      <c r="IJZ840" s="802"/>
      <c r="IKA840" s="802"/>
      <c r="IKB840" s="802"/>
      <c r="IKC840" s="802"/>
      <c r="IKD840" s="802"/>
      <c r="IKE840" s="802"/>
      <c r="IKF840" s="802"/>
      <c r="IKG840" s="802"/>
      <c r="IKH840" s="802"/>
      <c r="IKI840" s="802"/>
      <c r="IKJ840" s="802"/>
      <c r="IKK840" s="802"/>
      <c r="IKL840" s="802"/>
      <c r="IKM840" s="802"/>
      <c r="IKN840" s="802"/>
      <c r="IKO840" s="802"/>
      <c r="IKP840" s="802"/>
      <c r="IKQ840" s="802"/>
      <c r="IKR840" s="802"/>
      <c r="IKS840" s="802"/>
      <c r="IKT840" s="802"/>
      <c r="IKU840" s="802"/>
      <c r="IKV840" s="802"/>
      <c r="IKW840" s="802"/>
      <c r="IKX840" s="802"/>
      <c r="IKY840" s="802"/>
      <c r="IKZ840" s="802"/>
      <c r="ILA840" s="802"/>
      <c r="ILB840" s="802"/>
      <c r="ILC840" s="802"/>
      <c r="ILD840" s="802"/>
      <c r="ILE840" s="802"/>
      <c r="ILF840" s="802"/>
      <c r="ILG840" s="802"/>
      <c r="ILH840" s="802"/>
      <c r="ILI840" s="802"/>
      <c r="ILJ840" s="802"/>
      <c r="ILK840" s="802"/>
      <c r="ILL840" s="802"/>
      <c r="ILM840" s="802"/>
      <c r="ILN840" s="802"/>
      <c r="ILO840" s="802"/>
      <c r="ILP840" s="802"/>
      <c r="ILQ840" s="802"/>
      <c r="ILR840" s="802"/>
      <c r="ILS840" s="802"/>
      <c r="ILT840" s="802"/>
      <c r="ILU840" s="802"/>
      <c r="ILV840" s="802"/>
      <c r="ILW840" s="802"/>
      <c r="ILX840" s="802"/>
      <c r="ILY840" s="802"/>
      <c r="ILZ840" s="802"/>
      <c r="IMA840" s="802"/>
      <c r="IMB840" s="802"/>
      <c r="IMC840" s="802"/>
      <c r="IMD840" s="802"/>
      <c r="IME840" s="802"/>
      <c r="IMF840" s="802"/>
      <c r="IMG840" s="802"/>
      <c r="IMH840" s="802"/>
      <c r="IMI840" s="802"/>
      <c r="IMJ840" s="802"/>
      <c r="IMK840" s="802"/>
      <c r="IML840" s="802"/>
      <c r="IMM840" s="802"/>
      <c r="IMN840" s="802"/>
      <c r="IMO840" s="802"/>
      <c r="IMP840" s="802"/>
      <c r="IMQ840" s="802"/>
      <c r="IMR840" s="802"/>
      <c r="IMS840" s="802"/>
      <c r="IMT840" s="802"/>
      <c r="IMU840" s="802"/>
      <c r="IMV840" s="802"/>
      <c r="IMW840" s="802"/>
      <c r="IMX840" s="802"/>
      <c r="IMY840" s="802"/>
      <c r="IMZ840" s="802"/>
      <c r="INA840" s="802"/>
      <c r="INB840" s="802"/>
      <c r="INC840" s="802"/>
      <c r="IND840" s="802"/>
      <c r="INE840" s="802"/>
      <c r="INF840" s="802"/>
      <c r="ING840" s="802"/>
      <c r="INH840" s="802"/>
      <c r="INI840" s="802"/>
      <c r="INJ840" s="802"/>
      <c r="INK840" s="802"/>
      <c r="INL840" s="802"/>
      <c r="INM840" s="802"/>
      <c r="INN840" s="802"/>
      <c r="INO840" s="802"/>
      <c r="INP840" s="802"/>
      <c r="INQ840" s="802"/>
      <c r="INR840" s="802"/>
      <c r="INS840" s="802"/>
      <c r="INT840" s="802"/>
      <c r="INU840" s="802"/>
      <c r="INV840" s="802"/>
      <c r="INW840" s="802"/>
      <c r="INX840" s="802"/>
      <c r="INY840" s="802"/>
      <c r="INZ840" s="802"/>
      <c r="IOA840" s="802"/>
      <c r="IOB840" s="802"/>
      <c r="IOC840" s="802"/>
      <c r="IOD840" s="802"/>
      <c r="IOE840" s="802"/>
      <c r="IOF840" s="802"/>
      <c r="IOG840" s="802"/>
      <c r="IOH840" s="802"/>
      <c r="IOI840" s="802"/>
      <c r="IOJ840" s="802"/>
      <c r="IOK840" s="802"/>
      <c r="IOL840" s="802"/>
      <c r="IOM840" s="802"/>
      <c r="ION840" s="802"/>
      <c r="IOO840" s="802"/>
      <c r="IOP840" s="802"/>
      <c r="IOQ840" s="802"/>
      <c r="IOR840" s="802"/>
      <c r="IOS840" s="802"/>
      <c r="IOT840" s="802"/>
      <c r="IOU840" s="802"/>
      <c r="IOV840" s="802"/>
      <c r="IOW840" s="802"/>
      <c r="IOX840" s="802"/>
      <c r="IOY840" s="802"/>
      <c r="IOZ840" s="802"/>
      <c r="IPA840" s="802"/>
      <c r="IPB840" s="802"/>
      <c r="IPC840" s="802"/>
      <c r="IPD840" s="802"/>
      <c r="IPE840" s="802"/>
      <c r="IPF840" s="802"/>
      <c r="IPG840" s="802"/>
      <c r="IPH840" s="802"/>
      <c r="IPI840" s="802"/>
      <c r="IPJ840" s="802"/>
      <c r="IPK840" s="802"/>
      <c r="IPL840" s="802"/>
      <c r="IPM840" s="802"/>
      <c r="IPN840" s="802"/>
      <c r="IPO840" s="802"/>
      <c r="IPP840" s="802"/>
      <c r="IPQ840" s="802"/>
      <c r="IPR840" s="802"/>
      <c r="IPS840" s="802"/>
      <c r="IPT840" s="802"/>
      <c r="IPU840" s="802"/>
      <c r="IPV840" s="802"/>
      <c r="IPW840" s="802"/>
      <c r="IPX840" s="802"/>
      <c r="IPY840" s="802"/>
      <c r="IPZ840" s="802"/>
      <c r="IQA840" s="802"/>
      <c r="IQB840" s="802"/>
      <c r="IQC840" s="802"/>
      <c r="IQD840" s="802"/>
      <c r="IQE840" s="802"/>
      <c r="IQF840" s="802"/>
      <c r="IQG840" s="802"/>
      <c r="IQH840" s="802"/>
      <c r="IQI840" s="802"/>
      <c r="IQJ840" s="802"/>
      <c r="IQK840" s="802"/>
      <c r="IQL840" s="802"/>
      <c r="IQM840" s="802"/>
      <c r="IQN840" s="802"/>
      <c r="IQO840" s="802"/>
      <c r="IQP840" s="802"/>
      <c r="IQQ840" s="802"/>
      <c r="IQR840" s="802"/>
      <c r="IQS840" s="802"/>
      <c r="IQT840" s="802"/>
      <c r="IQU840" s="802"/>
      <c r="IQV840" s="802"/>
      <c r="IQW840" s="802"/>
      <c r="IQX840" s="802"/>
      <c r="IQY840" s="802"/>
      <c r="IQZ840" s="802"/>
      <c r="IRA840" s="802"/>
      <c r="IRB840" s="802"/>
      <c r="IRC840" s="802"/>
      <c r="IRD840" s="802"/>
      <c r="IRE840" s="802"/>
      <c r="IRF840" s="802"/>
      <c r="IRG840" s="802"/>
      <c r="IRH840" s="802"/>
      <c r="IRI840" s="802"/>
      <c r="IRJ840" s="802"/>
      <c r="IRK840" s="802"/>
      <c r="IRL840" s="802"/>
      <c r="IRM840" s="802"/>
      <c r="IRN840" s="802"/>
      <c r="IRO840" s="802"/>
      <c r="IRP840" s="802"/>
      <c r="IRQ840" s="802"/>
      <c r="IRR840" s="802"/>
      <c r="IRS840" s="802"/>
      <c r="IRT840" s="802"/>
      <c r="IRU840" s="802"/>
      <c r="IRV840" s="802"/>
      <c r="IRW840" s="802"/>
      <c r="IRX840" s="802"/>
      <c r="IRY840" s="802"/>
      <c r="IRZ840" s="802"/>
      <c r="ISA840" s="802"/>
      <c r="ISB840" s="802"/>
      <c r="ISC840" s="802"/>
      <c r="ISD840" s="802"/>
      <c r="ISE840" s="802"/>
      <c r="ISF840" s="802"/>
      <c r="ISG840" s="802"/>
      <c r="ISH840" s="802"/>
      <c r="ISI840" s="802"/>
      <c r="ISJ840" s="802"/>
      <c r="ISK840" s="802"/>
      <c r="ISL840" s="802"/>
      <c r="ISM840" s="802"/>
      <c r="ISN840" s="802"/>
      <c r="ISO840" s="802"/>
      <c r="ISP840" s="802"/>
      <c r="ISQ840" s="802"/>
      <c r="ISR840" s="802"/>
      <c r="ISS840" s="802"/>
      <c r="IST840" s="802"/>
      <c r="ISU840" s="802"/>
      <c r="ISV840" s="802"/>
      <c r="ISW840" s="802"/>
      <c r="ISX840" s="802"/>
      <c r="ISY840" s="802"/>
      <c r="ISZ840" s="802"/>
      <c r="ITA840" s="802"/>
      <c r="ITB840" s="802"/>
      <c r="ITC840" s="802"/>
      <c r="ITD840" s="802"/>
      <c r="ITE840" s="802"/>
      <c r="ITF840" s="802"/>
      <c r="ITG840" s="802"/>
      <c r="ITH840" s="802"/>
      <c r="ITI840" s="802"/>
      <c r="ITJ840" s="802"/>
      <c r="ITK840" s="802"/>
      <c r="ITL840" s="802"/>
      <c r="ITM840" s="802"/>
      <c r="ITN840" s="802"/>
      <c r="ITO840" s="802"/>
      <c r="ITP840" s="802"/>
      <c r="ITQ840" s="802"/>
      <c r="ITR840" s="802"/>
      <c r="ITS840" s="802"/>
      <c r="ITT840" s="802"/>
      <c r="ITU840" s="802"/>
      <c r="ITV840" s="802"/>
      <c r="ITW840" s="802"/>
      <c r="ITX840" s="802"/>
      <c r="ITY840" s="802"/>
      <c r="ITZ840" s="802"/>
      <c r="IUA840" s="802"/>
      <c r="IUB840" s="802"/>
      <c r="IUC840" s="802"/>
      <c r="IUD840" s="802"/>
      <c r="IUE840" s="802"/>
      <c r="IUF840" s="802"/>
      <c r="IUG840" s="802"/>
      <c r="IUH840" s="802"/>
      <c r="IUI840" s="802"/>
      <c r="IUJ840" s="802"/>
      <c r="IUK840" s="802"/>
      <c r="IUL840" s="802"/>
      <c r="IUM840" s="802"/>
      <c r="IUN840" s="802"/>
      <c r="IUO840" s="802"/>
      <c r="IUP840" s="802"/>
      <c r="IUQ840" s="802"/>
      <c r="IUR840" s="802"/>
      <c r="IUS840" s="802"/>
      <c r="IUT840" s="802"/>
      <c r="IUU840" s="802"/>
      <c r="IUV840" s="802"/>
      <c r="IUW840" s="802"/>
      <c r="IUX840" s="802"/>
      <c r="IUY840" s="802"/>
      <c r="IUZ840" s="802"/>
      <c r="IVA840" s="802"/>
      <c r="IVB840" s="802"/>
      <c r="IVC840" s="802"/>
      <c r="IVD840" s="802"/>
      <c r="IVE840" s="802"/>
      <c r="IVF840" s="802"/>
      <c r="IVG840" s="802"/>
      <c r="IVH840" s="802"/>
      <c r="IVI840" s="802"/>
      <c r="IVJ840" s="802"/>
      <c r="IVK840" s="802"/>
      <c r="IVL840" s="802"/>
      <c r="IVM840" s="802"/>
      <c r="IVN840" s="802"/>
      <c r="IVO840" s="802"/>
      <c r="IVP840" s="802"/>
      <c r="IVQ840" s="802"/>
      <c r="IVR840" s="802"/>
      <c r="IVS840" s="802"/>
      <c r="IVT840" s="802"/>
      <c r="IVU840" s="802"/>
      <c r="IVV840" s="802"/>
      <c r="IVW840" s="802"/>
      <c r="IVX840" s="802"/>
      <c r="IVY840" s="802"/>
      <c r="IVZ840" s="802"/>
      <c r="IWA840" s="802"/>
      <c r="IWB840" s="802"/>
      <c r="IWC840" s="802"/>
      <c r="IWD840" s="802"/>
      <c r="IWE840" s="802"/>
      <c r="IWF840" s="802"/>
      <c r="IWG840" s="802"/>
      <c r="IWH840" s="802"/>
      <c r="IWI840" s="802"/>
      <c r="IWJ840" s="802"/>
      <c r="IWK840" s="802"/>
      <c r="IWL840" s="802"/>
      <c r="IWM840" s="802"/>
      <c r="IWN840" s="802"/>
      <c r="IWO840" s="802"/>
      <c r="IWP840" s="802"/>
      <c r="IWQ840" s="802"/>
      <c r="IWR840" s="802"/>
      <c r="IWS840" s="802"/>
      <c r="IWT840" s="802"/>
      <c r="IWU840" s="802"/>
      <c r="IWV840" s="802"/>
      <c r="IWW840" s="802"/>
      <c r="IWX840" s="802"/>
      <c r="IWY840" s="802"/>
      <c r="IWZ840" s="802"/>
      <c r="IXA840" s="802"/>
      <c r="IXB840" s="802"/>
      <c r="IXC840" s="802"/>
      <c r="IXD840" s="802"/>
      <c r="IXE840" s="802"/>
      <c r="IXF840" s="802"/>
      <c r="IXG840" s="802"/>
      <c r="IXH840" s="802"/>
      <c r="IXI840" s="802"/>
      <c r="IXJ840" s="802"/>
      <c r="IXK840" s="802"/>
      <c r="IXL840" s="802"/>
      <c r="IXM840" s="802"/>
      <c r="IXN840" s="802"/>
      <c r="IXO840" s="802"/>
      <c r="IXP840" s="802"/>
      <c r="IXQ840" s="802"/>
      <c r="IXR840" s="802"/>
      <c r="IXS840" s="802"/>
      <c r="IXT840" s="802"/>
      <c r="IXU840" s="802"/>
      <c r="IXV840" s="802"/>
      <c r="IXW840" s="802"/>
      <c r="IXX840" s="802"/>
      <c r="IXY840" s="802"/>
      <c r="IXZ840" s="802"/>
      <c r="IYA840" s="802"/>
      <c r="IYB840" s="802"/>
      <c r="IYC840" s="802"/>
      <c r="IYD840" s="802"/>
      <c r="IYE840" s="802"/>
      <c r="IYF840" s="802"/>
      <c r="IYG840" s="802"/>
      <c r="IYH840" s="802"/>
      <c r="IYI840" s="802"/>
      <c r="IYJ840" s="802"/>
      <c r="IYK840" s="802"/>
      <c r="IYL840" s="802"/>
      <c r="IYM840" s="802"/>
      <c r="IYN840" s="802"/>
      <c r="IYO840" s="802"/>
      <c r="IYP840" s="802"/>
      <c r="IYQ840" s="802"/>
      <c r="IYR840" s="802"/>
      <c r="IYS840" s="802"/>
      <c r="IYT840" s="802"/>
      <c r="IYU840" s="802"/>
      <c r="IYV840" s="802"/>
      <c r="IYW840" s="802"/>
      <c r="IYX840" s="802"/>
      <c r="IYY840" s="802"/>
      <c r="IYZ840" s="802"/>
      <c r="IZA840" s="802"/>
      <c r="IZB840" s="802"/>
      <c r="IZC840" s="802"/>
      <c r="IZD840" s="802"/>
      <c r="IZE840" s="802"/>
      <c r="IZF840" s="802"/>
      <c r="IZG840" s="802"/>
      <c r="IZH840" s="802"/>
      <c r="IZI840" s="802"/>
      <c r="IZJ840" s="802"/>
      <c r="IZK840" s="802"/>
      <c r="IZL840" s="802"/>
      <c r="IZM840" s="802"/>
      <c r="IZN840" s="802"/>
      <c r="IZO840" s="802"/>
      <c r="IZP840" s="802"/>
      <c r="IZQ840" s="802"/>
      <c r="IZR840" s="802"/>
      <c r="IZS840" s="802"/>
      <c r="IZT840" s="802"/>
      <c r="IZU840" s="802"/>
      <c r="IZV840" s="802"/>
      <c r="IZW840" s="802"/>
      <c r="IZX840" s="802"/>
      <c r="IZY840" s="802"/>
      <c r="IZZ840" s="802"/>
      <c r="JAA840" s="802"/>
      <c r="JAB840" s="802"/>
      <c r="JAC840" s="802"/>
      <c r="JAD840" s="802"/>
      <c r="JAE840" s="802"/>
      <c r="JAF840" s="802"/>
      <c r="JAG840" s="802"/>
      <c r="JAH840" s="802"/>
      <c r="JAI840" s="802"/>
      <c r="JAJ840" s="802"/>
      <c r="JAK840" s="802"/>
      <c r="JAL840" s="802"/>
      <c r="JAM840" s="802"/>
      <c r="JAN840" s="802"/>
      <c r="JAO840" s="802"/>
      <c r="JAP840" s="802"/>
      <c r="JAQ840" s="802"/>
      <c r="JAR840" s="802"/>
      <c r="JAS840" s="802"/>
      <c r="JAT840" s="802"/>
      <c r="JAU840" s="802"/>
      <c r="JAV840" s="802"/>
      <c r="JAW840" s="802"/>
      <c r="JAX840" s="802"/>
      <c r="JAY840" s="802"/>
      <c r="JAZ840" s="802"/>
      <c r="JBA840" s="802"/>
      <c r="JBB840" s="802"/>
      <c r="JBC840" s="802"/>
      <c r="JBD840" s="802"/>
      <c r="JBE840" s="802"/>
      <c r="JBF840" s="802"/>
      <c r="JBG840" s="802"/>
      <c r="JBH840" s="802"/>
      <c r="JBI840" s="802"/>
      <c r="JBJ840" s="802"/>
      <c r="JBK840" s="802"/>
      <c r="JBL840" s="802"/>
      <c r="JBM840" s="802"/>
      <c r="JBN840" s="802"/>
      <c r="JBO840" s="802"/>
      <c r="JBP840" s="802"/>
      <c r="JBQ840" s="802"/>
      <c r="JBR840" s="802"/>
      <c r="JBS840" s="802"/>
      <c r="JBT840" s="802"/>
      <c r="JBU840" s="802"/>
      <c r="JBV840" s="802"/>
      <c r="JBW840" s="802"/>
      <c r="JBX840" s="802"/>
      <c r="JBY840" s="802"/>
      <c r="JBZ840" s="802"/>
      <c r="JCA840" s="802"/>
      <c r="JCB840" s="802"/>
      <c r="JCC840" s="802"/>
      <c r="JCD840" s="802"/>
      <c r="JCE840" s="802"/>
      <c r="JCF840" s="802"/>
      <c r="JCG840" s="802"/>
      <c r="JCH840" s="802"/>
      <c r="JCI840" s="802"/>
      <c r="JCJ840" s="802"/>
      <c r="JCK840" s="802"/>
      <c r="JCL840" s="802"/>
      <c r="JCM840" s="802"/>
      <c r="JCN840" s="802"/>
      <c r="JCO840" s="802"/>
      <c r="JCP840" s="802"/>
      <c r="JCQ840" s="802"/>
      <c r="JCR840" s="802"/>
      <c r="JCS840" s="802"/>
      <c r="JCT840" s="802"/>
      <c r="JCU840" s="802"/>
      <c r="JCV840" s="802"/>
      <c r="JCW840" s="802"/>
      <c r="JCX840" s="802"/>
      <c r="JCY840" s="802"/>
      <c r="JCZ840" s="802"/>
      <c r="JDA840" s="802"/>
      <c r="JDB840" s="802"/>
      <c r="JDC840" s="802"/>
      <c r="JDD840" s="802"/>
      <c r="JDE840" s="802"/>
      <c r="JDF840" s="802"/>
      <c r="JDG840" s="802"/>
      <c r="JDH840" s="802"/>
      <c r="JDI840" s="802"/>
      <c r="JDJ840" s="802"/>
      <c r="JDK840" s="802"/>
      <c r="JDL840" s="802"/>
      <c r="JDM840" s="802"/>
      <c r="JDN840" s="802"/>
      <c r="JDO840" s="802"/>
      <c r="JDP840" s="802"/>
      <c r="JDQ840" s="802"/>
      <c r="JDR840" s="802"/>
      <c r="JDS840" s="802"/>
      <c r="JDT840" s="802"/>
      <c r="JDU840" s="802"/>
      <c r="JDV840" s="802"/>
      <c r="JDW840" s="802"/>
      <c r="JDX840" s="802"/>
      <c r="JDY840" s="802"/>
      <c r="JDZ840" s="802"/>
      <c r="JEA840" s="802"/>
      <c r="JEB840" s="802"/>
      <c r="JEC840" s="802"/>
      <c r="JED840" s="802"/>
      <c r="JEE840" s="802"/>
      <c r="JEF840" s="802"/>
      <c r="JEG840" s="802"/>
      <c r="JEH840" s="802"/>
      <c r="JEI840" s="802"/>
      <c r="JEJ840" s="802"/>
      <c r="JEK840" s="802"/>
      <c r="JEL840" s="802"/>
      <c r="JEM840" s="802"/>
      <c r="JEN840" s="802"/>
      <c r="JEO840" s="802"/>
      <c r="JEP840" s="802"/>
      <c r="JEQ840" s="802"/>
      <c r="JER840" s="802"/>
      <c r="JES840" s="802"/>
      <c r="JET840" s="802"/>
      <c r="JEU840" s="802"/>
      <c r="JEV840" s="802"/>
      <c r="JEW840" s="802"/>
      <c r="JEX840" s="802"/>
      <c r="JEY840" s="802"/>
      <c r="JEZ840" s="802"/>
      <c r="JFA840" s="802"/>
      <c r="JFB840" s="802"/>
      <c r="JFC840" s="802"/>
      <c r="JFD840" s="802"/>
      <c r="JFE840" s="802"/>
      <c r="JFF840" s="802"/>
      <c r="JFG840" s="802"/>
      <c r="JFH840" s="802"/>
      <c r="JFI840" s="802"/>
      <c r="JFJ840" s="802"/>
      <c r="JFK840" s="802"/>
      <c r="JFL840" s="802"/>
      <c r="JFM840" s="802"/>
      <c r="JFN840" s="802"/>
      <c r="JFO840" s="802"/>
      <c r="JFP840" s="802"/>
      <c r="JFQ840" s="802"/>
      <c r="JFR840" s="802"/>
      <c r="JFS840" s="802"/>
      <c r="JFT840" s="802"/>
      <c r="JFU840" s="802"/>
      <c r="JFV840" s="802"/>
      <c r="JFW840" s="802"/>
      <c r="JFX840" s="802"/>
      <c r="JFY840" s="802"/>
      <c r="JFZ840" s="802"/>
      <c r="JGA840" s="802"/>
      <c r="JGB840" s="802"/>
      <c r="JGC840" s="802"/>
      <c r="JGD840" s="802"/>
      <c r="JGE840" s="802"/>
      <c r="JGF840" s="802"/>
      <c r="JGG840" s="802"/>
      <c r="JGH840" s="802"/>
      <c r="JGI840" s="802"/>
      <c r="JGJ840" s="802"/>
      <c r="JGK840" s="802"/>
      <c r="JGL840" s="802"/>
      <c r="JGM840" s="802"/>
      <c r="JGN840" s="802"/>
      <c r="JGO840" s="802"/>
      <c r="JGP840" s="802"/>
      <c r="JGQ840" s="802"/>
      <c r="JGR840" s="802"/>
      <c r="JGS840" s="802"/>
      <c r="JGT840" s="802"/>
      <c r="JGU840" s="802"/>
      <c r="JGV840" s="802"/>
      <c r="JGW840" s="802"/>
      <c r="JGX840" s="802"/>
      <c r="JGY840" s="802"/>
      <c r="JGZ840" s="802"/>
      <c r="JHA840" s="802"/>
      <c r="JHB840" s="802"/>
      <c r="JHC840" s="802"/>
      <c r="JHD840" s="802"/>
      <c r="JHE840" s="802"/>
      <c r="JHF840" s="802"/>
      <c r="JHG840" s="802"/>
      <c r="JHH840" s="802"/>
      <c r="JHI840" s="802"/>
      <c r="JHJ840" s="802"/>
      <c r="JHK840" s="802"/>
      <c r="JHL840" s="802"/>
      <c r="JHM840" s="802"/>
      <c r="JHN840" s="802"/>
      <c r="JHO840" s="802"/>
      <c r="JHP840" s="802"/>
      <c r="JHQ840" s="802"/>
      <c r="JHR840" s="802"/>
      <c r="JHS840" s="802"/>
      <c r="JHT840" s="802"/>
      <c r="JHU840" s="802"/>
      <c r="JHV840" s="802"/>
      <c r="JHW840" s="802"/>
      <c r="JHX840" s="802"/>
      <c r="JHY840" s="802"/>
      <c r="JHZ840" s="802"/>
      <c r="JIA840" s="802"/>
      <c r="JIB840" s="802"/>
      <c r="JIC840" s="802"/>
      <c r="JID840" s="802"/>
      <c r="JIE840" s="802"/>
      <c r="JIF840" s="802"/>
      <c r="JIG840" s="802"/>
      <c r="JIH840" s="802"/>
      <c r="JII840" s="802"/>
      <c r="JIJ840" s="802"/>
      <c r="JIK840" s="802"/>
      <c r="JIL840" s="802"/>
      <c r="JIM840" s="802"/>
      <c r="JIN840" s="802"/>
      <c r="JIO840" s="802"/>
      <c r="JIP840" s="802"/>
      <c r="JIQ840" s="802"/>
      <c r="JIR840" s="802"/>
      <c r="JIS840" s="802"/>
      <c r="JIT840" s="802"/>
      <c r="JIU840" s="802"/>
      <c r="JIV840" s="802"/>
      <c r="JIW840" s="802"/>
      <c r="JIX840" s="802"/>
      <c r="JIY840" s="802"/>
      <c r="JIZ840" s="802"/>
      <c r="JJA840" s="802"/>
      <c r="JJB840" s="802"/>
      <c r="JJC840" s="802"/>
      <c r="JJD840" s="802"/>
      <c r="JJE840" s="802"/>
      <c r="JJF840" s="802"/>
      <c r="JJG840" s="802"/>
      <c r="JJH840" s="802"/>
      <c r="JJI840" s="802"/>
      <c r="JJJ840" s="802"/>
      <c r="JJK840" s="802"/>
      <c r="JJL840" s="802"/>
      <c r="JJM840" s="802"/>
      <c r="JJN840" s="802"/>
      <c r="JJO840" s="802"/>
      <c r="JJP840" s="802"/>
      <c r="JJQ840" s="802"/>
      <c r="JJR840" s="802"/>
      <c r="JJS840" s="802"/>
      <c r="JJT840" s="802"/>
      <c r="JJU840" s="802"/>
      <c r="JJV840" s="802"/>
      <c r="JJW840" s="802"/>
      <c r="JJX840" s="802"/>
      <c r="JJY840" s="802"/>
      <c r="JJZ840" s="802"/>
      <c r="JKA840" s="802"/>
      <c r="JKB840" s="802"/>
      <c r="JKC840" s="802"/>
      <c r="JKD840" s="802"/>
      <c r="JKE840" s="802"/>
      <c r="JKF840" s="802"/>
      <c r="JKG840" s="802"/>
      <c r="JKH840" s="802"/>
      <c r="JKI840" s="802"/>
      <c r="JKJ840" s="802"/>
      <c r="JKK840" s="802"/>
      <c r="JKL840" s="802"/>
      <c r="JKM840" s="802"/>
      <c r="JKN840" s="802"/>
      <c r="JKO840" s="802"/>
      <c r="JKP840" s="802"/>
      <c r="JKQ840" s="802"/>
      <c r="JKR840" s="802"/>
      <c r="JKS840" s="802"/>
      <c r="JKT840" s="802"/>
      <c r="JKU840" s="802"/>
      <c r="JKV840" s="802"/>
      <c r="JKW840" s="802"/>
      <c r="JKX840" s="802"/>
      <c r="JKY840" s="802"/>
      <c r="JKZ840" s="802"/>
      <c r="JLA840" s="802"/>
      <c r="JLB840" s="802"/>
      <c r="JLC840" s="802"/>
      <c r="JLD840" s="802"/>
      <c r="JLE840" s="802"/>
      <c r="JLF840" s="802"/>
      <c r="JLG840" s="802"/>
      <c r="JLH840" s="802"/>
      <c r="JLI840" s="802"/>
      <c r="JLJ840" s="802"/>
      <c r="JLK840" s="802"/>
      <c r="JLL840" s="802"/>
      <c r="JLM840" s="802"/>
      <c r="JLN840" s="802"/>
      <c r="JLO840" s="802"/>
      <c r="JLP840" s="802"/>
      <c r="JLQ840" s="802"/>
      <c r="JLR840" s="802"/>
      <c r="JLS840" s="802"/>
      <c r="JLT840" s="802"/>
      <c r="JLU840" s="802"/>
      <c r="JLV840" s="802"/>
      <c r="JLW840" s="802"/>
      <c r="JLX840" s="802"/>
      <c r="JLY840" s="802"/>
      <c r="JLZ840" s="802"/>
      <c r="JMA840" s="802"/>
      <c r="JMB840" s="802"/>
      <c r="JMC840" s="802"/>
      <c r="JMD840" s="802"/>
      <c r="JME840" s="802"/>
      <c r="JMF840" s="802"/>
      <c r="JMG840" s="802"/>
      <c r="JMH840" s="802"/>
      <c r="JMI840" s="802"/>
      <c r="JMJ840" s="802"/>
      <c r="JMK840" s="802"/>
      <c r="JML840" s="802"/>
      <c r="JMM840" s="802"/>
      <c r="JMN840" s="802"/>
      <c r="JMO840" s="802"/>
      <c r="JMP840" s="802"/>
      <c r="JMQ840" s="802"/>
      <c r="JMR840" s="802"/>
      <c r="JMS840" s="802"/>
      <c r="JMT840" s="802"/>
      <c r="JMU840" s="802"/>
      <c r="JMV840" s="802"/>
      <c r="JMW840" s="802"/>
      <c r="JMX840" s="802"/>
      <c r="JMY840" s="802"/>
      <c r="JMZ840" s="802"/>
      <c r="JNA840" s="802"/>
      <c r="JNB840" s="802"/>
      <c r="JNC840" s="802"/>
      <c r="JND840" s="802"/>
      <c r="JNE840" s="802"/>
      <c r="JNF840" s="802"/>
      <c r="JNG840" s="802"/>
      <c r="JNH840" s="802"/>
      <c r="JNI840" s="802"/>
      <c r="JNJ840" s="802"/>
      <c r="JNK840" s="802"/>
      <c r="JNL840" s="802"/>
      <c r="JNM840" s="802"/>
      <c r="JNN840" s="802"/>
      <c r="JNO840" s="802"/>
      <c r="JNP840" s="802"/>
      <c r="JNQ840" s="802"/>
      <c r="JNR840" s="802"/>
      <c r="JNS840" s="802"/>
      <c r="JNT840" s="802"/>
      <c r="JNU840" s="802"/>
      <c r="JNV840" s="802"/>
      <c r="JNW840" s="802"/>
      <c r="JNX840" s="802"/>
      <c r="JNY840" s="802"/>
      <c r="JNZ840" s="802"/>
      <c r="JOA840" s="802"/>
      <c r="JOB840" s="802"/>
      <c r="JOC840" s="802"/>
      <c r="JOD840" s="802"/>
      <c r="JOE840" s="802"/>
      <c r="JOF840" s="802"/>
      <c r="JOG840" s="802"/>
      <c r="JOH840" s="802"/>
      <c r="JOI840" s="802"/>
      <c r="JOJ840" s="802"/>
      <c r="JOK840" s="802"/>
      <c r="JOL840" s="802"/>
      <c r="JOM840" s="802"/>
      <c r="JON840" s="802"/>
      <c r="JOO840" s="802"/>
      <c r="JOP840" s="802"/>
      <c r="JOQ840" s="802"/>
      <c r="JOR840" s="802"/>
      <c r="JOS840" s="802"/>
      <c r="JOT840" s="802"/>
      <c r="JOU840" s="802"/>
      <c r="JOV840" s="802"/>
      <c r="JOW840" s="802"/>
      <c r="JOX840" s="802"/>
      <c r="JOY840" s="802"/>
      <c r="JOZ840" s="802"/>
      <c r="JPA840" s="802"/>
      <c r="JPB840" s="802"/>
      <c r="JPC840" s="802"/>
      <c r="JPD840" s="802"/>
      <c r="JPE840" s="802"/>
      <c r="JPF840" s="802"/>
      <c r="JPG840" s="802"/>
      <c r="JPH840" s="802"/>
      <c r="JPI840" s="802"/>
      <c r="JPJ840" s="802"/>
      <c r="JPK840" s="802"/>
      <c r="JPL840" s="802"/>
      <c r="JPM840" s="802"/>
      <c r="JPN840" s="802"/>
      <c r="JPO840" s="802"/>
      <c r="JPP840" s="802"/>
      <c r="JPQ840" s="802"/>
      <c r="JPR840" s="802"/>
      <c r="JPS840" s="802"/>
      <c r="JPT840" s="802"/>
      <c r="JPU840" s="802"/>
      <c r="JPV840" s="802"/>
      <c r="JPW840" s="802"/>
      <c r="JPX840" s="802"/>
      <c r="JPY840" s="802"/>
      <c r="JPZ840" s="802"/>
      <c r="JQA840" s="802"/>
      <c r="JQB840" s="802"/>
      <c r="JQC840" s="802"/>
      <c r="JQD840" s="802"/>
      <c r="JQE840" s="802"/>
      <c r="JQF840" s="802"/>
      <c r="JQG840" s="802"/>
      <c r="JQH840" s="802"/>
      <c r="JQI840" s="802"/>
      <c r="JQJ840" s="802"/>
      <c r="JQK840" s="802"/>
      <c r="JQL840" s="802"/>
      <c r="JQM840" s="802"/>
      <c r="JQN840" s="802"/>
      <c r="JQO840" s="802"/>
      <c r="JQP840" s="802"/>
      <c r="JQQ840" s="802"/>
      <c r="JQR840" s="802"/>
      <c r="JQS840" s="802"/>
      <c r="JQT840" s="802"/>
      <c r="JQU840" s="802"/>
      <c r="JQV840" s="802"/>
      <c r="JQW840" s="802"/>
      <c r="JQX840" s="802"/>
      <c r="JQY840" s="802"/>
      <c r="JQZ840" s="802"/>
      <c r="JRA840" s="802"/>
      <c r="JRB840" s="802"/>
      <c r="JRC840" s="802"/>
      <c r="JRD840" s="802"/>
      <c r="JRE840" s="802"/>
      <c r="JRF840" s="802"/>
      <c r="JRG840" s="802"/>
      <c r="JRH840" s="802"/>
      <c r="JRI840" s="802"/>
      <c r="JRJ840" s="802"/>
      <c r="JRK840" s="802"/>
      <c r="JRL840" s="802"/>
      <c r="JRM840" s="802"/>
      <c r="JRN840" s="802"/>
      <c r="JRO840" s="802"/>
      <c r="JRP840" s="802"/>
      <c r="JRQ840" s="802"/>
      <c r="JRR840" s="802"/>
      <c r="JRS840" s="802"/>
      <c r="JRT840" s="802"/>
      <c r="JRU840" s="802"/>
      <c r="JRV840" s="802"/>
      <c r="JRW840" s="802"/>
      <c r="JRX840" s="802"/>
      <c r="JRY840" s="802"/>
      <c r="JRZ840" s="802"/>
      <c r="JSA840" s="802"/>
      <c r="JSB840" s="802"/>
      <c r="JSC840" s="802"/>
      <c r="JSD840" s="802"/>
      <c r="JSE840" s="802"/>
      <c r="JSF840" s="802"/>
      <c r="JSG840" s="802"/>
      <c r="JSH840" s="802"/>
      <c r="JSI840" s="802"/>
      <c r="JSJ840" s="802"/>
      <c r="JSK840" s="802"/>
      <c r="JSL840" s="802"/>
      <c r="JSM840" s="802"/>
      <c r="JSN840" s="802"/>
      <c r="JSO840" s="802"/>
      <c r="JSP840" s="802"/>
      <c r="JSQ840" s="802"/>
      <c r="JSR840" s="802"/>
      <c r="JSS840" s="802"/>
      <c r="JST840" s="802"/>
      <c r="JSU840" s="802"/>
      <c r="JSV840" s="802"/>
      <c r="JSW840" s="802"/>
      <c r="JSX840" s="802"/>
      <c r="JSY840" s="802"/>
      <c r="JSZ840" s="802"/>
      <c r="JTA840" s="802"/>
      <c r="JTB840" s="802"/>
      <c r="JTC840" s="802"/>
      <c r="JTD840" s="802"/>
      <c r="JTE840" s="802"/>
      <c r="JTF840" s="802"/>
      <c r="JTG840" s="802"/>
      <c r="JTH840" s="802"/>
      <c r="JTI840" s="802"/>
      <c r="JTJ840" s="802"/>
      <c r="JTK840" s="802"/>
      <c r="JTL840" s="802"/>
      <c r="JTM840" s="802"/>
      <c r="JTN840" s="802"/>
      <c r="JTO840" s="802"/>
      <c r="JTP840" s="802"/>
      <c r="JTQ840" s="802"/>
      <c r="JTR840" s="802"/>
      <c r="JTS840" s="802"/>
      <c r="JTT840" s="802"/>
      <c r="JTU840" s="802"/>
      <c r="JTV840" s="802"/>
      <c r="JTW840" s="802"/>
      <c r="JTX840" s="802"/>
      <c r="JTY840" s="802"/>
      <c r="JTZ840" s="802"/>
      <c r="JUA840" s="802"/>
      <c r="JUB840" s="802"/>
      <c r="JUC840" s="802"/>
      <c r="JUD840" s="802"/>
      <c r="JUE840" s="802"/>
      <c r="JUF840" s="802"/>
      <c r="JUG840" s="802"/>
      <c r="JUH840" s="802"/>
      <c r="JUI840" s="802"/>
      <c r="JUJ840" s="802"/>
      <c r="JUK840" s="802"/>
      <c r="JUL840" s="802"/>
      <c r="JUM840" s="802"/>
      <c r="JUN840" s="802"/>
      <c r="JUO840" s="802"/>
      <c r="JUP840" s="802"/>
      <c r="JUQ840" s="802"/>
      <c r="JUR840" s="802"/>
      <c r="JUS840" s="802"/>
      <c r="JUT840" s="802"/>
      <c r="JUU840" s="802"/>
      <c r="JUV840" s="802"/>
      <c r="JUW840" s="802"/>
      <c r="JUX840" s="802"/>
      <c r="JUY840" s="802"/>
      <c r="JUZ840" s="802"/>
      <c r="JVA840" s="802"/>
      <c r="JVB840" s="802"/>
      <c r="JVC840" s="802"/>
      <c r="JVD840" s="802"/>
      <c r="JVE840" s="802"/>
      <c r="JVF840" s="802"/>
      <c r="JVG840" s="802"/>
      <c r="JVH840" s="802"/>
      <c r="JVI840" s="802"/>
      <c r="JVJ840" s="802"/>
      <c r="JVK840" s="802"/>
      <c r="JVL840" s="802"/>
      <c r="JVM840" s="802"/>
      <c r="JVN840" s="802"/>
      <c r="JVO840" s="802"/>
      <c r="JVP840" s="802"/>
      <c r="JVQ840" s="802"/>
      <c r="JVR840" s="802"/>
      <c r="JVS840" s="802"/>
      <c r="JVT840" s="802"/>
      <c r="JVU840" s="802"/>
      <c r="JVV840" s="802"/>
      <c r="JVW840" s="802"/>
      <c r="JVX840" s="802"/>
      <c r="JVY840" s="802"/>
      <c r="JVZ840" s="802"/>
      <c r="JWA840" s="802"/>
      <c r="JWB840" s="802"/>
      <c r="JWC840" s="802"/>
      <c r="JWD840" s="802"/>
      <c r="JWE840" s="802"/>
      <c r="JWF840" s="802"/>
      <c r="JWG840" s="802"/>
      <c r="JWH840" s="802"/>
      <c r="JWI840" s="802"/>
      <c r="JWJ840" s="802"/>
      <c r="JWK840" s="802"/>
      <c r="JWL840" s="802"/>
      <c r="JWM840" s="802"/>
      <c r="JWN840" s="802"/>
      <c r="JWO840" s="802"/>
      <c r="JWP840" s="802"/>
      <c r="JWQ840" s="802"/>
      <c r="JWR840" s="802"/>
      <c r="JWS840" s="802"/>
      <c r="JWT840" s="802"/>
      <c r="JWU840" s="802"/>
      <c r="JWV840" s="802"/>
      <c r="JWW840" s="802"/>
      <c r="JWX840" s="802"/>
      <c r="JWY840" s="802"/>
      <c r="JWZ840" s="802"/>
      <c r="JXA840" s="802"/>
      <c r="JXB840" s="802"/>
      <c r="JXC840" s="802"/>
      <c r="JXD840" s="802"/>
      <c r="JXE840" s="802"/>
      <c r="JXF840" s="802"/>
      <c r="JXG840" s="802"/>
      <c r="JXH840" s="802"/>
      <c r="JXI840" s="802"/>
      <c r="JXJ840" s="802"/>
      <c r="JXK840" s="802"/>
      <c r="JXL840" s="802"/>
      <c r="JXM840" s="802"/>
      <c r="JXN840" s="802"/>
      <c r="JXO840" s="802"/>
      <c r="JXP840" s="802"/>
      <c r="JXQ840" s="802"/>
      <c r="JXR840" s="802"/>
      <c r="JXS840" s="802"/>
      <c r="JXT840" s="802"/>
      <c r="JXU840" s="802"/>
      <c r="JXV840" s="802"/>
      <c r="JXW840" s="802"/>
      <c r="JXX840" s="802"/>
      <c r="JXY840" s="802"/>
      <c r="JXZ840" s="802"/>
      <c r="JYA840" s="802"/>
      <c r="JYB840" s="802"/>
      <c r="JYC840" s="802"/>
      <c r="JYD840" s="802"/>
      <c r="JYE840" s="802"/>
      <c r="JYF840" s="802"/>
      <c r="JYG840" s="802"/>
      <c r="JYH840" s="802"/>
      <c r="JYI840" s="802"/>
      <c r="JYJ840" s="802"/>
      <c r="JYK840" s="802"/>
      <c r="JYL840" s="802"/>
      <c r="JYM840" s="802"/>
      <c r="JYN840" s="802"/>
      <c r="JYO840" s="802"/>
      <c r="JYP840" s="802"/>
      <c r="JYQ840" s="802"/>
      <c r="JYR840" s="802"/>
      <c r="JYS840" s="802"/>
      <c r="JYT840" s="802"/>
      <c r="JYU840" s="802"/>
      <c r="JYV840" s="802"/>
      <c r="JYW840" s="802"/>
      <c r="JYX840" s="802"/>
      <c r="JYY840" s="802"/>
      <c r="JYZ840" s="802"/>
      <c r="JZA840" s="802"/>
      <c r="JZB840" s="802"/>
      <c r="JZC840" s="802"/>
      <c r="JZD840" s="802"/>
      <c r="JZE840" s="802"/>
      <c r="JZF840" s="802"/>
      <c r="JZG840" s="802"/>
      <c r="JZH840" s="802"/>
      <c r="JZI840" s="802"/>
      <c r="JZJ840" s="802"/>
      <c r="JZK840" s="802"/>
      <c r="JZL840" s="802"/>
      <c r="JZM840" s="802"/>
      <c r="JZN840" s="802"/>
      <c r="JZO840" s="802"/>
      <c r="JZP840" s="802"/>
      <c r="JZQ840" s="802"/>
      <c r="JZR840" s="802"/>
      <c r="JZS840" s="802"/>
      <c r="JZT840" s="802"/>
      <c r="JZU840" s="802"/>
      <c r="JZV840" s="802"/>
      <c r="JZW840" s="802"/>
      <c r="JZX840" s="802"/>
      <c r="JZY840" s="802"/>
      <c r="JZZ840" s="802"/>
      <c r="KAA840" s="802"/>
      <c r="KAB840" s="802"/>
      <c r="KAC840" s="802"/>
      <c r="KAD840" s="802"/>
      <c r="KAE840" s="802"/>
      <c r="KAF840" s="802"/>
      <c r="KAG840" s="802"/>
      <c r="KAH840" s="802"/>
      <c r="KAI840" s="802"/>
      <c r="KAJ840" s="802"/>
      <c r="KAK840" s="802"/>
      <c r="KAL840" s="802"/>
      <c r="KAM840" s="802"/>
      <c r="KAN840" s="802"/>
      <c r="KAO840" s="802"/>
      <c r="KAP840" s="802"/>
      <c r="KAQ840" s="802"/>
      <c r="KAR840" s="802"/>
      <c r="KAS840" s="802"/>
      <c r="KAT840" s="802"/>
      <c r="KAU840" s="802"/>
      <c r="KAV840" s="802"/>
      <c r="KAW840" s="802"/>
      <c r="KAX840" s="802"/>
      <c r="KAY840" s="802"/>
      <c r="KAZ840" s="802"/>
      <c r="KBA840" s="802"/>
      <c r="KBB840" s="802"/>
      <c r="KBC840" s="802"/>
      <c r="KBD840" s="802"/>
      <c r="KBE840" s="802"/>
      <c r="KBF840" s="802"/>
      <c r="KBG840" s="802"/>
      <c r="KBH840" s="802"/>
      <c r="KBI840" s="802"/>
      <c r="KBJ840" s="802"/>
      <c r="KBK840" s="802"/>
      <c r="KBL840" s="802"/>
      <c r="KBM840" s="802"/>
      <c r="KBN840" s="802"/>
      <c r="KBO840" s="802"/>
      <c r="KBP840" s="802"/>
      <c r="KBQ840" s="802"/>
      <c r="KBR840" s="802"/>
      <c r="KBS840" s="802"/>
      <c r="KBT840" s="802"/>
      <c r="KBU840" s="802"/>
      <c r="KBV840" s="802"/>
      <c r="KBW840" s="802"/>
      <c r="KBX840" s="802"/>
      <c r="KBY840" s="802"/>
      <c r="KBZ840" s="802"/>
      <c r="KCA840" s="802"/>
      <c r="KCB840" s="802"/>
      <c r="KCC840" s="802"/>
      <c r="KCD840" s="802"/>
      <c r="KCE840" s="802"/>
      <c r="KCF840" s="802"/>
      <c r="KCG840" s="802"/>
      <c r="KCH840" s="802"/>
      <c r="KCI840" s="802"/>
      <c r="KCJ840" s="802"/>
      <c r="KCK840" s="802"/>
      <c r="KCL840" s="802"/>
      <c r="KCM840" s="802"/>
      <c r="KCN840" s="802"/>
      <c r="KCO840" s="802"/>
      <c r="KCP840" s="802"/>
      <c r="KCQ840" s="802"/>
      <c r="KCR840" s="802"/>
      <c r="KCS840" s="802"/>
      <c r="KCT840" s="802"/>
      <c r="KCU840" s="802"/>
      <c r="KCV840" s="802"/>
      <c r="KCW840" s="802"/>
      <c r="KCX840" s="802"/>
      <c r="KCY840" s="802"/>
      <c r="KCZ840" s="802"/>
      <c r="KDA840" s="802"/>
      <c r="KDB840" s="802"/>
      <c r="KDC840" s="802"/>
      <c r="KDD840" s="802"/>
      <c r="KDE840" s="802"/>
      <c r="KDF840" s="802"/>
      <c r="KDG840" s="802"/>
      <c r="KDH840" s="802"/>
      <c r="KDI840" s="802"/>
      <c r="KDJ840" s="802"/>
      <c r="KDK840" s="802"/>
      <c r="KDL840" s="802"/>
      <c r="KDM840" s="802"/>
      <c r="KDN840" s="802"/>
      <c r="KDO840" s="802"/>
      <c r="KDP840" s="802"/>
      <c r="KDQ840" s="802"/>
      <c r="KDR840" s="802"/>
      <c r="KDS840" s="802"/>
      <c r="KDT840" s="802"/>
      <c r="KDU840" s="802"/>
      <c r="KDV840" s="802"/>
      <c r="KDW840" s="802"/>
      <c r="KDX840" s="802"/>
      <c r="KDY840" s="802"/>
      <c r="KDZ840" s="802"/>
      <c r="KEA840" s="802"/>
      <c r="KEB840" s="802"/>
      <c r="KEC840" s="802"/>
      <c r="KED840" s="802"/>
      <c r="KEE840" s="802"/>
      <c r="KEF840" s="802"/>
      <c r="KEG840" s="802"/>
      <c r="KEH840" s="802"/>
      <c r="KEI840" s="802"/>
      <c r="KEJ840" s="802"/>
      <c r="KEK840" s="802"/>
      <c r="KEL840" s="802"/>
      <c r="KEM840" s="802"/>
      <c r="KEN840" s="802"/>
      <c r="KEO840" s="802"/>
      <c r="KEP840" s="802"/>
      <c r="KEQ840" s="802"/>
      <c r="KER840" s="802"/>
      <c r="KES840" s="802"/>
      <c r="KET840" s="802"/>
      <c r="KEU840" s="802"/>
      <c r="KEV840" s="802"/>
      <c r="KEW840" s="802"/>
      <c r="KEX840" s="802"/>
      <c r="KEY840" s="802"/>
      <c r="KEZ840" s="802"/>
      <c r="KFA840" s="802"/>
      <c r="KFB840" s="802"/>
      <c r="KFC840" s="802"/>
      <c r="KFD840" s="802"/>
      <c r="KFE840" s="802"/>
      <c r="KFF840" s="802"/>
      <c r="KFG840" s="802"/>
      <c r="KFH840" s="802"/>
      <c r="KFI840" s="802"/>
      <c r="KFJ840" s="802"/>
      <c r="KFK840" s="802"/>
      <c r="KFL840" s="802"/>
      <c r="KFM840" s="802"/>
      <c r="KFN840" s="802"/>
      <c r="KFO840" s="802"/>
      <c r="KFP840" s="802"/>
      <c r="KFQ840" s="802"/>
      <c r="KFR840" s="802"/>
      <c r="KFS840" s="802"/>
      <c r="KFT840" s="802"/>
      <c r="KFU840" s="802"/>
      <c r="KFV840" s="802"/>
      <c r="KFW840" s="802"/>
      <c r="KFX840" s="802"/>
      <c r="KFY840" s="802"/>
      <c r="KFZ840" s="802"/>
      <c r="KGA840" s="802"/>
      <c r="KGB840" s="802"/>
      <c r="KGC840" s="802"/>
      <c r="KGD840" s="802"/>
      <c r="KGE840" s="802"/>
      <c r="KGF840" s="802"/>
      <c r="KGG840" s="802"/>
      <c r="KGH840" s="802"/>
      <c r="KGI840" s="802"/>
      <c r="KGJ840" s="802"/>
      <c r="KGK840" s="802"/>
      <c r="KGL840" s="802"/>
      <c r="KGM840" s="802"/>
      <c r="KGN840" s="802"/>
      <c r="KGO840" s="802"/>
      <c r="KGP840" s="802"/>
      <c r="KGQ840" s="802"/>
      <c r="KGR840" s="802"/>
      <c r="KGS840" s="802"/>
      <c r="KGT840" s="802"/>
      <c r="KGU840" s="802"/>
      <c r="KGV840" s="802"/>
      <c r="KGW840" s="802"/>
      <c r="KGX840" s="802"/>
      <c r="KGY840" s="802"/>
      <c r="KGZ840" s="802"/>
      <c r="KHA840" s="802"/>
      <c r="KHB840" s="802"/>
      <c r="KHC840" s="802"/>
      <c r="KHD840" s="802"/>
      <c r="KHE840" s="802"/>
      <c r="KHF840" s="802"/>
      <c r="KHG840" s="802"/>
      <c r="KHH840" s="802"/>
      <c r="KHI840" s="802"/>
      <c r="KHJ840" s="802"/>
      <c r="KHK840" s="802"/>
      <c r="KHL840" s="802"/>
      <c r="KHM840" s="802"/>
      <c r="KHN840" s="802"/>
      <c r="KHO840" s="802"/>
      <c r="KHP840" s="802"/>
      <c r="KHQ840" s="802"/>
      <c r="KHR840" s="802"/>
      <c r="KHS840" s="802"/>
      <c r="KHT840" s="802"/>
      <c r="KHU840" s="802"/>
      <c r="KHV840" s="802"/>
      <c r="KHW840" s="802"/>
      <c r="KHX840" s="802"/>
      <c r="KHY840" s="802"/>
      <c r="KHZ840" s="802"/>
      <c r="KIA840" s="802"/>
      <c r="KIB840" s="802"/>
      <c r="KIC840" s="802"/>
      <c r="KID840" s="802"/>
      <c r="KIE840" s="802"/>
      <c r="KIF840" s="802"/>
      <c r="KIG840" s="802"/>
      <c r="KIH840" s="802"/>
      <c r="KII840" s="802"/>
      <c r="KIJ840" s="802"/>
      <c r="KIK840" s="802"/>
      <c r="KIL840" s="802"/>
      <c r="KIM840" s="802"/>
      <c r="KIN840" s="802"/>
      <c r="KIO840" s="802"/>
      <c r="KIP840" s="802"/>
      <c r="KIQ840" s="802"/>
      <c r="KIR840" s="802"/>
      <c r="KIS840" s="802"/>
      <c r="KIT840" s="802"/>
      <c r="KIU840" s="802"/>
      <c r="KIV840" s="802"/>
      <c r="KIW840" s="802"/>
      <c r="KIX840" s="802"/>
      <c r="KIY840" s="802"/>
      <c r="KIZ840" s="802"/>
      <c r="KJA840" s="802"/>
      <c r="KJB840" s="802"/>
      <c r="KJC840" s="802"/>
      <c r="KJD840" s="802"/>
      <c r="KJE840" s="802"/>
      <c r="KJF840" s="802"/>
      <c r="KJG840" s="802"/>
      <c r="KJH840" s="802"/>
      <c r="KJI840" s="802"/>
      <c r="KJJ840" s="802"/>
      <c r="KJK840" s="802"/>
      <c r="KJL840" s="802"/>
      <c r="KJM840" s="802"/>
      <c r="KJN840" s="802"/>
      <c r="KJO840" s="802"/>
      <c r="KJP840" s="802"/>
      <c r="KJQ840" s="802"/>
      <c r="KJR840" s="802"/>
      <c r="KJS840" s="802"/>
      <c r="KJT840" s="802"/>
      <c r="KJU840" s="802"/>
      <c r="KJV840" s="802"/>
      <c r="KJW840" s="802"/>
      <c r="KJX840" s="802"/>
      <c r="KJY840" s="802"/>
      <c r="KJZ840" s="802"/>
      <c r="KKA840" s="802"/>
      <c r="KKB840" s="802"/>
      <c r="KKC840" s="802"/>
      <c r="KKD840" s="802"/>
      <c r="KKE840" s="802"/>
      <c r="KKF840" s="802"/>
      <c r="KKG840" s="802"/>
      <c r="KKH840" s="802"/>
      <c r="KKI840" s="802"/>
      <c r="KKJ840" s="802"/>
      <c r="KKK840" s="802"/>
      <c r="KKL840" s="802"/>
      <c r="KKM840" s="802"/>
      <c r="KKN840" s="802"/>
      <c r="KKO840" s="802"/>
      <c r="KKP840" s="802"/>
      <c r="KKQ840" s="802"/>
      <c r="KKR840" s="802"/>
      <c r="KKS840" s="802"/>
      <c r="KKT840" s="802"/>
      <c r="KKU840" s="802"/>
      <c r="KKV840" s="802"/>
      <c r="KKW840" s="802"/>
      <c r="KKX840" s="802"/>
      <c r="KKY840" s="802"/>
      <c r="KKZ840" s="802"/>
      <c r="KLA840" s="802"/>
      <c r="KLB840" s="802"/>
      <c r="KLC840" s="802"/>
      <c r="KLD840" s="802"/>
      <c r="KLE840" s="802"/>
      <c r="KLF840" s="802"/>
      <c r="KLG840" s="802"/>
      <c r="KLH840" s="802"/>
      <c r="KLI840" s="802"/>
      <c r="KLJ840" s="802"/>
      <c r="KLK840" s="802"/>
      <c r="KLL840" s="802"/>
      <c r="KLM840" s="802"/>
      <c r="KLN840" s="802"/>
      <c r="KLO840" s="802"/>
      <c r="KLP840" s="802"/>
      <c r="KLQ840" s="802"/>
      <c r="KLR840" s="802"/>
      <c r="KLS840" s="802"/>
      <c r="KLT840" s="802"/>
      <c r="KLU840" s="802"/>
      <c r="KLV840" s="802"/>
      <c r="KLW840" s="802"/>
      <c r="KLX840" s="802"/>
      <c r="KLY840" s="802"/>
      <c r="KLZ840" s="802"/>
      <c r="KMA840" s="802"/>
      <c r="KMB840" s="802"/>
      <c r="KMC840" s="802"/>
      <c r="KMD840" s="802"/>
      <c r="KME840" s="802"/>
      <c r="KMF840" s="802"/>
      <c r="KMG840" s="802"/>
      <c r="KMH840" s="802"/>
      <c r="KMI840" s="802"/>
      <c r="KMJ840" s="802"/>
      <c r="KMK840" s="802"/>
      <c r="KML840" s="802"/>
      <c r="KMM840" s="802"/>
      <c r="KMN840" s="802"/>
      <c r="KMO840" s="802"/>
      <c r="KMP840" s="802"/>
      <c r="KMQ840" s="802"/>
      <c r="KMR840" s="802"/>
      <c r="KMS840" s="802"/>
      <c r="KMT840" s="802"/>
      <c r="KMU840" s="802"/>
      <c r="KMV840" s="802"/>
      <c r="KMW840" s="802"/>
      <c r="KMX840" s="802"/>
      <c r="KMY840" s="802"/>
      <c r="KMZ840" s="802"/>
      <c r="KNA840" s="802"/>
      <c r="KNB840" s="802"/>
      <c r="KNC840" s="802"/>
      <c r="KND840" s="802"/>
      <c r="KNE840" s="802"/>
      <c r="KNF840" s="802"/>
      <c r="KNG840" s="802"/>
      <c r="KNH840" s="802"/>
      <c r="KNI840" s="802"/>
      <c r="KNJ840" s="802"/>
      <c r="KNK840" s="802"/>
      <c r="KNL840" s="802"/>
      <c r="KNM840" s="802"/>
      <c r="KNN840" s="802"/>
      <c r="KNO840" s="802"/>
      <c r="KNP840" s="802"/>
      <c r="KNQ840" s="802"/>
      <c r="KNR840" s="802"/>
      <c r="KNS840" s="802"/>
      <c r="KNT840" s="802"/>
      <c r="KNU840" s="802"/>
      <c r="KNV840" s="802"/>
      <c r="KNW840" s="802"/>
      <c r="KNX840" s="802"/>
      <c r="KNY840" s="802"/>
      <c r="KNZ840" s="802"/>
      <c r="KOA840" s="802"/>
      <c r="KOB840" s="802"/>
      <c r="KOC840" s="802"/>
      <c r="KOD840" s="802"/>
      <c r="KOE840" s="802"/>
      <c r="KOF840" s="802"/>
      <c r="KOG840" s="802"/>
      <c r="KOH840" s="802"/>
      <c r="KOI840" s="802"/>
      <c r="KOJ840" s="802"/>
      <c r="KOK840" s="802"/>
      <c r="KOL840" s="802"/>
      <c r="KOM840" s="802"/>
      <c r="KON840" s="802"/>
      <c r="KOO840" s="802"/>
      <c r="KOP840" s="802"/>
      <c r="KOQ840" s="802"/>
      <c r="KOR840" s="802"/>
      <c r="KOS840" s="802"/>
      <c r="KOT840" s="802"/>
      <c r="KOU840" s="802"/>
      <c r="KOV840" s="802"/>
      <c r="KOW840" s="802"/>
      <c r="KOX840" s="802"/>
      <c r="KOY840" s="802"/>
      <c r="KOZ840" s="802"/>
      <c r="KPA840" s="802"/>
      <c r="KPB840" s="802"/>
      <c r="KPC840" s="802"/>
      <c r="KPD840" s="802"/>
      <c r="KPE840" s="802"/>
      <c r="KPF840" s="802"/>
      <c r="KPG840" s="802"/>
      <c r="KPH840" s="802"/>
      <c r="KPI840" s="802"/>
      <c r="KPJ840" s="802"/>
      <c r="KPK840" s="802"/>
      <c r="KPL840" s="802"/>
      <c r="KPM840" s="802"/>
      <c r="KPN840" s="802"/>
      <c r="KPO840" s="802"/>
      <c r="KPP840" s="802"/>
      <c r="KPQ840" s="802"/>
      <c r="KPR840" s="802"/>
      <c r="KPS840" s="802"/>
      <c r="KPT840" s="802"/>
      <c r="KPU840" s="802"/>
      <c r="KPV840" s="802"/>
      <c r="KPW840" s="802"/>
      <c r="KPX840" s="802"/>
      <c r="KPY840" s="802"/>
      <c r="KPZ840" s="802"/>
      <c r="KQA840" s="802"/>
      <c r="KQB840" s="802"/>
      <c r="KQC840" s="802"/>
      <c r="KQD840" s="802"/>
      <c r="KQE840" s="802"/>
      <c r="KQF840" s="802"/>
      <c r="KQG840" s="802"/>
      <c r="KQH840" s="802"/>
      <c r="KQI840" s="802"/>
      <c r="KQJ840" s="802"/>
      <c r="KQK840" s="802"/>
      <c r="KQL840" s="802"/>
      <c r="KQM840" s="802"/>
      <c r="KQN840" s="802"/>
      <c r="KQO840" s="802"/>
      <c r="KQP840" s="802"/>
      <c r="KQQ840" s="802"/>
      <c r="KQR840" s="802"/>
      <c r="KQS840" s="802"/>
      <c r="KQT840" s="802"/>
      <c r="KQU840" s="802"/>
      <c r="KQV840" s="802"/>
      <c r="KQW840" s="802"/>
      <c r="KQX840" s="802"/>
      <c r="KQY840" s="802"/>
      <c r="KQZ840" s="802"/>
      <c r="KRA840" s="802"/>
      <c r="KRB840" s="802"/>
      <c r="KRC840" s="802"/>
      <c r="KRD840" s="802"/>
      <c r="KRE840" s="802"/>
      <c r="KRF840" s="802"/>
      <c r="KRG840" s="802"/>
      <c r="KRH840" s="802"/>
      <c r="KRI840" s="802"/>
      <c r="KRJ840" s="802"/>
      <c r="KRK840" s="802"/>
      <c r="KRL840" s="802"/>
      <c r="KRM840" s="802"/>
      <c r="KRN840" s="802"/>
      <c r="KRO840" s="802"/>
      <c r="KRP840" s="802"/>
      <c r="KRQ840" s="802"/>
      <c r="KRR840" s="802"/>
      <c r="KRS840" s="802"/>
      <c r="KRT840" s="802"/>
      <c r="KRU840" s="802"/>
      <c r="KRV840" s="802"/>
      <c r="KRW840" s="802"/>
      <c r="KRX840" s="802"/>
      <c r="KRY840" s="802"/>
      <c r="KRZ840" s="802"/>
      <c r="KSA840" s="802"/>
      <c r="KSB840" s="802"/>
      <c r="KSC840" s="802"/>
      <c r="KSD840" s="802"/>
      <c r="KSE840" s="802"/>
      <c r="KSF840" s="802"/>
      <c r="KSG840" s="802"/>
      <c r="KSH840" s="802"/>
      <c r="KSI840" s="802"/>
      <c r="KSJ840" s="802"/>
      <c r="KSK840" s="802"/>
      <c r="KSL840" s="802"/>
      <c r="KSM840" s="802"/>
      <c r="KSN840" s="802"/>
      <c r="KSO840" s="802"/>
      <c r="KSP840" s="802"/>
      <c r="KSQ840" s="802"/>
      <c r="KSR840" s="802"/>
      <c r="KSS840" s="802"/>
      <c r="KST840" s="802"/>
      <c r="KSU840" s="802"/>
      <c r="KSV840" s="802"/>
      <c r="KSW840" s="802"/>
      <c r="KSX840" s="802"/>
      <c r="KSY840" s="802"/>
      <c r="KSZ840" s="802"/>
      <c r="KTA840" s="802"/>
      <c r="KTB840" s="802"/>
      <c r="KTC840" s="802"/>
      <c r="KTD840" s="802"/>
      <c r="KTE840" s="802"/>
      <c r="KTF840" s="802"/>
      <c r="KTG840" s="802"/>
      <c r="KTH840" s="802"/>
      <c r="KTI840" s="802"/>
      <c r="KTJ840" s="802"/>
      <c r="KTK840" s="802"/>
      <c r="KTL840" s="802"/>
      <c r="KTM840" s="802"/>
      <c r="KTN840" s="802"/>
      <c r="KTO840" s="802"/>
      <c r="KTP840" s="802"/>
      <c r="KTQ840" s="802"/>
      <c r="KTR840" s="802"/>
      <c r="KTS840" s="802"/>
      <c r="KTT840" s="802"/>
      <c r="KTU840" s="802"/>
      <c r="KTV840" s="802"/>
      <c r="KTW840" s="802"/>
      <c r="KTX840" s="802"/>
      <c r="KTY840" s="802"/>
      <c r="KTZ840" s="802"/>
      <c r="KUA840" s="802"/>
      <c r="KUB840" s="802"/>
      <c r="KUC840" s="802"/>
      <c r="KUD840" s="802"/>
      <c r="KUE840" s="802"/>
      <c r="KUF840" s="802"/>
      <c r="KUG840" s="802"/>
      <c r="KUH840" s="802"/>
      <c r="KUI840" s="802"/>
      <c r="KUJ840" s="802"/>
      <c r="KUK840" s="802"/>
      <c r="KUL840" s="802"/>
      <c r="KUM840" s="802"/>
      <c r="KUN840" s="802"/>
      <c r="KUO840" s="802"/>
      <c r="KUP840" s="802"/>
      <c r="KUQ840" s="802"/>
      <c r="KUR840" s="802"/>
      <c r="KUS840" s="802"/>
      <c r="KUT840" s="802"/>
      <c r="KUU840" s="802"/>
      <c r="KUV840" s="802"/>
      <c r="KUW840" s="802"/>
      <c r="KUX840" s="802"/>
      <c r="KUY840" s="802"/>
      <c r="KUZ840" s="802"/>
      <c r="KVA840" s="802"/>
      <c r="KVB840" s="802"/>
      <c r="KVC840" s="802"/>
      <c r="KVD840" s="802"/>
      <c r="KVE840" s="802"/>
      <c r="KVF840" s="802"/>
      <c r="KVG840" s="802"/>
      <c r="KVH840" s="802"/>
      <c r="KVI840" s="802"/>
      <c r="KVJ840" s="802"/>
      <c r="KVK840" s="802"/>
      <c r="KVL840" s="802"/>
      <c r="KVM840" s="802"/>
      <c r="KVN840" s="802"/>
      <c r="KVO840" s="802"/>
      <c r="KVP840" s="802"/>
      <c r="KVQ840" s="802"/>
      <c r="KVR840" s="802"/>
      <c r="KVS840" s="802"/>
      <c r="KVT840" s="802"/>
      <c r="KVU840" s="802"/>
      <c r="KVV840" s="802"/>
      <c r="KVW840" s="802"/>
      <c r="KVX840" s="802"/>
      <c r="KVY840" s="802"/>
      <c r="KVZ840" s="802"/>
      <c r="KWA840" s="802"/>
      <c r="KWB840" s="802"/>
      <c r="KWC840" s="802"/>
      <c r="KWD840" s="802"/>
      <c r="KWE840" s="802"/>
      <c r="KWF840" s="802"/>
      <c r="KWG840" s="802"/>
      <c r="KWH840" s="802"/>
      <c r="KWI840" s="802"/>
      <c r="KWJ840" s="802"/>
      <c r="KWK840" s="802"/>
      <c r="KWL840" s="802"/>
      <c r="KWM840" s="802"/>
      <c r="KWN840" s="802"/>
      <c r="KWO840" s="802"/>
      <c r="KWP840" s="802"/>
      <c r="KWQ840" s="802"/>
      <c r="KWR840" s="802"/>
      <c r="KWS840" s="802"/>
      <c r="KWT840" s="802"/>
      <c r="KWU840" s="802"/>
      <c r="KWV840" s="802"/>
      <c r="KWW840" s="802"/>
      <c r="KWX840" s="802"/>
      <c r="KWY840" s="802"/>
      <c r="KWZ840" s="802"/>
      <c r="KXA840" s="802"/>
      <c r="KXB840" s="802"/>
      <c r="KXC840" s="802"/>
      <c r="KXD840" s="802"/>
      <c r="KXE840" s="802"/>
      <c r="KXF840" s="802"/>
      <c r="KXG840" s="802"/>
      <c r="KXH840" s="802"/>
      <c r="KXI840" s="802"/>
      <c r="KXJ840" s="802"/>
      <c r="KXK840" s="802"/>
      <c r="KXL840" s="802"/>
      <c r="KXM840" s="802"/>
      <c r="KXN840" s="802"/>
      <c r="KXO840" s="802"/>
      <c r="KXP840" s="802"/>
      <c r="KXQ840" s="802"/>
      <c r="KXR840" s="802"/>
      <c r="KXS840" s="802"/>
      <c r="KXT840" s="802"/>
      <c r="KXU840" s="802"/>
      <c r="KXV840" s="802"/>
      <c r="KXW840" s="802"/>
      <c r="KXX840" s="802"/>
      <c r="KXY840" s="802"/>
      <c r="KXZ840" s="802"/>
      <c r="KYA840" s="802"/>
      <c r="KYB840" s="802"/>
      <c r="KYC840" s="802"/>
      <c r="KYD840" s="802"/>
      <c r="KYE840" s="802"/>
      <c r="KYF840" s="802"/>
      <c r="KYG840" s="802"/>
      <c r="KYH840" s="802"/>
      <c r="KYI840" s="802"/>
      <c r="KYJ840" s="802"/>
      <c r="KYK840" s="802"/>
      <c r="KYL840" s="802"/>
      <c r="KYM840" s="802"/>
      <c r="KYN840" s="802"/>
      <c r="KYO840" s="802"/>
      <c r="KYP840" s="802"/>
      <c r="KYQ840" s="802"/>
      <c r="KYR840" s="802"/>
      <c r="KYS840" s="802"/>
      <c r="KYT840" s="802"/>
      <c r="KYU840" s="802"/>
      <c r="KYV840" s="802"/>
      <c r="KYW840" s="802"/>
      <c r="KYX840" s="802"/>
      <c r="KYY840" s="802"/>
      <c r="KYZ840" s="802"/>
      <c r="KZA840" s="802"/>
      <c r="KZB840" s="802"/>
      <c r="KZC840" s="802"/>
      <c r="KZD840" s="802"/>
      <c r="KZE840" s="802"/>
      <c r="KZF840" s="802"/>
      <c r="KZG840" s="802"/>
      <c r="KZH840" s="802"/>
      <c r="KZI840" s="802"/>
      <c r="KZJ840" s="802"/>
      <c r="KZK840" s="802"/>
      <c r="KZL840" s="802"/>
      <c r="KZM840" s="802"/>
      <c r="KZN840" s="802"/>
      <c r="KZO840" s="802"/>
      <c r="KZP840" s="802"/>
      <c r="KZQ840" s="802"/>
      <c r="KZR840" s="802"/>
      <c r="KZS840" s="802"/>
      <c r="KZT840" s="802"/>
      <c r="KZU840" s="802"/>
      <c r="KZV840" s="802"/>
      <c r="KZW840" s="802"/>
      <c r="KZX840" s="802"/>
      <c r="KZY840" s="802"/>
      <c r="KZZ840" s="802"/>
      <c r="LAA840" s="802"/>
      <c r="LAB840" s="802"/>
      <c r="LAC840" s="802"/>
      <c r="LAD840" s="802"/>
      <c r="LAE840" s="802"/>
      <c r="LAF840" s="802"/>
      <c r="LAG840" s="802"/>
      <c r="LAH840" s="802"/>
      <c r="LAI840" s="802"/>
      <c r="LAJ840" s="802"/>
      <c r="LAK840" s="802"/>
      <c r="LAL840" s="802"/>
      <c r="LAM840" s="802"/>
      <c r="LAN840" s="802"/>
      <c r="LAO840" s="802"/>
      <c r="LAP840" s="802"/>
      <c r="LAQ840" s="802"/>
      <c r="LAR840" s="802"/>
      <c r="LAS840" s="802"/>
      <c r="LAT840" s="802"/>
      <c r="LAU840" s="802"/>
      <c r="LAV840" s="802"/>
      <c r="LAW840" s="802"/>
      <c r="LAX840" s="802"/>
      <c r="LAY840" s="802"/>
      <c r="LAZ840" s="802"/>
      <c r="LBA840" s="802"/>
      <c r="LBB840" s="802"/>
      <c r="LBC840" s="802"/>
      <c r="LBD840" s="802"/>
      <c r="LBE840" s="802"/>
      <c r="LBF840" s="802"/>
      <c r="LBG840" s="802"/>
      <c r="LBH840" s="802"/>
      <c r="LBI840" s="802"/>
      <c r="LBJ840" s="802"/>
      <c r="LBK840" s="802"/>
      <c r="LBL840" s="802"/>
      <c r="LBM840" s="802"/>
      <c r="LBN840" s="802"/>
      <c r="LBO840" s="802"/>
      <c r="LBP840" s="802"/>
      <c r="LBQ840" s="802"/>
      <c r="LBR840" s="802"/>
      <c r="LBS840" s="802"/>
      <c r="LBT840" s="802"/>
      <c r="LBU840" s="802"/>
      <c r="LBV840" s="802"/>
      <c r="LBW840" s="802"/>
      <c r="LBX840" s="802"/>
      <c r="LBY840" s="802"/>
      <c r="LBZ840" s="802"/>
      <c r="LCA840" s="802"/>
      <c r="LCB840" s="802"/>
      <c r="LCC840" s="802"/>
      <c r="LCD840" s="802"/>
      <c r="LCE840" s="802"/>
      <c r="LCF840" s="802"/>
      <c r="LCG840" s="802"/>
      <c r="LCH840" s="802"/>
      <c r="LCI840" s="802"/>
      <c r="LCJ840" s="802"/>
      <c r="LCK840" s="802"/>
      <c r="LCL840" s="802"/>
      <c r="LCM840" s="802"/>
      <c r="LCN840" s="802"/>
      <c r="LCO840" s="802"/>
      <c r="LCP840" s="802"/>
      <c r="LCQ840" s="802"/>
      <c r="LCR840" s="802"/>
      <c r="LCS840" s="802"/>
      <c r="LCT840" s="802"/>
      <c r="LCU840" s="802"/>
      <c r="LCV840" s="802"/>
      <c r="LCW840" s="802"/>
      <c r="LCX840" s="802"/>
      <c r="LCY840" s="802"/>
      <c r="LCZ840" s="802"/>
      <c r="LDA840" s="802"/>
      <c r="LDB840" s="802"/>
      <c r="LDC840" s="802"/>
      <c r="LDD840" s="802"/>
      <c r="LDE840" s="802"/>
      <c r="LDF840" s="802"/>
      <c r="LDG840" s="802"/>
      <c r="LDH840" s="802"/>
      <c r="LDI840" s="802"/>
      <c r="LDJ840" s="802"/>
      <c r="LDK840" s="802"/>
      <c r="LDL840" s="802"/>
      <c r="LDM840" s="802"/>
      <c r="LDN840" s="802"/>
      <c r="LDO840" s="802"/>
      <c r="LDP840" s="802"/>
      <c r="LDQ840" s="802"/>
      <c r="LDR840" s="802"/>
      <c r="LDS840" s="802"/>
      <c r="LDT840" s="802"/>
      <c r="LDU840" s="802"/>
      <c r="LDV840" s="802"/>
      <c r="LDW840" s="802"/>
      <c r="LDX840" s="802"/>
      <c r="LDY840" s="802"/>
      <c r="LDZ840" s="802"/>
      <c r="LEA840" s="802"/>
      <c r="LEB840" s="802"/>
      <c r="LEC840" s="802"/>
      <c r="LED840" s="802"/>
      <c r="LEE840" s="802"/>
      <c r="LEF840" s="802"/>
      <c r="LEG840" s="802"/>
      <c r="LEH840" s="802"/>
      <c r="LEI840" s="802"/>
      <c r="LEJ840" s="802"/>
      <c r="LEK840" s="802"/>
      <c r="LEL840" s="802"/>
      <c r="LEM840" s="802"/>
      <c r="LEN840" s="802"/>
      <c r="LEO840" s="802"/>
      <c r="LEP840" s="802"/>
      <c r="LEQ840" s="802"/>
      <c r="LER840" s="802"/>
      <c r="LES840" s="802"/>
      <c r="LET840" s="802"/>
      <c r="LEU840" s="802"/>
      <c r="LEV840" s="802"/>
      <c r="LEW840" s="802"/>
      <c r="LEX840" s="802"/>
      <c r="LEY840" s="802"/>
      <c r="LEZ840" s="802"/>
      <c r="LFA840" s="802"/>
      <c r="LFB840" s="802"/>
      <c r="LFC840" s="802"/>
      <c r="LFD840" s="802"/>
      <c r="LFE840" s="802"/>
      <c r="LFF840" s="802"/>
      <c r="LFG840" s="802"/>
      <c r="LFH840" s="802"/>
      <c r="LFI840" s="802"/>
      <c r="LFJ840" s="802"/>
      <c r="LFK840" s="802"/>
      <c r="LFL840" s="802"/>
      <c r="LFM840" s="802"/>
      <c r="LFN840" s="802"/>
      <c r="LFO840" s="802"/>
      <c r="LFP840" s="802"/>
      <c r="LFQ840" s="802"/>
      <c r="LFR840" s="802"/>
      <c r="LFS840" s="802"/>
      <c r="LFT840" s="802"/>
      <c r="LFU840" s="802"/>
      <c r="LFV840" s="802"/>
      <c r="LFW840" s="802"/>
      <c r="LFX840" s="802"/>
      <c r="LFY840" s="802"/>
      <c r="LFZ840" s="802"/>
      <c r="LGA840" s="802"/>
      <c r="LGB840" s="802"/>
      <c r="LGC840" s="802"/>
      <c r="LGD840" s="802"/>
      <c r="LGE840" s="802"/>
      <c r="LGF840" s="802"/>
      <c r="LGG840" s="802"/>
      <c r="LGH840" s="802"/>
      <c r="LGI840" s="802"/>
      <c r="LGJ840" s="802"/>
      <c r="LGK840" s="802"/>
      <c r="LGL840" s="802"/>
      <c r="LGM840" s="802"/>
      <c r="LGN840" s="802"/>
      <c r="LGO840" s="802"/>
      <c r="LGP840" s="802"/>
      <c r="LGQ840" s="802"/>
      <c r="LGR840" s="802"/>
      <c r="LGS840" s="802"/>
      <c r="LGT840" s="802"/>
      <c r="LGU840" s="802"/>
      <c r="LGV840" s="802"/>
      <c r="LGW840" s="802"/>
      <c r="LGX840" s="802"/>
      <c r="LGY840" s="802"/>
      <c r="LGZ840" s="802"/>
      <c r="LHA840" s="802"/>
      <c r="LHB840" s="802"/>
      <c r="LHC840" s="802"/>
      <c r="LHD840" s="802"/>
      <c r="LHE840" s="802"/>
      <c r="LHF840" s="802"/>
      <c r="LHG840" s="802"/>
      <c r="LHH840" s="802"/>
      <c r="LHI840" s="802"/>
      <c r="LHJ840" s="802"/>
      <c r="LHK840" s="802"/>
      <c r="LHL840" s="802"/>
      <c r="LHM840" s="802"/>
      <c r="LHN840" s="802"/>
      <c r="LHO840" s="802"/>
      <c r="LHP840" s="802"/>
      <c r="LHQ840" s="802"/>
      <c r="LHR840" s="802"/>
      <c r="LHS840" s="802"/>
      <c r="LHT840" s="802"/>
      <c r="LHU840" s="802"/>
      <c r="LHV840" s="802"/>
      <c r="LHW840" s="802"/>
      <c r="LHX840" s="802"/>
      <c r="LHY840" s="802"/>
      <c r="LHZ840" s="802"/>
      <c r="LIA840" s="802"/>
      <c r="LIB840" s="802"/>
      <c r="LIC840" s="802"/>
      <c r="LID840" s="802"/>
      <c r="LIE840" s="802"/>
      <c r="LIF840" s="802"/>
      <c r="LIG840" s="802"/>
      <c r="LIH840" s="802"/>
      <c r="LII840" s="802"/>
      <c r="LIJ840" s="802"/>
      <c r="LIK840" s="802"/>
      <c r="LIL840" s="802"/>
      <c r="LIM840" s="802"/>
      <c r="LIN840" s="802"/>
      <c r="LIO840" s="802"/>
      <c r="LIP840" s="802"/>
      <c r="LIQ840" s="802"/>
      <c r="LIR840" s="802"/>
      <c r="LIS840" s="802"/>
      <c r="LIT840" s="802"/>
      <c r="LIU840" s="802"/>
      <c r="LIV840" s="802"/>
      <c r="LIW840" s="802"/>
      <c r="LIX840" s="802"/>
      <c r="LIY840" s="802"/>
      <c r="LIZ840" s="802"/>
      <c r="LJA840" s="802"/>
      <c r="LJB840" s="802"/>
      <c r="LJC840" s="802"/>
      <c r="LJD840" s="802"/>
      <c r="LJE840" s="802"/>
      <c r="LJF840" s="802"/>
      <c r="LJG840" s="802"/>
      <c r="LJH840" s="802"/>
      <c r="LJI840" s="802"/>
      <c r="LJJ840" s="802"/>
      <c r="LJK840" s="802"/>
      <c r="LJL840" s="802"/>
      <c r="LJM840" s="802"/>
      <c r="LJN840" s="802"/>
      <c r="LJO840" s="802"/>
      <c r="LJP840" s="802"/>
      <c r="LJQ840" s="802"/>
      <c r="LJR840" s="802"/>
      <c r="LJS840" s="802"/>
      <c r="LJT840" s="802"/>
      <c r="LJU840" s="802"/>
      <c r="LJV840" s="802"/>
      <c r="LJW840" s="802"/>
      <c r="LJX840" s="802"/>
      <c r="LJY840" s="802"/>
      <c r="LJZ840" s="802"/>
      <c r="LKA840" s="802"/>
      <c r="LKB840" s="802"/>
      <c r="LKC840" s="802"/>
      <c r="LKD840" s="802"/>
      <c r="LKE840" s="802"/>
      <c r="LKF840" s="802"/>
      <c r="LKG840" s="802"/>
      <c r="LKH840" s="802"/>
      <c r="LKI840" s="802"/>
      <c r="LKJ840" s="802"/>
      <c r="LKK840" s="802"/>
      <c r="LKL840" s="802"/>
      <c r="LKM840" s="802"/>
      <c r="LKN840" s="802"/>
      <c r="LKO840" s="802"/>
      <c r="LKP840" s="802"/>
      <c r="LKQ840" s="802"/>
      <c r="LKR840" s="802"/>
      <c r="LKS840" s="802"/>
      <c r="LKT840" s="802"/>
      <c r="LKU840" s="802"/>
      <c r="LKV840" s="802"/>
      <c r="LKW840" s="802"/>
      <c r="LKX840" s="802"/>
      <c r="LKY840" s="802"/>
      <c r="LKZ840" s="802"/>
      <c r="LLA840" s="802"/>
      <c r="LLB840" s="802"/>
      <c r="LLC840" s="802"/>
      <c r="LLD840" s="802"/>
      <c r="LLE840" s="802"/>
      <c r="LLF840" s="802"/>
      <c r="LLG840" s="802"/>
      <c r="LLH840" s="802"/>
      <c r="LLI840" s="802"/>
      <c r="LLJ840" s="802"/>
      <c r="LLK840" s="802"/>
      <c r="LLL840" s="802"/>
      <c r="LLM840" s="802"/>
      <c r="LLN840" s="802"/>
      <c r="LLO840" s="802"/>
      <c r="LLP840" s="802"/>
      <c r="LLQ840" s="802"/>
      <c r="LLR840" s="802"/>
      <c r="LLS840" s="802"/>
      <c r="LLT840" s="802"/>
      <c r="LLU840" s="802"/>
      <c r="LLV840" s="802"/>
      <c r="LLW840" s="802"/>
      <c r="LLX840" s="802"/>
      <c r="LLY840" s="802"/>
      <c r="LLZ840" s="802"/>
      <c r="LMA840" s="802"/>
      <c r="LMB840" s="802"/>
      <c r="LMC840" s="802"/>
      <c r="LMD840" s="802"/>
      <c r="LME840" s="802"/>
      <c r="LMF840" s="802"/>
      <c r="LMG840" s="802"/>
      <c r="LMH840" s="802"/>
      <c r="LMI840" s="802"/>
      <c r="LMJ840" s="802"/>
      <c r="LMK840" s="802"/>
      <c r="LML840" s="802"/>
      <c r="LMM840" s="802"/>
      <c r="LMN840" s="802"/>
      <c r="LMO840" s="802"/>
      <c r="LMP840" s="802"/>
      <c r="LMQ840" s="802"/>
      <c r="LMR840" s="802"/>
      <c r="LMS840" s="802"/>
      <c r="LMT840" s="802"/>
      <c r="LMU840" s="802"/>
      <c r="LMV840" s="802"/>
      <c r="LMW840" s="802"/>
      <c r="LMX840" s="802"/>
      <c r="LMY840" s="802"/>
      <c r="LMZ840" s="802"/>
      <c r="LNA840" s="802"/>
      <c r="LNB840" s="802"/>
      <c r="LNC840" s="802"/>
      <c r="LND840" s="802"/>
      <c r="LNE840" s="802"/>
      <c r="LNF840" s="802"/>
      <c r="LNG840" s="802"/>
      <c r="LNH840" s="802"/>
      <c r="LNI840" s="802"/>
      <c r="LNJ840" s="802"/>
      <c r="LNK840" s="802"/>
      <c r="LNL840" s="802"/>
      <c r="LNM840" s="802"/>
      <c r="LNN840" s="802"/>
      <c r="LNO840" s="802"/>
      <c r="LNP840" s="802"/>
      <c r="LNQ840" s="802"/>
      <c r="LNR840" s="802"/>
      <c r="LNS840" s="802"/>
      <c r="LNT840" s="802"/>
      <c r="LNU840" s="802"/>
      <c r="LNV840" s="802"/>
      <c r="LNW840" s="802"/>
      <c r="LNX840" s="802"/>
      <c r="LNY840" s="802"/>
      <c r="LNZ840" s="802"/>
      <c r="LOA840" s="802"/>
      <c r="LOB840" s="802"/>
      <c r="LOC840" s="802"/>
      <c r="LOD840" s="802"/>
      <c r="LOE840" s="802"/>
      <c r="LOF840" s="802"/>
      <c r="LOG840" s="802"/>
      <c r="LOH840" s="802"/>
      <c r="LOI840" s="802"/>
      <c r="LOJ840" s="802"/>
      <c r="LOK840" s="802"/>
      <c r="LOL840" s="802"/>
      <c r="LOM840" s="802"/>
      <c r="LON840" s="802"/>
      <c r="LOO840" s="802"/>
      <c r="LOP840" s="802"/>
      <c r="LOQ840" s="802"/>
      <c r="LOR840" s="802"/>
      <c r="LOS840" s="802"/>
      <c r="LOT840" s="802"/>
      <c r="LOU840" s="802"/>
      <c r="LOV840" s="802"/>
      <c r="LOW840" s="802"/>
      <c r="LOX840" s="802"/>
      <c r="LOY840" s="802"/>
      <c r="LOZ840" s="802"/>
      <c r="LPA840" s="802"/>
      <c r="LPB840" s="802"/>
      <c r="LPC840" s="802"/>
      <c r="LPD840" s="802"/>
      <c r="LPE840" s="802"/>
      <c r="LPF840" s="802"/>
      <c r="LPG840" s="802"/>
      <c r="LPH840" s="802"/>
      <c r="LPI840" s="802"/>
      <c r="LPJ840" s="802"/>
      <c r="LPK840" s="802"/>
      <c r="LPL840" s="802"/>
      <c r="LPM840" s="802"/>
      <c r="LPN840" s="802"/>
      <c r="LPO840" s="802"/>
      <c r="LPP840" s="802"/>
      <c r="LPQ840" s="802"/>
      <c r="LPR840" s="802"/>
      <c r="LPS840" s="802"/>
      <c r="LPT840" s="802"/>
      <c r="LPU840" s="802"/>
      <c r="LPV840" s="802"/>
      <c r="LPW840" s="802"/>
      <c r="LPX840" s="802"/>
      <c r="LPY840" s="802"/>
      <c r="LPZ840" s="802"/>
      <c r="LQA840" s="802"/>
      <c r="LQB840" s="802"/>
      <c r="LQC840" s="802"/>
      <c r="LQD840" s="802"/>
      <c r="LQE840" s="802"/>
      <c r="LQF840" s="802"/>
      <c r="LQG840" s="802"/>
      <c r="LQH840" s="802"/>
      <c r="LQI840" s="802"/>
      <c r="LQJ840" s="802"/>
      <c r="LQK840" s="802"/>
      <c r="LQL840" s="802"/>
      <c r="LQM840" s="802"/>
      <c r="LQN840" s="802"/>
      <c r="LQO840" s="802"/>
      <c r="LQP840" s="802"/>
      <c r="LQQ840" s="802"/>
      <c r="LQR840" s="802"/>
      <c r="LQS840" s="802"/>
      <c r="LQT840" s="802"/>
      <c r="LQU840" s="802"/>
      <c r="LQV840" s="802"/>
      <c r="LQW840" s="802"/>
      <c r="LQX840" s="802"/>
      <c r="LQY840" s="802"/>
      <c r="LQZ840" s="802"/>
      <c r="LRA840" s="802"/>
      <c r="LRB840" s="802"/>
      <c r="LRC840" s="802"/>
      <c r="LRD840" s="802"/>
      <c r="LRE840" s="802"/>
      <c r="LRF840" s="802"/>
      <c r="LRG840" s="802"/>
      <c r="LRH840" s="802"/>
      <c r="LRI840" s="802"/>
      <c r="LRJ840" s="802"/>
      <c r="LRK840" s="802"/>
      <c r="LRL840" s="802"/>
      <c r="LRM840" s="802"/>
      <c r="LRN840" s="802"/>
      <c r="LRO840" s="802"/>
      <c r="LRP840" s="802"/>
      <c r="LRQ840" s="802"/>
      <c r="LRR840" s="802"/>
      <c r="LRS840" s="802"/>
      <c r="LRT840" s="802"/>
      <c r="LRU840" s="802"/>
      <c r="LRV840" s="802"/>
      <c r="LRW840" s="802"/>
      <c r="LRX840" s="802"/>
      <c r="LRY840" s="802"/>
      <c r="LRZ840" s="802"/>
      <c r="LSA840" s="802"/>
      <c r="LSB840" s="802"/>
      <c r="LSC840" s="802"/>
      <c r="LSD840" s="802"/>
      <c r="LSE840" s="802"/>
      <c r="LSF840" s="802"/>
      <c r="LSG840" s="802"/>
      <c r="LSH840" s="802"/>
      <c r="LSI840" s="802"/>
      <c r="LSJ840" s="802"/>
      <c r="LSK840" s="802"/>
      <c r="LSL840" s="802"/>
      <c r="LSM840" s="802"/>
      <c r="LSN840" s="802"/>
      <c r="LSO840" s="802"/>
      <c r="LSP840" s="802"/>
      <c r="LSQ840" s="802"/>
      <c r="LSR840" s="802"/>
      <c r="LSS840" s="802"/>
      <c r="LST840" s="802"/>
      <c r="LSU840" s="802"/>
      <c r="LSV840" s="802"/>
      <c r="LSW840" s="802"/>
      <c r="LSX840" s="802"/>
      <c r="LSY840" s="802"/>
      <c r="LSZ840" s="802"/>
      <c r="LTA840" s="802"/>
      <c r="LTB840" s="802"/>
      <c r="LTC840" s="802"/>
      <c r="LTD840" s="802"/>
      <c r="LTE840" s="802"/>
      <c r="LTF840" s="802"/>
      <c r="LTG840" s="802"/>
      <c r="LTH840" s="802"/>
      <c r="LTI840" s="802"/>
      <c r="LTJ840" s="802"/>
      <c r="LTK840" s="802"/>
      <c r="LTL840" s="802"/>
      <c r="LTM840" s="802"/>
      <c r="LTN840" s="802"/>
      <c r="LTO840" s="802"/>
      <c r="LTP840" s="802"/>
      <c r="LTQ840" s="802"/>
      <c r="LTR840" s="802"/>
      <c r="LTS840" s="802"/>
      <c r="LTT840" s="802"/>
      <c r="LTU840" s="802"/>
      <c r="LTV840" s="802"/>
      <c r="LTW840" s="802"/>
      <c r="LTX840" s="802"/>
      <c r="LTY840" s="802"/>
      <c r="LTZ840" s="802"/>
      <c r="LUA840" s="802"/>
      <c r="LUB840" s="802"/>
      <c r="LUC840" s="802"/>
      <c r="LUD840" s="802"/>
      <c r="LUE840" s="802"/>
      <c r="LUF840" s="802"/>
      <c r="LUG840" s="802"/>
      <c r="LUH840" s="802"/>
      <c r="LUI840" s="802"/>
      <c r="LUJ840" s="802"/>
      <c r="LUK840" s="802"/>
      <c r="LUL840" s="802"/>
      <c r="LUM840" s="802"/>
      <c r="LUN840" s="802"/>
      <c r="LUO840" s="802"/>
      <c r="LUP840" s="802"/>
      <c r="LUQ840" s="802"/>
      <c r="LUR840" s="802"/>
      <c r="LUS840" s="802"/>
      <c r="LUT840" s="802"/>
      <c r="LUU840" s="802"/>
      <c r="LUV840" s="802"/>
      <c r="LUW840" s="802"/>
      <c r="LUX840" s="802"/>
      <c r="LUY840" s="802"/>
      <c r="LUZ840" s="802"/>
      <c r="LVA840" s="802"/>
      <c r="LVB840" s="802"/>
      <c r="LVC840" s="802"/>
      <c r="LVD840" s="802"/>
      <c r="LVE840" s="802"/>
      <c r="LVF840" s="802"/>
      <c r="LVG840" s="802"/>
      <c r="LVH840" s="802"/>
      <c r="LVI840" s="802"/>
      <c r="LVJ840" s="802"/>
      <c r="LVK840" s="802"/>
      <c r="LVL840" s="802"/>
      <c r="LVM840" s="802"/>
      <c r="LVN840" s="802"/>
      <c r="LVO840" s="802"/>
      <c r="LVP840" s="802"/>
      <c r="LVQ840" s="802"/>
      <c r="LVR840" s="802"/>
      <c r="LVS840" s="802"/>
      <c r="LVT840" s="802"/>
      <c r="LVU840" s="802"/>
      <c r="LVV840" s="802"/>
      <c r="LVW840" s="802"/>
      <c r="LVX840" s="802"/>
      <c r="LVY840" s="802"/>
      <c r="LVZ840" s="802"/>
      <c r="LWA840" s="802"/>
      <c r="LWB840" s="802"/>
      <c r="LWC840" s="802"/>
      <c r="LWD840" s="802"/>
      <c r="LWE840" s="802"/>
      <c r="LWF840" s="802"/>
      <c r="LWG840" s="802"/>
      <c r="LWH840" s="802"/>
      <c r="LWI840" s="802"/>
      <c r="LWJ840" s="802"/>
      <c r="LWK840" s="802"/>
      <c r="LWL840" s="802"/>
      <c r="LWM840" s="802"/>
      <c r="LWN840" s="802"/>
      <c r="LWO840" s="802"/>
      <c r="LWP840" s="802"/>
      <c r="LWQ840" s="802"/>
      <c r="LWR840" s="802"/>
      <c r="LWS840" s="802"/>
      <c r="LWT840" s="802"/>
      <c r="LWU840" s="802"/>
      <c r="LWV840" s="802"/>
      <c r="LWW840" s="802"/>
      <c r="LWX840" s="802"/>
      <c r="LWY840" s="802"/>
      <c r="LWZ840" s="802"/>
      <c r="LXA840" s="802"/>
      <c r="LXB840" s="802"/>
      <c r="LXC840" s="802"/>
      <c r="LXD840" s="802"/>
      <c r="LXE840" s="802"/>
      <c r="LXF840" s="802"/>
      <c r="LXG840" s="802"/>
      <c r="LXH840" s="802"/>
      <c r="LXI840" s="802"/>
      <c r="LXJ840" s="802"/>
      <c r="LXK840" s="802"/>
      <c r="LXL840" s="802"/>
      <c r="LXM840" s="802"/>
      <c r="LXN840" s="802"/>
      <c r="LXO840" s="802"/>
      <c r="LXP840" s="802"/>
      <c r="LXQ840" s="802"/>
      <c r="LXR840" s="802"/>
      <c r="LXS840" s="802"/>
      <c r="LXT840" s="802"/>
      <c r="LXU840" s="802"/>
      <c r="LXV840" s="802"/>
      <c r="LXW840" s="802"/>
      <c r="LXX840" s="802"/>
      <c r="LXY840" s="802"/>
      <c r="LXZ840" s="802"/>
      <c r="LYA840" s="802"/>
      <c r="LYB840" s="802"/>
      <c r="LYC840" s="802"/>
      <c r="LYD840" s="802"/>
      <c r="LYE840" s="802"/>
      <c r="LYF840" s="802"/>
      <c r="LYG840" s="802"/>
      <c r="LYH840" s="802"/>
      <c r="LYI840" s="802"/>
      <c r="LYJ840" s="802"/>
      <c r="LYK840" s="802"/>
      <c r="LYL840" s="802"/>
      <c r="LYM840" s="802"/>
      <c r="LYN840" s="802"/>
      <c r="LYO840" s="802"/>
      <c r="LYP840" s="802"/>
      <c r="LYQ840" s="802"/>
      <c r="LYR840" s="802"/>
      <c r="LYS840" s="802"/>
      <c r="LYT840" s="802"/>
      <c r="LYU840" s="802"/>
      <c r="LYV840" s="802"/>
      <c r="LYW840" s="802"/>
      <c r="LYX840" s="802"/>
      <c r="LYY840" s="802"/>
      <c r="LYZ840" s="802"/>
      <c r="LZA840" s="802"/>
      <c r="LZB840" s="802"/>
      <c r="LZC840" s="802"/>
      <c r="LZD840" s="802"/>
      <c r="LZE840" s="802"/>
      <c r="LZF840" s="802"/>
      <c r="LZG840" s="802"/>
      <c r="LZH840" s="802"/>
      <c r="LZI840" s="802"/>
      <c r="LZJ840" s="802"/>
      <c r="LZK840" s="802"/>
      <c r="LZL840" s="802"/>
      <c r="LZM840" s="802"/>
      <c r="LZN840" s="802"/>
      <c r="LZO840" s="802"/>
      <c r="LZP840" s="802"/>
      <c r="LZQ840" s="802"/>
      <c r="LZR840" s="802"/>
      <c r="LZS840" s="802"/>
      <c r="LZT840" s="802"/>
      <c r="LZU840" s="802"/>
      <c r="LZV840" s="802"/>
      <c r="LZW840" s="802"/>
      <c r="LZX840" s="802"/>
      <c r="LZY840" s="802"/>
      <c r="LZZ840" s="802"/>
      <c r="MAA840" s="802"/>
      <c r="MAB840" s="802"/>
      <c r="MAC840" s="802"/>
      <c r="MAD840" s="802"/>
      <c r="MAE840" s="802"/>
      <c r="MAF840" s="802"/>
      <c r="MAG840" s="802"/>
      <c r="MAH840" s="802"/>
      <c r="MAI840" s="802"/>
      <c r="MAJ840" s="802"/>
      <c r="MAK840" s="802"/>
      <c r="MAL840" s="802"/>
      <c r="MAM840" s="802"/>
      <c r="MAN840" s="802"/>
      <c r="MAO840" s="802"/>
      <c r="MAP840" s="802"/>
      <c r="MAQ840" s="802"/>
      <c r="MAR840" s="802"/>
      <c r="MAS840" s="802"/>
      <c r="MAT840" s="802"/>
      <c r="MAU840" s="802"/>
      <c r="MAV840" s="802"/>
      <c r="MAW840" s="802"/>
      <c r="MAX840" s="802"/>
      <c r="MAY840" s="802"/>
      <c r="MAZ840" s="802"/>
      <c r="MBA840" s="802"/>
      <c r="MBB840" s="802"/>
      <c r="MBC840" s="802"/>
      <c r="MBD840" s="802"/>
      <c r="MBE840" s="802"/>
      <c r="MBF840" s="802"/>
      <c r="MBG840" s="802"/>
      <c r="MBH840" s="802"/>
      <c r="MBI840" s="802"/>
      <c r="MBJ840" s="802"/>
      <c r="MBK840" s="802"/>
      <c r="MBL840" s="802"/>
      <c r="MBM840" s="802"/>
      <c r="MBN840" s="802"/>
      <c r="MBO840" s="802"/>
      <c r="MBP840" s="802"/>
      <c r="MBQ840" s="802"/>
      <c r="MBR840" s="802"/>
      <c r="MBS840" s="802"/>
      <c r="MBT840" s="802"/>
      <c r="MBU840" s="802"/>
      <c r="MBV840" s="802"/>
      <c r="MBW840" s="802"/>
      <c r="MBX840" s="802"/>
      <c r="MBY840" s="802"/>
      <c r="MBZ840" s="802"/>
      <c r="MCA840" s="802"/>
      <c r="MCB840" s="802"/>
      <c r="MCC840" s="802"/>
      <c r="MCD840" s="802"/>
      <c r="MCE840" s="802"/>
      <c r="MCF840" s="802"/>
      <c r="MCG840" s="802"/>
      <c r="MCH840" s="802"/>
      <c r="MCI840" s="802"/>
      <c r="MCJ840" s="802"/>
      <c r="MCK840" s="802"/>
      <c r="MCL840" s="802"/>
      <c r="MCM840" s="802"/>
      <c r="MCN840" s="802"/>
      <c r="MCO840" s="802"/>
      <c r="MCP840" s="802"/>
      <c r="MCQ840" s="802"/>
      <c r="MCR840" s="802"/>
      <c r="MCS840" s="802"/>
      <c r="MCT840" s="802"/>
      <c r="MCU840" s="802"/>
      <c r="MCV840" s="802"/>
      <c r="MCW840" s="802"/>
      <c r="MCX840" s="802"/>
      <c r="MCY840" s="802"/>
      <c r="MCZ840" s="802"/>
      <c r="MDA840" s="802"/>
      <c r="MDB840" s="802"/>
      <c r="MDC840" s="802"/>
      <c r="MDD840" s="802"/>
      <c r="MDE840" s="802"/>
      <c r="MDF840" s="802"/>
      <c r="MDG840" s="802"/>
      <c r="MDH840" s="802"/>
      <c r="MDI840" s="802"/>
      <c r="MDJ840" s="802"/>
      <c r="MDK840" s="802"/>
      <c r="MDL840" s="802"/>
      <c r="MDM840" s="802"/>
      <c r="MDN840" s="802"/>
      <c r="MDO840" s="802"/>
      <c r="MDP840" s="802"/>
      <c r="MDQ840" s="802"/>
      <c r="MDR840" s="802"/>
      <c r="MDS840" s="802"/>
      <c r="MDT840" s="802"/>
      <c r="MDU840" s="802"/>
      <c r="MDV840" s="802"/>
      <c r="MDW840" s="802"/>
      <c r="MDX840" s="802"/>
      <c r="MDY840" s="802"/>
      <c r="MDZ840" s="802"/>
      <c r="MEA840" s="802"/>
      <c r="MEB840" s="802"/>
      <c r="MEC840" s="802"/>
      <c r="MED840" s="802"/>
      <c r="MEE840" s="802"/>
      <c r="MEF840" s="802"/>
      <c r="MEG840" s="802"/>
      <c r="MEH840" s="802"/>
      <c r="MEI840" s="802"/>
      <c r="MEJ840" s="802"/>
      <c r="MEK840" s="802"/>
      <c r="MEL840" s="802"/>
      <c r="MEM840" s="802"/>
      <c r="MEN840" s="802"/>
      <c r="MEO840" s="802"/>
      <c r="MEP840" s="802"/>
      <c r="MEQ840" s="802"/>
      <c r="MER840" s="802"/>
      <c r="MES840" s="802"/>
      <c r="MET840" s="802"/>
      <c r="MEU840" s="802"/>
      <c r="MEV840" s="802"/>
      <c r="MEW840" s="802"/>
      <c r="MEX840" s="802"/>
      <c r="MEY840" s="802"/>
      <c r="MEZ840" s="802"/>
      <c r="MFA840" s="802"/>
      <c r="MFB840" s="802"/>
      <c r="MFC840" s="802"/>
      <c r="MFD840" s="802"/>
      <c r="MFE840" s="802"/>
      <c r="MFF840" s="802"/>
      <c r="MFG840" s="802"/>
      <c r="MFH840" s="802"/>
      <c r="MFI840" s="802"/>
      <c r="MFJ840" s="802"/>
      <c r="MFK840" s="802"/>
      <c r="MFL840" s="802"/>
      <c r="MFM840" s="802"/>
      <c r="MFN840" s="802"/>
      <c r="MFO840" s="802"/>
      <c r="MFP840" s="802"/>
      <c r="MFQ840" s="802"/>
      <c r="MFR840" s="802"/>
      <c r="MFS840" s="802"/>
      <c r="MFT840" s="802"/>
      <c r="MFU840" s="802"/>
      <c r="MFV840" s="802"/>
      <c r="MFW840" s="802"/>
      <c r="MFX840" s="802"/>
      <c r="MFY840" s="802"/>
      <c r="MFZ840" s="802"/>
      <c r="MGA840" s="802"/>
      <c r="MGB840" s="802"/>
      <c r="MGC840" s="802"/>
      <c r="MGD840" s="802"/>
      <c r="MGE840" s="802"/>
      <c r="MGF840" s="802"/>
      <c r="MGG840" s="802"/>
      <c r="MGH840" s="802"/>
      <c r="MGI840" s="802"/>
      <c r="MGJ840" s="802"/>
      <c r="MGK840" s="802"/>
      <c r="MGL840" s="802"/>
      <c r="MGM840" s="802"/>
      <c r="MGN840" s="802"/>
      <c r="MGO840" s="802"/>
      <c r="MGP840" s="802"/>
      <c r="MGQ840" s="802"/>
      <c r="MGR840" s="802"/>
      <c r="MGS840" s="802"/>
      <c r="MGT840" s="802"/>
      <c r="MGU840" s="802"/>
      <c r="MGV840" s="802"/>
      <c r="MGW840" s="802"/>
      <c r="MGX840" s="802"/>
      <c r="MGY840" s="802"/>
      <c r="MGZ840" s="802"/>
      <c r="MHA840" s="802"/>
      <c r="MHB840" s="802"/>
      <c r="MHC840" s="802"/>
      <c r="MHD840" s="802"/>
      <c r="MHE840" s="802"/>
      <c r="MHF840" s="802"/>
      <c r="MHG840" s="802"/>
      <c r="MHH840" s="802"/>
      <c r="MHI840" s="802"/>
      <c r="MHJ840" s="802"/>
      <c r="MHK840" s="802"/>
      <c r="MHL840" s="802"/>
      <c r="MHM840" s="802"/>
      <c r="MHN840" s="802"/>
      <c r="MHO840" s="802"/>
      <c r="MHP840" s="802"/>
      <c r="MHQ840" s="802"/>
      <c r="MHR840" s="802"/>
      <c r="MHS840" s="802"/>
      <c r="MHT840" s="802"/>
      <c r="MHU840" s="802"/>
      <c r="MHV840" s="802"/>
      <c r="MHW840" s="802"/>
      <c r="MHX840" s="802"/>
      <c r="MHY840" s="802"/>
      <c r="MHZ840" s="802"/>
      <c r="MIA840" s="802"/>
      <c r="MIB840" s="802"/>
      <c r="MIC840" s="802"/>
      <c r="MID840" s="802"/>
      <c r="MIE840" s="802"/>
      <c r="MIF840" s="802"/>
      <c r="MIG840" s="802"/>
      <c r="MIH840" s="802"/>
      <c r="MII840" s="802"/>
      <c r="MIJ840" s="802"/>
      <c r="MIK840" s="802"/>
      <c r="MIL840" s="802"/>
      <c r="MIM840" s="802"/>
      <c r="MIN840" s="802"/>
      <c r="MIO840" s="802"/>
      <c r="MIP840" s="802"/>
      <c r="MIQ840" s="802"/>
      <c r="MIR840" s="802"/>
      <c r="MIS840" s="802"/>
      <c r="MIT840" s="802"/>
      <c r="MIU840" s="802"/>
      <c r="MIV840" s="802"/>
      <c r="MIW840" s="802"/>
      <c r="MIX840" s="802"/>
      <c r="MIY840" s="802"/>
      <c r="MIZ840" s="802"/>
      <c r="MJA840" s="802"/>
      <c r="MJB840" s="802"/>
      <c r="MJC840" s="802"/>
      <c r="MJD840" s="802"/>
      <c r="MJE840" s="802"/>
      <c r="MJF840" s="802"/>
      <c r="MJG840" s="802"/>
      <c r="MJH840" s="802"/>
      <c r="MJI840" s="802"/>
      <c r="MJJ840" s="802"/>
      <c r="MJK840" s="802"/>
      <c r="MJL840" s="802"/>
      <c r="MJM840" s="802"/>
      <c r="MJN840" s="802"/>
      <c r="MJO840" s="802"/>
      <c r="MJP840" s="802"/>
      <c r="MJQ840" s="802"/>
      <c r="MJR840" s="802"/>
      <c r="MJS840" s="802"/>
      <c r="MJT840" s="802"/>
      <c r="MJU840" s="802"/>
      <c r="MJV840" s="802"/>
      <c r="MJW840" s="802"/>
      <c r="MJX840" s="802"/>
      <c r="MJY840" s="802"/>
      <c r="MJZ840" s="802"/>
      <c r="MKA840" s="802"/>
      <c r="MKB840" s="802"/>
      <c r="MKC840" s="802"/>
      <c r="MKD840" s="802"/>
      <c r="MKE840" s="802"/>
      <c r="MKF840" s="802"/>
      <c r="MKG840" s="802"/>
      <c r="MKH840" s="802"/>
      <c r="MKI840" s="802"/>
      <c r="MKJ840" s="802"/>
      <c r="MKK840" s="802"/>
      <c r="MKL840" s="802"/>
      <c r="MKM840" s="802"/>
      <c r="MKN840" s="802"/>
      <c r="MKO840" s="802"/>
      <c r="MKP840" s="802"/>
      <c r="MKQ840" s="802"/>
      <c r="MKR840" s="802"/>
      <c r="MKS840" s="802"/>
      <c r="MKT840" s="802"/>
      <c r="MKU840" s="802"/>
      <c r="MKV840" s="802"/>
      <c r="MKW840" s="802"/>
      <c r="MKX840" s="802"/>
      <c r="MKY840" s="802"/>
      <c r="MKZ840" s="802"/>
      <c r="MLA840" s="802"/>
      <c r="MLB840" s="802"/>
      <c r="MLC840" s="802"/>
      <c r="MLD840" s="802"/>
      <c r="MLE840" s="802"/>
      <c r="MLF840" s="802"/>
      <c r="MLG840" s="802"/>
      <c r="MLH840" s="802"/>
      <c r="MLI840" s="802"/>
      <c r="MLJ840" s="802"/>
      <c r="MLK840" s="802"/>
      <c r="MLL840" s="802"/>
      <c r="MLM840" s="802"/>
      <c r="MLN840" s="802"/>
      <c r="MLO840" s="802"/>
      <c r="MLP840" s="802"/>
      <c r="MLQ840" s="802"/>
      <c r="MLR840" s="802"/>
      <c r="MLS840" s="802"/>
      <c r="MLT840" s="802"/>
      <c r="MLU840" s="802"/>
      <c r="MLV840" s="802"/>
      <c r="MLW840" s="802"/>
      <c r="MLX840" s="802"/>
      <c r="MLY840" s="802"/>
      <c r="MLZ840" s="802"/>
      <c r="MMA840" s="802"/>
      <c r="MMB840" s="802"/>
      <c r="MMC840" s="802"/>
      <c r="MMD840" s="802"/>
      <c r="MME840" s="802"/>
      <c r="MMF840" s="802"/>
      <c r="MMG840" s="802"/>
      <c r="MMH840" s="802"/>
      <c r="MMI840" s="802"/>
      <c r="MMJ840" s="802"/>
      <c r="MMK840" s="802"/>
      <c r="MML840" s="802"/>
      <c r="MMM840" s="802"/>
      <c r="MMN840" s="802"/>
      <c r="MMO840" s="802"/>
      <c r="MMP840" s="802"/>
      <c r="MMQ840" s="802"/>
      <c r="MMR840" s="802"/>
      <c r="MMS840" s="802"/>
      <c r="MMT840" s="802"/>
      <c r="MMU840" s="802"/>
      <c r="MMV840" s="802"/>
      <c r="MMW840" s="802"/>
      <c r="MMX840" s="802"/>
      <c r="MMY840" s="802"/>
      <c r="MMZ840" s="802"/>
      <c r="MNA840" s="802"/>
      <c r="MNB840" s="802"/>
      <c r="MNC840" s="802"/>
      <c r="MND840" s="802"/>
      <c r="MNE840" s="802"/>
      <c r="MNF840" s="802"/>
      <c r="MNG840" s="802"/>
      <c r="MNH840" s="802"/>
      <c r="MNI840" s="802"/>
      <c r="MNJ840" s="802"/>
      <c r="MNK840" s="802"/>
      <c r="MNL840" s="802"/>
      <c r="MNM840" s="802"/>
      <c r="MNN840" s="802"/>
      <c r="MNO840" s="802"/>
      <c r="MNP840" s="802"/>
      <c r="MNQ840" s="802"/>
      <c r="MNR840" s="802"/>
      <c r="MNS840" s="802"/>
      <c r="MNT840" s="802"/>
      <c r="MNU840" s="802"/>
      <c r="MNV840" s="802"/>
      <c r="MNW840" s="802"/>
      <c r="MNX840" s="802"/>
      <c r="MNY840" s="802"/>
      <c r="MNZ840" s="802"/>
      <c r="MOA840" s="802"/>
      <c r="MOB840" s="802"/>
      <c r="MOC840" s="802"/>
      <c r="MOD840" s="802"/>
      <c r="MOE840" s="802"/>
      <c r="MOF840" s="802"/>
      <c r="MOG840" s="802"/>
      <c r="MOH840" s="802"/>
      <c r="MOI840" s="802"/>
      <c r="MOJ840" s="802"/>
      <c r="MOK840" s="802"/>
      <c r="MOL840" s="802"/>
      <c r="MOM840" s="802"/>
      <c r="MON840" s="802"/>
      <c r="MOO840" s="802"/>
      <c r="MOP840" s="802"/>
      <c r="MOQ840" s="802"/>
      <c r="MOR840" s="802"/>
      <c r="MOS840" s="802"/>
      <c r="MOT840" s="802"/>
      <c r="MOU840" s="802"/>
      <c r="MOV840" s="802"/>
      <c r="MOW840" s="802"/>
      <c r="MOX840" s="802"/>
      <c r="MOY840" s="802"/>
      <c r="MOZ840" s="802"/>
      <c r="MPA840" s="802"/>
      <c r="MPB840" s="802"/>
      <c r="MPC840" s="802"/>
      <c r="MPD840" s="802"/>
      <c r="MPE840" s="802"/>
      <c r="MPF840" s="802"/>
      <c r="MPG840" s="802"/>
      <c r="MPH840" s="802"/>
      <c r="MPI840" s="802"/>
      <c r="MPJ840" s="802"/>
      <c r="MPK840" s="802"/>
      <c r="MPL840" s="802"/>
      <c r="MPM840" s="802"/>
      <c r="MPN840" s="802"/>
      <c r="MPO840" s="802"/>
      <c r="MPP840" s="802"/>
      <c r="MPQ840" s="802"/>
      <c r="MPR840" s="802"/>
      <c r="MPS840" s="802"/>
      <c r="MPT840" s="802"/>
      <c r="MPU840" s="802"/>
      <c r="MPV840" s="802"/>
      <c r="MPW840" s="802"/>
      <c r="MPX840" s="802"/>
      <c r="MPY840" s="802"/>
      <c r="MPZ840" s="802"/>
      <c r="MQA840" s="802"/>
      <c r="MQB840" s="802"/>
      <c r="MQC840" s="802"/>
      <c r="MQD840" s="802"/>
      <c r="MQE840" s="802"/>
      <c r="MQF840" s="802"/>
      <c r="MQG840" s="802"/>
      <c r="MQH840" s="802"/>
      <c r="MQI840" s="802"/>
      <c r="MQJ840" s="802"/>
      <c r="MQK840" s="802"/>
      <c r="MQL840" s="802"/>
      <c r="MQM840" s="802"/>
      <c r="MQN840" s="802"/>
      <c r="MQO840" s="802"/>
      <c r="MQP840" s="802"/>
      <c r="MQQ840" s="802"/>
      <c r="MQR840" s="802"/>
      <c r="MQS840" s="802"/>
      <c r="MQT840" s="802"/>
      <c r="MQU840" s="802"/>
      <c r="MQV840" s="802"/>
      <c r="MQW840" s="802"/>
      <c r="MQX840" s="802"/>
      <c r="MQY840" s="802"/>
      <c r="MQZ840" s="802"/>
      <c r="MRA840" s="802"/>
      <c r="MRB840" s="802"/>
      <c r="MRC840" s="802"/>
      <c r="MRD840" s="802"/>
      <c r="MRE840" s="802"/>
      <c r="MRF840" s="802"/>
      <c r="MRG840" s="802"/>
      <c r="MRH840" s="802"/>
      <c r="MRI840" s="802"/>
      <c r="MRJ840" s="802"/>
      <c r="MRK840" s="802"/>
      <c r="MRL840" s="802"/>
      <c r="MRM840" s="802"/>
      <c r="MRN840" s="802"/>
      <c r="MRO840" s="802"/>
      <c r="MRP840" s="802"/>
      <c r="MRQ840" s="802"/>
      <c r="MRR840" s="802"/>
      <c r="MRS840" s="802"/>
      <c r="MRT840" s="802"/>
      <c r="MRU840" s="802"/>
      <c r="MRV840" s="802"/>
      <c r="MRW840" s="802"/>
      <c r="MRX840" s="802"/>
      <c r="MRY840" s="802"/>
      <c r="MRZ840" s="802"/>
      <c r="MSA840" s="802"/>
      <c r="MSB840" s="802"/>
      <c r="MSC840" s="802"/>
      <c r="MSD840" s="802"/>
      <c r="MSE840" s="802"/>
      <c r="MSF840" s="802"/>
      <c r="MSG840" s="802"/>
      <c r="MSH840" s="802"/>
      <c r="MSI840" s="802"/>
      <c r="MSJ840" s="802"/>
      <c r="MSK840" s="802"/>
      <c r="MSL840" s="802"/>
      <c r="MSM840" s="802"/>
      <c r="MSN840" s="802"/>
      <c r="MSO840" s="802"/>
      <c r="MSP840" s="802"/>
      <c r="MSQ840" s="802"/>
      <c r="MSR840" s="802"/>
      <c r="MSS840" s="802"/>
      <c r="MST840" s="802"/>
      <c r="MSU840" s="802"/>
      <c r="MSV840" s="802"/>
      <c r="MSW840" s="802"/>
      <c r="MSX840" s="802"/>
      <c r="MSY840" s="802"/>
      <c r="MSZ840" s="802"/>
      <c r="MTA840" s="802"/>
      <c r="MTB840" s="802"/>
      <c r="MTC840" s="802"/>
      <c r="MTD840" s="802"/>
      <c r="MTE840" s="802"/>
      <c r="MTF840" s="802"/>
      <c r="MTG840" s="802"/>
      <c r="MTH840" s="802"/>
      <c r="MTI840" s="802"/>
      <c r="MTJ840" s="802"/>
      <c r="MTK840" s="802"/>
      <c r="MTL840" s="802"/>
      <c r="MTM840" s="802"/>
      <c r="MTN840" s="802"/>
      <c r="MTO840" s="802"/>
      <c r="MTP840" s="802"/>
      <c r="MTQ840" s="802"/>
      <c r="MTR840" s="802"/>
      <c r="MTS840" s="802"/>
      <c r="MTT840" s="802"/>
      <c r="MTU840" s="802"/>
      <c r="MTV840" s="802"/>
      <c r="MTW840" s="802"/>
      <c r="MTX840" s="802"/>
      <c r="MTY840" s="802"/>
      <c r="MTZ840" s="802"/>
      <c r="MUA840" s="802"/>
      <c r="MUB840" s="802"/>
      <c r="MUC840" s="802"/>
      <c r="MUD840" s="802"/>
      <c r="MUE840" s="802"/>
      <c r="MUF840" s="802"/>
      <c r="MUG840" s="802"/>
      <c r="MUH840" s="802"/>
      <c r="MUI840" s="802"/>
      <c r="MUJ840" s="802"/>
      <c r="MUK840" s="802"/>
      <c r="MUL840" s="802"/>
      <c r="MUM840" s="802"/>
      <c r="MUN840" s="802"/>
      <c r="MUO840" s="802"/>
      <c r="MUP840" s="802"/>
      <c r="MUQ840" s="802"/>
      <c r="MUR840" s="802"/>
      <c r="MUS840" s="802"/>
      <c r="MUT840" s="802"/>
      <c r="MUU840" s="802"/>
      <c r="MUV840" s="802"/>
      <c r="MUW840" s="802"/>
      <c r="MUX840" s="802"/>
      <c r="MUY840" s="802"/>
      <c r="MUZ840" s="802"/>
      <c r="MVA840" s="802"/>
      <c r="MVB840" s="802"/>
      <c r="MVC840" s="802"/>
      <c r="MVD840" s="802"/>
      <c r="MVE840" s="802"/>
      <c r="MVF840" s="802"/>
      <c r="MVG840" s="802"/>
      <c r="MVH840" s="802"/>
      <c r="MVI840" s="802"/>
      <c r="MVJ840" s="802"/>
      <c r="MVK840" s="802"/>
      <c r="MVL840" s="802"/>
      <c r="MVM840" s="802"/>
      <c r="MVN840" s="802"/>
      <c r="MVO840" s="802"/>
      <c r="MVP840" s="802"/>
      <c r="MVQ840" s="802"/>
      <c r="MVR840" s="802"/>
      <c r="MVS840" s="802"/>
      <c r="MVT840" s="802"/>
      <c r="MVU840" s="802"/>
      <c r="MVV840" s="802"/>
      <c r="MVW840" s="802"/>
      <c r="MVX840" s="802"/>
      <c r="MVY840" s="802"/>
      <c r="MVZ840" s="802"/>
      <c r="MWA840" s="802"/>
      <c r="MWB840" s="802"/>
      <c r="MWC840" s="802"/>
      <c r="MWD840" s="802"/>
      <c r="MWE840" s="802"/>
      <c r="MWF840" s="802"/>
      <c r="MWG840" s="802"/>
      <c r="MWH840" s="802"/>
      <c r="MWI840" s="802"/>
      <c r="MWJ840" s="802"/>
      <c r="MWK840" s="802"/>
      <c r="MWL840" s="802"/>
      <c r="MWM840" s="802"/>
      <c r="MWN840" s="802"/>
      <c r="MWO840" s="802"/>
      <c r="MWP840" s="802"/>
      <c r="MWQ840" s="802"/>
      <c r="MWR840" s="802"/>
      <c r="MWS840" s="802"/>
      <c r="MWT840" s="802"/>
      <c r="MWU840" s="802"/>
      <c r="MWV840" s="802"/>
      <c r="MWW840" s="802"/>
      <c r="MWX840" s="802"/>
      <c r="MWY840" s="802"/>
      <c r="MWZ840" s="802"/>
      <c r="MXA840" s="802"/>
      <c r="MXB840" s="802"/>
      <c r="MXC840" s="802"/>
      <c r="MXD840" s="802"/>
      <c r="MXE840" s="802"/>
      <c r="MXF840" s="802"/>
      <c r="MXG840" s="802"/>
      <c r="MXH840" s="802"/>
      <c r="MXI840" s="802"/>
      <c r="MXJ840" s="802"/>
      <c r="MXK840" s="802"/>
      <c r="MXL840" s="802"/>
      <c r="MXM840" s="802"/>
      <c r="MXN840" s="802"/>
      <c r="MXO840" s="802"/>
      <c r="MXP840" s="802"/>
      <c r="MXQ840" s="802"/>
      <c r="MXR840" s="802"/>
      <c r="MXS840" s="802"/>
      <c r="MXT840" s="802"/>
      <c r="MXU840" s="802"/>
      <c r="MXV840" s="802"/>
      <c r="MXW840" s="802"/>
      <c r="MXX840" s="802"/>
      <c r="MXY840" s="802"/>
      <c r="MXZ840" s="802"/>
      <c r="MYA840" s="802"/>
      <c r="MYB840" s="802"/>
      <c r="MYC840" s="802"/>
      <c r="MYD840" s="802"/>
      <c r="MYE840" s="802"/>
      <c r="MYF840" s="802"/>
      <c r="MYG840" s="802"/>
      <c r="MYH840" s="802"/>
      <c r="MYI840" s="802"/>
      <c r="MYJ840" s="802"/>
      <c r="MYK840" s="802"/>
      <c r="MYL840" s="802"/>
      <c r="MYM840" s="802"/>
      <c r="MYN840" s="802"/>
      <c r="MYO840" s="802"/>
      <c r="MYP840" s="802"/>
      <c r="MYQ840" s="802"/>
      <c r="MYR840" s="802"/>
      <c r="MYS840" s="802"/>
      <c r="MYT840" s="802"/>
      <c r="MYU840" s="802"/>
      <c r="MYV840" s="802"/>
      <c r="MYW840" s="802"/>
      <c r="MYX840" s="802"/>
      <c r="MYY840" s="802"/>
      <c r="MYZ840" s="802"/>
      <c r="MZA840" s="802"/>
      <c r="MZB840" s="802"/>
      <c r="MZC840" s="802"/>
      <c r="MZD840" s="802"/>
      <c r="MZE840" s="802"/>
      <c r="MZF840" s="802"/>
      <c r="MZG840" s="802"/>
      <c r="MZH840" s="802"/>
      <c r="MZI840" s="802"/>
      <c r="MZJ840" s="802"/>
      <c r="MZK840" s="802"/>
      <c r="MZL840" s="802"/>
      <c r="MZM840" s="802"/>
      <c r="MZN840" s="802"/>
      <c r="MZO840" s="802"/>
      <c r="MZP840" s="802"/>
      <c r="MZQ840" s="802"/>
      <c r="MZR840" s="802"/>
      <c r="MZS840" s="802"/>
      <c r="MZT840" s="802"/>
      <c r="MZU840" s="802"/>
      <c r="MZV840" s="802"/>
      <c r="MZW840" s="802"/>
      <c r="MZX840" s="802"/>
      <c r="MZY840" s="802"/>
      <c r="MZZ840" s="802"/>
      <c r="NAA840" s="802"/>
      <c r="NAB840" s="802"/>
      <c r="NAC840" s="802"/>
      <c r="NAD840" s="802"/>
      <c r="NAE840" s="802"/>
      <c r="NAF840" s="802"/>
      <c r="NAG840" s="802"/>
      <c r="NAH840" s="802"/>
      <c r="NAI840" s="802"/>
      <c r="NAJ840" s="802"/>
      <c r="NAK840" s="802"/>
      <c r="NAL840" s="802"/>
      <c r="NAM840" s="802"/>
      <c r="NAN840" s="802"/>
      <c r="NAO840" s="802"/>
      <c r="NAP840" s="802"/>
      <c r="NAQ840" s="802"/>
      <c r="NAR840" s="802"/>
      <c r="NAS840" s="802"/>
      <c r="NAT840" s="802"/>
      <c r="NAU840" s="802"/>
      <c r="NAV840" s="802"/>
      <c r="NAW840" s="802"/>
      <c r="NAX840" s="802"/>
      <c r="NAY840" s="802"/>
      <c r="NAZ840" s="802"/>
      <c r="NBA840" s="802"/>
      <c r="NBB840" s="802"/>
      <c r="NBC840" s="802"/>
      <c r="NBD840" s="802"/>
      <c r="NBE840" s="802"/>
      <c r="NBF840" s="802"/>
      <c r="NBG840" s="802"/>
      <c r="NBH840" s="802"/>
      <c r="NBI840" s="802"/>
      <c r="NBJ840" s="802"/>
      <c r="NBK840" s="802"/>
      <c r="NBL840" s="802"/>
      <c r="NBM840" s="802"/>
      <c r="NBN840" s="802"/>
      <c r="NBO840" s="802"/>
      <c r="NBP840" s="802"/>
      <c r="NBQ840" s="802"/>
      <c r="NBR840" s="802"/>
      <c r="NBS840" s="802"/>
      <c r="NBT840" s="802"/>
      <c r="NBU840" s="802"/>
      <c r="NBV840" s="802"/>
      <c r="NBW840" s="802"/>
      <c r="NBX840" s="802"/>
      <c r="NBY840" s="802"/>
      <c r="NBZ840" s="802"/>
      <c r="NCA840" s="802"/>
      <c r="NCB840" s="802"/>
      <c r="NCC840" s="802"/>
      <c r="NCD840" s="802"/>
      <c r="NCE840" s="802"/>
      <c r="NCF840" s="802"/>
      <c r="NCG840" s="802"/>
      <c r="NCH840" s="802"/>
      <c r="NCI840" s="802"/>
      <c r="NCJ840" s="802"/>
      <c r="NCK840" s="802"/>
      <c r="NCL840" s="802"/>
      <c r="NCM840" s="802"/>
      <c r="NCN840" s="802"/>
      <c r="NCO840" s="802"/>
      <c r="NCP840" s="802"/>
      <c r="NCQ840" s="802"/>
      <c r="NCR840" s="802"/>
      <c r="NCS840" s="802"/>
      <c r="NCT840" s="802"/>
      <c r="NCU840" s="802"/>
      <c r="NCV840" s="802"/>
      <c r="NCW840" s="802"/>
      <c r="NCX840" s="802"/>
      <c r="NCY840" s="802"/>
      <c r="NCZ840" s="802"/>
      <c r="NDA840" s="802"/>
      <c r="NDB840" s="802"/>
      <c r="NDC840" s="802"/>
      <c r="NDD840" s="802"/>
      <c r="NDE840" s="802"/>
      <c r="NDF840" s="802"/>
      <c r="NDG840" s="802"/>
      <c r="NDH840" s="802"/>
      <c r="NDI840" s="802"/>
      <c r="NDJ840" s="802"/>
      <c r="NDK840" s="802"/>
      <c r="NDL840" s="802"/>
      <c r="NDM840" s="802"/>
      <c r="NDN840" s="802"/>
      <c r="NDO840" s="802"/>
      <c r="NDP840" s="802"/>
      <c r="NDQ840" s="802"/>
      <c r="NDR840" s="802"/>
      <c r="NDS840" s="802"/>
      <c r="NDT840" s="802"/>
      <c r="NDU840" s="802"/>
      <c r="NDV840" s="802"/>
      <c r="NDW840" s="802"/>
      <c r="NDX840" s="802"/>
      <c r="NDY840" s="802"/>
      <c r="NDZ840" s="802"/>
      <c r="NEA840" s="802"/>
      <c r="NEB840" s="802"/>
      <c r="NEC840" s="802"/>
      <c r="NED840" s="802"/>
      <c r="NEE840" s="802"/>
      <c r="NEF840" s="802"/>
      <c r="NEG840" s="802"/>
      <c r="NEH840" s="802"/>
      <c r="NEI840" s="802"/>
      <c r="NEJ840" s="802"/>
      <c r="NEK840" s="802"/>
      <c r="NEL840" s="802"/>
      <c r="NEM840" s="802"/>
      <c r="NEN840" s="802"/>
      <c r="NEO840" s="802"/>
      <c r="NEP840" s="802"/>
      <c r="NEQ840" s="802"/>
      <c r="NER840" s="802"/>
      <c r="NES840" s="802"/>
      <c r="NET840" s="802"/>
      <c r="NEU840" s="802"/>
      <c r="NEV840" s="802"/>
      <c r="NEW840" s="802"/>
      <c r="NEX840" s="802"/>
      <c r="NEY840" s="802"/>
      <c r="NEZ840" s="802"/>
      <c r="NFA840" s="802"/>
      <c r="NFB840" s="802"/>
      <c r="NFC840" s="802"/>
      <c r="NFD840" s="802"/>
      <c r="NFE840" s="802"/>
      <c r="NFF840" s="802"/>
      <c r="NFG840" s="802"/>
      <c r="NFH840" s="802"/>
      <c r="NFI840" s="802"/>
      <c r="NFJ840" s="802"/>
      <c r="NFK840" s="802"/>
      <c r="NFL840" s="802"/>
      <c r="NFM840" s="802"/>
      <c r="NFN840" s="802"/>
      <c r="NFO840" s="802"/>
      <c r="NFP840" s="802"/>
      <c r="NFQ840" s="802"/>
      <c r="NFR840" s="802"/>
      <c r="NFS840" s="802"/>
      <c r="NFT840" s="802"/>
      <c r="NFU840" s="802"/>
      <c r="NFV840" s="802"/>
      <c r="NFW840" s="802"/>
      <c r="NFX840" s="802"/>
      <c r="NFY840" s="802"/>
      <c r="NFZ840" s="802"/>
      <c r="NGA840" s="802"/>
      <c r="NGB840" s="802"/>
      <c r="NGC840" s="802"/>
      <c r="NGD840" s="802"/>
      <c r="NGE840" s="802"/>
      <c r="NGF840" s="802"/>
      <c r="NGG840" s="802"/>
      <c r="NGH840" s="802"/>
      <c r="NGI840" s="802"/>
      <c r="NGJ840" s="802"/>
      <c r="NGK840" s="802"/>
      <c r="NGL840" s="802"/>
      <c r="NGM840" s="802"/>
      <c r="NGN840" s="802"/>
      <c r="NGO840" s="802"/>
      <c r="NGP840" s="802"/>
      <c r="NGQ840" s="802"/>
      <c r="NGR840" s="802"/>
      <c r="NGS840" s="802"/>
      <c r="NGT840" s="802"/>
      <c r="NGU840" s="802"/>
      <c r="NGV840" s="802"/>
      <c r="NGW840" s="802"/>
      <c r="NGX840" s="802"/>
      <c r="NGY840" s="802"/>
      <c r="NGZ840" s="802"/>
      <c r="NHA840" s="802"/>
      <c r="NHB840" s="802"/>
      <c r="NHC840" s="802"/>
      <c r="NHD840" s="802"/>
      <c r="NHE840" s="802"/>
      <c r="NHF840" s="802"/>
      <c r="NHG840" s="802"/>
      <c r="NHH840" s="802"/>
      <c r="NHI840" s="802"/>
      <c r="NHJ840" s="802"/>
      <c r="NHK840" s="802"/>
      <c r="NHL840" s="802"/>
      <c r="NHM840" s="802"/>
      <c r="NHN840" s="802"/>
      <c r="NHO840" s="802"/>
      <c r="NHP840" s="802"/>
      <c r="NHQ840" s="802"/>
      <c r="NHR840" s="802"/>
      <c r="NHS840" s="802"/>
      <c r="NHT840" s="802"/>
      <c r="NHU840" s="802"/>
      <c r="NHV840" s="802"/>
      <c r="NHW840" s="802"/>
      <c r="NHX840" s="802"/>
      <c r="NHY840" s="802"/>
      <c r="NHZ840" s="802"/>
      <c r="NIA840" s="802"/>
      <c r="NIB840" s="802"/>
      <c r="NIC840" s="802"/>
      <c r="NID840" s="802"/>
      <c r="NIE840" s="802"/>
      <c r="NIF840" s="802"/>
      <c r="NIG840" s="802"/>
      <c r="NIH840" s="802"/>
      <c r="NII840" s="802"/>
      <c r="NIJ840" s="802"/>
      <c r="NIK840" s="802"/>
      <c r="NIL840" s="802"/>
      <c r="NIM840" s="802"/>
      <c r="NIN840" s="802"/>
      <c r="NIO840" s="802"/>
      <c r="NIP840" s="802"/>
      <c r="NIQ840" s="802"/>
      <c r="NIR840" s="802"/>
      <c r="NIS840" s="802"/>
      <c r="NIT840" s="802"/>
      <c r="NIU840" s="802"/>
      <c r="NIV840" s="802"/>
      <c r="NIW840" s="802"/>
      <c r="NIX840" s="802"/>
      <c r="NIY840" s="802"/>
      <c r="NIZ840" s="802"/>
      <c r="NJA840" s="802"/>
      <c r="NJB840" s="802"/>
      <c r="NJC840" s="802"/>
      <c r="NJD840" s="802"/>
      <c r="NJE840" s="802"/>
      <c r="NJF840" s="802"/>
      <c r="NJG840" s="802"/>
      <c r="NJH840" s="802"/>
      <c r="NJI840" s="802"/>
      <c r="NJJ840" s="802"/>
      <c r="NJK840" s="802"/>
      <c r="NJL840" s="802"/>
      <c r="NJM840" s="802"/>
      <c r="NJN840" s="802"/>
      <c r="NJO840" s="802"/>
      <c r="NJP840" s="802"/>
      <c r="NJQ840" s="802"/>
      <c r="NJR840" s="802"/>
      <c r="NJS840" s="802"/>
      <c r="NJT840" s="802"/>
      <c r="NJU840" s="802"/>
      <c r="NJV840" s="802"/>
      <c r="NJW840" s="802"/>
      <c r="NJX840" s="802"/>
      <c r="NJY840" s="802"/>
      <c r="NJZ840" s="802"/>
      <c r="NKA840" s="802"/>
      <c r="NKB840" s="802"/>
      <c r="NKC840" s="802"/>
      <c r="NKD840" s="802"/>
      <c r="NKE840" s="802"/>
      <c r="NKF840" s="802"/>
      <c r="NKG840" s="802"/>
      <c r="NKH840" s="802"/>
      <c r="NKI840" s="802"/>
      <c r="NKJ840" s="802"/>
      <c r="NKK840" s="802"/>
      <c r="NKL840" s="802"/>
      <c r="NKM840" s="802"/>
      <c r="NKN840" s="802"/>
      <c r="NKO840" s="802"/>
      <c r="NKP840" s="802"/>
      <c r="NKQ840" s="802"/>
      <c r="NKR840" s="802"/>
      <c r="NKS840" s="802"/>
      <c r="NKT840" s="802"/>
      <c r="NKU840" s="802"/>
      <c r="NKV840" s="802"/>
      <c r="NKW840" s="802"/>
      <c r="NKX840" s="802"/>
      <c r="NKY840" s="802"/>
      <c r="NKZ840" s="802"/>
      <c r="NLA840" s="802"/>
      <c r="NLB840" s="802"/>
      <c r="NLC840" s="802"/>
      <c r="NLD840" s="802"/>
      <c r="NLE840" s="802"/>
      <c r="NLF840" s="802"/>
      <c r="NLG840" s="802"/>
      <c r="NLH840" s="802"/>
      <c r="NLI840" s="802"/>
      <c r="NLJ840" s="802"/>
      <c r="NLK840" s="802"/>
      <c r="NLL840" s="802"/>
      <c r="NLM840" s="802"/>
      <c r="NLN840" s="802"/>
      <c r="NLO840" s="802"/>
      <c r="NLP840" s="802"/>
      <c r="NLQ840" s="802"/>
      <c r="NLR840" s="802"/>
      <c r="NLS840" s="802"/>
      <c r="NLT840" s="802"/>
      <c r="NLU840" s="802"/>
      <c r="NLV840" s="802"/>
      <c r="NLW840" s="802"/>
      <c r="NLX840" s="802"/>
      <c r="NLY840" s="802"/>
      <c r="NLZ840" s="802"/>
      <c r="NMA840" s="802"/>
      <c r="NMB840" s="802"/>
      <c r="NMC840" s="802"/>
      <c r="NMD840" s="802"/>
      <c r="NME840" s="802"/>
      <c r="NMF840" s="802"/>
      <c r="NMG840" s="802"/>
      <c r="NMH840" s="802"/>
      <c r="NMI840" s="802"/>
      <c r="NMJ840" s="802"/>
      <c r="NMK840" s="802"/>
      <c r="NML840" s="802"/>
      <c r="NMM840" s="802"/>
      <c r="NMN840" s="802"/>
      <c r="NMO840" s="802"/>
      <c r="NMP840" s="802"/>
      <c r="NMQ840" s="802"/>
      <c r="NMR840" s="802"/>
      <c r="NMS840" s="802"/>
      <c r="NMT840" s="802"/>
      <c r="NMU840" s="802"/>
      <c r="NMV840" s="802"/>
      <c r="NMW840" s="802"/>
      <c r="NMX840" s="802"/>
      <c r="NMY840" s="802"/>
      <c r="NMZ840" s="802"/>
      <c r="NNA840" s="802"/>
      <c r="NNB840" s="802"/>
      <c r="NNC840" s="802"/>
      <c r="NND840" s="802"/>
      <c r="NNE840" s="802"/>
      <c r="NNF840" s="802"/>
      <c r="NNG840" s="802"/>
      <c r="NNH840" s="802"/>
      <c r="NNI840" s="802"/>
      <c r="NNJ840" s="802"/>
      <c r="NNK840" s="802"/>
      <c r="NNL840" s="802"/>
      <c r="NNM840" s="802"/>
      <c r="NNN840" s="802"/>
      <c r="NNO840" s="802"/>
      <c r="NNP840" s="802"/>
      <c r="NNQ840" s="802"/>
      <c r="NNR840" s="802"/>
      <c r="NNS840" s="802"/>
      <c r="NNT840" s="802"/>
      <c r="NNU840" s="802"/>
      <c r="NNV840" s="802"/>
      <c r="NNW840" s="802"/>
      <c r="NNX840" s="802"/>
      <c r="NNY840" s="802"/>
      <c r="NNZ840" s="802"/>
      <c r="NOA840" s="802"/>
      <c r="NOB840" s="802"/>
      <c r="NOC840" s="802"/>
      <c r="NOD840" s="802"/>
      <c r="NOE840" s="802"/>
      <c r="NOF840" s="802"/>
      <c r="NOG840" s="802"/>
      <c r="NOH840" s="802"/>
      <c r="NOI840" s="802"/>
      <c r="NOJ840" s="802"/>
      <c r="NOK840" s="802"/>
      <c r="NOL840" s="802"/>
      <c r="NOM840" s="802"/>
      <c r="NON840" s="802"/>
      <c r="NOO840" s="802"/>
      <c r="NOP840" s="802"/>
      <c r="NOQ840" s="802"/>
      <c r="NOR840" s="802"/>
      <c r="NOS840" s="802"/>
      <c r="NOT840" s="802"/>
      <c r="NOU840" s="802"/>
      <c r="NOV840" s="802"/>
      <c r="NOW840" s="802"/>
      <c r="NOX840" s="802"/>
      <c r="NOY840" s="802"/>
      <c r="NOZ840" s="802"/>
      <c r="NPA840" s="802"/>
      <c r="NPB840" s="802"/>
      <c r="NPC840" s="802"/>
      <c r="NPD840" s="802"/>
      <c r="NPE840" s="802"/>
      <c r="NPF840" s="802"/>
      <c r="NPG840" s="802"/>
      <c r="NPH840" s="802"/>
      <c r="NPI840" s="802"/>
      <c r="NPJ840" s="802"/>
      <c r="NPK840" s="802"/>
      <c r="NPL840" s="802"/>
      <c r="NPM840" s="802"/>
      <c r="NPN840" s="802"/>
      <c r="NPO840" s="802"/>
      <c r="NPP840" s="802"/>
      <c r="NPQ840" s="802"/>
      <c r="NPR840" s="802"/>
      <c r="NPS840" s="802"/>
      <c r="NPT840" s="802"/>
      <c r="NPU840" s="802"/>
      <c r="NPV840" s="802"/>
      <c r="NPW840" s="802"/>
      <c r="NPX840" s="802"/>
      <c r="NPY840" s="802"/>
      <c r="NPZ840" s="802"/>
      <c r="NQA840" s="802"/>
      <c r="NQB840" s="802"/>
      <c r="NQC840" s="802"/>
      <c r="NQD840" s="802"/>
      <c r="NQE840" s="802"/>
      <c r="NQF840" s="802"/>
      <c r="NQG840" s="802"/>
      <c r="NQH840" s="802"/>
      <c r="NQI840" s="802"/>
      <c r="NQJ840" s="802"/>
      <c r="NQK840" s="802"/>
      <c r="NQL840" s="802"/>
      <c r="NQM840" s="802"/>
      <c r="NQN840" s="802"/>
      <c r="NQO840" s="802"/>
      <c r="NQP840" s="802"/>
      <c r="NQQ840" s="802"/>
      <c r="NQR840" s="802"/>
      <c r="NQS840" s="802"/>
      <c r="NQT840" s="802"/>
      <c r="NQU840" s="802"/>
      <c r="NQV840" s="802"/>
      <c r="NQW840" s="802"/>
      <c r="NQX840" s="802"/>
      <c r="NQY840" s="802"/>
      <c r="NQZ840" s="802"/>
      <c r="NRA840" s="802"/>
      <c r="NRB840" s="802"/>
      <c r="NRC840" s="802"/>
      <c r="NRD840" s="802"/>
      <c r="NRE840" s="802"/>
      <c r="NRF840" s="802"/>
      <c r="NRG840" s="802"/>
      <c r="NRH840" s="802"/>
      <c r="NRI840" s="802"/>
      <c r="NRJ840" s="802"/>
      <c r="NRK840" s="802"/>
      <c r="NRL840" s="802"/>
      <c r="NRM840" s="802"/>
      <c r="NRN840" s="802"/>
      <c r="NRO840" s="802"/>
      <c r="NRP840" s="802"/>
      <c r="NRQ840" s="802"/>
      <c r="NRR840" s="802"/>
      <c r="NRS840" s="802"/>
      <c r="NRT840" s="802"/>
      <c r="NRU840" s="802"/>
      <c r="NRV840" s="802"/>
      <c r="NRW840" s="802"/>
      <c r="NRX840" s="802"/>
      <c r="NRY840" s="802"/>
      <c r="NRZ840" s="802"/>
      <c r="NSA840" s="802"/>
      <c r="NSB840" s="802"/>
      <c r="NSC840" s="802"/>
      <c r="NSD840" s="802"/>
      <c r="NSE840" s="802"/>
      <c r="NSF840" s="802"/>
      <c r="NSG840" s="802"/>
      <c r="NSH840" s="802"/>
      <c r="NSI840" s="802"/>
      <c r="NSJ840" s="802"/>
      <c r="NSK840" s="802"/>
      <c r="NSL840" s="802"/>
      <c r="NSM840" s="802"/>
      <c r="NSN840" s="802"/>
      <c r="NSO840" s="802"/>
      <c r="NSP840" s="802"/>
      <c r="NSQ840" s="802"/>
      <c r="NSR840" s="802"/>
      <c r="NSS840" s="802"/>
      <c r="NST840" s="802"/>
      <c r="NSU840" s="802"/>
      <c r="NSV840" s="802"/>
      <c r="NSW840" s="802"/>
      <c r="NSX840" s="802"/>
      <c r="NSY840" s="802"/>
      <c r="NSZ840" s="802"/>
      <c r="NTA840" s="802"/>
      <c r="NTB840" s="802"/>
      <c r="NTC840" s="802"/>
      <c r="NTD840" s="802"/>
      <c r="NTE840" s="802"/>
      <c r="NTF840" s="802"/>
      <c r="NTG840" s="802"/>
      <c r="NTH840" s="802"/>
      <c r="NTI840" s="802"/>
      <c r="NTJ840" s="802"/>
      <c r="NTK840" s="802"/>
      <c r="NTL840" s="802"/>
      <c r="NTM840" s="802"/>
      <c r="NTN840" s="802"/>
      <c r="NTO840" s="802"/>
      <c r="NTP840" s="802"/>
      <c r="NTQ840" s="802"/>
      <c r="NTR840" s="802"/>
      <c r="NTS840" s="802"/>
      <c r="NTT840" s="802"/>
      <c r="NTU840" s="802"/>
      <c r="NTV840" s="802"/>
      <c r="NTW840" s="802"/>
      <c r="NTX840" s="802"/>
      <c r="NTY840" s="802"/>
      <c r="NTZ840" s="802"/>
      <c r="NUA840" s="802"/>
      <c r="NUB840" s="802"/>
      <c r="NUC840" s="802"/>
      <c r="NUD840" s="802"/>
      <c r="NUE840" s="802"/>
      <c r="NUF840" s="802"/>
      <c r="NUG840" s="802"/>
      <c r="NUH840" s="802"/>
      <c r="NUI840" s="802"/>
      <c r="NUJ840" s="802"/>
      <c r="NUK840" s="802"/>
      <c r="NUL840" s="802"/>
      <c r="NUM840" s="802"/>
      <c r="NUN840" s="802"/>
      <c r="NUO840" s="802"/>
      <c r="NUP840" s="802"/>
      <c r="NUQ840" s="802"/>
      <c r="NUR840" s="802"/>
      <c r="NUS840" s="802"/>
      <c r="NUT840" s="802"/>
      <c r="NUU840" s="802"/>
      <c r="NUV840" s="802"/>
      <c r="NUW840" s="802"/>
      <c r="NUX840" s="802"/>
      <c r="NUY840" s="802"/>
      <c r="NUZ840" s="802"/>
      <c r="NVA840" s="802"/>
      <c r="NVB840" s="802"/>
      <c r="NVC840" s="802"/>
      <c r="NVD840" s="802"/>
      <c r="NVE840" s="802"/>
      <c r="NVF840" s="802"/>
      <c r="NVG840" s="802"/>
      <c r="NVH840" s="802"/>
      <c r="NVI840" s="802"/>
      <c r="NVJ840" s="802"/>
      <c r="NVK840" s="802"/>
      <c r="NVL840" s="802"/>
      <c r="NVM840" s="802"/>
      <c r="NVN840" s="802"/>
      <c r="NVO840" s="802"/>
      <c r="NVP840" s="802"/>
      <c r="NVQ840" s="802"/>
      <c r="NVR840" s="802"/>
      <c r="NVS840" s="802"/>
      <c r="NVT840" s="802"/>
      <c r="NVU840" s="802"/>
      <c r="NVV840" s="802"/>
      <c r="NVW840" s="802"/>
      <c r="NVX840" s="802"/>
      <c r="NVY840" s="802"/>
      <c r="NVZ840" s="802"/>
      <c r="NWA840" s="802"/>
      <c r="NWB840" s="802"/>
      <c r="NWC840" s="802"/>
      <c r="NWD840" s="802"/>
      <c r="NWE840" s="802"/>
      <c r="NWF840" s="802"/>
      <c r="NWG840" s="802"/>
      <c r="NWH840" s="802"/>
      <c r="NWI840" s="802"/>
      <c r="NWJ840" s="802"/>
      <c r="NWK840" s="802"/>
      <c r="NWL840" s="802"/>
      <c r="NWM840" s="802"/>
      <c r="NWN840" s="802"/>
      <c r="NWO840" s="802"/>
      <c r="NWP840" s="802"/>
      <c r="NWQ840" s="802"/>
      <c r="NWR840" s="802"/>
      <c r="NWS840" s="802"/>
      <c r="NWT840" s="802"/>
      <c r="NWU840" s="802"/>
      <c r="NWV840" s="802"/>
      <c r="NWW840" s="802"/>
      <c r="NWX840" s="802"/>
      <c r="NWY840" s="802"/>
      <c r="NWZ840" s="802"/>
      <c r="NXA840" s="802"/>
      <c r="NXB840" s="802"/>
      <c r="NXC840" s="802"/>
      <c r="NXD840" s="802"/>
      <c r="NXE840" s="802"/>
      <c r="NXF840" s="802"/>
      <c r="NXG840" s="802"/>
      <c r="NXH840" s="802"/>
      <c r="NXI840" s="802"/>
      <c r="NXJ840" s="802"/>
      <c r="NXK840" s="802"/>
      <c r="NXL840" s="802"/>
      <c r="NXM840" s="802"/>
      <c r="NXN840" s="802"/>
      <c r="NXO840" s="802"/>
      <c r="NXP840" s="802"/>
      <c r="NXQ840" s="802"/>
      <c r="NXR840" s="802"/>
      <c r="NXS840" s="802"/>
      <c r="NXT840" s="802"/>
      <c r="NXU840" s="802"/>
      <c r="NXV840" s="802"/>
      <c r="NXW840" s="802"/>
      <c r="NXX840" s="802"/>
      <c r="NXY840" s="802"/>
      <c r="NXZ840" s="802"/>
      <c r="NYA840" s="802"/>
      <c r="NYB840" s="802"/>
      <c r="NYC840" s="802"/>
      <c r="NYD840" s="802"/>
      <c r="NYE840" s="802"/>
      <c r="NYF840" s="802"/>
      <c r="NYG840" s="802"/>
      <c r="NYH840" s="802"/>
      <c r="NYI840" s="802"/>
      <c r="NYJ840" s="802"/>
      <c r="NYK840" s="802"/>
      <c r="NYL840" s="802"/>
      <c r="NYM840" s="802"/>
      <c r="NYN840" s="802"/>
      <c r="NYO840" s="802"/>
      <c r="NYP840" s="802"/>
      <c r="NYQ840" s="802"/>
      <c r="NYR840" s="802"/>
      <c r="NYS840" s="802"/>
      <c r="NYT840" s="802"/>
      <c r="NYU840" s="802"/>
      <c r="NYV840" s="802"/>
      <c r="NYW840" s="802"/>
      <c r="NYX840" s="802"/>
      <c r="NYY840" s="802"/>
      <c r="NYZ840" s="802"/>
      <c r="NZA840" s="802"/>
      <c r="NZB840" s="802"/>
      <c r="NZC840" s="802"/>
      <c r="NZD840" s="802"/>
      <c r="NZE840" s="802"/>
      <c r="NZF840" s="802"/>
      <c r="NZG840" s="802"/>
      <c r="NZH840" s="802"/>
      <c r="NZI840" s="802"/>
      <c r="NZJ840" s="802"/>
      <c r="NZK840" s="802"/>
      <c r="NZL840" s="802"/>
      <c r="NZM840" s="802"/>
      <c r="NZN840" s="802"/>
      <c r="NZO840" s="802"/>
      <c r="NZP840" s="802"/>
      <c r="NZQ840" s="802"/>
      <c r="NZR840" s="802"/>
      <c r="NZS840" s="802"/>
      <c r="NZT840" s="802"/>
      <c r="NZU840" s="802"/>
      <c r="NZV840" s="802"/>
      <c r="NZW840" s="802"/>
      <c r="NZX840" s="802"/>
      <c r="NZY840" s="802"/>
      <c r="NZZ840" s="802"/>
      <c r="OAA840" s="802"/>
      <c r="OAB840" s="802"/>
      <c r="OAC840" s="802"/>
      <c r="OAD840" s="802"/>
      <c r="OAE840" s="802"/>
      <c r="OAF840" s="802"/>
      <c r="OAG840" s="802"/>
      <c r="OAH840" s="802"/>
      <c r="OAI840" s="802"/>
      <c r="OAJ840" s="802"/>
      <c r="OAK840" s="802"/>
      <c r="OAL840" s="802"/>
      <c r="OAM840" s="802"/>
      <c r="OAN840" s="802"/>
      <c r="OAO840" s="802"/>
      <c r="OAP840" s="802"/>
      <c r="OAQ840" s="802"/>
      <c r="OAR840" s="802"/>
      <c r="OAS840" s="802"/>
      <c r="OAT840" s="802"/>
      <c r="OAU840" s="802"/>
      <c r="OAV840" s="802"/>
      <c r="OAW840" s="802"/>
      <c r="OAX840" s="802"/>
      <c r="OAY840" s="802"/>
      <c r="OAZ840" s="802"/>
      <c r="OBA840" s="802"/>
      <c r="OBB840" s="802"/>
      <c r="OBC840" s="802"/>
      <c r="OBD840" s="802"/>
      <c r="OBE840" s="802"/>
      <c r="OBF840" s="802"/>
      <c r="OBG840" s="802"/>
      <c r="OBH840" s="802"/>
      <c r="OBI840" s="802"/>
      <c r="OBJ840" s="802"/>
      <c r="OBK840" s="802"/>
      <c r="OBL840" s="802"/>
      <c r="OBM840" s="802"/>
      <c r="OBN840" s="802"/>
      <c r="OBO840" s="802"/>
      <c r="OBP840" s="802"/>
      <c r="OBQ840" s="802"/>
      <c r="OBR840" s="802"/>
      <c r="OBS840" s="802"/>
      <c r="OBT840" s="802"/>
      <c r="OBU840" s="802"/>
      <c r="OBV840" s="802"/>
      <c r="OBW840" s="802"/>
      <c r="OBX840" s="802"/>
      <c r="OBY840" s="802"/>
      <c r="OBZ840" s="802"/>
      <c r="OCA840" s="802"/>
      <c r="OCB840" s="802"/>
      <c r="OCC840" s="802"/>
      <c r="OCD840" s="802"/>
      <c r="OCE840" s="802"/>
      <c r="OCF840" s="802"/>
      <c r="OCG840" s="802"/>
      <c r="OCH840" s="802"/>
      <c r="OCI840" s="802"/>
      <c r="OCJ840" s="802"/>
      <c r="OCK840" s="802"/>
      <c r="OCL840" s="802"/>
      <c r="OCM840" s="802"/>
      <c r="OCN840" s="802"/>
      <c r="OCO840" s="802"/>
      <c r="OCP840" s="802"/>
      <c r="OCQ840" s="802"/>
      <c r="OCR840" s="802"/>
      <c r="OCS840" s="802"/>
      <c r="OCT840" s="802"/>
      <c r="OCU840" s="802"/>
      <c r="OCV840" s="802"/>
      <c r="OCW840" s="802"/>
      <c r="OCX840" s="802"/>
      <c r="OCY840" s="802"/>
      <c r="OCZ840" s="802"/>
      <c r="ODA840" s="802"/>
      <c r="ODB840" s="802"/>
      <c r="ODC840" s="802"/>
      <c r="ODD840" s="802"/>
      <c r="ODE840" s="802"/>
      <c r="ODF840" s="802"/>
      <c r="ODG840" s="802"/>
      <c r="ODH840" s="802"/>
      <c r="ODI840" s="802"/>
      <c r="ODJ840" s="802"/>
      <c r="ODK840" s="802"/>
      <c r="ODL840" s="802"/>
      <c r="ODM840" s="802"/>
      <c r="ODN840" s="802"/>
      <c r="ODO840" s="802"/>
      <c r="ODP840" s="802"/>
      <c r="ODQ840" s="802"/>
      <c r="ODR840" s="802"/>
      <c r="ODS840" s="802"/>
      <c r="ODT840" s="802"/>
      <c r="ODU840" s="802"/>
      <c r="ODV840" s="802"/>
      <c r="ODW840" s="802"/>
      <c r="ODX840" s="802"/>
      <c r="ODY840" s="802"/>
      <c r="ODZ840" s="802"/>
      <c r="OEA840" s="802"/>
      <c r="OEB840" s="802"/>
      <c r="OEC840" s="802"/>
      <c r="OED840" s="802"/>
      <c r="OEE840" s="802"/>
      <c r="OEF840" s="802"/>
      <c r="OEG840" s="802"/>
      <c r="OEH840" s="802"/>
      <c r="OEI840" s="802"/>
      <c r="OEJ840" s="802"/>
      <c r="OEK840" s="802"/>
      <c r="OEL840" s="802"/>
      <c r="OEM840" s="802"/>
      <c r="OEN840" s="802"/>
      <c r="OEO840" s="802"/>
      <c r="OEP840" s="802"/>
      <c r="OEQ840" s="802"/>
      <c r="OER840" s="802"/>
      <c r="OES840" s="802"/>
      <c r="OET840" s="802"/>
      <c r="OEU840" s="802"/>
      <c r="OEV840" s="802"/>
      <c r="OEW840" s="802"/>
      <c r="OEX840" s="802"/>
      <c r="OEY840" s="802"/>
      <c r="OEZ840" s="802"/>
      <c r="OFA840" s="802"/>
      <c r="OFB840" s="802"/>
      <c r="OFC840" s="802"/>
      <c r="OFD840" s="802"/>
      <c r="OFE840" s="802"/>
      <c r="OFF840" s="802"/>
      <c r="OFG840" s="802"/>
      <c r="OFH840" s="802"/>
      <c r="OFI840" s="802"/>
      <c r="OFJ840" s="802"/>
      <c r="OFK840" s="802"/>
      <c r="OFL840" s="802"/>
      <c r="OFM840" s="802"/>
      <c r="OFN840" s="802"/>
      <c r="OFO840" s="802"/>
      <c r="OFP840" s="802"/>
      <c r="OFQ840" s="802"/>
      <c r="OFR840" s="802"/>
      <c r="OFS840" s="802"/>
      <c r="OFT840" s="802"/>
      <c r="OFU840" s="802"/>
      <c r="OFV840" s="802"/>
      <c r="OFW840" s="802"/>
      <c r="OFX840" s="802"/>
      <c r="OFY840" s="802"/>
      <c r="OFZ840" s="802"/>
      <c r="OGA840" s="802"/>
      <c r="OGB840" s="802"/>
      <c r="OGC840" s="802"/>
      <c r="OGD840" s="802"/>
      <c r="OGE840" s="802"/>
      <c r="OGF840" s="802"/>
      <c r="OGG840" s="802"/>
      <c r="OGH840" s="802"/>
      <c r="OGI840" s="802"/>
      <c r="OGJ840" s="802"/>
      <c r="OGK840" s="802"/>
      <c r="OGL840" s="802"/>
      <c r="OGM840" s="802"/>
      <c r="OGN840" s="802"/>
      <c r="OGO840" s="802"/>
      <c r="OGP840" s="802"/>
      <c r="OGQ840" s="802"/>
      <c r="OGR840" s="802"/>
      <c r="OGS840" s="802"/>
      <c r="OGT840" s="802"/>
      <c r="OGU840" s="802"/>
      <c r="OGV840" s="802"/>
      <c r="OGW840" s="802"/>
      <c r="OGX840" s="802"/>
      <c r="OGY840" s="802"/>
      <c r="OGZ840" s="802"/>
      <c r="OHA840" s="802"/>
      <c r="OHB840" s="802"/>
      <c r="OHC840" s="802"/>
      <c r="OHD840" s="802"/>
      <c r="OHE840" s="802"/>
      <c r="OHF840" s="802"/>
      <c r="OHG840" s="802"/>
      <c r="OHH840" s="802"/>
      <c r="OHI840" s="802"/>
      <c r="OHJ840" s="802"/>
      <c r="OHK840" s="802"/>
      <c r="OHL840" s="802"/>
      <c r="OHM840" s="802"/>
      <c r="OHN840" s="802"/>
      <c r="OHO840" s="802"/>
      <c r="OHP840" s="802"/>
      <c r="OHQ840" s="802"/>
      <c r="OHR840" s="802"/>
      <c r="OHS840" s="802"/>
      <c r="OHT840" s="802"/>
      <c r="OHU840" s="802"/>
      <c r="OHV840" s="802"/>
      <c r="OHW840" s="802"/>
      <c r="OHX840" s="802"/>
      <c r="OHY840" s="802"/>
      <c r="OHZ840" s="802"/>
      <c r="OIA840" s="802"/>
      <c r="OIB840" s="802"/>
      <c r="OIC840" s="802"/>
      <c r="OID840" s="802"/>
      <c r="OIE840" s="802"/>
      <c r="OIF840" s="802"/>
      <c r="OIG840" s="802"/>
      <c r="OIH840" s="802"/>
      <c r="OII840" s="802"/>
      <c r="OIJ840" s="802"/>
      <c r="OIK840" s="802"/>
      <c r="OIL840" s="802"/>
      <c r="OIM840" s="802"/>
      <c r="OIN840" s="802"/>
      <c r="OIO840" s="802"/>
      <c r="OIP840" s="802"/>
      <c r="OIQ840" s="802"/>
      <c r="OIR840" s="802"/>
      <c r="OIS840" s="802"/>
      <c r="OIT840" s="802"/>
      <c r="OIU840" s="802"/>
      <c r="OIV840" s="802"/>
      <c r="OIW840" s="802"/>
      <c r="OIX840" s="802"/>
      <c r="OIY840" s="802"/>
      <c r="OIZ840" s="802"/>
      <c r="OJA840" s="802"/>
      <c r="OJB840" s="802"/>
      <c r="OJC840" s="802"/>
      <c r="OJD840" s="802"/>
      <c r="OJE840" s="802"/>
      <c r="OJF840" s="802"/>
      <c r="OJG840" s="802"/>
      <c r="OJH840" s="802"/>
      <c r="OJI840" s="802"/>
      <c r="OJJ840" s="802"/>
      <c r="OJK840" s="802"/>
      <c r="OJL840" s="802"/>
      <c r="OJM840" s="802"/>
      <c r="OJN840" s="802"/>
      <c r="OJO840" s="802"/>
      <c r="OJP840" s="802"/>
      <c r="OJQ840" s="802"/>
      <c r="OJR840" s="802"/>
      <c r="OJS840" s="802"/>
      <c r="OJT840" s="802"/>
      <c r="OJU840" s="802"/>
      <c r="OJV840" s="802"/>
      <c r="OJW840" s="802"/>
      <c r="OJX840" s="802"/>
      <c r="OJY840" s="802"/>
      <c r="OJZ840" s="802"/>
      <c r="OKA840" s="802"/>
      <c r="OKB840" s="802"/>
      <c r="OKC840" s="802"/>
      <c r="OKD840" s="802"/>
      <c r="OKE840" s="802"/>
      <c r="OKF840" s="802"/>
      <c r="OKG840" s="802"/>
      <c r="OKH840" s="802"/>
      <c r="OKI840" s="802"/>
      <c r="OKJ840" s="802"/>
      <c r="OKK840" s="802"/>
      <c r="OKL840" s="802"/>
      <c r="OKM840" s="802"/>
      <c r="OKN840" s="802"/>
      <c r="OKO840" s="802"/>
      <c r="OKP840" s="802"/>
      <c r="OKQ840" s="802"/>
      <c r="OKR840" s="802"/>
      <c r="OKS840" s="802"/>
      <c r="OKT840" s="802"/>
      <c r="OKU840" s="802"/>
      <c r="OKV840" s="802"/>
      <c r="OKW840" s="802"/>
      <c r="OKX840" s="802"/>
      <c r="OKY840" s="802"/>
      <c r="OKZ840" s="802"/>
      <c r="OLA840" s="802"/>
      <c r="OLB840" s="802"/>
      <c r="OLC840" s="802"/>
      <c r="OLD840" s="802"/>
      <c r="OLE840" s="802"/>
      <c r="OLF840" s="802"/>
      <c r="OLG840" s="802"/>
      <c r="OLH840" s="802"/>
      <c r="OLI840" s="802"/>
      <c r="OLJ840" s="802"/>
      <c r="OLK840" s="802"/>
      <c r="OLL840" s="802"/>
      <c r="OLM840" s="802"/>
      <c r="OLN840" s="802"/>
      <c r="OLO840" s="802"/>
      <c r="OLP840" s="802"/>
      <c r="OLQ840" s="802"/>
      <c r="OLR840" s="802"/>
      <c r="OLS840" s="802"/>
      <c r="OLT840" s="802"/>
      <c r="OLU840" s="802"/>
      <c r="OLV840" s="802"/>
      <c r="OLW840" s="802"/>
      <c r="OLX840" s="802"/>
      <c r="OLY840" s="802"/>
      <c r="OLZ840" s="802"/>
      <c r="OMA840" s="802"/>
      <c r="OMB840" s="802"/>
      <c r="OMC840" s="802"/>
      <c r="OMD840" s="802"/>
      <c r="OME840" s="802"/>
      <c r="OMF840" s="802"/>
      <c r="OMG840" s="802"/>
      <c r="OMH840" s="802"/>
      <c r="OMI840" s="802"/>
      <c r="OMJ840" s="802"/>
      <c r="OMK840" s="802"/>
      <c r="OML840" s="802"/>
      <c r="OMM840" s="802"/>
      <c r="OMN840" s="802"/>
      <c r="OMO840" s="802"/>
      <c r="OMP840" s="802"/>
      <c r="OMQ840" s="802"/>
      <c r="OMR840" s="802"/>
      <c r="OMS840" s="802"/>
      <c r="OMT840" s="802"/>
      <c r="OMU840" s="802"/>
      <c r="OMV840" s="802"/>
      <c r="OMW840" s="802"/>
      <c r="OMX840" s="802"/>
      <c r="OMY840" s="802"/>
      <c r="OMZ840" s="802"/>
      <c r="ONA840" s="802"/>
      <c r="ONB840" s="802"/>
      <c r="ONC840" s="802"/>
      <c r="OND840" s="802"/>
      <c r="ONE840" s="802"/>
      <c r="ONF840" s="802"/>
      <c r="ONG840" s="802"/>
      <c r="ONH840" s="802"/>
      <c r="ONI840" s="802"/>
      <c r="ONJ840" s="802"/>
      <c r="ONK840" s="802"/>
      <c r="ONL840" s="802"/>
      <c r="ONM840" s="802"/>
      <c r="ONN840" s="802"/>
      <c r="ONO840" s="802"/>
      <c r="ONP840" s="802"/>
      <c r="ONQ840" s="802"/>
      <c r="ONR840" s="802"/>
      <c r="ONS840" s="802"/>
      <c r="ONT840" s="802"/>
      <c r="ONU840" s="802"/>
      <c r="ONV840" s="802"/>
      <c r="ONW840" s="802"/>
      <c r="ONX840" s="802"/>
      <c r="ONY840" s="802"/>
      <c r="ONZ840" s="802"/>
      <c r="OOA840" s="802"/>
      <c r="OOB840" s="802"/>
      <c r="OOC840" s="802"/>
      <c r="OOD840" s="802"/>
      <c r="OOE840" s="802"/>
      <c r="OOF840" s="802"/>
      <c r="OOG840" s="802"/>
      <c r="OOH840" s="802"/>
      <c r="OOI840" s="802"/>
      <c r="OOJ840" s="802"/>
      <c r="OOK840" s="802"/>
      <c r="OOL840" s="802"/>
      <c r="OOM840" s="802"/>
      <c r="OON840" s="802"/>
      <c r="OOO840" s="802"/>
      <c r="OOP840" s="802"/>
      <c r="OOQ840" s="802"/>
      <c r="OOR840" s="802"/>
      <c r="OOS840" s="802"/>
      <c r="OOT840" s="802"/>
      <c r="OOU840" s="802"/>
      <c r="OOV840" s="802"/>
      <c r="OOW840" s="802"/>
      <c r="OOX840" s="802"/>
      <c r="OOY840" s="802"/>
      <c r="OOZ840" s="802"/>
      <c r="OPA840" s="802"/>
      <c r="OPB840" s="802"/>
      <c r="OPC840" s="802"/>
      <c r="OPD840" s="802"/>
      <c r="OPE840" s="802"/>
      <c r="OPF840" s="802"/>
      <c r="OPG840" s="802"/>
      <c r="OPH840" s="802"/>
      <c r="OPI840" s="802"/>
      <c r="OPJ840" s="802"/>
      <c r="OPK840" s="802"/>
      <c r="OPL840" s="802"/>
      <c r="OPM840" s="802"/>
      <c r="OPN840" s="802"/>
      <c r="OPO840" s="802"/>
      <c r="OPP840" s="802"/>
      <c r="OPQ840" s="802"/>
      <c r="OPR840" s="802"/>
      <c r="OPS840" s="802"/>
      <c r="OPT840" s="802"/>
      <c r="OPU840" s="802"/>
      <c r="OPV840" s="802"/>
      <c r="OPW840" s="802"/>
      <c r="OPX840" s="802"/>
      <c r="OPY840" s="802"/>
      <c r="OPZ840" s="802"/>
      <c r="OQA840" s="802"/>
      <c r="OQB840" s="802"/>
      <c r="OQC840" s="802"/>
      <c r="OQD840" s="802"/>
      <c r="OQE840" s="802"/>
      <c r="OQF840" s="802"/>
      <c r="OQG840" s="802"/>
      <c r="OQH840" s="802"/>
      <c r="OQI840" s="802"/>
      <c r="OQJ840" s="802"/>
      <c r="OQK840" s="802"/>
      <c r="OQL840" s="802"/>
      <c r="OQM840" s="802"/>
      <c r="OQN840" s="802"/>
      <c r="OQO840" s="802"/>
      <c r="OQP840" s="802"/>
      <c r="OQQ840" s="802"/>
      <c r="OQR840" s="802"/>
      <c r="OQS840" s="802"/>
      <c r="OQT840" s="802"/>
      <c r="OQU840" s="802"/>
      <c r="OQV840" s="802"/>
      <c r="OQW840" s="802"/>
      <c r="OQX840" s="802"/>
      <c r="OQY840" s="802"/>
      <c r="OQZ840" s="802"/>
      <c r="ORA840" s="802"/>
      <c r="ORB840" s="802"/>
      <c r="ORC840" s="802"/>
      <c r="ORD840" s="802"/>
      <c r="ORE840" s="802"/>
      <c r="ORF840" s="802"/>
      <c r="ORG840" s="802"/>
      <c r="ORH840" s="802"/>
      <c r="ORI840" s="802"/>
      <c r="ORJ840" s="802"/>
      <c r="ORK840" s="802"/>
      <c r="ORL840" s="802"/>
      <c r="ORM840" s="802"/>
      <c r="ORN840" s="802"/>
      <c r="ORO840" s="802"/>
      <c r="ORP840" s="802"/>
      <c r="ORQ840" s="802"/>
      <c r="ORR840" s="802"/>
      <c r="ORS840" s="802"/>
      <c r="ORT840" s="802"/>
      <c r="ORU840" s="802"/>
      <c r="ORV840" s="802"/>
      <c r="ORW840" s="802"/>
      <c r="ORX840" s="802"/>
      <c r="ORY840" s="802"/>
      <c r="ORZ840" s="802"/>
      <c r="OSA840" s="802"/>
      <c r="OSB840" s="802"/>
      <c r="OSC840" s="802"/>
      <c r="OSD840" s="802"/>
      <c r="OSE840" s="802"/>
      <c r="OSF840" s="802"/>
      <c r="OSG840" s="802"/>
      <c r="OSH840" s="802"/>
      <c r="OSI840" s="802"/>
      <c r="OSJ840" s="802"/>
      <c r="OSK840" s="802"/>
      <c r="OSL840" s="802"/>
      <c r="OSM840" s="802"/>
      <c r="OSN840" s="802"/>
      <c r="OSO840" s="802"/>
      <c r="OSP840" s="802"/>
      <c r="OSQ840" s="802"/>
      <c r="OSR840" s="802"/>
      <c r="OSS840" s="802"/>
      <c r="OST840" s="802"/>
      <c r="OSU840" s="802"/>
      <c r="OSV840" s="802"/>
      <c r="OSW840" s="802"/>
      <c r="OSX840" s="802"/>
      <c r="OSY840" s="802"/>
      <c r="OSZ840" s="802"/>
      <c r="OTA840" s="802"/>
      <c r="OTB840" s="802"/>
      <c r="OTC840" s="802"/>
      <c r="OTD840" s="802"/>
      <c r="OTE840" s="802"/>
      <c r="OTF840" s="802"/>
      <c r="OTG840" s="802"/>
      <c r="OTH840" s="802"/>
      <c r="OTI840" s="802"/>
      <c r="OTJ840" s="802"/>
      <c r="OTK840" s="802"/>
      <c r="OTL840" s="802"/>
      <c r="OTM840" s="802"/>
      <c r="OTN840" s="802"/>
      <c r="OTO840" s="802"/>
      <c r="OTP840" s="802"/>
      <c r="OTQ840" s="802"/>
      <c r="OTR840" s="802"/>
      <c r="OTS840" s="802"/>
      <c r="OTT840" s="802"/>
      <c r="OTU840" s="802"/>
      <c r="OTV840" s="802"/>
      <c r="OTW840" s="802"/>
      <c r="OTX840" s="802"/>
      <c r="OTY840" s="802"/>
      <c r="OTZ840" s="802"/>
      <c r="OUA840" s="802"/>
      <c r="OUB840" s="802"/>
      <c r="OUC840" s="802"/>
      <c r="OUD840" s="802"/>
      <c r="OUE840" s="802"/>
      <c r="OUF840" s="802"/>
      <c r="OUG840" s="802"/>
      <c r="OUH840" s="802"/>
      <c r="OUI840" s="802"/>
      <c r="OUJ840" s="802"/>
      <c r="OUK840" s="802"/>
      <c r="OUL840" s="802"/>
      <c r="OUM840" s="802"/>
      <c r="OUN840" s="802"/>
      <c r="OUO840" s="802"/>
      <c r="OUP840" s="802"/>
      <c r="OUQ840" s="802"/>
      <c r="OUR840" s="802"/>
      <c r="OUS840" s="802"/>
      <c r="OUT840" s="802"/>
      <c r="OUU840" s="802"/>
      <c r="OUV840" s="802"/>
      <c r="OUW840" s="802"/>
      <c r="OUX840" s="802"/>
      <c r="OUY840" s="802"/>
      <c r="OUZ840" s="802"/>
      <c r="OVA840" s="802"/>
      <c r="OVB840" s="802"/>
      <c r="OVC840" s="802"/>
      <c r="OVD840" s="802"/>
      <c r="OVE840" s="802"/>
      <c r="OVF840" s="802"/>
      <c r="OVG840" s="802"/>
      <c r="OVH840" s="802"/>
      <c r="OVI840" s="802"/>
      <c r="OVJ840" s="802"/>
      <c r="OVK840" s="802"/>
      <c r="OVL840" s="802"/>
      <c r="OVM840" s="802"/>
      <c r="OVN840" s="802"/>
      <c r="OVO840" s="802"/>
      <c r="OVP840" s="802"/>
      <c r="OVQ840" s="802"/>
      <c r="OVR840" s="802"/>
      <c r="OVS840" s="802"/>
      <c r="OVT840" s="802"/>
      <c r="OVU840" s="802"/>
      <c r="OVV840" s="802"/>
      <c r="OVW840" s="802"/>
      <c r="OVX840" s="802"/>
      <c r="OVY840" s="802"/>
      <c r="OVZ840" s="802"/>
      <c r="OWA840" s="802"/>
      <c r="OWB840" s="802"/>
      <c r="OWC840" s="802"/>
      <c r="OWD840" s="802"/>
      <c r="OWE840" s="802"/>
      <c r="OWF840" s="802"/>
      <c r="OWG840" s="802"/>
      <c r="OWH840" s="802"/>
      <c r="OWI840" s="802"/>
      <c r="OWJ840" s="802"/>
      <c r="OWK840" s="802"/>
      <c r="OWL840" s="802"/>
      <c r="OWM840" s="802"/>
      <c r="OWN840" s="802"/>
      <c r="OWO840" s="802"/>
      <c r="OWP840" s="802"/>
      <c r="OWQ840" s="802"/>
      <c r="OWR840" s="802"/>
      <c r="OWS840" s="802"/>
      <c r="OWT840" s="802"/>
      <c r="OWU840" s="802"/>
      <c r="OWV840" s="802"/>
      <c r="OWW840" s="802"/>
      <c r="OWX840" s="802"/>
      <c r="OWY840" s="802"/>
      <c r="OWZ840" s="802"/>
      <c r="OXA840" s="802"/>
      <c r="OXB840" s="802"/>
      <c r="OXC840" s="802"/>
      <c r="OXD840" s="802"/>
      <c r="OXE840" s="802"/>
      <c r="OXF840" s="802"/>
      <c r="OXG840" s="802"/>
      <c r="OXH840" s="802"/>
      <c r="OXI840" s="802"/>
      <c r="OXJ840" s="802"/>
      <c r="OXK840" s="802"/>
      <c r="OXL840" s="802"/>
      <c r="OXM840" s="802"/>
      <c r="OXN840" s="802"/>
      <c r="OXO840" s="802"/>
      <c r="OXP840" s="802"/>
      <c r="OXQ840" s="802"/>
      <c r="OXR840" s="802"/>
      <c r="OXS840" s="802"/>
      <c r="OXT840" s="802"/>
      <c r="OXU840" s="802"/>
      <c r="OXV840" s="802"/>
      <c r="OXW840" s="802"/>
      <c r="OXX840" s="802"/>
      <c r="OXY840" s="802"/>
      <c r="OXZ840" s="802"/>
      <c r="OYA840" s="802"/>
      <c r="OYB840" s="802"/>
      <c r="OYC840" s="802"/>
      <c r="OYD840" s="802"/>
      <c r="OYE840" s="802"/>
      <c r="OYF840" s="802"/>
      <c r="OYG840" s="802"/>
      <c r="OYH840" s="802"/>
      <c r="OYI840" s="802"/>
      <c r="OYJ840" s="802"/>
      <c r="OYK840" s="802"/>
      <c r="OYL840" s="802"/>
      <c r="OYM840" s="802"/>
      <c r="OYN840" s="802"/>
      <c r="OYO840" s="802"/>
      <c r="OYP840" s="802"/>
      <c r="OYQ840" s="802"/>
      <c r="OYR840" s="802"/>
      <c r="OYS840" s="802"/>
      <c r="OYT840" s="802"/>
      <c r="OYU840" s="802"/>
      <c r="OYV840" s="802"/>
      <c r="OYW840" s="802"/>
      <c r="OYX840" s="802"/>
      <c r="OYY840" s="802"/>
      <c r="OYZ840" s="802"/>
      <c r="OZA840" s="802"/>
      <c r="OZB840" s="802"/>
      <c r="OZC840" s="802"/>
      <c r="OZD840" s="802"/>
      <c r="OZE840" s="802"/>
      <c r="OZF840" s="802"/>
      <c r="OZG840" s="802"/>
      <c r="OZH840" s="802"/>
      <c r="OZI840" s="802"/>
      <c r="OZJ840" s="802"/>
      <c r="OZK840" s="802"/>
      <c r="OZL840" s="802"/>
      <c r="OZM840" s="802"/>
      <c r="OZN840" s="802"/>
      <c r="OZO840" s="802"/>
      <c r="OZP840" s="802"/>
      <c r="OZQ840" s="802"/>
      <c r="OZR840" s="802"/>
      <c r="OZS840" s="802"/>
      <c r="OZT840" s="802"/>
      <c r="OZU840" s="802"/>
      <c r="OZV840" s="802"/>
      <c r="OZW840" s="802"/>
      <c r="OZX840" s="802"/>
      <c r="OZY840" s="802"/>
      <c r="OZZ840" s="802"/>
      <c r="PAA840" s="802"/>
      <c r="PAB840" s="802"/>
      <c r="PAC840" s="802"/>
      <c r="PAD840" s="802"/>
      <c r="PAE840" s="802"/>
      <c r="PAF840" s="802"/>
      <c r="PAG840" s="802"/>
      <c r="PAH840" s="802"/>
      <c r="PAI840" s="802"/>
      <c r="PAJ840" s="802"/>
      <c r="PAK840" s="802"/>
      <c r="PAL840" s="802"/>
      <c r="PAM840" s="802"/>
      <c r="PAN840" s="802"/>
      <c r="PAO840" s="802"/>
      <c r="PAP840" s="802"/>
      <c r="PAQ840" s="802"/>
      <c r="PAR840" s="802"/>
      <c r="PAS840" s="802"/>
      <c r="PAT840" s="802"/>
      <c r="PAU840" s="802"/>
      <c r="PAV840" s="802"/>
      <c r="PAW840" s="802"/>
      <c r="PAX840" s="802"/>
      <c r="PAY840" s="802"/>
      <c r="PAZ840" s="802"/>
      <c r="PBA840" s="802"/>
      <c r="PBB840" s="802"/>
      <c r="PBC840" s="802"/>
      <c r="PBD840" s="802"/>
      <c r="PBE840" s="802"/>
      <c r="PBF840" s="802"/>
      <c r="PBG840" s="802"/>
      <c r="PBH840" s="802"/>
      <c r="PBI840" s="802"/>
      <c r="PBJ840" s="802"/>
      <c r="PBK840" s="802"/>
      <c r="PBL840" s="802"/>
      <c r="PBM840" s="802"/>
      <c r="PBN840" s="802"/>
      <c r="PBO840" s="802"/>
      <c r="PBP840" s="802"/>
      <c r="PBQ840" s="802"/>
      <c r="PBR840" s="802"/>
      <c r="PBS840" s="802"/>
      <c r="PBT840" s="802"/>
      <c r="PBU840" s="802"/>
      <c r="PBV840" s="802"/>
      <c r="PBW840" s="802"/>
      <c r="PBX840" s="802"/>
      <c r="PBY840" s="802"/>
      <c r="PBZ840" s="802"/>
      <c r="PCA840" s="802"/>
      <c r="PCB840" s="802"/>
      <c r="PCC840" s="802"/>
      <c r="PCD840" s="802"/>
      <c r="PCE840" s="802"/>
      <c r="PCF840" s="802"/>
      <c r="PCG840" s="802"/>
      <c r="PCH840" s="802"/>
      <c r="PCI840" s="802"/>
      <c r="PCJ840" s="802"/>
      <c r="PCK840" s="802"/>
      <c r="PCL840" s="802"/>
      <c r="PCM840" s="802"/>
      <c r="PCN840" s="802"/>
      <c r="PCO840" s="802"/>
      <c r="PCP840" s="802"/>
      <c r="PCQ840" s="802"/>
      <c r="PCR840" s="802"/>
      <c r="PCS840" s="802"/>
      <c r="PCT840" s="802"/>
      <c r="PCU840" s="802"/>
      <c r="PCV840" s="802"/>
      <c r="PCW840" s="802"/>
      <c r="PCX840" s="802"/>
      <c r="PCY840" s="802"/>
      <c r="PCZ840" s="802"/>
      <c r="PDA840" s="802"/>
      <c r="PDB840" s="802"/>
      <c r="PDC840" s="802"/>
      <c r="PDD840" s="802"/>
      <c r="PDE840" s="802"/>
      <c r="PDF840" s="802"/>
      <c r="PDG840" s="802"/>
      <c r="PDH840" s="802"/>
      <c r="PDI840" s="802"/>
      <c r="PDJ840" s="802"/>
      <c r="PDK840" s="802"/>
      <c r="PDL840" s="802"/>
      <c r="PDM840" s="802"/>
      <c r="PDN840" s="802"/>
      <c r="PDO840" s="802"/>
      <c r="PDP840" s="802"/>
      <c r="PDQ840" s="802"/>
      <c r="PDR840" s="802"/>
      <c r="PDS840" s="802"/>
      <c r="PDT840" s="802"/>
      <c r="PDU840" s="802"/>
      <c r="PDV840" s="802"/>
      <c r="PDW840" s="802"/>
      <c r="PDX840" s="802"/>
      <c r="PDY840" s="802"/>
      <c r="PDZ840" s="802"/>
      <c r="PEA840" s="802"/>
      <c r="PEB840" s="802"/>
      <c r="PEC840" s="802"/>
      <c r="PED840" s="802"/>
      <c r="PEE840" s="802"/>
      <c r="PEF840" s="802"/>
      <c r="PEG840" s="802"/>
      <c r="PEH840" s="802"/>
      <c r="PEI840" s="802"/>
      <c r="PEJ840" s="802"/>
      <c r="PEK840" s="802"/>
      <c r="PEL840" s="802"/>
      <c r="PEM840" s="802"/>
      <c r="PEN840" s="802"/>
      <c r="PEO840" s="802"/>
      <c r="PEP840" s="802"/>
      <c r="PEQ840" s="802"/>
      <c r="PER840" s="802"/>
      <c r="PES840" s="802"/>
      <c r="PET840" s="802"/>
      <c r="PEU840" s="802"/>
      <c r="PEV840" s="802"/>
      <c r="PEW840" s="802"/>
      <c r="PEX840" s="802"/>
      <c r="PEY840" s="802"/>
      <c r="PEZ840" s="802"/>
      <c r="PFA840" s="802"/>
      <c r="PFB840" s="802"/>
      <c r="PFC840" s="802"/>
      <c r="PFD840" s="802"/>
      <c r="PFE840" s="802"/>
      <c r="PFF840" s="802"/>
      <c r="PFG840" s="802"/>
      <c r="PFH840" s="802"/>
      <c r="PFI840" s="802"/>
      <c r="PFJ840" s="802"/>
      <c r="PFK840" s="802"/>
      <c r="PFL840" s="802"/>
      <c r="PFM840" s="802"/>
      <c r="PFN840" s="802"/>
      <c r="PFO840" s="802"/>
      <c r="PFP840" s="802"/>
      <c r="PFQ840" s="802"/>
      <c r="PFR840" s="802"/>
      <c r="PFS840" s="802"/>
      <c r="PFT840" s="802"/>
      <c r="PFU840" s="802"/>
      <c r="PFV840" s="802"/>
      <c r="PFW840" s="802"/>
      <c r="PFX840" s="802"/>
      <c r="PFY840" s="802"/>
      <c r="PFZ840" s="802"/>
      <c r="PGA840" s="802"/>
      <c r="PGB840" s="802"/>
      <c r="PGC840" s="802"/>
      <c r="PGD840" s="802"/>
      <c r="PGE840" s="802"/>
      <c r="PGF840" s="802"/>
      <c r="PGG840" s="802"/>
      <c r="PGH840" s="802"/>
      <c r="PGI840" s="802"/>
      <c r="PGJ840" s="802"/>
      <c r="PGK840" s="802"/>
      <c r="PGL840" s="802"/>
      <c r="PGM840" s="802"/>
      <c r="PGN840" s="802"/>
      <c r="PGO840" s="802"/>
      <c r="PGP840" s="802"/>
      <c r="PGQ840" s="802"/>
      <c r="PGR840" s="802"/>
      <c r="PGS840" s="802"/>
      <c r="PGT840" s="802"/>
      <c r="PGU840" s="802"/>
      <c r="PGV840" s="802"/>
      <c r="PGW840" s="802"/>
      <c r="PGX840" s="802"/>
      <c r="PGY840" s="802"/>
      <c r="PGZ840" s="802"/>
      <c r="PHA840" s="802"/>
      <c r="PHB840" s="802"/>
      <c r="PHC840" s="802"/>
      <c r="PHD840" s="802"/>
      <c r="PHE840" s="802"/>
      <c r="PHF840" s="802"/>
      <c r="PHG840" s="802"/>
      <c r="PHH840" s="802"/>
      <c r="PHI840" s="802"/>
      <c r="PHJ840" s="802"/>
      <c r="PHK840" s="802"/>
      <c r="PHL840" s="802"/>
      <c r="PHM840" s="802"/>
      <c r="PHN840" s="802"/>
      <c r="PHO840" s="802"/>
      <c r="PHP840" s="802"/>
      <c r="PHQ840" s="802"/>
      <c r="PHR840" s="802"/>
      <c r="PHS840" s="802"/>
      <c r="PHT840" s="802"/>
      <c r="PHU840" s="802"/>
      <c r="PHV840" s="802"/>
      <c r="PHW840" s="802"/>
      <c r="PHX840" s="802"/>
      <c r="PHY840" s="802"/>
      <c r="PHZ840" s="802"/>
      <c r="PIA840" s="802"/>
      <c r="PIB840" s="802"/>
      <c r="PIC840" s="802"/>
      <c r="PID840" s="802"/>
      <c r="PIE840" s="802"/>
      <c r="PIF840" s="802"/>
      <c r="PIG840" s="802"/>
      <c r="PIH840" s="802"/>
      <c r="PII840" s="802"/>
      <c r="PIJ840" s="802"/>
      <c r="PIK840" s="802"/>
      <c r="PIL840" s="802"/>
      <c r="PIM840" s="802"/>
      <c r="PIN840" s="802"/>
      <c r="PIO840" s="802"/>
      <c r="PIP840" s="802"/>
      <c r="PIQ840" s="802"/>
      <c r="PIR840" s="802"/>
      <c r="PIS840" s="802"/>
      <c r="PIT840" s="802"/>
      <c r="PIU840" s="802"/>
      <c r="PIV840" s="802"/>
      <c r="PIW840" s="802"/>
      <c r="PIX840" s="802"/>
      <c r="PIY840" s="802"/>
      <c r="PIZ840" s="802"/>
      <c r="PJA840" s="802"/>
      <c r="PJB840" s="802"/>
      <c r="PJC840" s="802"/>
      <c r="PJD840" s="802"/>
      <c r="PJE840" s="802"/>
      <c r="PJF840" s="802"/>
      <c r="PJG840" s="802"/>
      <c r="PJH840" s="802"/>
      <c r="PJI840" s="802"/>
      <c r="PJJ840" s="802"/>
      <c r="PJK840" s="802"/>
      <c r="PJL840" s="802"/>
      <c r="PJM840" s="802"/>
      <c r="PJN840" s="802"/>
      <c r="PJO840" s="802"/>
      <c r="PJP840" s="802"/>
      <c r="PJQ840" s="802"/>
      <c r="PJR840" s="802"/>
      <c r="PJS840" s="802"/>
      <c r="PJT840" s="802"/>
      <c r="PJU840" s="802"/>
      <c r="PJV840" s="802"/>
      <c r="PJW840" s="802"/>
      <c r="PJX840" s="802"/>
      <c r="PJY840" s="802"/>
      <c r="PJZ840" s="802"/>
      <c r="PKA840" s="802"/>
      <c r="PKB840" s="802"/>
      <c r="PKC840" s="802"/>
      <c r="PKD840" s="802"/>
      <c r="PKE840" s="802"/>
      <c r="PKF840" s="802"/>
      <c r="PKG840" s="802"/>
      <c r="PKH840" s="802"/>
      <c r="PKI840" s="802"/>
      <c r="PKJ840" s="802"/>
      <c r="PKK840" s="802"/>
      <c r="PKL840" s="802"/>
      <c r="PKM840" s="802"/>
      <c r="PKN840" s="802"/>
      <c r="PKO840" s="802"/>
      <c r="PKP840" s="802"/>
      <c r="PKQ840" s="802"/>
      <c r="PKR840" s="802"/>
      <c r="PKS840" s="802"/>
      <c r="PKT840" s="802"/>
      <c r="PKU840" s="802"/>
      <c r="PKV840" s="802"/>
      <c r="PKW840" s="802"/>
      <c r="PKX840" s="802"/>
      <c r="PKY840" s="802"/>
      <c r="PKZ840" s="802"/>
      <c r="PLA840" s="802"/>
      <c r="PLB840" s="802"/>
      <c r="PLC840" s="802"/>
      <c r="PLD840" s="802"/>
      <c r="PLE840" s="802"/>
      <c r="PLF840" s="802"/>
      <c r="PLG840" s="802"/>
      <c r="PLH840" s="802"/>
      <c r="PLI840" s="802"/>
      <c r="PLJ840" s="802"/>
      <c r="PLK840" s="802"/>
      <c r="PLL840" s="802"/>
      <c r="PLM840" s="802"/>
      <c r="PLN840" s="802"/>
      <c r="PLO840" s="802"/>
      <c r="PLP840" s="802"/>
      <c r="PLQ840" s="802"/>
      <c r="PLR840" s="802"/>
      <c r="PLS840" s="802"/>
      <c r="PLT840" s="802"/>
      <c r="PLU840" s="802"/>
      <c r="PLV840" s="802"/>
      <c r="PLW840" s="802"/>
      <c r="PLX840" s="802"/>
      <c r="PLY840" s="802"/>
      <c r="PLZ840" s="802"/>
      <c r="PMA840" s="802"/>
      <c r="PMB840" s="802"/>
      <c r="PMC840" s="802"/>
      <c r="PMD840" s="802"/>
      <c r="PME840" s="802"/>
      <c r="PMF840" s="802"/>
      <c r="PMG840" s="802"/>
      <c r="PMH840" s="802"/>
      <c r="PMI840" s="802"/>
      <c r="PMJ840" s="802"/>
      <c r="PMK840" s="802"/>
      <c r="PML840" s="802"/>
      <c r="PMM840" s="802"/>
      <c r="PMN840" s="802"/>
      <c r="PMO840" s="802"/>
      <c r="PMP840" s="802"/>
      <c r="PMQ840" s="802"/>
      <c r="PMR840" s="802"/>
      <c r="PMS840" s="802"/>
      <c r="PMT840" s="802"/>
      <c r="PMU840" s="802"/>
      <c r="PMV840" s="802"/>
      <c r="PMW840" s="802"/>
      <c r="PMX840" s="802"/>
      <c r="PMY840" s="802"/>
      <c r="PMZ840" s="802"/>
      <c r="PNA840" s="802"/>
      <c r="PNB840" s="802"/>
      <c r="PNC840" s="802"/>
      <c r="PND840" s="802"/>
      <c r="PNE840" s="802"/>
      <c r="PNF840" s="802"/>
      <c r="PNG840" s="802"/>
      <c r="PNH840" s="802"/>
      <c r="PNI840" s="802"/>
      <c r="PNJ840" s="802"/>
      <c r="PNK840" s="802"/>
      <c r="PNL840" s="802"/>
      <c r="PNM840" s="802"/>
      <c r="PNN840" s="802"/>
      <c r="PNO840" s="802"/>
      <c r="PNP840" s="802"/>
      <c r="PNQ840" s="802"/>
      <c r="PNR840" s="802"/>
      <c r="PNS840" s="802"/>
      <c r="PNT840" s="802"/>
      <c r="PNU840" s="802"/>
      <c r="PNV840" s="802"/>
      <c r="PNW840" s="802"/>
      <c r="PNX840" s="802"/>
      <c r="PNY840" s="802"/>
      <c r="PNZ840" s="802"/>
      <c r="POA840" s="802"/>
      <c r="POB840" s="802"/>
      <c r="POC840" s="802"/>
      <c r="POD840" s="802"/>
      <c r="POE840" s="802"/>
      <c r="POF840" s="802"/>
      <c r="POG840" s="802"/>
      <c r="POH840" s="802"/>
      <c r="POI840" s="802"/>
      <c r="POJ840" s="802"/>
      <c r="POK840" s="802"/>
      <c r="POL840" s="802"/>
      <c r="POM840" s="802"/>
      <c r="PON840" s="802"/>
      <c r="POO840" s="802"/>
      <c r="POP840" s="802"/>
      <c r="POQ840" s="802"/>
      <c r="POR840" s="802"/>
      <c r="POS840" s="802"/>
      <c r="POT840" s="802"/>
      <c r="POU840" s="802"/>
      <c r="POV840" s="802"/>
      <c r="POW840" s="802"/>
      <c r="POX840" s="802"/>
      <c r="POY840" s="802"/>
      <c r="POZ840" s="802"/>
      <c r="PPA840" s="802"/>
      <c r="PPB840" s="802"/>
      <c r="PPC840" s="802"/>
      <c r="PPD840" s="802"/>
      <c r="PPE840" s="802"/>
      <c r="PPF840" s="802"/>
      <c r="PPG840" s="802"/>
      <c r="PPH840" s="802"/>
      <c r="PPI840" s="802"/>
      <c r="PPJ840" s="802"/>
      <c r="PPK840" s="802"/>
      <c r="PPL840" s="802"/>
      <c r="PPM840" s="802"/>
      <c r="PPN840" s="802"/>
      <c r="PPO840" s="802"/>
      <c r="PPP840" s="802"/>
      <c r="PPQ840" s="802"/>
      <c r="PPR840" s="802"/>
      <c r="PPS840" s="802"/>
      <c r="PPT840" s="802"/>
      <c r="PPU840" s="802"/>
      <c r="PPV840" s="802"/>
      <c r="PPW840" s="802"/>
      <c r="PPX840" s="802"/>
      <c r="PPY840" s="802"/>
      <c r="PPZ840" s="802"/>
      <c r="PQA840" s="802"/>
      <c r="PQB840" s="802"/>
      <c r="PQC840" s="802"/>
      <c r="PQD840" s="802"/>
      <c r="PQE840" s="802"/>
      <c r="PQF840" s="802"/>
      <c r="PQG840" s="802"/>
      <c r="PQH840" s="802"/>
      <c r="PQI840" s="802"/>
      <c r="PQJ840" s="802"/>
      <c r="PQK840" s="802"/>
      <c r="PQL840" s="802"/>
      <c r="PQM840" s="802"/>
      <c r="PQN840" s="802"/>
      <c r="PQO840" s="802"/>
      <c r="PQP840" s="802"/>
      <c r="PQQ840" s="802"/>
      <c r="PQR840" s="802"/>
      <c r="PQS840" s="802"/>
      <c r="PQT840" s="802"/>
      <c r="PQU840" s="802"/>
      <c r="PQV840" s="802"/>
      <c r="PQW840" s="802"/>
      <c r="PQX840" s="802"/>
      <c r="PQY840" s="802"/>
      <c r="PQZ840" s="802"/>
      <c r="PRA840" s="802"/>
      <c r="PRB840" s="802"/>
      <c r="PRC840" s="802"/>
      <c r="PRD840" s="802"/>
      <c r="PRE840" s="802"/>
      <c r="PRF840" s="802"/>
      <c r="PRG840" s="802"/>
      <c r="PRH840" s="802"/>
      <c r="PRI840" s="802"/>
      <c r="PRJ840" s="802"/>
      <c r="PRK840" s="802"/>
      <c r="PRL840" s="802"/>
      <c r="PRM840" s="802"/>
      <c r="PRN840" s="802"/>
      <c r="PRO840" s="802"/>
      <c r="PRP840" s="802"/>
      <c r="PRQ840" s="802"/>
      <c r="PRR840" s="802"/>
      <c r="PRS840" s="802"/>
      <c r="PRT840" s="802"/>
      <c r="PRU840" s="802"/>
      <c r="PRV840" s="802"/>
      <c r="PRW840" s="802"/>
      <c r="PRX840" s="802"/>
      <c r="PRY840" s="802"/>
      <c r="PRZ840" s="802"/>
      <c r="PSA840" s="802"/>
      <c r="PSB840" s="802"/>
      <c r="PSC840" s="802"/>
      <c r="PSD840" s="802"/>
      <c r="PSE840" s="802"/>
      <c r="PSF840" s="802"/>
      <c r="PSG840" s="802"/>
      <c r="PSH840" s="802"/>
      <c r="PSI840" s="802"/>
      <c r="PSJ840" s="802"/>
      <c r="PSK840" s="802"/>
      <c r="PSL840" s="802"/>
      <c r="PSM840" s="802"/>
      <c r="PSN840" s="802"/>
      <c r="PSO840" s="802"/>
      <c r="PSP840" s="802"/>
      <c r="PSQ840" s="802"/>
      <c r="PSR840" s="802"/>
      <c r="PSS840" s="802"/>
      <c r="PST840" s="802"/>
      <c r="PSU840" s="802"/>
      <c r="PSV840" s="802"/>
      <c r="PSW840" s="802"/>
      <c r="PSX840" s="802"/>
      <c r="PSY840" s="802"/>
      <c r="PSZ840" s="802"/>
      <c r="PTA840" s="802"/>
      <c r="PTB840" s="802"/>
      <c r="PTC840" s="802"/>
      <c r="PTD840" s="802"/>
      <c r="PTE840" s="802"/>
      <c r="PTF840" s="802"/>
      <c r="PTG840" s="802"/>
      <c r="PTH840" s="802"/>
      <c r="PTI840" s="802"/>
      <c r="PTJ840" s="802"/>
      <c r="PTK840" s="802"/>
      <c r="PTL840" s="802"/>
      <c r="PTM840" s="802"/>
      <c r="PTN840" s="802"/>
      <c r="PTO840" s="802"/>
      <c r="PTP840" s="802"/>
      <c r="PTQ840" s="802"/>
      <c r="PTR840" s="802"/>
      <c r="PTS840" s="802"/>
      <c r="PTT840" s="802"/>
      <c r="PTU840" s="802"/>
      <c r="PTV840" s="802"/>
      <c r="PTW840" s="802"/>
      <c r="PTX840" s="802"/>
      <c r="PTY840" s="802"/>
      <c r="PTZ840" s="802"/>
      <c r="PUA840" s="802"/>
      <c r="PUB840" s="802"/>
      <c r="PUC840" s="802"/>
      <c r="PUD840" s="802"/>
      <c r="PUE840" s="802"/>
      <c r="PUF840" s="802"/>
      <c r="PUG840" s="802"/>
      <c r="PUH840" s="802"/>
      <c r="PUI840" s="802"/>
      <c r="PUJ840" s="802"/>
      <c r="PUK840" s="802"/>
      <c r="PUL840" s="802"/>
      <c r="PUM840" s="802"/>
      <c r="PUN840" s="802"/>
      <c r="PUO840" s="802"/>
      <c r="PUP840" s="802"/>
      <c r="PUQ840" s="802"/>
      <c r="PUR840" s="802"/>
      <c r="PUS840" s="802"/>
      <c r="PUT840" s="802"/>
      <c r="PUU840" s="802"/>
      <c r="PUV840" s="802"/>
      <c r="PUW840" s="802"/>
      <c r="PUX840" s="802"/>
      <c r="PUY840" s="802"/>
      <c r="PUZ840" s="802"/>
      <c r="PVA840" s="802"/>
      <c r="PVB840" s="802"/>
      <c r="PVC840" s="802"/>
      <c r="PVD840" s="802"/>
      <c r="PVE840" s="802"/>
      <c r="PVF840" s="802"/>
      <c r="PVG840" s="802"/>
      <c r="PVH840" s="802"/>
      <c r="PVI840" s="802"/>
      <c r="PVJ840" s="802"/>
      <c r="PVK840" s="802"/>
      <c r="PVL840" s="802"/>
      <c r="PVM840" s="802"/>
      <c r="PVN840" s="802"/>
      <c r="PVO840" s="802"/>
      <c r="PVP840" s="802"/>
      <c r="PVQ840" s="802"/>
      <c r="PVR840" s="802"/>
      <c r="PVS840" s="802"/>
      <c r="PVT840" s="802"/>
      <c r="PVU840" s="802"/>
      <c r="PVV840" s="802"/>
      <c r="PVW840" s="802"/>
      <c r="PVX840" s="802"/>
      <c r="PVY840" s="802"/>
      <c r="PVZ840" s="802"/>
      <c r="PWA840" s="802"/>
      <c r="PWB840" s="802"/>
      <c r="PWC840" s="802"/>
      <c r="PWD840" s="802"/>
      <c r="PWE840" s="802"/>
      <c r="PWF840" s="802"/>
      <c r="PWG840" s="802"/>
      <c r="PWH840" s="802"/>
      <c r="PWI840" s="802"/>
      <c r="PWJ840" s="802"/>
      <c r="PWK840" s="802"/>
      <c r="PWL840" s="802"/>
      <c r="PWM840" s="802"/>
      <c r="PWN840" s="802"/>
      <c r="PWO840" s="802"/>
      <c r="PWP840" s="802"/>
      <c r="PWQ840" s="802"/>
      <c r="PWR840" s="802"/>
      <c r="PWS840" s="802"/>
      <c r="PWT840" s="802"/>
      <c r="PWU840" s="802"/>
      <c r="PWV840" s="802"/>
      <c r="PWW840" s="802"/>
      <c r="PWX840" s="802"/>
      <c r="PWY840" s="802"/>
      <c r="PWZ840" s="802"/>
      <c r="PXA840" s="802"/>
      <c r="PXB840" s="802"/>
      <c r="PXC840" s="802"/>
      <c r="PXD840" s="802"/>
      <c r="PXE840" s="802"/>
      <c r="PXF840" s="802"/>
      <c r="PXG840" s="802"/>
      <c r="PXH840" s="802"/>
      <c r="PXI840" s="802"/>
      <c r="PXJ840" s="802"/>
      <c r="PXK840" s="802"/>
      <c r="PXL840" s="802"/>
      <c r="PXM840" s="802"/>
      <c r="PXN840" s="802"/>
      <c r="PXO840" s="802"/>
      <c r="PXP840" s="802"/>
      <c r="PXQ840" s="802"/>
      <c r="PXR840" s="802"/>
      <c r="PXS840" s="802"/>
      <c r="PXT840" s="802"/>
      <c r="PXU840" s="802"/>
      <c r="PXV840" s="802"/>
      <c r="PXW840" s="802"/>
      <c r="PXX840" s="802"/>
      <c r="PXY840" s="802"/>
      <c r="PXZ840" s="802"/>
      <c r="PYA840" s="802"/>
      <c r="PYB840" s="802"/>
      <c r="PYC840" s="802"/>
      <c r="PYD840" s="802"/>
      <c r="PYE840" s="802"/>
      <c r="PYF840" s="802"/>
      <c r="PYG840" s="802"/>
      <c r="PYH840" s="802"/>
      <c r="PYI840" s="802"/>
      <c r="PYJ840" s="802"/>
      <c r="PYK840" s="802"/>
      <c r="PYL840" s="802"/>
      <c r="PYM840" s="802"/>
      <c r="PYN840" s="802"/>
      <c r="PYO840" s="802"/>
      <c r="PYP840" s="802"/>
      <c r="PYQ840" s="802"/>
      <c r="PYR840" s="802"/>
      <c r="PYS840" s="802"/>
      <c r="PYT840" s="802"/>
      <c r="PYU840" s="802"/>
      <c r="PYV840" s="802"/>
      <c r="PYW840" s="802"/>
      <c r="PYX840" s="802"/>
      <c r="PYY840" s="802"/>
      <c r="PYZ840" s="802"/>
      <c r="PZA840" s="802"/>
      <c r="PZB840" s="802"/>
      <c r="PZC840" s="802"/>
      <c r="PZD840" s="802"/>
      <c r="PZE840" s="802"/>
      <c r="PZF840" s="802"/>
      <c r="PZG840" s="802"/>
      <c r="PZH840" s="802"/>
      <c r="PZI840" s="802"/>
      <c r="PZJ840" s="802"/>
      <c r="PZK840" s="802"/>
      <c r="PZL840" s="802"/>
      <c r="PZM840" s="802"/>
      <c r="PZN840" s="802"/>
      <c r="PZO840" s="802"/>
      <c r="PZP840" s="802"/>
      <c r="PZQ840" s="802"/>
      <c r="PZR840" s="802"/>
      <c r="PZS840" s="802"/>
      <c r="PZT840" s="802"/>
      <c r="PZU840" s="802"/>
      <c r="PZV840" s="802"/>
      <c r="PZW840" s="802"/>
      <c r="PZX840" s="802"/>
      <c r="PZY840" s="802"/>
      <c r="PZZ840" s="802"/>
      <c r="QAA840" s="802"/>
      <c r="QAB840" s="802"/>
      <c r="QAC840" s="802"/>
      <c r="QAD840" s="802"/>
      <c r="QAE840" s="802"/>
      <c r="QAF840" s="802"/>
      <c r="QAG840" s="802"/>
      <c r="QAH840" s="802"/>
      <c r="QAI840" s="802"/>
      <c r="QAJ840" s="802"/>
      <c r="QAK840" s="802"/>
      <c r="QAL840" s="802"/>
      <c r="QAM840" s="802"/>
      <c r="QAN840" s="802"/>
      <c r="QAO840" s="802"/>
      <c r="QAP840" s="802"/>
      <c r="QAQ840" s="802"/>
      <c r="QAR840" s="802"/>
      <c r="QAS840" s="802"/>
      <c r="QAT840" s="802"/>
      <c r="QAU840" s="802"/>
      <c r="QAV840" s="802"/>
      <c r="QAW840" s="802"/>
      <c r="QAX840" s="802"/>
      <c r="QAY840" s="802"/>
      <c r="QAZ840" s="802"/>
      <c r="QBA840" s="802"/>
      <c r="QBB840" s="802"/>
      <c r="QBC840" s="802"/>
      <c r="QBD840" s="802"/>
      <c r="QBE840" s="802"/>
      <c r="QBF840" s="802"/>
      <c r="QBG840" s="802"/>
      <c r="QBH840" s="802"/>
      <c r="QBI840" s="802"/>
      <c r="QBJ840" s="802"/>
      <c r="QBK840" s="802"/>
      <c r="QBL840" s="802"/>
      <c r="QBM840" s="802"/>
      <c r="QBN840" s="802"/>
      <c r="QBO840" s="802"/>
      <c r="QBP840" s="802"/>
      <c r="QBQ840" s="802"/>
      <c r="QBR840" s="802"/>
      <c r="QBS840" s="802"/>
      <c r="QBT840" s="802"/>
      <c r="QBU840" s="802"/>
      <c r="QBV840" s="802"/>
      <c r="QBW840" s="802"/>
      <c r="QBX840" s="802"/>
      <c r="QBY840" s="802"/>
      <c r="QBZ840" s="802"/>
      <c r="QCA840" s="802"/>
      <c r="QCB840" s="802"/>
      <c r="QCC840" s="802"/>
      <c r="QCD840" s="802"/>
      <c r="QCE840" s="802"/>
      <c r="QCF840" s="802"/>
      <c r="QCG840" s="802"/>
      <c r="QCH840" s="802"/>
      <c r="QCI840" s="802"/>
      <c r="QCJ840" s="802"/>
      <c r="QCK840" s="802"/>
      <c r="QCL840" s="802"/>
      <c r="QCM840" s="802"/>
      <c r="QCN840" s="802"/>
      <c r="QCO840" s="802"/>
      <c r="QCP840" s="802"/>
      <c r="QCQ840" s="802"/>
      <c r="QCR840" s="802"/>
      <c r="QCS840" s="802"/>
      <c r="QCT840" s="802"/>
      <c r="QCU840" s="802"/>
      <c r="QCV840" s="802"/>
      <c r="QCW840" s="802"/>
      <c r="QCX840" s="802"/>
      <c r="QCY840" s="802"/>
      <c r="QCZ840" s="802"/>
      <c r="QDA840" s="802"/>
      <c r="QDB840" s="802"/>
      <c r="QDC840" s="802"/>
      <c r="QDD840" s="802"/>
      <c r="QDE840" s="802"/>
      <c r="QDF840" s="802"/>
      <c r="QDG840" s="802"/>
      <c r="QDH840" s="802"/>
      <c r="QDI840" s="802"/>
      <c r="QDJ840" s="802"/>
      <c r="QDK840" s="802"/>
      <c r="QDL840" s="802"/>
      <c r="QDM840" s="802"/>
      <c r="QDN840" s="802"/>
      <c r="QDO840" s="802"/>
      <c r="QDP840" s="802"/>
      <c r="QDQ840" s="802"/>
      <c r="QDR840" s="802"/>
      <c r="QDS840" s="802"/>
      <c r="QDT840" s="802"/>
      <c r="QDU840" s="802"/>
      <c r="QDV840" s="802"/>
      <c r="QDW840" s="802"/>
      <c r="QDX840" s="802"/>
      <c r="QDY840" s="802"/>
      <c r="QDZ840" s="802"/>
      <c r="QEA840" s="802"/>
      <c r="QEB840" s="802"/>
      <c r="QEC840" s="802"/>
      <c r="QED840" s="802"/>
      <c r="QEE840" s="802"/>
      <c r="QEF840" s="802"/>
      <c r="QEG840" s="802"/>
      <c r="QEH840" s="802"/>
      <c r="QEI840" s="802"/>
      <c r="QEJ840" s="802"/>
      <c r="QEK840" s="802"/>
      <c r="QEL840" s="802"/>
      <c r="QEM840" s="802"/>
      <c r="QEN840" s="802"/>
      <c r="QEO840" s="802"/>
      <c r="QEP840" s="802"/>
      <c r="QEQ840" s="802"/>
      <c r="QER840" s="802"/>
      <c r="QES840" s="802"/>
      <c r="QET840" s="802"/>
      <c r="QEU840" s="802"/>
      <c r="QEV840" s="802"/>
      <c r="QEW840" s="802"/>
      <c r="QEX840" s="802"/>
      <c r="QEY840" s="802"/>
      <c r="QEZ840" s="802"/>
      <c r="QFA840" s="802"/>
      <c r="QFB840" s="802"/>
      <c r="QFC840" s="802"/>
      <c r="QFD840" s="802"/>
      <c r="QFE840" s="802"/>
      <c r="QFF840" s="802"/>
      <c r="QFG840" s="802"/>
      <c r="QFH840" s="802"/>
      <c r="QFI840" s="802"/>
      <c r="QFJ840" s="802"/>
      <c r="QFK840" s="802"/>
      <c r="QFL840" s="802"/>
      <c r="QFM840" s="802"/>
      <c r="QFN840" s="802"/>
      <c r="QFO840" s="802"/>
      <c r="QFP840" s="802"/>
      <c r="QFQ840" s="802"/>
      <c r="QFR840" s="802"/>
      <c r="QFS840" s="802"/>
      <c r="QFT840" s="802"/>
      <c r="QFU840" s="802"/>
      <c r="QFV840" s="802"/>
      <c r="QFW840" s="802"/>
      <c r="QFX840" s="802"/>
      <c r="QFY840" s="802"/>
      <c r="QFZ840" s="802"/>
      <c r="QGA840" s="802"/>
      <c r="QGB840" s="802"/>
      <c r="QGC840" s="802"/>
      <c r="QGD840" s="802"/>
      <c r="QGE840" s="802"/>
      <c r="QGF840" s="802"/>
      <c r="QGG840" s="802"/>
      <c r="QGH840" s="802"/>
      <c r="QGI840" s="802"/>
      <c r="QGJ840" s="802"/>
      <c r="QGK840" s="802"/>
      <c r="QGL840" s="802"/>
      <c r="QGM840" s="802"/>
      <c r="QGN840" s="802"/>
      <c r="QGO840" s="802"/>
      <c r="QGP840" s="802"/>
      <c r="QGQ840" s="802"/>
      <c r="QGR840" s="802"/>
      <c r="QGS840" s="802"/>
      <c r="QGT840" s="802"/>
      <c r="QGU840" s="802"/>
      <c r="QGV840" s="802"/>
      <c r="QGW840" s="802"/>
      <c r="QGX840" s="802"/>
      <c r="QGY840" s="802"/>
      <c r="QGZ840" s="802"/>
      <c r="QHA840" s="802"/>
      <c r="QHB840" s="802"/>
      <c r="QHC840" s="802"/>
      <c r="QHD840" s="802"/>
      <c r="QHE840" s="802"/>
      <c r="QHF840" s="802"/>
      <c r="QHG840" s="802"/>
      <c r="QHH840" s="802"/>
      <c r="QHI840" s="802"/>
      <c r="QHJ840" s="802"/>
      <c r="QHK840" s="802"/>
      <c r="QHL840" s="802"/>
      <c r="QHM840" s="802"/>
      <c r="QHN840" s="802"/>
      <c r="QHO840" s="802"/>
      <c r="QHP840" s="802"/>
      <c r="QHQ840" s="802"/>
      <c r="QHR840" s="802"/>
      <c r="QHS840" s="802"/>
      <c r="QHT840" s="802"/>
      <c r="QHU840" s="802"/>
      <c r="QHV840" s="802"/>
      <c r="QHW840" s="802"/>
      <c r="QHX840" s="802"/>
      <c r="QHY840" s="802"/>
      <c r="QHZ840" s="802"/>
      <c r="QIA840" s="802"/>
      <c r="QIB840" s="802"/>
      <c r="QIC840" s="802"/>
      <c r="QID840" s="802"/>
      <c r="QIE840" s="802"/>
      <c r="QIF840" s="802"/>
      <c r="QIG840" s="802"/>
      <c r="QIH840" s="802"/>
      <c r="QII840" s="802"/>
      <c r="QIJ840" s="802"/>
      <c r="QIK840" s="802"/>
      <c r="QIL840" s="802"/>
      <c r="QIM840" s="802"/>
      <c r="QIN840" s="802"/>
      <c r="QIO840" s="802"/>
      <c r="QIP840" s="802"/>
      <c r="QIQ840" s="802"/>
      <c r="QIR840" s="802"/>
      <c r="QIS840" s="802"/>
      <c r="QIT840" s="802"/>
      <c r="QIU840" s="802"/>
      <c r="QIV840" s="802"/>
      <c r="QIW840" s="802"/>
      <c r="QIX840" s="802"/>
      <c r="QIY840" s="802"/>
      <c r="QIZ840" s="802"/>
      <c r="QJA840" s="802"/>
      <c r="QJB840" s="802"/>
      <c r="QJC840" s="802"/>
      <c r="QJD840" s="802"/>
      <c r="QJE840" s="802"/>
      <c r="QJF840" s="802"/>
      <c r="QJG840" s="802"/>
      <c r="QJH840" s="802"/>
      <c r="QJI840" s="802"/>
      <c r="QJJ840" s="802"/>
      <c r="QJK840" s="802"/>
      <c r="QJL840" s="802"/>
      <c r="QJM840" s="802"/>
      <c r="QJN840" s="802"/>
      <c r="QJO840" s="802"/>
      <c r="QJP840" s="802"/>
      <c r="QJQ840" s="802"/>
      <c r="QJR840" s="802"/>
      <c r="QJS840" s="802"/>
      <c r="QJT840" s="802"/>
      <c r="QJU840" s="802"/>
      <c r="QJV840" s="802"/>
      <c r="QJW840" s="802"/>
      <c r="QJX840" s="802"/>
      <c r="QJY840" s="802"/>
      <c r="QJZ840" s="802"/>
      <c r="QKA840" s="802"/>
      <c r="QKB840" s="802"/>
      <c r="QKC840" s="802"/>
      <c r="QKD840" s="802"/>
      <c r="QKE840" s="802"/>
      <c r="QKF840" s="802"/>
      <c r="QKG840" s="802"/>
      <c r="QKH840" s="802"/>
      <c r="QKI840" s="802"/>
      <c r="QKJ840" s="802"/>
      <c r="QKK840" s="802"/>
      <c r="QKL840" s="802"/>
      <c r="QKM840" s="802"/>
      <c r="QKN840" s="802"/>
      <c r="QKO840" s="802"/>
      <c r="QKP840" s="802"/>
      <c r="QKQ840" s="802"/>
      <c r="QKR840" s="802"/>
      <c r="QKS840" s="802"/>
      <c r="QKT840" s="802"/>
      <c r="QKU840" s="802"/>
      <c r="QKV840" s="802"/>
      <c r="QKW840" s="802"/>
      <c r="QKX840" s="802"/>
      <c r="QKY840" s="802"/>
      <c r="QKZ840" s="802"/>
      <c r="QLA840" s="802"/>
      <c r="QLB840" s="802"/>
      <c r="QLC840" s="802"/>
      <c r="QLD840" s="802"/>
      <c r="QLE840" s="802"/>
      <c r="QLF840" s="802"/>
      <c r="QLG840" s="802"/>
      <c r="QLH840" s="802"/>
      <c r="QLI840" s="802"/>
      <c r="QLJ840" s="802"/>
      <c r="QLK840" s="802"/>
      <c r="QLL840" s="802"/>
      <c r="QLM840" s="802"/>
      <c r="QLN840" s="802"/>
      <c r="QLO840" s="802"/>
      <c r="QLP840" s="802"/>
      <c r="QLQ840" s="802"/>
      <c r="QLR840" s="802"/>
      <c r="QLS840" s="802"/>
      <c r="QLT840" s="802"/>
      <c r="QLU840" s="802"/>
      <c r="QLV840" s="802"/>
      <c r="QLW840" s="802"/>
      <c r="QLX840" s="802"/>
      <c r="QLY840" s="802"/>
      <c r="QLZ840" s="802"/>
      <c r="QMA840" s="802"/>
      <c r="QMB840" s="802"/>
      <c r="QMC840" s="802"/>
      <c r="QMD840" s="802"/>
      <c r="QME840" s="802"/>
      <c r="QMF840" s="802"/>
      <c r="QMG840" s="802"/>
      <c r="QMH840" s="802"/>
      <c r="QMI840" s="802"/>
      <c r="QMJ840" s="802"/>
      <c r="QMK840" s="802"/>
      <c r="QML840" s="802"/>
      <c r="QMM840" s="802"/>
      <c r="QMN840" s="802"/>
      <c r="QMO840" s="802"/>
      <c r="QMP840" s="802"/>
      <c r="QMQ840" s="802"/>
      <c r="QMR840" s="802"/>
      <c r="QMS840" s="802"/>
      <c r="QMT840" s="802"/>
      <c r="QMU840" s="802"/>
      <c r="QMV840" s="802"/>
      <c r="QMW840" s="802"/>
      <c r="QMX840" s="802"/>
      <c r="QMY840" s="802"/>
      <c r="QMZ840" s="802"/>
      <c r="QNA840" s="802"/>
      <c r="QNB840" s="802"/>
      <c r="QNC840" s="802"/>
      <c r="QND840" s="802"/>
      <c r="QNE840" s="802"/>
      <c r="QNF840" s="802"/>
      <c r="QNG840" s="802"/>
      <c r="QNH840" s="802"/>
      <c r="QNI840" s="802"/>
      <c r="QNJ840" s="802"/>
      <c r="QNK840" s="802"/>
      <c r="QNL840" s="802"/>
      <c r="QNM840" s="802"/>
      <c r="QNN840" s="802"/>
      <c r="QNO840" s="802"/>
      <c r="QNP840" s="802"/>
      <c r="QNQ840" s="802"/>
      <c r="QNR840" s="802"/>
      <c r="QNS840" s="802"/>
      <c r="QNT840" s="802"/>
      <c r="QNU840" s="802"/>
      <c r="QNV840" s="802"/>
      <c r="QNW840" s="802"/>
      <c r="QNX840" s="802"/>
      <c r="QNY840" s="802"/>
      <c r="QNZ840" s="802"/>
      <c r="QOA840" s="802"/>
      <c r="QOB840" s="802"/>
      <c r="QOC840" s="802"/>
      <c r="QOD840" s="802"/>
      <c r="QOE840" s="802"/>
      <c r="QOF840" s="802"/>
      <c r="QOG840" s="802"/>
      <c r="QOH840" s="802"/>
      <c r="QOI840" s="802"/>
      <c r="QOJ840" s="802"/>
      <c r="QOK840" s="802"/>
      <c r="QOL840" s="802"/>
      <c r="QOM840" s="802"/>
      <c r="QON840" s="802"/>
      <c r="QOO840" s="802"/>
      <c r="QOP840" s="802"/>
      <c r="QOQ840" s="802"/>
      <c r="QOR840" s="802"/>
      <c r="QOS840" s="802"/>
      <c r="QOT840" s="802"/>
      <c r="QOU840" s="802"/>
      <c r="QOV840" s="802"/>
      <c r="QOW840" s="802"/>
      <c r="QOX840" s="802"/>
      <c r="QOY840" s="802"/>
      <c r="QOZ840" s="802"/>
      <c r="QPA840" s="802"/>
      <c r="QPB840" s="802"/>
      <c r="QPC840" s="802"/>
      <c r="QPD840" s="802"/>
      <c r="QPE840" s="802"/>
      <c r="QPF840" s="802"/>
      <c r="QPG840" s="802"/>
      <c r="QPH840" s="802"/>
      <c r="QPI840" s="802"/>
      <c r="QPJ840" s="802"/>
      <c r="QPK840" s="802"/>
      <c r="QPL840" s="802"/>
      <c r="QPM840" s="802"/>
      <c r="QPN840" s="802"/>
      <c r="QPO840" s="802"/>
      <c r="QPP840" s="802"/>
      <c r="QPQ840" s="802"/>
      <c r="QPR840" s="802"/>
      <c r="QPS840" s="802"/>
      <c r="QPT840" s="802"/>
      <c r="QPU840" s="802"/>
      <c r="QPV840" s="802"/>
      <c r="QPW840" s="802"/>
      <c r="QPX840" s="802"/>
      <c r="QPY840" s="802"/>
      <c r="QPZ840" s="802"/>
      <c r="QQA840" s="802"/>
      <c r="QQB840" s="802"/>
      <c r="QQC840" s="802"/>
      <c r="QQD840" s="802"/>
      <c r="QQE840" s="802"/>
      <c r="QQF840" s="802"/>
      <c r="QQG840" s="802"/>
      <c r="QQH840" s="802"/>
      <c r="QQI840" s="802"/>
      <c r="QQJ840" s="802"/>
      <c r="QQK840" s="802"/>
      <c r="QQL840" s="802"/>
      <c r="QQM840" s="802"/>
      <c r="QQN840" s="802"/>
      <c r="QQO840" s="802"/>
      <c r="QQP840" s="802"/>
      <c r="QQQ840" s="802"/>
      <c r="QQR840" s="802"/>
      <c r="QQS840" s="802"/>
      <c r="QQT840" s="802"/>
      <c r="QQU840" s="802"/>
      <c r="QQV840" s="802"/>
      <c r="QQW840" s="802"/>
      <c r="QQX840" s="802"/>
      <c r="QQY840" s="802"/>
      <c r="QQZ840" s="802"/>
      <c r="QRA840" s="802"/>
      <c r="QRB840" s="802"/>
      <c r="QRC840" s="802"/>
      <c r="QRD840" s="802"/>
      <c r="QRE840" s="802"/>
      <c r="QRF840" s="802"/>
      <c r="QRG840" s="802"/>
      <c r="QRH840" s="802"/>
      <c r="QRI840" s="802"/>
      <c r="QRJ840" s="802"/>
      <c r="QRK840" s="802"/>
      <c r="QRL840" s="802"/>
      <c r="QRM840" s="802"/>
      <c r="QRN840" s="802"/>
      <c r="QRO840" s="802"/>
      <c r="QRP840" s="802"/>
      <c r="QRQ840" s="802"/>
      <c r="QRR840" s="802"/>
      <c r="QRS840" s="802"/>
      <c r="QRT840" s="802"/>
      <c r="QRU840" s="802"/>
      <c r="QRV840" s="802"/>
      <c r="QRW840" s="802"/>
      <c r="QRX840" s="802"/>
      <c r="QRY840" s="802"/>
      <c r="QRZ840" s="802"/>
      <c r="QSA840" s="802"/>
      <c r="QSB840" s="802"/>
      <c r="QSC840" s="802"/>
      <c r="QSD840" s="802"/>
      <c r="QSE840" s="802"/>
      <c r="QSF840" s="802"/>
      <c r="QSG840" s="802"/>
      <c r="QSH840" s="802"/>
      <c r="QSI840" s="802"/>
      <c r="QSJ840" s="802"/>
      <c r="QSK840" s="802"/>
      <c r="QSL840" s="802"/>
      <c r="QSM840" s="802"/>
      <c r="QSN840" s="802"/>
      <c r="QSO840" s="802"/>
      <c r="QSP840" s="802"/>
      <c r="QSQ840" s="802"/>
      <c r="QSR840" s="802"/>
      <c r="QSS840" s="802"/>
      <c r="QST840" s="802"/>
      <c r="QSU840" s="802"/>
      <c r="QSV840" s="802"/>
      <c r="QSW840" s="802"/>
      <c r="QSX840" s="802"/>
      <c r="QSY840" s="802"/>
      <c r="QSZ840" s="802"/>
      <c r="QTA840" s="802"/>
      <c r="QTB840" s="802"/>
      <c r="QTC840" s="802"/>
      <c r="QTD840" s="802"/>
      <c r="QTE840" s="802"/>
      <c r="QTF840" s="802"/>
      <c r="QTG840" s="802"/>
      <c r="QTH840" s="802"/>
      <c r="QTI840" s="802"/>
      <c r="QTJ840" s="802"/>
      <c r="QTK840" s="802"/>
      <c r="QTL840" s="802"/>
      <c r="QTM840" s="802"/>
      <c r="QTN840" s="802"/>
      <c r="QTO840" s="802"/>
      <c r="QTP840" s="802"/>
      <c r="QTQ840" s="802"/>
      <c r="QTR840" s="802"/>
      <c r="QTS840" s="802"/>
      <c r="QTT840" s="802"/>
      <c r="QTU840" s="802"/>
      <c r="QTV840" s="802"/>
      <c r="QTW840" s="802"/>
      <c r="QTX840" s="802"/>
      <c r="QTY840" s="802"/>
      <c r="QTZ840" s="802"/>
      <c r="QUA840" s="802"/>
      <c r="QUB840" s="802"/>
      <c r="QUC840" s="802"/>
      <c r="QUD840" s="802"/>
      <c r="QUE840" s="802"/>
      <c r="QUF840" s="802"/>
      <c r="QUG840" s="802"/>
      <c r="QUH840" s="802"/>
      <c r="QUI840" s="802"/>
      <c r="QUJ840" s="802"/>
      <c r="QUK840" s="802"/>
      <c r="QUL840" s="802"/>
      <c r="QUM840" s="802"/>
      <c r="QUN840" s="802"/>
      <c r="QUO840" s="802"/>
      <c r="QUP840" s="802"/>
      <c r="QUQ840" s="802"/>
      <c r="QUR840" s="802"/>
      <c r="QUS840" s="802"/>
      <c r="QUT840" s="802"/>
      <c r="QUU840" s="802"/>
      <c r="QUV840" s="802"/>
      <c r="QUW840" s="802"/>
      <c r="QUX840" s="802"/>
      <c r="QUY840" s="802"/>
      <c r="QUZ840" s="802"/>
      <c r="QVA840" s="802"/>
      <c r="QVB840" s="802"/>
      <c r="QVC840" s="802"/>
      <c r="QVD840" s="802"/>
      <c r="QVE840" s="802"/>
      <c r="QVF840" s="802"/>
      <c r="QVG840" s="802"/>
      <c r="QVH840" s="802"/>
      <c r="QVI840" s="802"/>
      <c r="QVJ840" s="802"/>
      <c r="QVK840" s="802"/>
      <c r="QVL840" s="802"/>
      <c r="QVM840" s="802"/>
      <c r="QVN840" s="802"/>
      <c r="QVO840" s="802"/>
      <c r="QVP840" s="802"/>
      <c r="QVQ840" s="802"/>
      <c r="QVR840" s="802"/>
      <c r="QVS840" s="802"/>
      <c r="QVT840" s="802"/>
      <c r="QVU840" s="802"/>
      <c r="QVV840" s="802"/>
      <c r="QVW840" s="802"/>
      <c r="QVX840" s="802"/>
      <c r="QVY840" s="802"/>
      <c r="QVZ840" s="802"/>
      <c r="QWA840" s="802"/>
      <c r="QWB840" s="802"/>
      <c r="QWC840" s="802"/>
      <c r="QWD840" s="802"/>
      <c r="QWE840" s="802"/>
      <c r="QWF840" s="802"/>
      <c r="QWG840" s="802"/>
      <c r="QWH840" s="802"/>
      <c r="QWI840" s="802"/>
      <c r="QWJ840" s="802"/>
      <c r="QWK840" s="802"/>
      <c r="QWL840" s="802"/>
      <c r="QWM840" s="802"/>
      <c r="QWN840" s="802"/>
      <c r="QWO840" s="802"/>
      <c r="QWP840" s="802"/>
      <c r="QWQ840" s="802"/>
      <c r="QWR840" s="802"/>
      <c r="QWS840" s="802"/>
      <c r="QWT840" s="802"/>
      <c r="QWU840" s="802"/>
      <c r="QWV840" s="802"/>
      <c r="QWW840" s="802"/>
      <c r="QWX840" s="802"/>
      <c r="QWY840" s="802"/>
      <c r="QWZ840" s="802"/>
      <c r="QXA840" s="802"/>
      <c r="QXB840" s="802"/>
      <c r="QXC840" s="802"/>
      <c r="QXD840" s="802"/>
      <c r="QXE840" s="802"/>
      <c r="QXF840" s="802"/>
      <c r="QXG840" s="802"/>
      <c r="QXH840" s="802"/>
      <c r="QXI840" s="802"/>
      <c r="QXJ840" s="802"/>
      <c r="QXK840" s="802"/>
      <c r="QXL840" s="802"/>
      <c r="QXM840" s="802"/>
      <c r="QXN840" s="802"/>
      <c r="QXO840" s="802"/>
      <c r="QXP840" s="802"/>
      <c r="QXQ840" s="802"/>
      <c r="QXR840" s="802"/>
      <c r="QXS840" s="802"/>
      <c r="QXT840" s="802"/>
      <c r="QXU840" s="802"/>
      <c r="QXV840" s="802"/>
      <c r="QXW840" s="802"/>
      <c r="QXX840" s="802"/>
      <c r="QXY840" s="802"/>
      <c r="QXZ840" s="802"/>
      <c r="QYA840" s="802"/>
      <c r="QYB840" s="802"/>
      <c r="QYC840" s="802"/>
      <c r="QYD840" s="802"/>
      <c r="QYE840" s="802"/>
      <c r="QYF840" s="802"/>
      <c r="QYG840" s="802"/>
      <c r="QYH840" s="802"/>
      <c r="QYI840" s="802"/>
      <c r="QYJ840" s="802"/>
      <c r="QYK840" s="802"/>
      <c r="QYL840" s="802"/>
      <c r="QYM840" s="802"/>
      <c r="QYN840" s="802"/>
      <c r="QYO840" s="802"/>
      <c r="QYP840" s="802"/>
      <c r="QYQ840" s="802"/>
      <c r="QYR840" s="802"/>
      <c r="QYS840" s="802"/>
      <c r="QYT840" s="802"/>
      <c r="QYU840" s="802"/>
      <c r="QYV840" s="802"/>
      <c r="QYW840" s="802"/>
      <c r="QYX840" s="802"/>
      <c r="QYY840" s="802"/>
      <c r="QYZ840" s="802"/>
      <c r="QZA840" s="802"/>
      <c r="QZB840" s="802"/>
      <c r="QZC840" s="802"/>
      <c r="QZD840" s="802"/>
      <c r="QZE840" s="802"/>
      <c r="QZF840" s="802"/>
      <c r="QZG840" s="802"/>
      <c r="QZH840" s="802"/>
      <c r="QZI840" s="802"/>
      <c r="QZJ840" s="802"/>
      <c r="QZK840" s="802"/>
      <c r="QZL840" s="802"/>
      <c r="QZM840" s="802"/>
      <c r="QZN840" s="802"/>
      <c r="QZO840" s="802"/>
      <c r="QZP840" s="802"/>
      <c r="QZQ840" s="802"/>
      <c r="QZR840" s="802"/>
      <c r="QZS840" s="802"/>
      <c r="QZT840" s="802"/>
      <c r="QZU840" s="802"/>
      <c r="QZV840" s="802"/>
      <c r="QZW840" s="802"/>
      <c r="QZX840" s="802"/>
      <c r="QZY840" s="802"/>
      <c r="QZZ840" s="802"/>
      <c r="RAA840" s="802"/>
      <c r="RAB840" s="802"/>
      <c r="RAC840" s="802"/>
      <c r="RAD840" s="802"/>
      <c r="RAE840" s="802"/>
      <c r="RAF840" s="802"/>
      <c r="RAG840" s="802"/>
      <c r="RAH840" s="802"/>
      <c r="RAI840" s="802"/>
      <c r="RAJ840" s="802"/>
      <c r="RAK840" s="802"/>
      <c r="RAL840" s="802"/>
      <c r="RAM840" s="802"/>
      <c r="RAN840" s="802"/>
      <c r="RAO840" s="802"/>
      <c r="RAP840" s="802"/>
      <c r="RAQ840" s="802"/>
      <c r="RAR840" s="802"/>
      <c r="RAS840" s="802"/>
      <c r="RAT840" s="802"/>
      <c r="RAU840" s="802"/>
      <c r="RAV840" s="802"/>
      <c r="RAW840" s="802"/>
      <c r="RAX840" s="802"/>
      <c r="RAY840" s="802"/>
      <c r="RAZ840" s="802"/>
      <c r="RBA840" s="802"/>
      <c r="RBB840" s="802"/>
      <c r="RBC840" s="802"/>
      <c r="RBD840" s="802"/>
      <c r="RBE840" s="802"/>
      <c r="RBF840" s="802"/>
      <c r="RBG840" s="802"/>
      <c r="RBH840" s="802"/>
      <c r="RBI840" s="802"/>
      <c r="RBJ840" s="802"/>
      <c r="RBK840" s="802"/>
      <c r="RBL840" s="802"/>
      <c r="RBM840" s="802"/>
      <c r="RBN840" s="802"/>
      <c r="RBO840" s="802"/>
      <c r="RBP840" s="802"/>
      <c r="RBQ840" s="802"/>
      <c r="RBR840" s="802"/>
      <c r="RBS840" s="802"/>
      <c r="RBT840" s="802"/>
      <c r="RBU840" s="802"/>
      <c r="RBV840" s="802"/>
      <c r="RBW840" s="802"/>
      <c r="RBX840" s="802"/>
      <c r="RBY840" s="802"/>
      <c r="RBZ840" s="802"/>
      <c r="RCA840" s="802"/>
      <c r="RCB840" s="802"/>
      <c r="RCC840" s="802"/>
      <c r="RCD840" s="802"/>
      <c r="RCE840" s="802"/>
      <c r="RCF840" s="802"/>
      <c r="RCG840" s="802"/>
      <c r="RCH840" s="802"/>
      <c r="RCI840" s="802"/>
      <c r="RCJ840" s="802"/>
      <c r="RCK840" s="802"/>
      <c r="RCL840" s="802"/>
      <c r="RCM840" s="802"/>
      <c r="RCN840" s="802"/>
      <c r="RCO840" s="802"/>
      <c r="RCP840" s="802"/>
      <c r="RCQ840" s="802"/>
      <c r="RCR840" s="802"/>
      <c r="RCS840" s="802"/>
      <c r="RCT840" s="802"/>
      <c r="RCU840" s="802"/>
      <c r="RCV840" s="802"/>
      <c r="RCW840" s="802"/>
      <c r="RCX840" s="802"/>
      <c r="RCY840" s="802"/>
      <c r="RCZ840" s="802"/>
      <c r="RDA840" s="802"/>
      <c r="RDB840" s="802"/>
      <c r="RDC840" s="802"/>
      <c r="RDD840" s="802"/>
      <c r="RDE840" s="802"/>
      <c r="RDF840" s="802"/>
      <c r="RDG840" s="802"/>
      <c r="RDH840" s="802"/>
      <c r="RDI840" s="802"/>
      <c r="RDJ840" s="802"/>
      <c r="RDK840" s="802"/>
      <c r="RDL840" s="802"/>
      <c r="RDM840" s="802"/>
      <c r="RDN840" s="802"/>
      <c r="RDO840" s="802"/>
      <c r="RDP840" s="802"/>
      <c r="RDQ840" s="802"/>
      <c r="RDR840" s="802"/>
      <c r="RDS840" s="802"/>
      <c r="RDT840" s="802"/>
      <c r="RDU840" s="802"/>
      <c r="RDV840" s="802"/>
      <c r="RDW840" s="802"/>
      <c r="RDX840" s="802"/>
      <c r="RDY840" s="802"/>
      <c r="RDZ840" s="802"/>
      <c r="REA840" s="802"/>
      <c r="REB840" s="802"/>
      <c r="REC840" s="802"/>
      <c r="RED840" s="802"/>
      <c r="REE840" s="802"/>
      <c r="REF840" s="802"/>
      <c r="REG840" s="802"/>
      <c r="REH840" s="802"/>
      <c r="REI840" s="802"/>
      <c r="REJ840" s="802"/>
      <c r="REK840" s="802"/>
      <c r="REL840" s="802"/>
      <c r="REM840" s="802"/>
      <c r="REN840" s="802"/>
      <c r="REO840" s="802"/>
      <c r="REP840" s="802"/>
      <c r="REQ840" s="802"/>
      <c r="RER840" s="802"/>
      <c r="RES840" s="802"/>
      <c r="RET840" s="802"/>
      <c r="REU840" s="802"/>
      <c r="REV840" s="802"/>
      <c r="REW840" s="802"/>
      <c r="REX840" s="802"/>
      <c r="REY840" s="802"/>
      <c r="REZ840" s="802"/>
      <c r="RFA840" s="802"/>
      <c r="RFB840" s="802"/>
      <c r="RFC840" s="802"/>
      <c r="RFD840" s="802"/>
      <c r="RFE840" s="802"/>
      <c r="RFF840" s="802"/>
      <c r="RFG840" s="802"/>
      <c r="RFH840" s="802"/>
      <c r="RFI840" s="802"/>
      <c r="RFJ840" s="802"/>
      <c r="RFK840" s="802"/>
      <c r="RFL840" s="802"/>
      <c r="RFM840" s="802"/>
      <c r="RFN840" s="802"/>
      <c r="RFO840" s="802"/>
      <c r="RFP840" s="802"/>
      <c r="RFQ840" s="802"/>
      <c r="RFR840" s="802"/>
      <c r="RFS840" s="802"/>
      <c r="RFT840" s="802"/>
      <c r="RFU840" s="802"/>
      <c r="RFV840" s="802"/>
      <c r="RFW840" s="802"/>
      <c r="RFX840" s="802"/>
      <c r="RFY840" s="802"/>
      <c r="RFZ840" s="802"/>
      <c r="RGA840" s="802"/>
      <c r="RGB840" s="802"/>
      <c r="RGC840" s="802"/>
      <c r="RGD840" s="802"/>
      <c r="RGE840" s="802"/>
      <c r="RGF840" s="802"/>
      <c r="RGG840" s="802"/>
      <c r="RGH840" s="802"/>
      <c r="RGI840" s="802"/>
      <c r="RGJ840" s="802"/>
      <c r="RGK840" s="802"/>
      <c r="RGL840" s="802"/>
      <c r="RGM840" s="802"/>
      <c r="RGN840" s="802"/>
      <c r="RGO840" s="802"/>
      <c r="RGP840" s="802"/>
      <c r="RGQ840" s="802"/>
      <c r="RGR840" s="802"/>
      <c r="RGS840" s="802"/>
      <c r="RGT840" s="802"/>
      <c r="RGU840" s="802"/>
      <c r="RGV840" s="802"/>
      <c r="RGW840" s="802"/>
      <c r="RGX840" s="802"/>
      <c r="RGY840" s="802"/>
      <c r="RGZ840" s="802"/>
      <c r="RHA840" s="802"/>
      <c r="RHB840" s="802"/>
      <c r="RHC840" s="802"/>
      <c r="RHD840" s="802"/>
      <c r="RHE840" s="802"/>
      <c r="RHF840" s="802"/>
      <c r="RHG840" s="802"/>
      <c r="RHH840" s="802"/>
      <c r="RHI840" s="802"/>
      <c r="RHJ840" s="802"/>
      <c r="RHK840" s="802"/>
      <c r="RHL840" s="802"/>
      <c r="RHM840" s="802"/>
      <c r="RHN840" s="802"/>
      <c r="RHO840" s="802"/>
      <c r="RHP840" s="802"/>
      <c r="RHQ840" s="802"/>
      <c r="RHR840" s="802"/>
      <c r="RHS840" s="802"/>
      <c r="RHT840" s="802"/>
      <c r="RHU840" s="802"/>
      <c r="RHV840" s="802"/>
      <c r="RHW840" s="802"/>
      <c r="RHX840" s="802"/>
      <c r="RHY840" s="802"/>
      <c r="RHZ840" s="802"/>
      <c r="RIA840" s="802"/>
      <c r="RIB840" s="802"/>
      <c r="RIC840" s="802"/>
      <c r="RID840" s="802"/>
      <c r="RIE840" s="802"/>
      <c r="RIF840" s="802"/>
      <c r="RIG840" s="802"/>
      <c r="RIH840" s="802"/>
      <c r="RII840" s="802"/>
      <c r="RIJ840" s="802"/>
      <c r="RIK840" s="802"/>
      <c r="RIL840" s="802"/>
      <c r="RIM840" s="802"/>
      <c r="RIN840" s="802"/>
      <c r="RIO840" s="802"/>
      <c r="RIP840" s="802"/>
      <c r="RIQ840" s="802"/>
      <c r="RIR840" s="802"/>
      <c r="RIS840" s="802"/>
      <c r="RIT840" s="802"/>
      <c r="RIU840" s="802"/>
      <c r="RIV840" s="802"/>
      <c r="RIW840" s="802"/>
      <c r="RIX840" s="802"/>
      <c r="RIY840" s="802"/>
      <c r="RIZ840" s="802"/>
      <c r="RJA840" s="802"/>
      <c r="RJB840" s="802"/>
      <c r="RJC840" s="802"/>
      <c r="RJD840" s="802"/>
      <c r="RJE840" s="802"/>
      <c r="RJF840" s="802"/>
      <c r="RJG840" s="802"/>
      <c r="RJH840" s="802"/>
      <c r="RJI840" s="802"/>
      <c r="RJJ840" s="802"/>
      <c r="RJK840" s="802"/>
      <c r="RJL840" s="802"/>
      <c r="RJM840" s="802"/>
      <c r="RJN840" s="802"/>
      <c r="RJO840" s="802"/>
      <c r="RJP840" s="802"/>
      <c r="RJQ840" s="802"/>
      <c r="RJR840" s="802"/>
      <c r="RJS840" s="802"/>
      <c r="RJT840" s="802"/>
      <c r="RJU840" s="802"/>
      <c r="RJV840" s="802"/>
      <c r="RJW840" s="802"/>
      <c r="RJX840" s="802"/>
      <c r="RJY840" s="802"/>
      <c r="RJZ840" s="802"/>
      <c r="RKA840" s="802"/>
      <c r="RKB840" s="802"/>
      <c r="RKC840" s="802"/>
      <c r="RKD840" s="802"/>
      <c r="RKE840" s="802"/>
      <c r="RKF840" s="802"/>
      <c r="RKG840" s="802"/>
      <c r="RKH840" s="802"/>
      <c r="RKI840" s="802"/>
      <c r="RKJ840" s="802"/>
      <c r="RKK840" s="802"/>
      <c r="RKL840" s="802"/>
      <c r="RKM840" s="802"/>
      <c r="RKN840" s="802"/>
      <c r="RKO840" s="802"/>
      <c r="RKP840" s="802"/>
      <c r="RKQ840" s="802"/>
      <c r="RKR840" s="802"/>
      <c r="RKS840" s="802"/>
      <c r="RKT840" s="802"/>
      <c r="RKU840" s="802"/>
      <c r="RKV840" s="802"/>
      <c r="RKW840" s="802"/>
      <c r="RKX840" s="802"/>
      <c r="RKY840" s="802"/>
      <c r="RKZ840" s="802"/>
      <c r="RLA840" s="802"/>
      <c r="RLB840" s="802"/>
      <c r="RLC840" s="802"/>
      <c r="RLD840" s="802"/>
      <c r="RLE840" s="802"/>
      <c r="RLF840" s="802"/>
      <c r="RLG840" s="802"/>
      <c r="RLH840" s="802"/>
      <c r="RLI840" s="802"/>
      <c r="RLJ840" s="802"/>
      <c r="RLK840" s="802"/>
      <c r="RLL840" s="802"/>
      <c r="RLM840" s="802"/>
      <c r="RLN840" s="802"/>
      <c r="RLO840" s="802"/>
      <c r="RLP840" s="802"/>
      <c r="RLQ840" s="802"/>
      <c r="RLR840" s="802"/>
      <c r="RLS840" s="802"/>
      <c r="RLT840" s="802"/>
      <c r="RLU840" s="802"/>
      <c r="RLV840" s="802"/>
      <c r="RLW840" s="802"/>
      <c r="RLX840" s="802"/>
      <c r="RLY840" s="802"/>
      <c r="RLZ840" s="802"/>
      <c r="RMA840" s="802"/>
      <c r="RMB840" s="802"/>
      <c r="RMC840" s="802"/>
      <c r="RMD840" s="802"/>
      <c r="RME840" s="802"/>
      <c r="RMF840" s="802"/>
      <c r="RMG840" s="802"/>
      <c r="RMH840" s="802"/>
      <c r="RMI840" s="802"/>
      <c r="RMJ840" s="802"/>
      <c r="RMK840" s="802"/>
      <c r="RML840" s="802"/>
      <c r="RMM840" s="802"/>
      <c r="RMN840" s="802"/>
      <c r="RMO840" s="802"/>
      <c r="RMP840" s="802"/>
      <c r="RMQ840" s="802"/>
      <c r="RMR840" s="802"/>
      <c r="RMS840" s="802"/>
      <c r="RMT840" s="802"/>
      <c r="RMU840" s="802"/>
      <c r="RMV840" s="802"/>
      <c r="RMW840" s="802"/>
      <c r="RMX840" s="802"/>
      <c r="RMY840" s="802"/>
      <c r="RMZ840" s="802"/>
      <c r="RNA840" s="802"/>
      <c r="RNB840" s="802"/>
      <c r="RNC840" s="802"/>
      <c r="RND840" s="802"/>
      <c r="RNE840" s="802"/>
      <c r="RNF840" s="802"/>
      <c r="RNG840" s="802"/>
      <c r="RNH840" s="802"/>
      <c r="RNI840" s="802"/>
      <c r="RNJ840" s="802"/>
      <c r="RNK840" s="802"/>
      <c r="RNL840" s="802"/>
      <c r="RNM840" s="802"/>
      <c r="RNN840" s="802"/>
      <c r="RNO840" s="802"/>
      <c r="RNP840" s="802"/>
      <c r="RNQ840" s="802"/>
      <c r="RNR840" s="802"/>
      <c r="RNS840" s="802"/>
      <c r="RNT840" s="802"/>
      <c r="RNU840" s="802"/>
      <c r="RNV840" s="802"/>
      <c r="RNW840" s="802"/>
      <c r="RNX840" s="802"/>
      <c r="RNY840" s="802"/>
      <c r="RNZ840" s="802"/>
      <c r="ROA840" s="802"/>
      <c r="ROB840" s="802"/>
      <c r="ROC840" s="802"/>
      <c r="ROD840" s="802"/>
      <c r="ROE840" s="802"/>
      <c r="ROF840" s="802"/>
      <c r="ROG840" s="802"/>
      <c r="ROH840" s="802"/>
      <c r="ROI840" s="802"/>
      <c r="ROJ840" s="802"/>
      <c r="ROK840" s="802"/>
      <c r="ROL840" s="802"/>
      <c r="ROM840" s="802"/>
      <c r="RON840" s="802"/>
      <c r="ROO840" s="802"/>
      <c r="ROP840" s="802"/>
      <c r="ROQ840" s="802"/>
      <c r="ROR840" s="802"/>
      <c r="ROS840" s="802"/>
      <c r="ROT840" s="802"/>
      <c r="ROU840" s="802"/>
      <c r="ROV840" s="802"/>
      <c r="ROW840" s="802"/>
      <c r="ROX840" s="802"/>
      <c r="ROY840" s="802"/>
      <c r="ROZ840" s="802"/>
      <c r="RPA840" s="802"/>
      <c r="RPB840" s="802"/>
      <c r="RPC840" s="802"/>
      <c r="RPD840" s="802"/>
      <c r="RPE840" s="802"/>
      <c r="RPF840" s="802"/>
      <c r="RPG840" s="802"/>
      <c r="RPH840" s="802"/>
      <c r="RPI840" s="802"/>
      <c r="RPJ840" s="802"/>
      <c r="RPK840" s="802"/>
      <c r="RPL840" s="802"/>
      <c r="RPM840" s="802"/>
      <c r="RPN840" s="802"/>
      <c r="RPO840" s="802"/>
      <c r="RPP840" s="802"/>
      <c r="RPQ840" s="802"/>
      <c r="RPR840" s="802"/>
      <c r="RPS840" s="802"/>
      <c r="RPT840" s="802"/>
      <c r="RPU840" s="802"/>
      <c r="RPV840" s="802"/>
      <c r="RPW840" s="802"/>
      <c r="RPX840" s="802"/>
      <c r="RPY840" s="802"/>
      <c r="RPZ840" s="802"/>
      <c r="RQA840" s="802"/>
      <c r="RQB840" s="802"/>
      <c r="RQC840" s="802"/>
      <c r="RQD840" s="802"/>
      <c r="RQE840" s="802"/>
      <c r="RQF840" s="802"/>
      <c r="RQG840" s="802"/>
      <c r="RQH840" s="802"/>
      <c r="RQI840" s="802"/>
      <c r="RQJ840" s="802"/>
      <c r="RQK840" s="802"/>
      <c r="RQL840" s="802"/>
      <c r="RQM840" s="802"/>
      <c r="RQN840" s="802"/>
      <c r="RQO840" s="802"/>
      <c r="RQP840" s="802"/>
      <c r="RQQ840" s="802"/>
      <c r="RQR840" s="802"/>
      <c r="RQS840" s="802"/>
      <c r="RQT840" s="802"/>
      <c r="RQU840" s="802"/>
      <c r="RQV840" s="802"/>
      <c r="RQW840" s="802"/>
      <c r="RQX840" s="802"/>
      <c r="RQY840" s="802"/>
      <c r="RQZ840" s="802"/>
      <c r="RRA840" s="802"/>
      <c r="RRB840" s="802"/>
      <c r="RRC840" s="802"/>
      <c r="RRD840" s="802"/>
      <c r="RRE840" s="802"/>
      <c r="RRF840" s="802"/>
      <c r="RRG840" s="802"/>
      <c r="RRH840" s="802"/>
      <c r="RRI840" s="802"/>
      <c r="RRJ840" s="802"/>
      <c r="RRK840" s="802"/>
      <c r="RRL840" s="802"/>
      <c r="RRM840" s="802"/>
      <c r="RRN840" s="802"/>
      <c r="RRO840" s="802"/>
      <c r="RRP840" s="802"/>
      <c r="RRQ840" s="802"/>
      <c r="RRR840" s="802"/>
      <c r="RRS840" s="802"/>
      <c r="RRT840" s="802"/>
      <c r="RRU840" s="802"/>
      <c r="RRV840" s="802"/>
      <c r="RRW840" s="802"/>
      <c r="RRX840" s="802"/>
      <c r="RRY840" s="802"/>
      <c r="RRZ840" s="802"/>
      <c r="RSA840" s="802"/>
      <c r="RSB840" s="802"/>
      <c r="RSC840" s="802"/>
      <c r="RSD840" s="802"/>
      <c r="RSE840" s="802"/>
      <c r="RSF840" s="802"/>
      <c r="RSG840" s="802"/>
      <c r="RSH840" s="802"/>
      <c r="RSI840" s="802"/>
      <c r="RSJ840" s="802"/>
      <c r="RSK840" s="802"/>
      <c r="RSL840" s="802"/>
      <c r="RSM840" s="802"/>
      <c r="RSN840" s="802"/>
      <c r="RSO840" s="802"/>
      <c r="RSP840" s="802"/>
      <c r="RSQ840" s="802"/>
      <c r="RSR840" s="802"/>
      <c r="RSS840" s="802"/>
      <c r="RST840" s="802"/>
      <c r="RSU840" s="802"/>
      <c r="RSV840" s="802"/>
      <c r="RSW840" s="802"/>
      <c r="RSX840" s="802"/>
      <c r="RSY840" s="802"/>
      <c r="RSZ840" s="802"/>
      <c r="RTA840" s="802"/>
      <c r="RTB840" s="802"/>
      <c r="RTC840" s="802"/>
      <c r="RTD840" s="802"/>
      <c r="RTE840" s="802"/>
      <c r="RTF840" s="802"/>
      <c r="RTG840" s="802"/>
      <c r="RTH840" s="802"/>
      <c r="RTI840" s="802"/>
      <c r="RTJ840" s="802"/>
      <c r="RTK840" s="802"/>
      <c r="RTL840" s="802"/>
      <c r="RTM840" s="802"/>
      <c r="RTN840" s="802"/>
      <c r="RTO840" s="802"/>
      <c r="RTP840" s="802"/>
      <c r="RTQ840" s="802"/>
      <c r="RTR840" s="802"/>
      <c r="RTS840" s="802"/>
      <c r="RTT840" s="802"/>
      <c r="RTU840" s="802"/>
      <c r="RTV840" s="802"/>
      <c r="RTW840" s="802"/>
      <c r="RTX840" s="802"/>
      <c r="RTY840" s="802"/>
      <c r="RTZ840" s="802"/>
      <c r="RUA840" s="802"/>
      <c r="RUB840" s="802"/>
      <c r="RUC840" s="802"/>
      <c r="RUD840" s="802"/>
      <c r="RUE840" s="802"/>
      <c r="RUF840" s="802"/>
      <c r="RUG840" s="802"/>
      <c r="RUH840" s="802"/>
      <c r="RUI840" s="802"/>
      <c r="RUJ840" s="802"/>
      <c r="RUK840" s="802"/>
      <c r="RUL840" s="802"/>
      <c r="RUM840" s="802"/>
      <c r="RUN840" s="802"/>
      <c r="RUO840" s="802"/>
      <c r="RUP840" s="802"/>
      <c r="RUQ840" s="802"/>
      <c r="RUR840" s="802"/>
      <c r="RUS840" s="802"/>
      <c r="RUT840" s="802"/>
      <c r="RUU840" s="802"/>
      <c r="RUV840" s="802"/>
      <c r="RUW840" s="802"/>
      <c r="RUX840" s="802"/>
      <c r="RUY840" s="802"/>
      <c r="RUZ840" s="802"/>
      <c r="RVA840" s="802"/>
      <c r="RVB840" s="802"/>
      <c r="RVC840" s="802"/>
      <c r="RVD840" s="802"/>
      <c r="RVE840" s="802"/>
      <c r="RVF840" s="802"/>
      <c r="RVG840" s="802"/>
      <c r="RVH840" s="802"/>
      <c r="RVI840" s="802"/>
      <c r="RVJ840" s="802"/>
      <c r="RVK840" s="802"/>
      <c r="RVL840" s="802"/>
      <c r="RVM840" s="802"/>
      <c r="RVN840" s="802"/>
      <c r="RVO840" s="802"/>
      <c r="RVP840" s="802"/>
      <c r="RVQ840" s="802"/>
      <c r="RVR840" s="802"/>
      <c r="RVS840" s="802"/>
      <c r="RVT840" s="802"/>
      <c r="RVU840" s="802"/>
      <c r="RVV840" s="802"/>
      <c r="RVW840" s="802"/>
      <c r="RVX840" s="802"/>
      <c r="RVY840" s="802"/>
      <c r="RVZ840" s="802"/>
      <c r="RWA840" s="802"/>
      <c r="RWB840" s="802"/>
      <c r="RWC840" s="802"/>
      <c r="RWD840" s="802"/>
      <c r="RWE840" s="802"/>
      <c r="RWF840" s="802"/>
      <c r="RWG840" s="802"/>
      <c r="RWH840" s="802"/>
      <c r="RWI840" s="802"/>
      <c r="RWJ840" s="802"/>
      <c r="RWK840" s="802"/>
      <c r="RWL840" s="802"/>
      <c r="RWM840" s="802"/>
      <c r="RWN840" s="802"/>
      <c r="RWO840" s="802"/>
      <c r="RWP840" s="802"/>
      <c r="RWQ840" s="802"/>
      <c r="RWR840" s="802"/>
      <c r="RWS840" s="802"/>
      <c r="RWT840" s="802"/>
      <c r="RWU840" s="802"/>
      <c r="RWV840" s="802"/>
      <c r="RWW840" s="802"/>
      <c r="RWX840" s="802"/>
      <c r="RWY840" s="802"/>
      <c r="RWZ840" s="802"/>
      <c r="RXA840" s="802"/>
      <c r="RXB840" s="802"/>
      <c r="RXC840" s="802"/>
      <c r="RXD840" s="802"/>
      <c r="RXE840" s="802"/>
      <c r="RXF840" s="802"/>
      <c r="RXG840" s="802"/>
      <c r="RXH840" s="802"/>
      <c r="RXI840" s="802"/>
      <c r="RXJ840" s="802"/>
      <c r="RXK840" s="802"/>
      <c r="RXL840" s="802"/>
      <c r="RXM840" s="802"/>
      <c r="RXN840" s="802"/>
      <c r="RXO840" s="802"/>
      <c r="RXP840" s="802"/>
      <c r="RXQ840" s="802"/>
      <c r="RXR840" s="802"/>
      <c r="RXS840" s="802"/>
      <c r="RXT840" s="802"/>
      <c r="RXU840" s="802"/>
      <c r="RXV840" s="802"/>
      <c r="RXW840" s="802"/>
      <c r="RXX840" s="802"/>
      <c r="RXY840" s="802"/>
      <c r="RXZ840" s="802"/>
      <c r="RYA840" s="802"/>
      <c r="RYB840" s="802"/>
      <c r="RYC840" s="802"/>
      <c r="RYD840" s="802"/>
      <c r="RYE840" s="802"/>
      <c r="RYF840" s="802"/>
      <c r="RYG840" s="802"/>
      <c r="RYH840" s="802"/>
      <c r="RYI840" s="802"/>
      <c r="RYJ840" s="802"/>
      <c r="RYK840" s="802"/>
      <c r="RYL840" s="802"/>
      <c r="RYM840" s="802"/>
      <c r="RYN840" s="802"/>
      <c r="RYO840" s="802"/>
      <c r="RYP840" s="802"/>
      <c r="RYQ840" s="802"/>
      <c r="RYR840" s="802"/>
      <c r="RYS840" s="802"/>
      <c r="RYT840" s="802"/>
      <c r="RYU840" s="802"/>
      <c r="RYV840" s="802"/>
      <c r="RYW840" s="802"/>
      <c r="RYX840" s="802"/>
      <c r="RYY840" s="802"/>
      <c r="RYZ840" s="802"/>
      <c r="RZA840" s="802"/>
      <c r="RZB840" s="802"/>
      <c r="RZC840" s="802"/>
      <c r="RZD840" s="802"/>
      <c r="RZE840" s="802"/>
      <c r="RZF840" s="802"/>
      <c r="RZG840" s="802"/>
      <c r="RZH840" s="802"/>
      <c r="RZI840" s="802"/>
      <c r="RZJ840" s="802"/>
      <c r="RZK840" s="802"/>
      <c r="RZL840" s="802"/>
      <c r="RZM840" s="802"/>
      <c r="RZN840" s="802"/>
      <c r="RZO840" s="802"/>
      <c r="RZP840" s="802"/>
      <c r="RZQ840" s="802"/>
      <c r="RZR840" s="802"/>
      <c r="RZS840" s="802"/>
      <c r="RZT840" s="802"/>
      <c r="RZU840" s="802"/>
      <c r="RZV840" s="802"/>
      <c r="RZW840" s="802"/>
      <c r="RZX840" s="802"/>
      <c r="RZY840" s="802"/>
      <c r="RZZ840" s="802"/>
      <c r="SAA840" s="802"/>
      <c r="SAB840" s="802"/>
      <c r="SAC840" s="802"/>
      <c r="SAD840" s="802"/>
      <c r="SAE840" s="802"/>
      <c r="SAF840" s="802"/>
      <c r="SAG840" s="802"/>
      <c r="SAH840" s="802"/>
      <c r="SAI840" s="802"/>
      <c r="SAJ840" s="802"/>
      <c r="SAK840" s="802"/>
      <c r="SAL840" s="802"/>
      <c r="SAM840" s="802"/>
      <c r="SAN840" s="802"/>
      <c r="SAO840" s="802"/>
      <c r="SAP840" s="802"/>
      <c r="SAQ840" s="802"/>
      <c r="SAR840" s="802"/>
      <c r="SAS840" s="802"/>
      <c r="SAT840" s="802"/>
      <c r="SAU840" s="802"/>
      <c r="SAV840" s="802"/>
      <c r="SAW840" s="802"/>
      <c r="SAX840" s="802"/>
      <c r="SAY840" s="802"/>
      <c r="SAZ840" s="802"/>
      <c r="SBA840" s="802"/>
      <c r="SBB840" s="802"/>
      <c r="SBC840" s="802"/>
      <c r="SBD840" s="802"/>
      <c r="SBE840" s="802"/>
      <c r="SBF840" s="802"/>
      <c r="SBG840" s="802"/>
      <c r="SBH840" s="802"/>
      <c r="SBI840" s="802"/>
      <c r="SBJ840" s="802"/>
      <c r="SBK840" s="802"/>
      <c r="SBL840" s="802"/>
      <c r="SBM840" s="802"/>
      <c r="SBN840" s="802"/>
      <c r="SBO840" s="802"/>
      <c r="SBP840" s="802"/>
      <c r="SBQ840" s="802"/>
      <c r="SBR840" s="802"/>
      <c r="SBS840" s="802"/>
      <c r="SBT840" s="802"/>
      <c r="SBU840" s="802"/>
      <c r="SBV840" s="802"/>
      <c r="SBW840" s="802"/>
      <c r="SBX840" s="802"/>
      <c r="SBY840" s="802"/>
      <c r="SBZ840" s="802"/>
      <c r="SCA840" s="802"/>
      <c r="SCB840" s="802"/>
      <c r="SCC840" s="802"/>
      <c r="SCD840" s="802"/>
      <c r="SCE840" s="802"/>
      <c r="SCF840" s="802"/>
      <c r="SCG840" s="802"/>
      <c r="SCH840" s="802"/>
      <c r="SCI840" s="802"/>
      <c r="SCJ840" s="802"/>
      <c r="SCK840" s="802"/>
      <c r="SCL840" s="802"/>
      <c r="SCM840" s="802"/>
      <c r="SCN840" s="802"/>
      <c r="SCO840" s="802"/>
      <c r="SCP840" s="802"/>
      <c r="SCQ840" s="802"/>
      <c r="SCR840" s="802"/>
      <c r="SCS840" s="802"/>
      <c r="SCT840" s="802"/>
      <c r="SCU840" s="802"/>
      <c r="SCV840" s="802"/>
      <c r="SCW840" s="802"/>
      <c r="SCX840" s="802"/>
      <c r="SCY840" s="802"/>
      <c r="SCZ840" s="802"/>
      <c r="SDA840" s="802"/>
      <c r="SDB840" s="802"/>
      <c r="SDC840" s="802"/>
      <c r="SDD840" s="802"/>
      <c r="SDE840" s="802"/>
      <c r="SDF840" s="802"/>
      <c r="SDG840" s="802"/>
      <c r="SDH840" s="802"/>
      <c r="SDI840" s="802"/>
      <c r="SDJ840" s="802"/>
      <c r="SDK840" s="802"/>
      <c r="SDL840" s="802"/>
      <c r="SDM840" s="802"/>
      <c r="SDN840" s="802"/>
      <c r="SDO840" s="802"/>
      <c r="SDP840" s="802"/>
      <c r="SDQ840" s="802"/>
      <c r="SDR840" s="802"/>
      <c r="SDS840" s="802"/>
      <c r="SDT840" s="802"/>
      <c r="SDU840" s="802"/>
      <c r="SDV840" s="802"/>
      <c r="SDW840" s="802"/>
      <c r="SDX840" s="802"/>
      <c r="SDY840" s="802"/>
      <c r="SDZ840" s="802"/>
      <c r="SEA840" s="802"/>
      <c r="SEB840" s="802"/>
      <c r="SEC840" s="802"/>
      <c r="SED840" s="802"/>
      <c r="SEE840" s="802"/>
      <c r="SEF840" s="802"/>
      <c r="SEG840" s="802"/>
      <c r="SEH840" s="802"/>
      <c r="SEI840" s="802"/>
      <c r="SEJ840" s="802"/>
      <c r="SEK840" s="802"/>
      <c r="SEL840" s="802"/>
      <c r="SEM840" s="802"/>
      <c r="SEN840" s="802"/>
      <c r="SEO840" s="802"/>
      <c r="SEP840" s="802"/>
      <c r="SEQ840" s="802"/>
      <c r="SER840" s="802"/>
      <c r="SES840" s="802"/>
      <c r="SET840" s="802"/>
      <c r="SEU840" s="802"/>
      <c r="SEV840" s="802"/>
      <c r="SEW840" s="802"/>
      <c r="SEX840" s="802"/>
      <c r="SEY840" s="802"/>
      <c r="SEZ840" s="802"/>
      <c r="SFA840" s="802"/>
      <c r="SFB840" s="802"/>
      <c r="SFC840" s="802"/>
      <c r="SFD840" s="802"/>
      <c r="SFE840" s="802"/>
      <c r="SFF840" s="802"/>
      <c r="SFG840" s="802"/>
      <c r="SFH840" s="802"/>
      <c r="SFI840" s="802"/>
      <c r="SFJ840" s="802"/>
      <c r="SFK840" s="802"/>
      <c r="SFL840" s="802"/>
      <c r="SFM840" s="802"/>
      <c r="SFN840" s="802"/>
      <c r="SFO840" s="802"/>
      <c r="SFP840" s="802"/>
      <c r="SFQ840" s="802"/>
      <c r="SFR840" s="802"/>
      <c r="SFS840" s="802"/>
      <c r="SFT840" s="802"/>
      <c r="SFU840" s="802"/>
      <c r="SFV840" s="802"/>
      <c r="SFW840" s="802"/>
      <c r="SFX840" s="802"/>
      <c r="SFY840" s="802"/>
      <c r="SFZ840" s="802"/>
      <c r="SGA840" s="802"/>
      <c r="SGB840" s="802"/>
      <c r="SGC840" s="802"/>
      <c r="SGD840" s="802"/>
      <c r="SGE840" s="802"/>
      <c r="SGF840" s="802"/>
      <c r="SGG840" s="802"/>
      <c r="SGH840" s="802"/>
      <c r="SGI840" s="802"/>
      <c r="SGJ840" s="802"/>
      <c r="SGK840" s="802"/>
      <c r="SGL840" s="802"/>
      <c r="SGM840" s="802"/>
      <c r="SGN840" s="802"/>
      <c r="SGO840" s="802"/>
      <c r="SGP840" s="802"/>
      <c r="SGQ840" s="802"/>
      <c r="SGR840" s="802"/>
      <c r="SGS840" s="802"/>
      <c r="SGT840" s="802"/>
      <c r="SGU840" s="802"/>
      <c r="SGV840" s="802"/>
      <c r="SGW840" s="802"/>
      <c r="SGX840" s="802"/>
      <c r="SGY840" s="802"/>
      <c r="SGZ840" s="802"/>
      <c r="SHA840" s="802"/>
      <c r="SHB840" s="802"/>
      <c r="SHC840" s="802"/>
      <c r="SHD840" s="802"/>
      <c r="SHE840" s="802"/>
      <c r="SHF840" s="802"/>
      <c r="SHG840" s="802"/>
      <c r="SHH840" s="802"/>
      <c r="SHI840" s="802"/>
      <c r="SHJ840" s="802"/>
      <c r="SHK840" s="802"/>
      <c r="SHL840" s="802"/>
      <c r="SHM840" s="802"/>
      <c r="SHN840" s="802"/>
      <c r="SHO840" s="802"/>
      <c r="SHP840" s="802"/>
      <c r="SHQ840" s="802"/>
      <c r="SHR840" s="802"/>
      <c r="SHS840" s="802"/>
      <c r="SHT840" s="802"/>
      <c r="SHU840" s="802"/>
      <c r="SHV840" s="802"/>
      <c r="SHW840" s="802"/>
      <c r="SHX840" s="802"/>
      <c r="SHY840" s="802"/>
      <c r="SHZ840" s="802"/>
      <c r="SIA840" s="802"/>
      <c r="SIB840" s="802"/>
      <c r="SIC840" s="802"/>
      <c r="SID840" s="802"/>
      <c r="SIE840" s="802"/>
      <c r="SIF840" s="802"/>
      <c r="SIG840" s="802"/>
      <c r="SIH840" s="802"/>
      <c r="SII840" s="802"/>
      <c r="SIJ840" s="802"/>
      <c r="SIK840" s="802"/>
      <c r="SIL840" s="802"/>
      <c r="SIM840" s="802"/>
      <c r="SIN840" s="802"/>
      <c r="SIO840" s="802"/>
      <c r="SIP840" s="802"/>
      <c r="SIQ840" s="802"/>
      <c r="SIR840" s="802"/>
      <c r="SIS840" s="802"/>
      <c r="SIT840" s="802"/>
      <c r="SIU840" s="802"/>
      <c r="SIV840" s="802"/>
      <c r="SIW840" s="802"/>
      <c r="SIX840" s="802"/>
      <c r="SIY840" s="802"/>
      <c r="SIZ840" s="802"/>
      <c r="SJA840" s="802"/>
      <c r="SJB840" s="802"/>
      <c r="SJC840" s="802"/>
      <c r="SJD840" s="802"/>
      <c r="SJE840" s="802"/>
      <c r="SJF840" s="802"/>
      <c r="SJG840" s="802"/>
      <c r="SJH840" s="802"/>
      <c r="SJI840" s="802"/>
      <c r="SJJ840" s="802"/>
      <c r="SJK840" s="802"/>
      <c r="SJL840" s="802"/>
      <c r="SJM840" s="802"/>
      <c r="SJN840" s="802"/>
      <c r="SJO840" s="802"/>
      <c r="SJP840" s="802"/>
      <c r="SJQ840" s="802"/>
      <c r="SJR840" s="802"/>
      <c r="SJS840" s="802"/>
      <c r="SJT840" s="802"/>
      <c r="SJU840" s="802"/>
      <c r="SJV840" s="802"/>
      <c r="SJW840" s="802"/>
      <c r="SJX840" s="802"/>
      <c r="SJY840" s="802"/>
      <c r="SJZ840" s="802"/>
      <c r="SKA840" s="802"/>
      <c r="SKB840" s="802"/>
      <c r="SKC840" s="802"/>
      <c r="SKD840" s="802"/>
      <c r="SKE840" s="802"/>
      <c r="SKF840" s="802"/>
      <c r="SKG840" s="802"/>
      <c r="SKH840" s="802"/>
      <c r="SKI840" s="802"/>
      <c r="SKJ840" s="802"/>
      <c r="SKK840" s="802"/>
      <c r="SKL840" s="802"/>
      <c r="SKM840" s="802"/>
      <c r="SKN840" s="802"/>
      <c r="SKO840" s="802"/>
      <c r="SKP840" s="802"/>
      <c r="SKQ840" s="802"/>
      <c r="SKR840" s="802"/>
      <c r="SKS840" s="802"/>
      <c r="SKT840" s="802"/>
      <c r="SKU840" s="802"/>
      <c r="SKV840" s="802"/>
      <c r="SKW840" s="802"/>
      <c r="SKX840" s="802"/>
      <c r="SKY840" s="802"/>
      <c r="SKZ840" s="802"/>
      <c r="SLA840" s="802"/>
      <c r="SLB840" s="802"/>
      <c r="SLC840" s="802"/>
      <c r="SLD840" s="802"/>
      <c r="SLE840" s="802"/>
      <c r="SLF840" s="802"/>
      <c r="SLG840" s="802"/>
      <c r="SLH840" s="802"/>
      <c r="SLI840" s="802"/>
      <c r="SLJ840" s="802"/>
      <c r="SLK840" s="802"/>
      <c r="SLL840" s="802"/>
      <c r="SLM840" s="802"/>
      <c r="SLN840" s="802"/>
      <c r="SLO840" s="802"/>
      <c r="SLP840" s="802"/>
      <c r="SLQ840" s="802"/>
      <c r="SLR840" s="802"/>
      <c r="SLS840" s="802"/>
      <c r="SLT840" s="802"/>
      <c r="SLU840" s="802"/>
      <c r="SLV840" s="802"/>
      <c r="SLW840" s="802"/>
      <c r="SLX840" s="802"/>
      <c r="SLY840" s="802"/>
      <c r="SLZ840" s="802"/>
      <c r="SMA840" s="802"/>
      <c r="SMB840" s="802"/>
      <c r="SMC840" s="802"/>
      <c r="SMD840" s="802"/>
      <c r="SME840" s="802"/>
      <c r="SMF840" s="802"/>
      <c r="SMG840" s="802"/>
      <c r="SMH840" s="802"/>
      <c r="SMI840" s="802"/>
      <c r="SMJ840" s="802"/>
      <c r="SMK840" s="802"/>
      <c r="SML840" s="802"/>
      <c r="SMM840" s="802"/>
      <c r="SMN840" s="802"/>
      <c r="SMO840" s="802"/>
      <c r="SMP840" s="802"/>
      <c r="SMQ840" s="802"/>
      <c r="SMR840" s="802"/>
      <c r="SMS840" s="802"/>
      <c r="SMT840" s="802"/>
      <c r="SMU840" s="802"/>
      <c r="SMV840" s="802"/>
      <c r="SMW840" s="802"/>
      <c r="SMX840" s="802"/>
      <c r="SMY840" s="802"/>
      <c r="SMZ840" s="802"/>
      <c r="SNA840" s="802"/>
      <c r="SNB840" s="802"/>
      <c r="SNC840" s="802"/>
      <c r="SND840" s="802"/>
      <c r="SNE840" s="802"/>
      <c r="SNF840" s="802"/>
      <c r="SNG840" s="802"/>
      <c r="SNH840" s="802"/>
      <c r="SNI840" s="802"/>
      <c r="SNJ840" s="802"/>
      <c r="SNK840" s="802"/>
      <c r="SNL840" s="802"/>
      <c r="SNM840" s="802"/>
      <c r="SNN840" s="802"/>
      <c r="SNO840" s="802"/>
      <c r="SNP840" s="802"/>
      <c r="SNQ840" s="802"/>
      <c r="SNR840" s="802"/>
      <c r="SNS840" s="802"/>
      <c r="SNT840" s="802"/>
      <c r="SNU840" s="802"/>
      <c r="SNV840" s="802"/>
      <c r="SNW840" s="802"/>
      <c r="SNX840" s="802"/>
      <c r="SNY840" s="802"/>
      <c r="SNZ840" s="802"/>
      <c r="SOA840" s="802"/>
      <c r="SOB840" s="802"/>
      <c r="SOC840" s="802"/>
      <c r="SOD840" s="802"/>
      <c r="SOE840" s="802"/>
      <c r="SOF840" s="802"/>
      <c r="SOG840" s="802"/>
      <c r="SOH840" s="802"/>
      <c r="SOI840" s="802"/>
      <c r="SOJ840" s="802"/>
      <c r="SOK840" s="802"/>
      <c r="SOL840" s="802"/>
      <c r="SOM840" s="802"/>
      <c r="SON840" s="802"/>
      <c r="SOO840" s="802"/>
      <c r="SOP840" s="802"/>
      <c r="SOQ840" s="802"/>
      <c r="SOR840" s="802"/>
      <c r="SOS840" s="802"/>
      <c r="SOT840" s="802"/>
      <c r="SOU840" s="802"/>
      <c r="SOV840" s="802"/>
      <c r="SOW840" s="802"/>
      <c r="SOX840" s="802"/>
      <c r="SOY840" s="802"/>
      <c r="SOZ840" s="802"/>
      <c r="SPA840" s="802"/>
      <c r="SPB840" s="802"/>
      <c r="SPC840" s="802"/>
      <c r="SPD840" s="802"/>
      <c r="SPE840" s="802"/>
      <c r="SPF840" s="802"/>
      <c r="SPG840" s="802"/>
      <c r="SPH840" s="802"/>
      <c r="SPI840" s="802"/>
      <c r="SPJ840" s="802"/>
      <c r="SPK840" s="802"/>
      <c r="SPL840" s="802"/>
      <c r="SPM840" s="802"/>
      <c r="SPN840" s="802"/>
      <c r="SPO840" s="802"/>
      <c r="SPP840" s="802"/>
      <c r="SPQ840" s="802"/>
      <c r="SPR840" s="802"/>
      <c r="SPS840" s="802"/>
      <c r="SPT840" s="802"/>
      <c r="SPU840" s="802"/>
      <c r="SPV840" s="802"/>
      <c r="SPW840" s="802"/>
      <c r="SPX840" s="802"/>
      <c r="SPY840" s="802"/>
      <c r="SPZ840" s="802"/>
      <c r="SQA840" s="802"/>
      <c r="SQB840" s="802"/>
      <c r="SQC840" s="802"/>
      <c r="SQD840" s="802"/>
      <c r="SQE840" s="802"/>
      <c r="SQF840" s="802"/>
      <c r="SQG840" s="802"/>
      <c r="SQH840" s="802"/>
      <c r="SQI840" s="802"/>
      <c r="SQJ840" s="802"/>
      <c r="SQK840" s="802"/>
      <c r="SQL840" s="802"/>
      <c r="SQM840" s="802"/>
      <c r="SQN840" s="802"/>
      <c r="SQO840" s="802"/>
      <c r="SQP840" s="802"/>
      <c r="SQQ840" s="802"/>
      <c r="SQR840" s="802"/>
      <c r="SQS840" s="802"/>
      <c r="SQT840" s="802"/>
      <c r="SQU840" s="802"/>
      <c r="SQV840" s="802"/>
      <c r="SQW840" s="802"/>
      <c r="SQX840" s="802"/>
      <c r="SQY840" s="802"/>
      <c r="SQZ840" s="802"/>
      <c r="SRA840" s="802"/>
      <c r="SRB840" s="802"/>
      <c r="SRC840" s="802"/>
      <c r="SRD840" s="802"/>
      <c r="SRE840" s="802"/>
      <c r="SRF840" s="802"/>
      <c r="SRG840" s="802"/>
      <c r="SRH840" s="802"/>
      <c r="SRI840" s="802"/>
      <c r="SRJ840" s="802"/>
      <c r="SRK840" s="802"/>
      <c r="SRL840" s="802"/>
      <c r="SRM840" s="802"/>
      <c r="SRN840" s="802"/>
      <c r="SRO840" s="802"/>
      <c r="SRP840" s="802"/>
      <c r="SRQ840" s="802"/>
      <c r="SRR840" s="802"/>
      <c r="SRS840" s="802"/>
      <c r="SRT840" s="802"/>
      <c r="SRU840" s="802"/>
      <c r="SRV840" s="802"/>
      <c r="SRW840" s="802"/>
      <c r="SRX840" s="802"/>
      <c r="SRY840" s="802"/>
      <c r="SRZ840" s="802"/>
      <c r="SSA840" s="802"/>
      <c r="SSB840" s="802"/>
      <c r="SSC840" s="802"/>
      <c r="SSD840" s="802"/>
      <c r="SSE840" s="802"/>
      <c r="SSF840" s="802"/>
      <c r="SSG840" s="802"/>
      <c r="SSH840" s="802"/>
      <c r="SSI840" s="802"/>
      <c r="SSJ840" s="802"/>
      <c r="SSK840" s="802"/>
      <c r="SSL840" s="802"/>
      <c r="SSM840" s="802"/>
      <c r="SSN840" s="802"/>
      <c r="SSO840" s="802"/>
      <c r="SSP840" s="802"/>
      <c r="SSQ840" s="802"/>
      <c r="SSR840" s="802"/>
      <c r="SSS840" s="802"/>
      <c r="SST840" s="802"/>
      <c r="SSU840" s="802"/>
      <c r="SSV840" s="802"/>
      <c r="SSW840" s="802"/>
      <c r="SSX840" s="802"/>
      <c r="SSY840" s="802"/>
      <c r="SSZ840" s="802"/>
      <c r="STA840" s="802"/>
      <c r="STB840" s="802"/>
      <c r="STC840" s="802"/>
      <c r="STD840" s="802"/>
      <c r="STE840" s="802"/>
      <c r="STF840" s="802"/>
      <c r="STG840" s="802"/>
      <c r="STH840" s="802"/>
      <c r="STI840" s="802"/>
      <c r="STJ840" s="802"/>
      <c r="STK840" s="802"/>
      <c r="STL840" s="802"/>
      <c r="STM840" s="802"/>
      <c r="STN840" s="802"/>
      <c r="STO840" s="802"/>
      <c r="STP840" s="802"/>
      <c r="STQ840" s="802"/>
      <c r="STR840" s="802"/>
      <c r="STS840" s="802"/>
      <c r="STT840" s="802"/>
      <c r="STU840" s="802"/>
      <c r="STV840" s="802"/>
      <c r="STW840" s="802"/>
      <c r="STX840" s="802"/>
      <c r="STY840" s="802"/>
      <c r="STZ840" s="802"/>
      <c r="SUA840" s="802"/>
      <c r="SUB840" s="802"/>
      <c r="SUC840" s="802"/>
      <c r="SUD840" s="802"/>
      <c r="SUE840" s="802"/>
      <c r="SUF840" s="802"/>
      <c r="SUG840" s="802"/>
      <c r="SUH840" s="802"/>
      <c r="SUI840" s="802"/>
      <c r="SUJ840" s="802"/>
      <c r="SUK840" s="802"/>
      <c r="SUL840" s="802"/>
      <c r="SUM840" s="802"/>
      <c r="SUN840" s="802"/>
      <c r="SUO840" s="802"/>
      <c r="SUP840" s="802"/>
      <c r="SUQ840" s="802"/>
      <c r="SUR840" s="802"/>
      <c r="SUS840" s="802"/>
      <c r="SUT840" s="802"/>
      <c r="SUU840" s="802"/>
      <c r="SUV840" s="802"/>
      <c r="SUW840" s="802"/>
      <c r="SUX840" s="802"/>
      <c r="SUY840" s="802"/>
      <c r="SUZ840" s="802"/>
      <c r="SVA840" s="802"/>
      <c r="SVB840" s="802"/>
      <c r="SVC840" s="802"/>
      <c r="SVD840" s="802"/>
      <c r="SVE840" s="802"/>
      <c r="SVF840" s="802"/>
      <c r="SVG840" s="802"/>
      <c r="SVH840" s="802"/>
      <c r="SVI840" s="802"/>
      <c r="SVJ840" s="802"/>
      <c r="SVK840" s="802"/>
      <c r="SVL840" s="802"/>
      <c r="SVM840" s="802"/>
      <c r="SVN840" s="802"/>
      <c r="SVO840" s="802"/>
      <c r="SVP840" s="802"/>
      <c r="SVQ840" s="802"/>
      <c r="SVR840" s="802"/>
      <c r="SVS840" s="802"/>
      <c r="SVT840" s="802"/>
      <c r="SVU840" s="802"/>
      <c r="SVV840" s="802"/>
      <c r="SVW840" s="802"/>
      <c r="SVX840" s="802"/>
      <c r="SVY840" s="802"/>
      <c r="SVZ840" s="802"/>
      <c r="SWA840" s="802"/>
      <c r="SWB840" s="802"/>
      <c r="SWC840" s="802"/>
      <c r="SWD840" s="802"/>
      <c r="SWE840" s="802"/>
      <c r="SWF840" s="802"/>
      <c r="SWG840" s="802"/>
      <c r="SWH840" s="802"/>
      <c r="SWI840" s="802"/>
      <c r="SWJ840" s="802"/>
      <c r="SWK840" s="802"/>
      <c r="SWL840" s="802"/>
      <c r="SWM840" s="802"/>
      <c r="SWN840" s="802"/>
      <c r="SWO840" s="802"/>
      <c r="SWP840" s="802"/>
      <c r="SWQ840" s="802"/>
      <c r="SWR840" s="802"/>
      <c r="SWS840" s="802"/>
      <c r="SWT840" s="802"/>
      <c r="SWU840" s="802"/>
      <c r="SWV840" s="802"/>
      <c r="SWW840" s="802"/>
      <c r="SWX840" s="802"/>
      <c r="SWY840" s="802"/>
      <c r="SWZ840" s="802"/>
      <c r="SXA840" s="802"/>
      <c r="SXB840" s="802"/>
      <c r="SXC840" s="802"/>
      <c r="SXD840" s="802"/>
      <c r="SXE840" s="802"/>
      <c r="SXF840" s="802"/>
      <c r="SXG840" s="802"/>
      <c r="SXH840" s="802"/>
      <c r="SXI840" s="802"/>
      <c r="SXJ840" s="802"/>
      <c r="SXK840" s="802"/>
      <c r="SXL840" s="802"/>
      <c r="SXM840" s="802"/>
      <c r="SXN840" s="802"/>
      <c r="SXO840" s="802"/>
      <c r="SXP840" s="802"/>
      <c r="SXQ840" s="802"/>
      <c r="SXR840" s="802"/>
      <c r="SXS840" s="802"/>
      <c r="SXT840" s="802"/>
      <c r="SXU840" s="802"/>
      <c r="SXV840" s="802"/>
      <c r="SXW840" s="802"/>
      <c r="SXX840" s="802"/>
      <c r="SXY840" s="802"/>
      <c r="SXZ840" s="802"/>
      <c r="SYA840" s="802"/>
      <c r="SYB840" s="802"/>
      <c r="SYC840" s="802"/>
      <c r="SYD840" s="802"/>
      <c r="SYE840" s="802"/>
      <c r="SYF840" s="802"/>
      <c r="SYG840" s="802"/>
      <c r="SYH840" s="802"/>
      <c r="SYI840" s="802"/>
      <c r="SYJ840" s="802"/>
      <c r="SYK840" s="802"/>
      <c r="SYL840" s="802"/>
      <c r="SYM840" s="802"/>
      <c r="SYN840" s="802"/>
      <c r="SYO840" s="802"/>
      <c r="SYP840" s="802"/>
      <c r="SYQ840" s="802"/>
      <c r="SYR840" s="802"/>
      <c r="SYS840" s="802"/>
      <c r="SYT840" s="802"/>
      <c r="SYU840" s="802"/>
      <c r="SYV840" s="802"/>
      <c r="SYW840" s="802"/>
      <c r="SYX840" s="802"/>
      <c r="SYY840" s="802"/>
      <c r="SYZ840" s="802"/>
      <c r="SZA840" s="802"/>
      <c r="SZB840" s="802"/>
      <c r="SZC840" s="802"/>
      <c r="SZD840" s="802"/>
      <c r="SZE840" s="802"/>
      <c r="SZF840" s="802"/>
      <c r="SZG840" s="802"/>
      <c r="SZH840" s="802"/>
      <c r="SZI840" s="802"/>
      <c r="SZJ840" s="802"/>
      <c r="SZK840" s="802"/>
      <c r="SZL840" s="802"/>
      <c r="SZM840" s="802"/>
      <c r="SZN840" s="802"/>
      <c r="SZO840" s="802"/>
      <c r="SZP840" s="802"/>
      <c r="SZQ840" s="802"/>
      <c r="SZR840" s="802"/>
      <c r="SZS840" s="802"/>
      <c r="SZT840" s="802"/>
      <c r="SZU840" s="802"/>
      <c r="SZV840" s="802"/>
      <c r="SZW840" s="802"/>
      <c r="SZX840" s="802"/>
      <c r="SZY840" s="802"/>
      <c r="SZZ840" s="802"/>
      <c r="TAA840" s="802"/>
      <c r="TAB840" s="802"/>
      <c r="TAC840" s="802"/>
      <c r="TAD840" s="802"/>
      <c r="TAE840" s="802"/>
      <c r="TAF840" s="802"/>
      <c r="TAG840" s="802"/>
      <c r="TAH840" s="802"/>
      <c r="TAI840" s="802"/>
      <c r="TAJ840" s="802"/>
      <c r="TAK840" s="802"/>
      <c r="TAL840" s="802"/>
      <c r="TAM840" s="802"/>
      <c r="TAN840" s="802"/>
      <c r="TAO840" s="802"/>
      <c r="TAP840" s="802"/>
      <c r="TAQ840" s="802"/>
      <c r="TAR840" s="802"/>
      <c r="TAS840" s="802"/>
      <c r="TAT840" s="802"/>
      <c r="TAU840" s="802"/>
      <c r="TAV840" s="802"/>
      <c r="TAW840" s="802"/>
      <c r="TAX840" s="802"/>
      <c r="TAY840" s="802"/>
      <c r="TAZ840" s="802"/>
      <c r="TBA840" s="802"/>
      <c r="TBB840" s="802"/>
      <c r="TBC840" s="802"/>
      <c r="TBD840" s="802"/>
      <c r="TBE840" s="802"/>
      <c r="TBF840" s="802"/>
      <c r="TBG840" s="802"/>
      <c r="TBH840" s="802"/>
      <c r="TBI840" s="802"/>
      <c r="TBJ840" s="802"/>
      <c r="TBK840" s="802"/>
      <c r="TBL840" s="802"/>
      <c r="TBM840" s="802"/>
      <c r="TBN840" s="802"/>
      <c r="TBO840" s="802"/>
      <c r="TBP840" s="802"/>
      <c r="TBQ840" s="802"/>
      <c r="TBR840" s="802"/>
      <c r="TBS840" s="802"/>
      <c r="TBT840" s="802"/>
      <c r="TBU840" s="802"/>
      <c r="TBV840" s="802"/>
      <c r="TBW840" s="802"/>
      <c r="TBX840" s="802"/>
      <c r="TBY840" s="802"/>
      <c r="TBZ840" s="802"/>
      <c r="TCA840" s="802"/>
      <c r="TCB840" s="802"/>
      <c r="TCC840" s="802"/>
      <c r="TCD840" s="802"/>
      <c r="TCE840" s="802"/>
      <c r="TCF840" s="802"/>
      <c r="TCG840" s="802"/>
      <c r="TCH840" s="802"/>
      <c r="TCI840" s="802"/>
      <c r="TCJ840" s="802"/>
      <c r="TCK840" s="802"/>
      <c r="TCL840" s="802"/>
      <c r="TCM840" s="802"/>
      <c r="TCN840" s="802"/>
      <c r="TCO840" s="802"/>
      <c r="TCP840" s="802"/>
      <c r="TCQ840" s="802"/>
      <c r="TCR840" s="802"/>
      <c r="TCS840" s="802"/>
      <c r="TCT840" s="802"/>
      <c r="TCU840" s="802"/>
      <c r="TCV840" s="802"/>
      <c r="TCW840" s="802"/>
      <c r="TCX840" s="802"/>
      <c r="TCY840" s="802"/>
      <c r="TCZ840" s="802"/>
      <c r="TDA840" s="802"/>
      <c r="TDB840" s="802"/>
      <c r="TDC840" s="802"/>
      <c r="TDD840" s="802"/>
      <c r="TDE840" s="802"/>
      <c r="TDF840" s="802"/>
      <c r="TDG840" s="802"/>
      <c r="TDH840" s="802"/>
      <c r="TDI840" s="802"/>
      <c r="TDJ840" s="802"/>
      <c r="TDK840" s="802"/>
      <c r="TDL840" s="802"/>
      <c r="TDM840" s="802"/>
      <c r="TDN840" s="802"/>
      <c r="TDO840" s="802"/>
      <c r="TDP840" s="802"/>
      <c r="TDQ840" s="802"/>
      <c r="TDR840" s="802"/>
      <c r="TDS840" s="802"/>
      <c r="TDT840" s="802"/>
      <c r="TDU840" s="802"/>
      <c r="TDV840" s="802"/>
      <c r="TDW840" s="802"/>
      <c r="TDX840" s="802"/>
      <c r="TDY840" s="802"/>
      <c r="TDZ840" s="802"/>
      <c r="TEA840" s="802"/>
      <c r="TEB840" s="802"/>
      <c r="TEC840" s="802"/>
      <c r="TED840" s="802"/>
      <c r="TEE840" s="802"/>
      <c r="TEF840" s="802"/>
      <c r="TEG840" s="802"/>
      <c r="TEH840" s="802"/>
      <c r="TEI840" s="802"/>
      <c r="TEJ840" s="802"/>
      <c r="TEK840" s="802"/>
      <c r="TEL840" s="802"/>
      <c r="TEM840" s="802"/>
      <c r="TEN840" s="802"/>
      <c r="TEO840" s="802"/>
      <c r="TEP840" s="802"/>
      <c r="TEQ840" s="802"/>
      <c r="TER840" s="802"/>
      <c r="TES840" s="802"/>
      <c r="TET840" s="802"/>
      <c r="TEU840" s="802"/>
      <c r="TEV840" s="802"/>
      <c r="TEW840" s="802"/>
      <c r="TEX840" s="802"/>
      <c r="TEY840" s="802"/>
      <c r="TEZ840" s="802"/>
      <c r="TFA840" s="802"/>
      <c r="TFB840" s="802"/>
      <c r="TFC840" s="802"/>
      <c r="TFD840" s="802"/>
      <c r="TFE840" s="802"/>
      <c r="TFF840" s="802"/>
      <c r="TFG840" s="802"/>
      <c r="TFH840" s="802"/>
      <c r="TFI840" s="802"/>
      <c r="TFJ840" s="802"/>
      <c r="TFK840" s="802"/>
      <c r="TFL840" s="802"/>
      <c r="TFM840" s="802"/>
      <c r="TFN840" s="802"/>
      <c r="TFO840" s="802"/>
      <c r="TFP840" s="802"/>
      <c r="TFQ840" s="802"/>
      <c r="TFR840" s="802"/>
      <c r="TFS840" s="802"/>
      <c r="TFT840" s="802"/>
      <c r="TFU840" s="802"/>
      <c r="TFV840" s="802"/>
      <c r="TFW840" s="802"/>
      <c r="TFX840" s="802"/>
      <c r="TFY840" s="802"/>
      <c r="TFZ840" s="802"/>
      <c r="TGA840" s="802"/>
      <c r="TGB840" s="802"/>
      <c r="TGC840" s="802"/>
      <c r="TGD840" s="802"/>
      <c r="TGE840" s="802"/>
      <c r="TGF840" s="802"/>
      <c r="TGG840" s="802"/>
      <c r="TGH840" s="802"/>
      <c r="TGI840" s="802"/>
      <c r="TGJ840" s="802"/>
      <c r="TGK840" s="802"/>
      <c r="TGL840" s="802"/>
      <c r="TGM840" s="802"/>
      <c r="TGN840" s="802"/>
      <c r="TGO840" s="802"/>
      <c r="TGP840" s="802"/>
      <c r="TGQ840" s="802"/>
      <c r="TGR840" s="802"/>
      <c r="TGS840" s="802"/>
      <c r="TGT840" s="802"/>
      <c r="TGU840" s="802"/>
      <c r="TGV840" s="802"/>
      <c r="TGW840" s="802"/>
      <c r="TGX840" s="802"/>
      <c r="TGY840" s="802"/>
      <c r="TGZ840" s="802"/>
      <c r="THA840" s="802"/>
      <c r="THB840" s="802"/>
      <c r="THC840" s="802"/>
      <c r="THD840" s="802"/>
      <c r="THE840" s="802"/>
      <c r="THF840" s="802"/>
      <c r="THG840" s="802"/>
      <c r="THH840" s="802"/>
      <c r="THI840" s="802"/>
      <c r="THJ840" s="802"/>
      <c r="THK840" s="802"/>
      <c r="THL840" s="802"/>
      <c r="THM840" s="802"/>
      <c r="THN840" s="802"/>
      <c r="THO840" s="802"/>
      <c r="THP840" s="802"/>
      <c r="THQ840" s="802"/>
      <c r="THR840" s="802"/>
      <c r="THS840" s="802"/>
      <c r="THT840" s="802"/>
      <c r="THU840" s="802"/>
      <c r="THV840" s="802"/>
      <c r="THW840" s="802"/>
      <c r="THX840" s="802"/>
      <c r="THY840" s="802"/>
      <c r="THZ840" s="802"/>
      <c r="TIA840" s="802"/>
      <c r="TIB840" s="802"/>
      <c r="TIC840" s="802"/>
      <c r="TID840" s="802"/>
      <c r="TIE840" s="802"/>
      <c r="TIF840" s="802"/>
      <c r="TIG840" s="802"/>
      <c r="TIH840" s="802"/>
      <c r="TII840" s="802"/>
      <c r="TIJ840" s="802"/>
      <c r="TIK840" s="802"/>
      <c r="TIL840" s="802"/>
      <c r="TIM840" s="802"/>
      <c r="TIN840" s="802"/>
      <c r="TIO840" s="802"/>
      <c r="TIP840" s="802"/>
      <c r="TIQ840" s="802"/>
      <c r="TIR840" s="802"/>
      <c r="TIS840" s="802"/>
      <c r="TIT840" s="802"/>
      <c r="TIU840" s="802"/>
      <c r="TIV840" s="802"/>
      <c r="TIW840" s="802"/>
      <c r="TIX840" s="802"/>
      <c r="TIY840" s="802"/>
      <c r="TIZ840" s="802"/>
      <c r="TJA840" s="802"/>
      <c r="TJB840" s="802"/>
      <c r="TJC840" s="802"/>
      <c r="TJD840" s="802"/>
      <c r="TJE840" s="802"/>
      <c r="TJF840" s="802"/>
      <c r="TJG840" s="802"/>
      <c r="TJH840" s="802"/>
      <c r="TJI840" s="802"/>
      <c r="TJJ840" s="802"/>
      <c r="TJK840" s="802"/>
      <c r="TJL840" s="802"/>
      <c r="TJM840" s="802"/>
      <c r="TJN840" s="802"/>
      <c r="TJO840" s="802"/>
      <c r="TJP840" s="802"/>
      <c r="TJQ840" s="802"/>
      <c r="TJR840" s="802"/>
      <c r="TJS840" s="802"/>
      <c r="TJT840" s="802"/>
      <c r="TJU840" s="802"/>
      <c r="TJV840" s="802"/>
      <c r="TJW840" s="802"/>
      <c r="TJX840" s="802"/>
      <c r="TJY840" s="802"/>
      <c r="TJZ840" s="802"/>
      <c r="TKA840" s="802"/>
      <c r="TKB840" s="802"/>
      <c r="TKC840" s="802"/>
      <c r="TKD840" s="802"/>
      <c r="TKE840" s="802"/>
      <c r="TKF840" s="802"/>
      <c r="TKG840" s="802"/>
      <c r="TKH840" s="802"/>
      <c r="TKI840" s="802"/>
      <c r="TKJ840" s="802"/>
      <c r="TKK840" s="802"/>
      <c r="TKL840" s="802"/>
      <c r="TKM840" s="802"/>
      <c r="TKN840" s="802"/>
      <c r="TKO840" s="802"/>
      <c r="TKP840" s="802"/>
      <c r="TKQ840" s="802"/>
      <c r="TKR840" s="802"/>
      <c r="TKS840" s="802"/>
      <c r="TKT840" s="802"/>
      <c r="TKU840" s="802"/>
      <c r="TKV840" s="802"/>
      <c r="TKW840" s="802"/>
      <c r="TKX840" s="802"/>
      <c r="TKY840" s="802"/>
      <c r="TKZ840" s="802"/>
      <c r="TLA840" s="802"/>
      <c r="TLB840" s="802"/>
      <c r="TLC840" s="802"/>
      <c r="TLD840" s="802"/>
      <c r="TLE840" s="802"/>
      <c r="TLF840" s="802"/>
      <c r="TLG840" s="802"/>
      <c r="TLH840" s="802"/>
      <c r="TLI840" s="802"/>
      <c r="TLJ840" s="802"/>
      <c r="TLK840" s="802"/>
      <c r="TLL840" s="802"/>
      <c r="TLM840" s="802"/>
      <c r="TLN840" s="802"/>
      <c r="TLO840" s="802"/>
      <c r="TLP840" s="802"/>
      <c r="TLQ840" s="802"/>
      <c r="TLR840" s="802"/>
      <c r="TLS840" s="802"/>
      <c r="TLT840" s="802"/>
      <c r="TLU840" s="802"/>
      <c r="TLV840" s="802"/>
      <c r="TLW840" s="802"/>
      <c r="TLX840" s="802"/>
      <c r="TLY840" s="802"/>
      <c r="TLZ840" s="802"/>
      <c r="TMA840" s="802"/>
      <c r="TMB840" s="802"/>
      <c r="TMC840" s="802"/>
      <c r="TMD840" s="802"/>
      <c r="TME840" s="802"/>
      <c r="TMF840" s="802"/>
      <c r="TMG840" s="802"/>
      <c r="TMH840" s="802"/>
      <c r="TMI840" s="802"/>
      <c r="TMJ840" s="802"/>
      <c r="TMK840" s="802"/>
      <c r="TML840" s="802"/>
      <c r="TMM840" s="802"/>
      <c r="TMN840" s="802"/>
      <c r="TMO840" s="802"/>
      <c r="TMP840" s="802"/>
      <c r="TMQ840" s="802"/>
      <c r="TMR840" s="802"/>
      <c r="TMS840" s="802"/>
      <c r="TMT840" s="802"/>
      <c r="TMU840" s="802"/>
      <c r="TMV840" s="802"/>
      <c r="TMW840" s="802"/>
      <c r="TMX840" s="802"/>
      <c r="TMY840" s="802"/>
      <c r="TMZ840" s="802"/>
      <c r="TNA840" s="802"/>
      <c r="TNB840" s="802"/>
      <c r="TNC840" s="802"/>
      <c r="TND840" s="802"/>
      <c r="TNE840" s="802"/>
      <c r="TNF840" s="802"/>
      <c r="TNG840" s="802"/>
      <c r="TNH840" s="802"/>
      <c r="TNI840" s="802"/>
      <c r="TNJ840" s="802"/>
      <c r="TNK840" s="802"/>
      <c r="TNL840" s="802"/>
      <c r="TNM840" s="802"/>
      <c r="TNN840" s="802"/>
      <c r="TNO840" s="802"/>
      <c r="TNP840" s="802"/>
      <c r="TNQ840" s="802"/>
      <c r="TNR840" s="802"/>
      <c r="TNS840" s="802"/>
      <c r="TNT840" s="802"/>
      <c r="TNU840" s="802"/>
      <c r="TNV840" s="802"/>
      <c r="TNW840" s="802"/>
      <c r="TNX840" s="802"/>
      <c r="TNY840" s="802"/>
      <c r="TNZ840" s="802"/>
      <c r="TOA840" s="802"/>
      <c r="TOB840" s="802"/>
      <c r="TOC840" s="802"/>
      <c r="TOD840" s="802"/>
      <c r="TOE840" s="802"/>
      <c r="TOF840" s="802"/>
      <c r="TOG840" s="802"/>
      <c r="TOH840" s="802"/>
      <c r="TOI840" s="802"/>
      <c r="TOJ840" s="802"/>
      <c r="TOK840" s="802"/>
      <c r="TOL840" s="802"/>
      <c r="TOM840" s="802"/>
      <c r="TON840" s="802"/>
      <c r="TOO840" s="802"/>
      <c r="TOP840" s="802"/>
      <c r="TOQ840" s="802"/>
      <c r="TOR840" s="802"/>
      <c r="TOS840" s="802"/>
      <c r="TOT840" s="802"/>
      <c r="TOU840" s="802"/>
      <c r="TOV840" s="802"/>
      <c r="TOW840" s="802"/>
      <c r="TOX840" s="802"/>
      <c r="TOY840" s="802"/>
      <c r="TOZ840" s="802"/>
      <c r="TPA840" s="802"/>
      <c r="TPB840" s="802"/>
      <c r="TPC840" s="802"/>
      <c r="TPD840" s="802"/>
      <c r="TPE840" s="802"/>
      <c r="TPF840" s="802"/>
      <c r="TPG840" s="802"/>
      <c r="TPH840" s="802"/>
      <c r="TPI840" s="802"/>
      <c r="TPJ840" s="802"/>
      <c r="TPK840" s="802"/>
      <c r="TPL840" s="802"/>
      <c r="TPM840" s="802"/>
      <c r="TPN840" s="802"/>
      <c r="TPO840" s="802"/>
      <c r="TPP840" s="802"/>
      <c r="TPQ840" s="802"/>
      <c r="TPR840" s="802"/>
      <c r="TPS840" s="802"/>
      <c r="TPT840" s="802"/>
      <c r="TPU840" s="802"/>
      <c r="TPV840" s="802"/>
      <c r="TPW840" s="802"/>
      <c r="TPX840" s="802"/>
      <c r="TPY840" s="802"/>
      <c r="TPZ840" s="802"/>
      <c r="TQA840" s="802"/>
      <c r="TQB840" s="802"/>
      <c r="TQC840" s="802"/>
      <c r="TQD840" s="802"/>
      <c r="TQE840" s="802"/>
      <c r="TQF840" s="802"/>
      <c r="TQG840" s="802"/>
      <c r="TQH840" s="802"/>
      <c r="TQI840" s="802"/>
      <c r="TQJ840" s="802"/>
      <c r="TQK840" s="802"/>
      <c r="TQL840" s="802"/>
      <c r="TQM840" s="802"/>
      <c r="TQN840" s="802"/>
      <c r="TQO840" s="802"/>
      <c r="TQP840" s="802"/>
      <c r="TQQ840" s="802"/>
      <c r="TQR840" s="802"/>
      <c r="TQS840" s="802"/>
      <c r="TQT840" s="802"/>
      <c r="TQU840" s="802"/>
      <c r="TQV840" s="802"/>
      <c r="TQW840" s="802"/>
      <c r="TQX840" s="802"/>
      <c r="TQY840" s="802"/>
      <c r="TQZ840" s="802"/>
      <c r="TRA840" s="802"/>
      <c r="TRB840" s="802"/>
      <c r="TRC840" s="802"/>
      <c r="TRD840" s="802"/>
      <c r="TRE840" s="802"/>
      <c r="TRF840" s="802"/>
      <c r="TRG840" s="802"/>
      <c r="TRH840" s="802"/>
      <c r="TRI840" s="802"/>
      <c r="TRJ840" s="802"/>
      <c r="TRK840" s="802"/>
      <c r="TRL840" s="802"/>
      <c r="TRM840" s="802"/>
      <c r="TRN840" s="802"/>
      <c r="TRO840" s="802"/>
      <c r="TRP840" s="802"/>
      <c r="TRQ840" s="802"/>
      <c r="TRR840" s="802"/>
      <c r="TRS840" s="802"/>
      <c r="TRT840" s="802"/>
      <c r="TRU840" s="802"/>
      <c r="TRV840" s="802"/>
      <c r="TRW840" s="802"/>
      <c r="TRX840" s="802"/>
      <c r="TRY840" s="802"/>
      <c r="TRZ840" s="802"/>
      <c r="TSA840" s="802"/>
      <c r="TSB840" s="802"/>
      <c r="TSC840" s="802"/>
      <c r="TSD840" s="802"/>
      <c r="TSE840" s="802"/>
      <c r="TSF840" s="802"/>
      <c r="TSG840" s="802"/>
      <c r="TSH840" s="802"/>
      <c r="TSI840" s="802"/>
      <c r="TSJ840" s="802"/>
      <c r="TSK840" s="802"/>
      <c r="TSL840" s="802"/>
      <c r="TSM840" s="802"/>
      <c r="TSN840" s="802"/>
      <c r="TSO840" s="802"/>
      <c r="TSP840" s="802"/>
      <c r="TSQ840" s="802"/>
      <c r="TSR840" s="802"/>
      <c r="TSS840" s="802"/>
      <c r="TST840" s="802"/>
      <c r="TSU840" s="802"/>
      <c r="TSV840" s="802"/>
      <c r="TSW840" s="802"/>
      <c r="TSX840" s="802"/>
      <c r="TSY840" s="802"/>
      <c r="TSZ840" s="802"/>
      <c r="TTA840" s="802"/>
      <c r="TTB840" s="802"/>
      <c r="TTC840" s="802"/>
      <c r="TTD840" s="802"/>
      <c r="TTE840" s="802"/>
      <c r="TTF840" s="802"/>
      <c r="TTG840" s="802"/>
      <c r="TTH840" s="802"/>
      <c r="TTI840" s="802"/>
      <c r="TTJ840" s="802"/>
      <c r="TTK840" s="802"/>
      <c r="TTL840" s="802"/>
      <c r="TTM840" s="802"/>
      <c r="TTN840" s="802"/>
      <c r="TTO840" s="802"/>
      <c r="TTP840" s="802"/>
      <c r="TTQ840" s="802"/>
      <c r="TTR840" s="802"/>
      <c r="TTS840" s="802"/>
      <c r="TTT840" s="802"/>
      <c r="TTU840" s="802"/>
      <c r="TTV840" s="802"/>
      <c r="TTW840" s="802"/>
      <c r="TTX840" s="802"/>
      <c r="TTY840" s="802"/>
      <c r="TTZ840" s="802"/>
      <c r="TUA840" s="802"/>
      <c r="TUB840" s="802"/>
      <c r="TUC840" s="802"/>
      <c r="TUD840" s="802"/>
      <c r="TUE840" s="802"/>
      <c r="TUF840" s="802"/>
      <c r="TUG840" s="802"/>
      <c r="TUH840" s="802"/>
      <c r="TUI840" s="802"/>
      <c r="TUJ840" s="802"/>
      <c r="TUK840" s="802"/>
      <c r="TUL840" s="802"/>
      <c r="TUM840" s="802"/>
      <c r="TUN840" s="802"/>
      <c r="TUO840" s="802"/>
      <c r="TUP840" s="802"/>
      <c r="TUQ840" s="802"/>
      <c r="TUR840" s="802"/>
      <c r="TUS840" s="802"/>
      <c r="TUT840" s="802"/>
      <c r="TUU840" s="802"/>
      <c r="TUV840" s="802"/>
      <c r="TUW840" s="802"/>
      <c r="TUX840" s="802"/>
      <c r="TUY840" s="802"/>
      <c r="TUZ840" s="802"/>
      <c r="TVA840" s="802"/>
      <c r="TVB840" s="802"/>
      <c r="TVC840" s="802"/>
      <c r="TVD840" s="802"/>
      <c r="TVE840" s="802"/>
      <c r="TVF840" s="802"/>
      <c r="TVG840" s="802"/>
      <c r="TVH840" s="802"/>
      <c r="TVI840" s="802"/>
      <c r="TVJ840" s="802"/>
      <c r="TVK840" s="802"/>
      <c r="TVL840" s="802"/>
      <c r="TVM840" s="802"/>
      <c r="TVN840" s="802"/>
      <c r="TVO840" s="802"/>
      <c r="TVP840" s="802"/>
      <c r="TVQ840" s="802"/>
      <c r="TVR840" s="802"/>
      <c r="TVS840" s="802"/>
      <c r="TVT840" s="802"/>
      <c r="TVU840" s="802"/>
      <c r="TVV840" s="802"/>
      <c r="TVW840" s="802"/>
      <c r="TVX840" s="802"/>
      <c r="TVY840" s="802"/>
      <c r="TVZ840" s="802"/>
      <c r="TWA840" s="802"/>
      <c r="TWB840" s="802"/>
      <c r="TWC840" s="802"/>
      <c r="TWD840" s="802"/>
      <c r="TWE840" s="802"/>
      <c r="TWF840" s="802"/>
      <c r="TWG840" s="802"/>
      <c r="TWH840" s="802"/>
      <c r="TWI840" s="802"/>
      <c r="TWJ840" s="802"/>
      <c r="TWK840" s="802"/>
      <c r="TWL840" s="802"/>
      <c r="TWM840" s="802"/>
      <c r="TWN840" s="802"/>
      <c r="TWO840" s="802"/>
      <c r="TWP840" s="802"/>
      <c r="TWQ840" s="802"/>
      <c r="TWR840" s="802"/>
      <c r="TWS840" s="802"/>
      <c r="TWT840" s="802"/>
      <c r="TWU840" s="802"/>
      <c r="TWV840" s="802"/>
      <c r="TWW840" s="802"/>
      <c r="TWX840" s="802"/>
      <c r="TWY840" s="802"/>
      <c r="TWZ840" s="802"/>
      <c r="TXA840" s="802"/>
      <c r="TXB840" s="802"/>
      <c r="TXC840" s="802"/>
      <c r="TXD840" s="802"/>
      <c r="TXE840" s="802"/>
      <c r="TXF840" s="802"/>
      <c r="TXG840" s="802"/>
      <c r="TXH840" s="802"/>
      <c r="TXI840" s="802"/>
      <c r="TXJ840" s="802"/>
      <c r="TXK840" s="802"/>
      <c r="TXL840" s="802"/>
      <c r="TXM840" s="802"/>
      <c r="TXN840" s="802"/>
      <c r="TXO840" s="802"/>
      <c r="TXP840" s="802"/>
      <c r="TXQ840" s="802"/>
      <c r="TXR840" s="802"/>
      <c r="TXS840" s="802"/>
      <c r="TXT840" s="802"/>
      <c r="TXU840" s="802"/>
      <c r="TXV840" s="802"/>
      <c r="TXW840" s="802"/>
      <c r="TXX840" s="802"/>
      <c r="TXY840" s="802"/>
      <c r="TXZ840" s="802"/>
      <c r="TYA840" s="802"/>
      <c r="TYB840" s="802"/>
      <c r="TYC840" s="802"/>
      <c r="TYD840" s="802"/>
      <c r="TYE840" s="802"/>
      <c r="TYF840" s="802"/>
      <c r="TYG840" s="802"/>
      <c r="TYH840" s="802"/>
      <c r="TYI840" s="802"/>
      <c r="TYJ840" s="802"/>
      <c r="TYK840" s="802"/>
      <c r="TYL840" s="802"/>
      <c r="TYM840" s="802"/>
      <c r="TYN840" s="802"/>
      <c r="TYO840" s="802"/>
      <c r="TYP840" s="802"/>
      <c r="TYQ840" s="802"/>
      <c r="TYR840" s="802"/>
      <c r="TYS840" s="802"/>
      <c r="TYT840" s="802"/>
      <c r="TYU840" s="802"/>
      <c r="TYV840" s="802"/>
      <c r="TYW840" s="802"/>
      <c r="TYX840" s="802"/>
      <c r="TYY840" s="802"/>
      <c r="TYZ840" s="802"/>
      <c r="TZA840" s="802"/>
      <c r="TZB840" s="802"/>
      <c r="TZC840" s="802"/>
      <c r="TZD840" s="802"/>
      <c r="TZE840" s="802"/>
      <c r="TZF840" s="802"/>
      <c r="TZG840" s="802"/>
      <c r="TZH840" s="802"/>
      <c r="TZI840" s="802"/>
      <c r="TZJ840" s="802"/>
      <c r="TZK840" s="802"/>
      <c r="TZL840" s="802"/>
      <c r="TZM840" s="802"/>
      <c r="TZN840" s="802"/>
      <c r="TZO840" s="802"/>
      <c r="TZP840" s="802"/>
      <c r="TZQ840" s="802"/>
      <c r="TZR840" s="802"/>
      <c r="TZS840" s="802"/>
      <c r="TZT840" s="802"/>
      <c r="TZU840" s="802"/>
      <c r="TZV840" s="802"/>
      <c r="TZW840" s="802"/>
      <c r="TZX840" s="802"/>
      <c r="TZY840" s="802"/>
      <c r="TZZ840" s="802"/>
      <c r="UAA840" s="802"/>
      <c r="UAB840" s="802"/>
      <c r="UAC840" s="802"/>
      <c r="UAD840" s="802"/>
      <c r="UAE840" s="802"/>
      <c r="UAF840" s="802"/>
      <c r="UAG840" s="802"/>
      <c r="UAH840" s="802"/>
      <c r="UAI840" s="802"/>
      <c r="UAJ840" s="802"/>
      <c r="UAK840" s="802"/>
      <c r="UAL840" s="802"/>
      <c r="UAM840" s="802"/>
      <c r="UAN840" s="802"/>
      <c r="UAO840" s="802"/>
      <c r="UAP840" s="802"/>
      <c r="UAQ840" s="802"/>
      <c r="UAR840" s="802"/>
      <c r="UAS840" s="802"/>
      <c r="UAT840" s="802"/>
      <c r="UAU840" s="802"/>
      <c r="UAV840" s="802"/>
      <c r="UAW840" s="802"/>
      <c r="UAX840" s="802"/>
      <c r="UAY840" s="802"/>
      <c r="UAZ840" s="802"/>
      <c r="UBA840" s="802"/>
      <c r="UBB840" s="802"/>
      <c r="UBC840" s="802"/>
      <c r="UBD840" s="802"/>
      <c r="UBE840" s="802"/>
      <c r="UBF840" s="802"/>
      <c r="UBG840" s="802"/>
      <c r="UBH840" s="802"/>
      <c r="UBI840" s="802"/>
      <c r="UBJ840" s="802"/>
      <c r="UBK840" s="802"/>
      <c r="UBL840" s="802"/>
      <c r="UBM840" s="802"/>
      <c r="UBN840" s="802"/>
      <c r="UBO840" s="802"/>
      <c r="UBP840" s="802"/>
      <c r="UBQ840" s="802"/>
      <c r="UBR840" s="802"/>
      <c r="UBS840" s="802"/>
      <c r="UBT840" s="802"/>
      <c r="UBU840" s="802"/>
      <c r="UBV840" s="802"/>
      <c r="UBW840" s="802"/>
      <c r="UBX840" s="802"/>
      <c r="UBY840" s="802"/>
      <c r="UBZ840" s="802"/>
      <c r="UCA840" s="802"/>
      <c r="UCB840" s="802"/>
      <c r="UCC840" s="802"/>
      <c r="UCD840" s="802"/>
      <c r="UCE840" s="802"/>
      <c r="UCF840" s="802"/>
      <c r="UCG840" s="802"/>
      <c r="UCH840" s="802"/>
      <c r="UCI840" s="802"/>
      <c r="UCJ840" s="802"/>
      <c r="UCK840" s="802"/>
      <c r="UCL840" s="802"/>
      <c r="UCM840" s="802"/>
      <c r="UCN840" s="802"/>
      <c r="UCO840" s="802"/>
      <c r="UCP840" s="802"/>
      <c r="UCQ840" s="802"/>
      <c r="UCR840" s="802"/>
      <c r="UCS840" s="802"/>
      <c r="UCT840" s="802"/>
      <c r="UCU840" s="802"/>
      <c r="UCV840" s="802"/>
      <c r="UCW840" s="802"/>
      <c r="UCX840" s="802"/>
      <c r="UCY840" s="802"/>
      <c r="UCZ840" s="802"/>
      <c r="UDA840" s="802"/>
      <c r="UDB840" s="802"/>
      <c r="UDC840" s="802"/>
      <c r="UDD840" s="802"/>
      <c r="UDE840" s="802"/>
      <c r="UDF840" s="802"/>
      <c r="UDG840" s="802"/>
      <c r="UDH840" s="802"/>
      <c r="UDI840" s="802"/>
      <c r="UDJ840" s="802"/>
      <c r="UDK840" s="802"/>
      <c r="UDL840" s="802"/>
      <c r="UDM840" s="802"/>
      <c r="UDN840" s="802"/>
      <c r="UDO840" s="802"/>
      <c r="UDP840" s="802"/>
      <c r="UDQ840" s="802"/>
      <c r="UDR840" s="802"/>
      <c r="UDS840" s="802"/>
      <c r="UDT840" s="802"/>
      <c r="UDU840" s="802"/>
      <c r="UDV840" s="802"/>
      <c r="UDW840" s="802"/>
      <c r="UDX840" s="802"/>
      <c r="UDY840" s="802"/>
      <c r="UDZ840" s="802"/>
      <c r="UEA840" s="802"/>
      <c r="UEB840" s="802"/>
      <c r="UEC840" s="802"/>
      <c r="UED840" s="802"/>
      <c r="UEE840" s="802"/>
      <c r="UEF840" s="802"/>
      <c r="UEG840" s="802"/>
      <c r="UEH840" s="802"/>
      <c r="UEI840" s="802"/>
      <c r="UEJ840" s="802"/>
      <c r="UEK840" s="802"/>
      <c r="UEL840" s="802"/>
      <c r="UEM840" s="802"/>
      <c r="UEN840" s="802"/>
      <c r="UEO840" s="802"/>
      <c r="UEP840" s="802"/>
      <c r="UEQ840" s="802"/>
      <c r="UER840" s="802"/>
      <c r="UES840" s="802"/>
      <c r="UET840" s="802"/>
      <c r="UEU840" s="802"/>
      <c r="UEV840" s="802"/>
      <c r="UEW840" s="802"/>
      <c r="UEX840" s="802"/>
      <c r="UEY840" s="802"/>
      <c r="UEZ840" s="802"/>
      <c r="UFA840" s="802"/>
      <c r="UFB840" s="802"/>
      <c r="UFC840" s="802"/>
      <c r="UFD840" s="802"/>
      <c r="UFE840" s="802"/>
      <c r="UFF840" s="802"/>
      <c r="UFG840" s="802"/>
      <c r="UFH840" s="802"/>
      <c r="UFI840" s="802"/>
      <c r="UFJ840" s="802"/>
      <c r="UFK840" s="802"/>
      <c r="UFL840" s="802"/>
      <c r="UFM840" s="802"/>
      <c r="UFN840" s="802"/>
      <c r="UFO840" s="802"/>
      <c r="UFP840" s="802"/>
      <c r="UFQ840" s="802"/>
      <c r="UFR840" s="802"/>
      <c r="UFS840" s="802"/>
      <c r="UFT840" s="802"/>
      <c r="UFU840" s="802"/>
      <c r="UFV840" s="802"/>
      <c r="UFW840" s="802"/>
      <c r="UFX840" s="802"/>
      <c r="UFY840" s="802"/>
      <c r="UFZ840" s="802"/>
      <c r="UGA840" s="802"/>
      <c r="UGB840" s="802"/>
      <c r="UGC840" s="802"/>
      <c r="UGD840" s="802"/>
      <c r="UGE840" s="802"/>
      <c r="UGF840" s="802"/>
      <c r="UGG840" s="802"/>
      <c r="UGH840" s="802"/>
      <c r="UGI840" s="802"/>
      <c r="UGJ840" s="802"/>
      <c r="UGK840" s="802"/>
      <c r="UGL840" s="802"/>
      <c r="UGM840" s="802"/>
      <c r="UGN840" s="802"/>
      <c r="UGO840" s="802"/>
      <c r="UGP840" s="802"/>
      <c r="UGQ840" s="802"/>
      <c r="UGR840" s="802"/>
      <c r="UGS840" s="802"/>
      <c r="UGT840" s="802"/>
      <c r="UGU840" s="802"/>
      <c r="UGV840" s="802"/>
      <c r="UGW840" s="802"/>
      <c r="UGX840" s="802"/>
      <c r="UGY840" s="802"/>
      <c r="UGZ840" s="802"/>
      <c r="UHA840" s="802"/>
      <c r="UHB840" s="802"/>
      <c r="UHC840" s="802"/>
      <c r="UHD840" s="802"/>
      <c r="UHE840" s="802"/>
      <c r="UHF840" s="802"/>
      <c r="UHG840" s="802"/>
      <c r="UHH840" s="802"/>
      <c r="UHI840" s="802"/>
      <c r="UHJ840" s="802"/>
      <c r="UHK840" s="802"/>
      <c r="UHL840" s="802"/>
      <c r="UHM840" s="802"/>
      <c r="UHN840" s="802"/>
      <c r="UHO840" s="802"/>
      <c r="UHP840" s="802"/>
      <c r="UHQ840" s="802"/>
      <c r="UHR840" s="802"/>
      <c r="UHS840" s="802"/>
      <c r="UHT840" s="802"/>
      <c r="UHU840" s="802"/>
      <c r="UHV840" s="802"/>
      <c r="UHW840" s="802"/>
      <c r="UHX840" s="802"/>
      <c r="UHY840" s="802"/>
      <c r="UHZ840" s="802"/>
      <c r="UIA840" s="802"/>
      <c r="UIB840" s="802"/>
      <c r="UIC840" s="802"/>
      <c r="UID840" s="802"/>
      <c r="UIE840" s="802"/>
      <c r="UIF840" s="802"/>
      <c r="UIG840" s="802"/>
      <c r="UIH840" s="802"/>
      <c r="UII840" s="802"/>
      <c r="UIJ840" s="802"/>
      <c r="UIK840" s="802"/>
      <c r="UIL840" s="802"/>
      <c r="UIM840" s="802"/>
      <c r="UIN840" s="802"/>
      <c r="UIO840" s="802"/>
      <c r="UIP840" s="802"/>
      <c r="UIQ840" s="802"/>
      <c r="UIR840" s="802"/>
      <c r="UIS840" s="802"/>
      <c r="UIT840" s="802"/>
      <c r="UIU840" s="802"/>
      <c r="UIV840" s="802"/>
      <c r="UIW840" s="802"/>
      <c r="UIX840" s="802"/>
      <c r="UIY840" s="802"/>
      <c r="UIZ840" s="802"/>
      <c r="UJA840" s="802"/>
      <c r="UJB840" s="802"/>
      <c r="UJC840" s="802"/>
      <c r="UJD840" s="802"/>
      <c r="UJE840" s="802"/>
      <c r="UJF840" s="802"/>
      <c r="UJG840" s="802"/>
      <c r="UJH840" s="802"/>
      <c r="UJI840" s="802"/>
      <c r="UJJ840" s="802"/>
      <c r="UJK840" s="802"/>
      <c r="UJL840" s="802"/>
      <c r="UJM840" s="802"/>
      <c r="UJN840" s="802"/>
      <c r="UJO840" s="802"/>
      <c r="UJP840" s="802"/>
      <c r="UJQ840" s="802"/>
      <c r="UJR840" s="802"/>
      <c r="UJS840" s="802"/>
      <c r="UJT840" s="802"/>
      <c r="UJU840" s="802"/>
      <c r="UJV840" s="802"/>
      <c r="UJW840" s="802"/>
      <c r="UJX840" s="802"/>
      <c r="UJY840" s="802"/>
      <c r="UJZ840" s="802"/>
      <c r="UKA840" s="802"/>
      <c r="UKB840" s="802"/>
      <c r="UKC840" s="802"/>
      <c r="UKD840" s="802"/>
      <c r="UKE840" s="802"/>
      <c r="UKF840" s="802"/>
      <c r="UKG840" s="802"/>
      <c r="UKH840" s="802"/>
      <c r="UKI840" s="802"/>
      <c r="UKJ840" s="802"/>
      <c r="UKK840" s="802"/>
      <c r="UKL840" s="802"/>
      <c r="UKM840" s="802"/>
      <c r="UKN840" s="802"/>
      <c r="UKO840" s="802"/>
      <c r="UKP840" s="802"/>
      <c r="UKQ840" s="802"/>
      <c r="UKR840" s="802"/>
      <c r="UKS840" s="802"/>
      <c r="UKT840" s="802"/>
      <c r="UKU840" s="802"/>
      <c r="UKV840" s="802"/>
      <c r="UKW840" s="802"/>
      <c r="UKX840" s="802"/>
      <c r="UKY840" s="802"/>
      <c r="UKZ840" s="802"/>
      <c r="ULA840" s="802"/>
      <c r="ULB840" s="802"/>
      <c r="ULC840" s="802"/>
      <c r="ULD840" s="802"/>
      <c r="ULE840" s="802"/>
      <c r="ULF840" s="802"/>
      <c r="ULG840" s="802"/>
      <c r="ULH840" s="802"/>
      <c r="ULI840" s="802"/>
      <c r="ULJ840" s="802"/>
      <c r="ULK840" s="802"/>
      <c r="ULL840" s="802"/>
      <c r="ULM840" s="802"/>
      <c r="ULN840" s="802"/>
      <c r="ULO840" s="802"/>
      <c r="ULP840" s="802"/>
      <c r="ULQ840" s="802"/>
      <c r="ULR840" s="802"/>
      <c r="ULS840" s="802"/>
      <c r="ULT840" s="802"/>
      <c r="ULU840" s="802"/>
      <c r="ULV840" s="802"/>
      <c r="ULW840" s="802"/>
      <c r="ULX840" s="802"/>
      <c r="ULY840" s="802"/>
      <c r="ULZ840" s="802"/>
      <c r="UMA840" s="802"/>
      <c r="UMB840" s="802"/>
      <c r="UMC840" s="802"/>
      <c r="UMD840" s="802"/>
      <c r="UME840" s="802"/>
      <c r="UMF840" s="802"/>
      <c r="UMG840" s="802"/>
      <c r="UMH840" s="802"/>
      <c r="UMI840" s="802"/>
      <c r="UMJ840" s="802"/>
      <c r="UMK840" s="802"/>
      <c r="UML840" s="802"/>
      <c r="UMM840" s="802"/>
      <c r="UMN840" s="802"/>
      <c r="UMO840" s="802"/>
      <c r="UMP840" s="802"/>
      <c r="UMQ840" s="802"/>
      <c r="UMR840" s="802"/>
      <c r="UMS840" s="802"/>
      <c r="UMT840" s="802"/>
      <c r="UMU840" s="802"/>
      <c r="UMV840" s="802"/>
      <c r="UMW840" s="802"/>
      <c r="UMX840" s="802"/>
      <c r="UMY840" s="802"/>
      <c r="UMZ840" s="802"/>
      <c r="UNA840" s="802"/>
      <c r="UNB840" s="802"/>
      <c r="UNC840" s="802"/>
      <c r="UND840" s="802"/>
      <c r="UNE840" s="802"/>
      <c r="UNF840" s="802"/>
      <c r="UNG840" s="802"/>
      <c r="UNH840" s="802"/>
      <c r="UNI840" s="802"/>
      <c r="UNJ840" s="802"/>
      <c r="UNK840" s="802"/>
      <c r="UNL840" s="802"/>
      <c r="UNM840" s="802"/>
      <c r="UNN840" s="802"/>
      <c r="UNO840" s="802"/>
      <c r="UNP840" s="802"/>
      <c r="UNQ840" s="802"/>
      <c r="UNR840" s="802"/>
      <c r="UNS840" s="802"/>
      <c r="UNT840" s="802"/>
      <c r="UNU840" s="802"/>
      <c r="UNV840" s="802"/>
      <c r="UNW840" s="802"/>
      <c r="UNX840" s="802"/>
      <c r="UNY840" s="802"/>
      <c r="UNZ840" s="802"/>
      <c r="UOA840" s="802"/>
      <c r="UOB840" s="802"/>
      <c r="UOC840" s="802"/>
      <c r="UOD840" s="802"/>
      <c r="UOE840" s="802"/>
      <c r="UOF840" s="802"/>
      <c r="UOG840" s="802"/>
      <c r="UOH840" s="802"/>
      <c r="UOI840" s="802"/>
      <c r="UOJ840" s="802"/>
      <c r="UOK840" s="802"/>
      <c r="UOL840" s="802"/>
      <c r="UOM840" s="802"/>
      <c r="UON840" s="802"/>
      <c r="UOO840" s="802"/>
      <c r="UOP840" s="802"/>
      <c r="UOQ840" s="802"/>
      <c r="UOR840" s="802"/>
      <c r="UOS840" s="802"/>
      <c r="UOT840" s="802"/>
      <c r="UOU840" s="802"/>
      <c r="UOV840" s="802"/>
      <c r="UOW840" s="802"/>
      <c r="UOX840" s="802"/>
      <c r="UOY840" s="802"/>
      <c r="UOZ840" s="802"/>
      <c r="UPA840" s="802"/>
      <c r="UPB840" s="802"/>
      <c r="UPC840" s="802"/>
      <c r="UPD840" s="802"/>
      <c r="UPE840" s="802"/>
      <c r="UPF840" s="802"/>
      <c r="UPG840" s="802"/>
      <c r="UPH840" s="802"/>
      <c r="UPI840" s="802"/>
      <c r="UPJ840" s="802"/>
      <c r="UPK840" s="802"/>
      <c r="UPL840" s="802"/>
      <c r="UPM840" s="802"/>
      <c r="UPN840" s="802"/>
      <c r="UPO840" s="802"/>
      <c r="UPP840" s="802"/>
      <c r="UPQ840" s="802"/>
      <c r="UPR840" s="802"/>
      <c r="UPS840" s="802"/>
      <c r="UPT840" s="802"/>
      <c r="UPU840" s="802"/>
      <c r="UPV840" s="802"/>
      <c r="UPW840" s="802"/>
      <c r="UPX840" s="802"/>
      <c r="UPY840" s="802"/>
      <c r="UPZ840" s="802"/>
      <c r="UQA840" s="802"/>
      <c r="UQB840" s="802"/>
      <c r="UQC840" s="802"/>
      <c r="UQD840" s="802"/>
      <c r="UQE840" s="802"/>
      <c r="UQF840" s="802"/>
      <c r="UQG840" s="802"/>
      <c r="UQH840" s="802"/>
      <c r="UQI840" s="802"/>
      <c r="UQJ840" s="802"/>
      <c r="UQK840" s="802"/>
      <c r="UQL840" s="802"/>
      <c r="UQM840" s="802"/>
      <c r="UQN840" s="802"/>
      <c r="UQO840" s="802"/>
      <c r="UQP840" s="802"/>
      <c r="UQQ840" s="802"/>
      <c r="UQR840" s="802"/>
      <c r="UQS840" s="802"/>
      <c r="UQT840" s="802"/>
      <c r="UQU840" s="802"/>
      <c r="UQV840" s="802"/>
      <c r="UQW840" s="802"/>
      <c r="UQX840" s="802"/>
      <c r="UQY840" s="802"/>
      <c r="UQZ840" s="802"/>
      <c r="URA840" s="802"/>
      <c r="URB840" s="802"/>
      <c r="URC840" s="802"/>
      <c r="URD840" s="802"/>
      <c r="URE840" s="802"/>
      <c r="URF840" s="802"/>
      <c r="URG840" s="802"/>
      <c r="URH840" s="802"/>
      <c r="URI840" s="802"/>
      <c r="URJ840" s="802"/>
      <c r="URK840" s="802"/>
      <c r="URL840" s="802"/>
      <c r="URM840" s="802"/>
      <c r="URN840" s="802"/>
      <c r="URO840" s="802"/>
      <c r="URP840" s="802"/>
      <c r="URQ840" s="802"/>
      <c r="URR840" s="802"/>
      <c r="URS840" s="802"/>
      <c r="URT840" s="802"/>
      <c r="URU840" s="802"/>
      <c r="URV840" s="802"/>
      <c r="URW840" s="802"/>
      <c r="URX840" s="802"/>
      <c r="URY840" s="802"/>
      <c r="URZ840" s="802"/>
      <c r="USA840" s="802"/>
      <c r="USB840" s="802"/>
      <c r="USC840" s="802"/>
      <c r="USD840" s="802"/>
      <c r="USE840" s="802"/>
      <c r="USF840" s="802"/>
      <c r="USG840" s="802"/>
      <c r="USH840" s="802"/>
      <c r="USI840" s="802"/>
      <c r="USJ840" s="802"/>
      <c r="USK840" s="802"/>
      <c r="USL840" s="802"/>
      <c r="USM840" s="802"/>
      <c r="USN840" s="802"/>
      <c r="USO840" s="802"/>
      <c r="USP840" s="802"/>
      <c r="USQ840" s="802"/>
      <c r="USR840" s="802"/>
      <c r="USS840" s="802"/>
      <c r="UST840" s="802"/>
      <c r="USU840" s="802"/>
      <c r="USV840" s="802"/>
      <c r="USW840" s="802"/>
      <c r="USX840" s="802"/>
      <c r="USY840" s="802"/>
      <c r="USZ840" s="802"/>
      <c r="UTA840" s="802"/>
      <c r="UTB840" s="802"/>
      <c r="UTC840" s="802"/>
      <c r="UTD840" s="802"/>
      <c r="UTE840" s="802"/>
      <c r="UTF840" s="802"/>
      <c r="UTG840" s="802"/>
      <c r="UTH840" s="802"/>
      <c r="UTI840" s="802"/>
      <c r="UTJ840" s="802"/>
      <c r="UTK840" s="802"/>
      <c r="UTL840" s="802"/>
      <c r="UTM840" s="802"/>
      <c r="UTN840" s="802"/>
      <c r="UTO840" s="802"/>
      <c r="UTP840" s="802"/>
      <c r="UTQ840" s="802"/>
      <c r="UTR840" s="802"/>
      <c r="UTS840" s="802"/>
      <c r="UTT840" s="802"/>
      <c r="UTU840" s="802"/>
      <c r="UTV840" s="802"/>
      <c r="UTW840" s="802"/>
      <c r="UTX840" s="802"/>
      <c r="UTY840" s="802"/>
      <c r="UTZ840" s="802"/>
      <c r="UUA840" s="802"/>
      <c r="UUB840" s="802"/>
      <c r="UUC840" s="802"/>
      <c r="UUD840" s="802"/>
      <c r="UUE840" s="802"/>
      <c r="UUF840" s="802"/>
      <c r="UUG840" s="802"/>
      <c r="UUH840" s="802"/>
      <c r="UUI840" s="802"/>
      <c r="UUJ840" s="802"/>
      <c r="UUK840" s="802"/>
      <c r="UUL840" s="802"/>
      <c r="UUM840" s="802"/>
      <c r="UUN840" s="802"/>
      <c r="UUO840" s="802"/>
      <c r="UUP840" s="802"/>
      <c r="UUQ840" s="802"/>
      <c r="UUR840" s="802"/>
      <c r="UUS840" s="802"/>
      <c r="UUT840" s="802"/>
      <c r="UUU840" s="802"/>
      <c r="UUV840" s="802"/>
      <c r="UUW840" s="802"/>
      <c r="UUX840" s="802"/>
      <c r="UUY840" s="802"/>
      <c r="UUZ840" s="802"/>
      <c r="UVA840" s="802"/>
      <c r="UVB840" s="802"/>
      <c r="UVC840" s="802"/>
      <c r="UVD840" s="802"/>
      <c r="UVE840" s="802"/>
      <c r="UVF840" s="802"/>
      <c r="UVG840" s="802"/>
      <c r="UVH840" s="802"/>
      <c r="UVI840" s="802"/>
      <c r="UVJ840" s="802"/>
      <c r="UVK840" s="802"/>
      <c r="UVL840" s="802"/>
      <c r="UVM840" s="802"/>
      <c r="UVN840" s="802"/>
      <c r="UVO840" s="802"/>
      <c r="UVP840" s="802"/>
      <c r="UVQ840" s="802"/>
      <c r="UVR840" s="802"/>
      <c r="UVS840" s="802"/>
      <c r="UVT840" s="802"/>
      <c r="UVU840" s="802"/>
      <c r="UVV840" s="802"/>
      <c r="UVW840" s="802"/>
      <c r="UVX840" s="802"/>
      <c r="UVY840" s="802"/>
      <c r="UVZ840" s="802"/>
      <c r="UWA840" s="802"/>
      <c r="UWB840" s="802"/>
      <c r="UWC840" s="802"/>
      <c r="UWD840" s="802"/>
      <c r="UWE840" s="802"/>
      <c r="UWF840" s="802"/>
      <c r="UWG840" s="802"/>
      <c r="UWH840" s="802"/>
      <c r="UWI840" s="802"/>
      <c r="UWJ840" s="802"/>
      <c r="UWK840" s="802"/>
      <c r="UWL840" s="802"/>
      <c r="UWM840" s="802"/>
      <c r="UWN840" s="802"/>
      <c r="UWO840" s="802"/>
      <c r="UWP840" s="802"/>
      <c r="UWQ840" s="802"/>
      <c r="UWR840" s="802"/>
      <c r="UWS840" s="802"/>
      <c r="UWT840" s="802"/>
      <c r="UWU840" s="802"/>
      <c r="UWV840" s="802"/>
      <c r="UWW840" s="802"/>
      <c r="UWX840" s="802"/>
      <c r="UWY840" s="802"/>
      <c r="UWZ840" s="802"/>
      <c r="UXA840" s="802"/>
      <c r="UXB840" s="802"/>
      <c r="UXC840" s="802"/>
      <c r="UXD840" s="802"/>
      <c r="UXE840" s="802"/>
      <c r="UXF840" s="802"/>
      <c r="UXG840" s="802"/>
      <c r="UXH840" s="802"/>
      <c r="UXI840" s="802"/>
      <c r="UXJ840" s="802"/>
      <c r="UXK840" s="802"/>
      <c r="UXL840" s="802"/>
      <c r="UXM840" s="802"/>
      <c r="UXN840" s="802"/>
      <c r="UXO840" s="802"/>
      <c r="UXP840" s="802"/>
      <c r="UXQ840" s="802"/>
      <c r="UXR840" s="802"/>
      <c r="UXS840" s="802"/>
      <c r="UXT840" s="802"/>
      <c r="UXU840" s="802"/>
      <c r="UXV840" s="802"/>
      <c r="UXW840" s="802"/>
      <c r="UXX840" s="802"/>
      <c r="UXY840" s="802"/>
      <c r="UXZ840" s="802"/>
      <c r="UYA840" s="802"/>
      <c r="UYB840" s="802"/>
      <c r="UYC840" s="802"/>
      <c r="UYD840" s="802"/>
      <c r="UYE840" s="802"/>
      <c r="UYF840" s="802"/>
      <c r="UYG840" s="802"/>
      <c r="UYH840" s="802"/>
      <c r="UYI840" s="802"/>
      <c r="UYJ840" s="802"/>
      <c r="UYK840" s="802"/>
      <c r="UYL840" s="802"/>
      <c r="UYM840" s="802"/>
      <c r="UYN840" s="802"/>
      <c r="UYO840" s="802"/>
      <c r="UYP840" s="802"/>
      <c r="UYQ840" s="802"/>
      <c r="UYR840" s="802"/>
      <c r="UYS840" s="802"/>
      <c r="UYT840" s="802"/>
      <c r="UYU840" s="802"/>
      <c r="UYV840" s="802"/>
      <c r="UYW840" s="802"/>
      <c r="UYX840" s="802"/>
      <c r="UYY840" s="802"/>
      <c r="UYZ840" s="802"/>
      <c r="UZA840" s="802"/>
      <c r="UZB840" s="802"/>
      <c r="UZC840" s="802"/>
      <c r="UZD840" s="802"/>
      <c r="UZE840" s="802"/>
      <c r="UZF840" s="802"/>
      <c r="UZG840" s="802"/>
      <c r="UZH840" s="802"/>
      <c r="UZI840" s="802"/>
      <c r="UZJ840" s="802"/>
      <c r="UZK840" s="802"/>
      <c r="UZL840" s="802"/>
      <c r="UZM840" s="802"/>
      <c r="UZN840" s="802"/>
      <c r="UZO840" s="802"/>
      <c r="UZP840" s="802"/>
      <c r="UZQ840" s="802"/>
      <c r="UZR840" s="802"/>
      <c r="UZS840" s="802"/>
      <c r="UZT840" s="802"/>
      <c r="UZU840" s="802"/>
      <c r="UZV840" s="802"/>
      <c r="UZW840" s="802"/>
      <c r="UZX840" s="802"/>
      <c r="UZY840" s="802"/>
      <c r="UZZ840" s="802"/>
      <c r="VAA840" s="802"/>
      <c r="VAB840" s="802"/>
      <c r="VAC840" s="802"/>
      <c r="VAD840" s="802"/>
      <c r="VAE840" s="802"/>
      <c r="VAF840" s="802"/>
      <c r="VAG840" s="802"/>
      <c r="VAH840" s="802"/>
      <c r="VAI840" s="802"/>
      <c r="VAJ840" s="802"/>
      <c r="VAK840" s="802"/>
      <c r="VAL840" s="802"/>
      <c r="VAM840" s="802"/>
      <c r="VAN840" s="802"/>
      <c r="VAO840" s="802"/>
      <c r="VAP840" s="802"/>
      <c r="VAQ840" s="802"/>
      <c r="VAR840" s="802"/>
      <c r="VAS840" s="802"/>
      <c r="VAT840" s="802"/>
      <c r="VAU840" s="802"/>
      <c r="VAV840" s="802"/>
      <c r="VAW840" s="802"/>
      <c r="VAX840" s="802"/>
      <c r="VAY840" s="802"/>
      <c r="VAZ840" s="802"/>
      <c r="VBA840" s="802"/>
      <c r="VBB840" s="802"/>
      <c r="VBC840" s="802"/>
      <c r="VBD840" s="802"/>
      <c r="VBE840" s="802"/>
      <c r="VBF840" s="802"/>
      <c r="VBG840" s="802"/>
      <c r="VBH840" s="802"/>
      <c r="VBI840" s="802"/>
      <c r="VBJ840" s="802"/>
      <c r="VBK840" s="802"/>
      <c r="VBL840" s="802"/>
      <c r="VBM840" s="802"/>
      <c r="VBN840" s="802"/>
      <c r="VBO840" s="802"/>
      <c r="VBP840" s="802"/>
      <c r="VBQ840" s="802"/>
      <c r="VBR840" s="802"/>
      <c r="VBS840" s="802"/>
      <c r="VBT840" s="802"/>
      <c r="VBU840" s="802"/>
      <c r="VBV840" s="802"/>
      <c r="VBW840" s="802"/>
      <c r="VBX840" s="802"/>
      <c r="VBY840" s="802"/>
      <c r="VBZ840" s="802"/>
      <c r="VCA840" s="802"/>
      <c r="VCB840" s="802"/>
      <c r="VCC840" s="802"/>
      <c r="VCD840" s="802"/>
      <c r="VCE840" s="802"/>
      <c r="VCF840" s="802"/>
      <c r="VCG840" s="802"/>
      <c r="VCH840" s="802"/>
      <c r="VCI840" s="802"/>
      <c r="VCJ840" s="802"/>
      <c r="VCK840" s="802"/>
      <c r="VCL840" s="802"/>
      <c r="VCM840" s="802"/>
      <c r="VCN840" s="802"/>
      <c r="VCO840" s="802"/>
      <c r="VCP840" s="802"/>
      <c r="VCQ840" s="802"/>
      <c r="VCR840" s="802"/>
      <c r="VCS840" s="802"/>
      <c r="VCT840" s="802"/>
      <c r="VCU840" s="802"/>
      <c r="VCV840" s="802"/>
      <c r="VCW840" s="802"/>
      <c r="VCX840" s="802"/>
      <c r="VCY840" s="802"/>
      <c r="VCZ840" s="802"/>
      <c r="VDA840" s="802"/>
      <c r="VDB840" s="802"/>
      <c r="VDC840" s="802"/>
      <c r="VDD840" s="802"/>
      <c r="VDE840" s="802"/>
      <c r="VDF840" s="802"/>
      <c r="VDG840" s="802"/>
      <c r="VDH840" s="802"/>
      <c r="VDI840" s="802"/>
      <c r="VDJ840" s="802"/>
      <c r="VDK840" s="802"/>
      <c r="VDL840" s="802"/>
      <c r="VDM840" s="802"/>
      <c r="VDN840" s="802"/>
      <c r="VDO840" s="802"/>
      <c r="VDP840" s="802"/>
      <c r="VDQ840" s="802"/>
      <c r="VDR840" s="802"/>
      <c r="VDS840" s="802"/>
      <c r="VDT840" s="802"/>
      <c r="VDU840" s="802"/>
      <c r="VDV840" s="802"/>
      <c r="VDW840" s="802"/>
      <c r="VDX840" s="802"/>
      <c r="VDY840" s="802"/>
      <c r="VDZ840" s="802"/>
      <c r="VEA840" s="802"/>
      <c r="VEB840" s="802"/>
      <c r="VEC840" s="802"/>
      <c r="VED840" s="802"/>
      <c r="VEE840" s="802"/>
      <c r="VEF840" s="802"/>
      <c r="VEG840" s="802"/>
      <c r="VEH840" s="802"/>
      <c r="VEI840" s="802"/>
      <c r="VEJ840" s="802"/>
      <c r="VEK840" s="802"/>
      <c r="VEL840" s="802"/>
      <c r="VEM840" s="802"/>
      <c r="VEN840" s="802"/>
      <c r="VEO840" s="802"/>
      <c r="VEP840" s="802"/>
      <c r="VEQ840" s="802"/>
      <c r="VER840" s="802"/>
      <c r="VES840" s="802"/>
      <c r="VET840" s="802"/>
      <c r="VEU840" s="802"/>
      <c r="VEV840" s="802"/>
      <c r="VEW840" s="802"/>
      <c r="VEX840" s="802"/>
      <c r="VEY840" s="802"/>
      <c r="VEZ840" s="802"/>
      <c r="VFA840" s="802"/>
      <c r="VFB840" s="802"/>
      <c r="VFC840" s="802"/>
      <c r="VFD840" s="802"/>
      <c r="VFE840" s="802"/>
      <c r="VFF840" s="802"/>
      <c r="VFG840" s="802"/>
      <c r="VFH840" s="802"/>
      <c r="VFI840" s="802"/>
      <c r="VFJ840" s="802"/>
      <c r="VFK840" s="802"/>
      <c r="VFL840" s="802"/>
      <c r="VFM840" s="802"/>
      <c r="VFN840" s="802"/>
      <c r="VFO840" s="802"/>
      <c r="VFP840" s="802"/>
      <c r="VFQ840" s="802"/>
      <c r="VFR840" s="802"/>
      <c r="VFS840" s="802"/>
      <c r="VFT840" s="802"/>
      <c r="VFU840" s="802"/>
      <c r="VFV840" s="802"/>
      <c r="VFW840" s="802"/>
      <c r="VFX840" s="802"/>
      <c r="VFY840" s="802"/>
      <c r="VFZ840" s="802"/>
      <c r="VGA840" s="802"/>
      <c r="VGB840" s="802"/>
      <c r="VGC840" s="802"/>
      <c r="VGD840" s="802"/>
      <c r="VGE840" s="802"/>
      <c r="VGF840" s="802"/>
      <c r="VGG840" s="802"/>
      <c r="VGH840" s="802"/>
      <c r="VGI840" s="802"/>
      <c r="VGJ840" s="802"/>
      <c r="VGK840" s="802"/>
      <c r="VGL840" s="802"/>
      <c r="VGM840" s="802"/>
      <c r="VGN840" s="802"/>
      <c r="VGO840" s="802"/>
      <c r="VGP840" s="802"/>
      <c r="VGQ840" s="802"/>
      <c r="VGR840" s="802"/>
      <c r="VGS840" s="802"/>
      <c r="VGT840" s="802"/>
      <c r="VGU840" s="802"/>
      <c r="VGV840" s="802"/>
      <c r="VGW840" s="802"/>
      <c r="VGX840" s="802"/>
      <c r="VGY840" s="802"/>
      <c r="VGZ840" s="802"/>
      <c r="VHA840" s="802"/>
      <c r="VHB840" s="802"/>
      <c r="VHC840" s="802"/>
      <c r="VHD840" s="802"/>
      <c r="VHE840" s="802"/>
      <c r="VHF840" s="802"/>
      <c r="VHG840" s="802"/>
      <c r="VHH840" s="802"/>
      <c r="VHI840" s="802"/>
      <c r="VHJ840" s="802"/>
      <c r="VHK840" s="802"/>
      <c r="VHL840" s="802"/>
      <c r="VHM840" s="802"/>
      <c r="VHN840" s="802"/>
      <c r="VHO840" s="802"/>
      <c r="VHP840" s="802"/>
      <c r="VHQ840" s="802"/>
      <c r="VHR840" s="802"/>
      <c r="VHS840" s="802"/>
      <c r="VHT840" s="802"/>
      <c r="VHU840" s="802"/>
      <c r="VHV840" s="802"/>
      <c r="VHW840" s="802"/>
      <c r="VHX840" s="802"/>
      <c r="VHY840" s="802"/>
      <c r="VHZ840" s="802"/>
      <c r="VIA840" s="802"/>
      <c r="VIB840" s="802"/>
      <c r="VIC840" s="802"/>
      <c r="VID840" s="802"/>
      <c r="VIE840" s="802"/>
      <c r="VIF840" s="802"/>
      <c r="VIG840" s="802"/>
      <c r="VIH840" s="802"/>
      <c r="VII840" s="802"/>
      <c r="VIJ840" s="802"/>
      <c r="VIK840" s="802"/>
      <c r="VIL840" s="802"/>
      <c r="VIM840" s="802"/>
      <c r="VIN840" s="802"/>
      <c r="VIO840" s="802"/>
      <c r="VIP840" s="802"/>
      <c r="VIQ840" s="802"/>
      <c r="VIR840" s="802"/>
      <c r="VIS840" s="802"/>
      <c r="VIT840" s="802"/>
      <c r="VIU840" s="802"/>
      <c r="VIV840" s="802"/>
      <c r="VIW840" s="802"/>
      <c r="VIX840" s="802"/>
      <c r="VIY840" s="802"/>
      <c r="VIZ840" s="802"/>
      <c r="VJA840" s="802"/>
      <c r="VJB840" s="802"/>
      <c r="VJC840" s="802"/>
      <c r="VJD840" s="802"/>
      <c r="VJE840" s="802"/>
      <c r="VJF840" s="802"/>
      <c r="VJG840" s="802"/>
      <c r="VJH840" s="802"/>
      <c r="VJI840" s="802"/>
      <c r="VJJ840" s="802"/>
      <c r="VJK840" s="802"/>
      <c r="VJL840" s="802"/>
      <c r="VJM840" s="802"/>
      <c r="VJN840" s="802"/>
      <c r="VJO840" s="802"/>
      <c r="VJP840" s="802"/>
      <c r="VJQ840" s="802"/>
      <c r="VJR840" s="802"/>
      <c r="VJS840" s="802"/>
      <c r="VJT840" s="802"/>
      <c r="VJU840" s="802"/>
      <c r="VJV840" s="802"/>
      <c r="VJW840" s="802"/>
      <c r="VJX840" s="802"/>
      <c r="VJY840" s="802"/>
      <c r="VJZ840" s="802"/>
      <c r="VKA840" s="802"/>
      <c r="VKB840" s="802"/>
      <c r="VKC840" s="802"/>
      <c r="VKD840" s="802"/>
      <c r="VKE840" s="802"/>
      <c r="VKF840" s="802"/>
      <c r="VKG840" s="802"/>
      <c r="VKH840" s="802"/>
      <c r="VKI840" s="802"/>
      <c r="VKJ840" s="802"/>
      <c r="VKK840" s="802"/>
      <c r="VKL840" s="802"/>
      <c r="VKM840" s="802"/>
      <c r="VKN840" s="802"/>
      <c r="VKO840" s="802"/>
      <c r="VKP840" s="802"/>
      <c r="VKQ840" s="802"/>
      <c r="VKR840" s="802"/>
      <c r="VKS840" s="802"/>
      <c r="VKT840" s="802"/>
      <c r="VKU840" s="802"/>
      <c r="VKV840" s="802"/>
      <c r="VKW840" s="802"/>
      <c r="VKX840" s="802"/>
      <c r="VKY840" s="802"/>
      <c r="VKZ840" s="802"/>
      <c r="VLA840" s="802"/>
      <c r="VLB840" s="802"/>
      <c r="VLC840" s="802"/>
      <c r="VLD840" s="802"/>
      <c r="VLE840" s="802"/>
      <c r="VLF840" s="802"/>
      <c r="VLG840" s="802"/>
      <c r="VLH840" s="802"/>
      <c r="VLI840" s="802"/>
      <c r="VLJ840" s="802"/>
      <c r="VLK840" s="802"/>
      <c r="VLL840" s="802"/>
      <c r="VLM840" s="802"/>
      <c r="VLN840" s="802"/>
      <c r="VLO840" s="802"/>
      <c r="VLP840" s="802"/>
      <c r="VLQ840" s="802"/>
      <c r="VLR840" s="802"/>
      <c r="VLS840" s="802"/>
      <c r="VLT840" s="802"/>
      <c r="VLU840" s="802"/>
      <c r="VLV840" s="802"/>
      <c r="VLW840" s="802"/>
      <c r="VLX840" s="802"/>
      <c r="VLY840" s="802"/>
      <c r="VLZ840" s="802"/>
      <c r="VMA840" s="802"/>
      <c r="VMB840" s="802"/>
      <c r="VMC840" s="802"/>
      <c r="VMD840" s="802"/>
      <c r="VME840" s="802"/>
      <c r="VMF840" s="802"/>
      <c r="VMG840" s="802"/>
      <c r="VMH840" s="802"/>
      <c r="VMI840" s="802"/>
      <c r="VMJ840" s="802"/>
      <c r="VMK840" s="802"/>
      <c r="VML840" s="802"/>
      <c r="VMM840" s="802"/>
      <c r="VMN840" s="802"/>
      <c r="VMO840" s="802"/>
      <c r="VMP840" s="802"/>
      <c r="VMQ840" s="802"/>
      <c r="VMR840" s="802"/>
      <c r="VMS840" s="802"/>
      <c r="VMT840" s="802"/>
      <c r="VMU840" s="802"/>
      <c r="VMV840" s="802"/>
      <c r="VMW840" s="802"/>
      <c r="VMX840" s="802"/>
      <c r="VMY840" s="802"/>
      <c r="VMZ840" s="802"/>
      <c r="VNA840" s="802"/>
      <c r="VNB840" s="802"/>
      <c r="VNC840" s="802"/>
      <c r="VND840" s="802"/>
      <c r="VNE840" s="802"/>
      <c r="VNF840" s="802"/>
      <c r="VNG840" s="802"/>
      <c r="VNH840" s="802"/>
      <c r="VNI840" s="802"/>
      <c r="VNJ840" s="802"/>
      <c r="VNK840" s="802"/>
      <c r="VNL840" s="802"/>
      <c r="VNM840" s="802"/>
      <c r="VNN840" s="802"/>
      <c r="VNO840" s="802"/>
      <c r="VNP840" s="802"/>
      <c r="VNQ840" s="802"/>
      <c r="VNR840" s="802"/>
      <c r="VNS840" s="802"/>
      <c r="VNT840" s="802"/>
      <c r="VNU840" s="802"/>
      <c r="VNV840" s="802"/>
      <c r="VNW840" s="802"/>
      <c r="VNX840" s="802"/>
      <c r="VNY840" s="802"/>
      <c r="VNZ840" s="802"/>
      <c r="VOA840" s="802"/>
      <c r="VOB840" s="802"/>
      <c r="VOC840" s="802"/>
      <c r="VOD840" s="802"/>
      <c r="VOE840" s="802"/>
      <c r="VOF840" s="802"/>
      <c r="VOG840" s="802"/>
      <c r="VOH840" s="802"/>
      <c r="VOI840" s="802"/>
      <c r="VOJ840" s="802"/>
      <c r="VOK840" s="802"/>
      <c r="VOL840" s="802"/>
      <c r="VOM840" s="802"/>
      <c r="VON840" s="802"/>
      <c r="VOO840" s="802"/>
      <c r="VOP840" s="802"/>
      <c r="VOQ840" s="802"/>
      <c r="VOR840" s="802"/>
      <c r="VOS840" s="802"/>
      <c r="VOT840" s="802"/>
      <c r="VOU840" s="802"/>
      <c r="VOV840" s="802"/>
      <c r="VOW840" s="802"/>
      <c r="VOX840" s="802"/>
      <c r="VOY840" s="802"/>
      <c r="VOZ840" s="802"/>
      <c r="VPA840" s="802"/>
      <c r="VPB840" s="802"/>
      <c r="VPC840" s="802"/>
      <c r="VPD840" s="802"/>
      <c r="VPE840" s="802"/>
      <c r="VPF840" s="802"/>
      <c r="VPG840" s="802"/>
      <c r="VPH840" s="802"/>
      <c r="VPI840" s="802"/>
      <c r="VPJ840" s="802"/>
      <c r="VPK840" s="802"/>
      <c r="VPL840" s="802"/>
      <c r="VPM840" s="802"/>
      <c r="VPN840" s="802"/>
      <c r="VPO840" s="802"/>
      <c r="VPP840" s="802"/>
      <c r="VPQ840" s="802"/>
      <c r="VPR840" s="802"/>
      <c r="VPS840" s="802"/>
      <c r="VPT840" s="802"/>
      <c r="VPU840" s="802"/>
      <c r="VPV840" s="802"/>
      <c r="VPW840" s="802"/>
      <c r="VPX840" s="802"/>
      <c r="VPY840" s="802"/>
      <c r="VPZ840" s="802"/>
      <c r="VQA840" s="802"/>
      <c r="VQB840" s="802"/>
      <c r="VQC840" s="802"/>
      <c r="VQD840" s="802"/>
      <c r="VQE840" s="802"/>
      <c r="VQF840" s="802"/>
      <c r="VQG840" s="802"/>
      <c r="VQH840" s="802"/>
      <c r="VQI840" s="802"/>
      <c r="VQJ840" s="802"/>
      <c r="VQK840" s="802"/>
      <c r="VQL840" s="802"/>
      <c r="VQM840" s="802"/>
      <c r="VQN840" s="802"/>
      <c r="VQO840" s="802"/>
      <c r="VQP840" s="802"/>
      <c r="VQQ840" s="802"/>
      <c r="VQR840" s="802"/>
      <c r="VQS840" s="802"/>
      <c r="VQT840" s="802"/>
      <c r="VQU840" s="802"/>
      <c r="VQV840" s="802"/>
      <c r="VQW840" s="802"/>
      <c r="VQX840" s="802"/>
      <c r="VQY840" s="802"/>
      <c r="VQZ840" s="802"/>
      <c r="VRA840" s="802"/>
      <c r="VRB840" s="802"/>
      <c r="VRC840" s="802"/>
      <c r="VRD840" s="802"/>
      <c r="VRE840" s="802"/>
      <c r="VRF840" s="802"/>
      <c r="VRG840" s="802"/>
      <c r="VRH840" s="802"/>
      <c r="VRI840" s="802"/>
      <c r="VRJ840" s="802"/>
      <c r="VRK840" s="802"/>
      <c r="VRL840" s="802"/>
      <c r="VRM840" s="802"/>
      <c r="VRN840" s="802"/>
      <c r="VRO840" s="802"/>
      <c r="VRP840" s="802"/>
      <c r="VRQ840" s="802"/>
      <c r="VRR840" s="802"/>
      <c r="VRS840" s="802"/>
      <c r="VRT840" s="802"/>
      <c r="VRU840" s="802"/>
      <c r="VRV840" s="802"/>
      <c r="VRW840" s="802"/>
      <c r="VRX840" s="802"/>
      <c r="VRY840" s="802"/>
      <c r="VRZ840" s="802"/>
      <c r="VSA840" s="802"/>
      <c r="VSB840" s="802"/>
      <c r="VSC840" s="802"/>
      <c r="VSD840" s="802"/>
      <c r="VSE840" s="802"/>
      <c r="VSF840" s="802"/>
      <c r="VSG840" s="802"/>
      <c r="VSH840" s="802"/>
      <c r="VSI840" s="802"/>
      <c r="VSJ840" s="802"/>
      <c r="VSK840" s="802"/>
      <c r="VSL840" s="802"/>
      <c r="VSM840" s="802"/>
      <c r="VSN840" s="802"/>
      <c r="VSO840" s="802"/>
      <c r="VSP840" s="802"/>
      <c r="VSQ840" s="802"/>
      <c r="VSR840" s="802"/>
      <c r="VSS840" s="802"/>
      <c r="VST840" s="802"/>
      <c r="VSU840" s="802"/>
      <c r="VSV840" s="802"/>
      <c r="VSW840" s="802"/>
      <c r="VSX840" s="802"/>
      <c r="VSY840" s="802"/>
      <c r="VSZ840" s="802"/>
      <c r="VTA840" s="802"/>
      <c r="VTB840" s="802"/>
      <c r="VTC840" s="802"/>
      <c r="VTD840" s="802"/>
      <c r="VTE840" s="802"/>
      <c r="VTF840" s="802"/>
      <c r="VTG840" s="802"/>
      <c r="VTH840" s="802"/>
      <c r="VTI840" s="802"/>
      <c r="VTJ840" s="802"/>
      <c r="VTK840" s="802"/>
      <c r="VTL840" s="802"/>
      <c r="VTM840" s="802"/>
      <c r="VTN840" s="802"/>
      <c r="VTO840" s="802"/>
      <c r="VTP840" s="802"/>
      <c r="VTQ840" s="802"/>
      <c r="VTR840" s="802"/>
      <c r="VTS840" s="802"/>
      <c r="VTT840" s="802"/>
      <c r="VTU840" s="802"/>
      <c r="VTV840" s="802"/>
      <c r="VTW840" s="802"/>
      <c r="VTX840" s="802"/>
      <c r="VTY840" s="802"/>
      <c r="VTZ840" s="802"/>
      <c r="VUA840" s="802"/>
      <c r="VUB840" s="802"/>
      <c r="VUC840" s="802"/>
      <c r="VUD840" s="802"/>
      <c r="VUE840" s="802"/>
      <c r="VUF840" s="802"/>
      <c r="VUG840" s="802"/>
      <c r="VUH840" s="802"/>
      <c r="VUI840" s="802"/>
      <c r="VUJ840" s="802"/>
      <c r="VUK840" s="802"/>
      <c r="VUL840" s="802"/>
      <c r="VUM840" s="802"/>
      <c r="VUN840" s="802"/>
      <c r="VUO840" s="802"/>
      <c r="VUP840" s="802"/>
      <c r="VUQ840" s="802"/>
      <c r="VUR840" s="802"/>
      <c r="VUS840" s="802"/>
      <c r="VUT840" s="802"/>
      <c r="VUU840" s="802"/>
      <c r="VUV840" s="802"/>
      <c r="VUW840" s="802"/>
      <c r="VUX840" s="802"/>
      <c r="VUY840" s="802"/>
      <c r="VUZ840" s="802"/>
      <c r="VVA840" s="802"/>
      <c r="VVB840" s="802"/>
      <c r="VVC840" s="802"/>
      <c r="VVD840" s="802"/>
      <c r="VVE840" s="802"/>
      <c r="VVF840" s="802"/>
      <c r="VVG840" s="802"/>
      <c r="VVH840" s="802"/>
      <c r="VVI840" s="802"/>
      <c r="VVJ840" s="802"/>
      <c r="VVK840" s="802"/>
      <c r="VVL840" s="802"/>
      <c r="VVM840" s="802"/>
      <c r="VVN840" s="802"/>
      <c r="VVO840" s="802"/>
      <c r="VVP840" s="802"/>
      <c r="VVQ840" s="802"/>
      <c r="VVR840" s="802"/>
      <c r="VVS840" s="802"/>
      <c r="VVT840" s="802"/>
      <c r="VVU840" s="802"/>
      <c r="VVV840" s="802"/>
      <c r="VVW840" s="802"/>
      <c r="VVX840" s="802"/>
      <c r="VVY840" s="802"/>
      <c r="VVZ840" s="802"/>
      <c r="VWA840" s="802"/>
      <c r="VWB840" s="802"/>
      <c r="VWC840" s="802"/>
      <c r="VWD840" s="802"/>
      <c r="VWE840" s="802"/>
      <c r="VWF840" s="802"/>
      <c r="VWG840" s="802"/>
      <c r="VWH840" s="802"/>
      <c r="VWI840" s="802"/>
      <c r="VWJ840" s="802"/>
      <c r="VWK840" s="802"/>
      <c r="VWL840" s="802"/>
      <c r="VWM840" s="802"/>
      <c r="VWN840" s="802"/>
      <c r="VWO840" s="802"/>
      <c r="VWP840" s="802"/>
      <c r="VWQ840" s="802"/>
      <c r="VWR840" s="802"/>
      <c r="VWS840" s="802"/>
      <c r="VWT840" s="802"/>
      <c r="VWU840" s="802"/>
      <c r="VWV840" s="802"/>
      <c r="VWW840" s="802"/>
      <c r="VWX840" s="802"/>
      <c r="VWY840" s="802"/>
      <c r="VWZ840" s="802"/>
      <c r="VXA840" s="802"/>
      <c r="VXB840" s="802"/>
      <c r="VXC840" s="802"/>
      <c r="VXD840" s="802"/>
      <c r="VXE840" s="802"/>
      <c r="VXF840" s="802"/>
      <c r="VXG840" s="802"/>
      <c r="VXH840" s="802"/>
      <c r="VXI840" s="802"/>
      <c r="VXJ840" s="802"/>
      <c r="VXK840" s="802"/>
      <c r="VXL840" s="802"/>
      <c r="VXM840" s="802"/>
      <c r="VXN840" s="802"/>
      <c r="VXO840" s="802"/>
      <c r="VXP840" s="802"/>
      <c r="VXQ840" s="802"/>
      <c r="VXR840" s="802"/>
      <c r="VXS840" s="802"/>
      <c r="VXT840" s="802"/>
      <c r="VXU840" s="802"/>
      <c r="VXV840" s="802"/>
      <c r="VXW840" s="802"/>
      <c r="VXX840" s="802"/>
      <c r="VXY840" s="802"/>
      <c r="VXZ840" s="802"/>
      <c r="VYA840" s="802"/>
      <c r="VYB840" s="802"/>
      <c r="VYC840" s="802"/>
      <c r="VYD840" s="802"/>
      <c r="VYE840" s="802"/>
      <c r="VYF840" s="802"/>
      <c r="VYG840" s="802"/>
      <c r="VYH840" s="802"/>
      <c r="VYI840" s="802"/>
      <c r="VYJ840" s="802"/>
      <c r="VYK840" s="802"/>
      <c r="VYL840" s="802"/>
      <c r="VYM840" s="802"/>
      <c r="VYN840" s="802"/>
      <c r="VYO840" s="802"/>
      <c r="VYP840" s="802"/>
      <c r="VYQ840" s="802"/>
      <c r="VYR840" s="802"/>
      <c r="VYS840" s="802"/>
      <c r="VYT840" s="802"/>
      <c r="VYU840" s="802"/>
      <c r="VYV840" s="802"/>
      <c r="VYW840" s="802"/>
      <c r="VYX840" s="802"/>
      <c r="VYY840" s="802"/>
      <c r="VYZ840" s="802"/>
      <c r="VZA840" s="802"/>
      <c r="VZB840" s="802"/>
      <c r="VZC840" s="802"/>
      <c r="VZD840" s="802"/>
      <c r="VZE840" s="802"/>
      <c r="VZF840" s="802"/>
      <c r="VZG840" s="802"/>
      <c r="VZH840" s="802"/>
      <c r="VZI840" s="802"/>
      <c r="VZJ840" s="802"/>
      <c r="VZK840" s="802"/>
      <c r="VZL840" s="802"/>
      <c r="VZM840" s="802"/>
      <c r="VZN840" s="802"/>
      <c r="VZO840" s="802"/>
      <c r="VZP840" s="802"/>
      <c r="VZQ840" s="802"/>
      <c r="VZR840" s="802"/>
      <c r="VZS840" s="802"/>
      <c r="VZT840" s="802"/>
      <c r="VZU840" s="802"/>
      <c r="VZV840" s="802"/>
      <c r="VZW840" s="802"/>
      <c r="VZX840" s="802"/>
      <c r="VZY840" s="802"/>
      <c r="VZZ840" s="802"/>
      <c r="WAA840" s="802"/>
      <c r="WAB840" s="802"/>
      <c r="WAC840" s="802"/>
      <c r="WAD840" s="802"/>
      <c r="WAE840" s="802"/>
      <c r="WAF840" s="802"/>
      <c r="WAG840" s="802"/>
      <c r="WAH840" s="802"/>
      <c r="WAI840" s="802"/>
      <c r="WAJ840" s="802"/>
      <c r="WAK840" s="802"/>
      <c r="WAL840" s="802"/>
      <c r="WAM840" s="802"/>
      <c r="WAN840" s="802"/>
      <c r="WAO840" s="802"/>
      <c r="WAP840" s="802"/>
      <c r="WAQ840" s="802"/>
      <c r="WAR840" s="802"/>
      <c r="WAS840" s="802"/>
      <c r="WAT840" s="802"/>
      <c r="WAU840" s="802"/>
      <c r="WAV840" s="802"/>
      <c r="WAW840" s="802"/>
      <c r="WAX840" s="802"/>
      <c r="WAY840" s="802"/>
      <c r="WAZ840" s="802"/>
      <c r="WBA840" s="802"/>
      <c r="WBB840" s="802"/>
      <c r="WBC840" s="802"/>
      <c r="WBD840" s="802"/>
      <c r="WBE840" s="802"/>
      <c r="WBF840" s="802"/>
      <c r="WBG840" s="802"/>
      <c r="WBH840" s="802"/>
      <c r="WBI840" s="802"/>
      <c r="WBJ840" s="802"/>
      <c r="WBK840" s="802"/>
      <c r="WBL840" s="802"/>
      <c r="WBM840" s="802"/>
      <c r="WBN840" s="802"/>
      <c r="WBO840" s="802"/>
      <c r="WBP840" s="802"/>
      <c r="WBQ840" s="802"/>
      <c r="WBR840" s="802"/>
      <c r="WBS840" s="802"/>
      <c r="WBT840" s="802"/>
      <c r="WBU840" s="802"/>
      <c r="WBV840" s="802"/>
      <c r="WBW840" s="802"/>
      <c r="WBX840" s="802"/>
      <c r="WBY840" s="802"/>
      <c r="WBZ840" s="802"/>
      <c r="WCA840" s="802"/>
      <c r="WCB840" s="802"/>
      <c r="WCC840" s="802"/>
      <c r="WCD840" s="802"/>
      <c r="WCE840" s="802"/>
      <c r="WCF840" s="802"/>
      <c r="WCG840" s="802"/>
      <c r="WCH840" s="802"/>
      <c r="WCI840" s="802"/>
      <c r="WCJ840" s="802"/>
      <c r="WCK840" s="802"/>
      <c r="WCL840" s="802"/>
      <c r="WCM840" s="802"/>
      <c r="WCN840" s="802"/>
      <c r="WCO840" s="802"/>
      <c r="WCP840" s="802"/>
      <c r="WCQ840" s="802"/>
      <c r="WCR840" s="802"/>
      <c r="WCS840" s="802"/>
      <c r="WCT840" s="802"/>
      <c r="WCU840" s="802"/>
      <c r="WCV840" s="802"/>
      <c r="WCW840" s="802"/>
      <c r="WCX840" s="802"/>
      <c r="WCY840" s="802"/>
      <c r="WCZ840" s="802"/>
      <c r="WDA840" s="802"/>
      <c r="WDB840" s="802"/>
      <c r="WDC840" s="802"/>
      <c r="WDD840" s="802"/>
      <c r="WDE840" s="802"/>
      <c r="WDF840" s="802"/>
      <c r="WDG840" s="802"/>
      <c r="WDH840" s="802"/>
      <c r="WDI840" s="802"/>
      <c r="WDJ840" s="802"/>
      <c r="WDK840" s="802"/>
      <c r="WDL840" s="802"/>
      <c r="WDM840" s="802"/>
      <c r="WDN840" s="802"/>
      <c r="WDO840" s="802"/>
      <c r="WDP840" s="802"/>
      <c r="WDQ840" s="802"/>
      <c r="WDR840" s="802"/>
      <c r="WDS840" s="802"/>
      <c r="WDT840" s="802"/>
      <c r="WDU840" s="802"/>
      <c r="WDV840" s="802"/>
      <c r="WDW840" s="802"/>
      <c r="WDX840" s="802"/>
      <c r="WDY840" s="802"/>
      <c r="WDZ840" s="802"/>
      <c r="WEA840" s="802"/>
      <c r="WEB840" s="802"/>
      <c r="WEC840" s="802"/>
      <c r="WED840" s="802"/>
      <c r="WEE840" s="802"/>
      <c r="WEF840" s="802"/>
      <c r="WEG840" s="802"/>
      <c r="WEH840" s="802"/>
      <c r="WEI840" s="802"/>
      <c r="WEJ840" s="802"/>
      <c r="WEK840" s="802"/>
      <c r="WEL840" s="802"/>
      <c r="WEM840" s="802"/>
      <c r="WEN840" s="802"/>
      <c r="WEO840" s="802"/>
      <c r="WEP840" s="802"/>
      <c r="WEQ840" s="802"/>
      <c r="WER840" s="802"/>
      <c r="WES840" s="802"/>
      <c r="WET840" s="802"/>
      <c r="WEU840" s="802"/>
      <c r="WEV840" s="802"/>
      <c r="WEW840" s="802"/>
      <c r="WEX840" s="802"/>
      <c r="WEY840" s="802"/>
      <c r="WEZ840" s="802"/>
      <c r="WFA840" s="802"/>
      <c r="WFB840" s="802"/>
      <c r="WFC840" s="802"/>
      <c r="WFD840" s="802"/>
      <c r="WFE840" s="802"/>
      <c r="WFF840" s="802"/>
      <c r="WFG840" s="802"/>
      <c r="WFH840" s="802"/>
      <c r="WFI840" s="802"/>
      <c r="WFJ840" s="802"/>
      <c r="WFK840" s="802"/>
      <c r="WFL840" s="802"/>
      <c r="WFM840" s="802"/>
      <c r="WFN840" s="802"/>
      <c r="WFO840" s="802"/>
      <c r="WFP840" s="802"/>
      <c r="WFQ840" s="802"/>
      <c r="WFR840" s="802"/>
      <c r="WFS840" s="802"/>
      <c r="WFT840" s="802"/>
      <c r="WFU840" s="802"/>
      <c r="WFV840" s="802"/>
      <c r="WFW840" s="802"/>
      <c r="WFX840" s="802"/>
      <c r="WFY840" s="802"/>
      <c r="WFZ840" s="802"/>
      <c r="WGA840" s="802"/>
      <c r="WGB840" s="802"/>
      <c r="WGC840" s="802"/>
      <c r="WGD840" s="802"/>
      <c r="WGE840" s="802"/>
      <c r="WGF840" s="802"/>
      <c r="WGG840" s="802"/>
      <c r="WGH840" s="802"/>
      <c r="WGI840" s="802"/>
      <c r="WGJ840" s="802"/>
      <c r="WGK840" s="802"/>
      <c r="WGL840" s="802"/>
      <c r="WGM840" s="802"/>
      <c r="WGN840" s="802"/>
      <c r="WGO840" s="802"/>
      <c r="WGP840" s="802"/>
      <c r="WGQ840" s="802"/>
      <c r="WGR840" s="802"/>
      <c r="WGS840" s="802"/>
      <c r="WGT840" s="802"/>
      <c r="WGU840" s="802"/>
      <c r="WGV840" s="802"/>
      <c r="WGW840" s="802"/>
      <c r="WGX840" s="802"/>
      <c r="WGY840" s="802"/>
      <c r="WGZ840" s="802"/>
      <c r="WHA840" s="802"/>
      <c r="WHB840" s="802"/>
      <c r="WHC840" s="802"/>
      <c r="WHD840" s="802"/>
      <c r="WHE840" s="802"/>
      <c r="WHF840" s="802"/>
      <c r="WHG840" s="802"/>
      <c r="WHH840" s="802"/>
      <c r="WHI840" s="802"/>
      <c r="WHJ840" s="802"/>
      <c r="WHK840" s="802"/>
      <c r="WHL840" s="802"/>
      <c r="WHM840" s="802"/>
      <c r="WHN840" s="802"/>
      <c r="WHO840" s="802"/>
      <c r="WHP840" s="802"/>
      <c r="WHQ840" s="802"/>
      <c r="WHR840" s="802"/>
      <c r="WHS840" s="802"/>
      <c r="WHT840" s="802"/>
      <c r="WHU840" s="802"/>
      <c r="WHV840" s="802"/>
      <c r="WHW840" s="802"/>
      <c r="WHX840" s="802"/>
      <c r="WHY840" s="802"/>
      <c r="WHZ840" s="802"/>
      <c r="WIA840" s="802"/>
      <c r="WIB840" s="802"/>
      <c r="WIC840" s="802"/>
      <c r="WID840" s="802"/>
      <c r="WIE840" s="802"/>
      <c r="WIF840" s="802"/>
      <c r="WIG840" s="802"/>
      <c r="WIH840" s="802"/>
      <c r="WII840" s="802"/>
      <c r="WIJ840" s="802"/>
      <c r="WIK840" s="802"/>
      <c r="WIL840" s="802"/>
      <c r="WIM840" s="802"/>
      <c r="WIN840" s="802"/>
      <c r="WIO840" s="802"/>
      <c r="WIP840" s="802"/>
      <c r="WIQ840" s="802"/>
      <c r="WIR840" s="802"/>
      <c r="WIS840" s="802"/>
      <c r="WIT840" s="802"/>
      <c r="WIU840" s="802"/>
      <c r="WIV840" s="802"/>
      <c r="WIW840" s="802"/>
      <c r="WIX840" s="802"/>
      <c r="WIY840" s="802"/>
      <c r="WIZ840" s="802"/>
      <c r="WJA840" s="802"/>
      <c r="WJB840" s="802"/>
      <c r="WJC840" s="802"/>
      <c r="WJD840" s="802"/>
      <c r="WJE840" s="802"/>
      <c r="WJF840" s="802"/>
      <c r="WJG840" s="802"/>
      <c r="WJH840" s="802"/>
      <c r="WJI840" s="802"/>
      <c r="WJJ840" s="802"/>
      <c r="WJK840" s="802"/>
      <c r="WJL840" s="802"/>
      <c r="WJM840" s="802"/>
      <c r="WJN840" s="802"/>
      <c r="WJO840" s="802"/>
      <c r="WJP840" s="802"/>
      <c r="WJQ840" s="802"/>
      <c r="WJR840" s="802"/>
      <c r="WJS840" s="802"/>
      <c r="WJT840" s="802"/>
      <c r="WJU840" s="802"/>
      <c r="WJV840" s="802"/>
      <c r="WJW840" s="802"/>
      <c r="WJX840" s="802"/>
      <c r="WJY840" s="802"/>
      <c r="WJZ840" s="802"/>
      <c r="WKA840" s="802"/>
      <c r="WKB840" s="802"/>
      <c r="WKC840" s="802"/>
      <c r="WKD840" s="802"/>
      <c r="WKE840" s="802"/>
      <c r="WKF840" s="802"/>
      <c r="WKG840" s="802"/>
      <c r="WKH840" s="802"/>
      <c r="WKI840" s="802"/>
      <c r="WKJ840" s="802"/>
      <c r="WKK840" s="802"/>
      <c r="WKL840" s="802"/>
      <c r="WKM840" s="802"/>
      <c r="WKN840" s="802"/>
      <c r="WKO840" s="802"/>
      <c r="WKP840" s="802"/>
      <c r="WKQ840" s="802"/>
      <c r="WKR840" s="802"/>
      <c r="WKS840" s="802"/>
      <c r="WKT840" s="802"/>
      <c r="WKU840" s="802"/>
      <c r="WKV840" s="802"/>
      <c r="WKW840" s="802"/>
      <c r="WKX840" s="802"/>
      <c r="WKY840" s="802"/>
      <c r="WKZ840" s="802"/>
      <c r="WLA840" s="802"/>
      <c r="WLB840" s="802"/>
      <c r="WLC840" s="802"/>
      <c r="WLD840" s="802"/>
      <c r="WLE840" s="802"/>
      <c r="WLF840" s="802"/>
      <c r="WLG840" s="802"/>
      <c r="WLH840" s="802"/>
      <c r="WLI840" s="802"/>
      <c r="WLJ840" s="802"/>
      <c r="WLK840" s="802"/>
      <c r="WLL840" s="802"/>
      <c r="WLM840" s="802"/>
      <c r="WLN840" s="802"/>
      <c r="WLO840" s="802"/>
      <c r="WLP840" s="802"/>
      <c r="WLQ840" s="802"/>
      <c r="WLR840" s="802"/>
      <c r="WLS840" s="802"/>
      <c r="WLT840" s="802"/>
      <c r="WLU840" s="802"/>
      <c r="WLV840" s="802"/>
      <c r="WLW840" s="802"/>
      <c r="WLX840" s="802"/>
      <c r="WLY840" s="802"/>
      <c r="WLZ840" s="802"/>
      <c r="WMA840" s="802"/>
      <c r="WMB840" s="802"/>
      <c r="WMC840" s="802"/>
      <c r="WMD840" s="802"/>
      <c r="WME840" s="802"/>
      <c r="WMF840" s="802"/>
      <c r="WMG840" s="802"/>
      <c r="WMH840" s="802"/>
      <c r="WMI840" s="802"/>
      <c r="WMJ840" s="802"/>
      <c r="WMK840" s="802"/>
      <c r="WML840" s="802"/>
      <c r="WMM840" s="802"/>
      <c r="WMN840" s="802"/>
      <c r="WMO840" s="802"/>
      <c r="WMP840" s="802"/>
      <c r="WMQ840" s="802"/>
      <c r="WMR840" s="802"/>
      <c r="WMS840" s="802"/>
      <c r="WMT840" s="802"/>
      <c r="WMU840" s="802"/>
      <c r="WMV840" s="802"/>
      <c r="WMW840" s="802"/>
      <c r="WMX840" s="802"/>
      <c r="WMY840" s="802"/>
      <c r="WMZ840" s="802"/>
      <c r="WNA840" s="802"/>
      <c r="WNB840" s="802"/>
      <c r="WNC840" s="802"/>
      <c r="WND840" s="802"/>
      <c r="WNE840" s="802"/>
      <c r="WNF840" s="802"/>
      <c r="WNG840" s="802"/>
      <c r="WNH840" s="802"/>
      <c r="WNI840" s="802"/>
      <c r="WNJ840" s="802"/>
      <c r="WNK840" s="802"/>
      <c r="WNL840" s="802"/>
      <c r="WNM840" s="802"/>
      <c r="WNN840" s="802"/>
      <c r="WNO840" s="802"/>
      <c r="WNP840" s="802"/>
      <c r="WNQ840" s="802"/>
      <c r="WNR840" s="802"/>
      <c r="WNS840" s="802"/>
      <c r="WNT840" s="802"/>
      <c r="WNU840" s="802"/>
      <c r="WNV840" s="802"/>
      <c r="WNW840" s="802"/>
      <c r="WNX840" s="802"/>
      <c r="WNY840" s="802"/>
      <c r="WNZ840" s="802"/>
      <c r="WOA840" s="802"/>
      <c r="WOB840" s="802"/>
      <c r="WOC840" s="802"/>
      <c r="WOD840" s="802"/>
      <c r="WOE840" s="802"/>
      <c r="WOF840" s="802"/>
      <c r="WOG840" s="802"/>
      <c r="WOH840" s="802"/>
      <c r="WOI840" s="802"/>
      <c r="WOJ840" s="802"/>
      <c r="WOK840" s="802"/>
      <c r="WOL840" s="802"/>
      <c r="WOM840" s="802"/>
      <c r="WON840" s="802"/>
      <c r="WOO840" s="802"/>
      <c r="WOP840" s="802"/>
      <c r="WOQ840" s="802"/>
      <c r="WOR840" s="802"/>
      <c r="WOS840" s="802"/>
      <c r="WOT840" s="802"/>
      <c r="WOU840" s="802"/>
      <c r="WOV840" s="802"/>
      <c r="WOW840" s="802"/>
      <c r="WOX840" s="802"/>
      <c r="WOY840" s="802"/>
      <c r="WOZ840" s="802"/>
      <c r="WPA840" s="802"/>
      <c r="WPB840" s="802"/>
      <c r="WPC840" s="802"/>
      <c r="WPD840" s="802"/>
      <c r="WPE840" s="802"/>
      <c r="WPF840" s="802"/>
      <c r="WPG840" s="802"/>
      <c r="WPH840" s="802"/>
      <c r="WPI840" s="802"/>
      <c r="WPJ840" s="802"/>
      <c r="WPK840" s="802"/>
      <c r="WPL840" s="802"/>
      <c r="WPM840" s="802"/>
      <c r="WPN840" s="802"/>
      <c r="WPO840" s="802"/>
      <c r="WPP840" s="802"/>
      <c r="WPQ840" s="802"/>
      <c r="WPR840" s="802"/>
      <c r="WPS840" s="802"/>
      <c r="WPT840" s="802"/>
      <c r="WPU840" s="802"/>
      <c r="WPV840" s="802"/>
      <c r="WPW840" s="802"/>
      <c r="WPX840" s="802"/>
      <c r="WPY840" s="802"/>
      <c r="WPZ840" s="802"/>
      <c r="WQA840" s="802"/>
      <c r="WQB840" s="802"/>
      <c r="WQC840" s="802"/>
      <c r="WQD840" s="802"/>
      <c r="WQE840" s="802"/>
      <c r="WQF840" s="802"/>
      <c r="WQG840" s="802"/>
      <c r="WQH840" s="802"/>
      <c r="WQI840" s="802"/>
      <c r="WQJ840" s="802"/>
      <c r="WQK840" s="802"/>
      <c r="WQL840" s="802"/>
      <c r="WQM840" s="802"/>
      <c r="WQN840" s="802"/>
      <c r="WQO840" s="802"/>
      <c r="WQP840" s="802"/>
      <c r="WQQ840" s="802"/>
      <c r="WQR840" s="802"/>
      <c r="WQS840" s="802"/>
      <c r="WQT840" s="802"/>
      <c r="WQU840" s="802"/>
      <c r="WQV840" s="802"/>
      <c r="WQW840" s="802"/>
      <c r="WQX840" s="802"/>
      <c r="WQY840" s="802"/>
      <c r="WQZ840" s="802"/>
      <c r="WRA840" s="802"/>
      <c r="WRB840" s="802"/>
      <c r="WRC840" s="802"/>
      <c r="WRD840" s="802"/>
      <c r="WRE840" s="802"/>
      <c r="WRF840" s="802"/>
      <c r="WRG840" s="802"/>
      <c r="WRH840" s="802"/>
      <c r="WRI840" s="802"/>
      <c r="WRJ840" s="802"/>
      <c r="WRK840" s="802"/>
      <c r="WRL840" s="802"/>
      <c r="WRM840" s="802"/>
      <c r="WRN840" s="802"/>
      <c r="WRO840" s="802"/>
      <c r="WRP840" s="802"/>
      <c r="WRQ840" s="802"/>
      <c r="WRR840" s="802"/>
      <c r="WRS840" s="802"/>
      <c r="WRT840" s="802"/>
      <c r="WRU840" s="802"/>
      <c r="WRV840" s="802"/>
      <c r="WRW840" s="802"/>
      <c r="WRX840" s="802"/>
      <c r="WRY840" s="802"/>
      <c r="WRZ840" s="802"/>
      <c r="WSA840" s="802"/>
      <c r="WSB840" s="802"/>
      <c r="WSC840" s="802"/>
      <c r="WSD840" s="802"/>
      <c r="WSE840" s="802"/>
      <c r="WSF840" s="802"/>
      <c r="WSG840" s="802"/>
      <c r="WSH840" s="802"/>
      <c r="WSI840" s="802"/>
      <c r="WSJ840" s="802"/>
      <c r="WSK840" s="802"/>
      <c r="WSL840" s="802"/>
      <c r="WSM840" s="802"/>
      <c r="WSN840" s="802"/>
      <c r="WSO840" s="802"/>
      <c r="WSP840" s="802"/>
      <c r="WSQ840" s="802"/>
      <c r="WSR840" s="802"/>
      <c r="WSS840" s="802"/>
      <c r="WST840" s="802"/>
      <c r="WSU840" s="802"/>
      <c r="WSV840" s="802"/>
      <c r="WSW840" s="802"/>
      <c r="WSX840" s="802"/>
      <c r="WSY840" s="802"/>
      <c r="WSZ840" s="802"/>
      <c r="WTA840" s="802"/>
      <c r="WTB840" s="802"/>
      <c r="WTC840" s="802"/>
      <c r="WTD840" s="802"/>
      <c r="WTE840" s="802"/>
      <c r="WTF840" s="802"/>
      <c r="WTG840" s="802"/>
      <c r="WTH840" s="802"/>
      <c r="WTI840" s="802"/>
      <c r="WTJ840" s="802"/>
      <c r="WTK840" s="802"/>
      <c r="WTL840" s="802"/>
      <c r="WTM840" s="802"/>
      <c r="WTN840" s="802"/>
      <c r="WTO840" s="802"/>
      <c r="WTP840" s="802"/>
      <c r="WTQ840" s="802"/>
      <c r="WTR840" s="802"/>
      <c r="WTS840" s="802"/>
      <c r="WTT840" s="802"/>
      <c r="WTU840" s="802"/>
      <c r="WTV840" s="802"/>
      <c r="WTW840" s="802"/>
      <c r="WTX840" s="802"/>
      <c r="WTY840" s="802"/>
      <c r="WTZ840" s="802"/>
      <c r="WUA840" s="802"/>
      <c r="WUB840" s="802"/>
      <c r="WUC840" s="802"/>
      <c r="WUD840" s="802"/>
      <c r="WUE840" s="802"/>
      <c r="WUF840" s="802"/>
      <c r="WUG840" s="802"/>
      <c r="WUH840" s="802"/>
      <c r="WUI840" s="802"/>
      <c r="WUJ840" s="802"/>
      <c r="WUK840" s="802"/>
      <c r="WUL840" s="802"/>
      <c r="WUM840" s="802"/>
      <c r="WUN840" s="802"/>
      <c r="WUO840" s="802"/>
      <c r="WUP840" s="802"/>
      <c r="WUQ840" s="802"/>
      <c r="WUR840" s="802"/>
      <c r="WUS840" s="802"/>
      <c r="WUT840" s="802"/>
      <c r="WUU840" s="802"/>
      <c r="WUV840" s="802"/>
      <c r="WUW840" s="802"/>
      <c r="WUX840" s="802"/>
      <c r="WUY840" s="802"/>
      <c r="WUZ840" s="802"/>
      <c r="WVA840" s="802"/>
      <c r="WVB840" s="802"/>
      <c r="WVC840" s="802"/>
      <c r="WVD840" s="802"/>
      <c r="WVE840" s="802"/>
      <c r="WVF840" s="802"/>
      <c r="WVG840" s="802"/>
      <c r="WVH840" s="802"/>
      <c r="WVI840" s="802"/>
      <c r="WVJ840" s="802"/>
      <c r="WVK840" s="802"/>
      <c r="WVL840" s="802"/>
      <c r="WVM840" s="802"/>
      <c r="WVN840" s="802"/>
      <c r="WVO840" s="802"/>
      <c r="WVP840" s="802"/>
      <c r="WVQ840" s="802"/>
      <c r="WVR840" s="802"/>
    </row>
    <row r="841" spans="1:16138" s="1336" customFormat="1">
      <c r="A841" s="802"/>
      <c r="B841" s="802"/>
      <c r="C841" s="803"/>
      <c r="D841" s="1337"/>
      <c r="E841" s="1334"/>
      <c r="F841" s="1334"/>
      <c r="G841" s="1333"/>
      <c r="H841" s="1333"/>
      <c r="I841" s="802"/>
      <c r="J841" s="802"/>
      <c r="K841" s="802"/>
      <c r="L841" s="802"/>
      <c r="M841" s="802"/>
      <c r="N841" s="802"/>
      <c r="O841" s="802"/>
      <c r="P841" s="802"/>
      <c r="Q841" s="802"/>
      <c r="R841" s="802"/>
      <c r="S841" s="802"/>
      <c r="T841" s="802"/>
      <c r="U841" s="802"/>
      <c r="V841" s="802"/>
      <c r="W841" s="802"/>
      <c r="X841" s="802"/>
      <c r="Y841" s="802"/>
      <c r="Z841" s="802"/>
      <c r="AA841" s="802"/>
      <c r="AB841" s="802"/>
      <c r="AC841" s="802"/>
      <c r="AD841" s="802"/>
      <c r="AE841" s="802"/>
      <c r="AF841" s="802"/>
      <c r="AG841" s="802"/>
      <c r="AH841" s="802"/>
      <c r="AI841" s="802"/>
      <c r="AJ841" s="802"/>
      <c r="AK841" s="802"/>
      <c r="AL841" s="802"/>
      <c r="AM841" s="802"/>
      <c r="AN841" s="802"/>
      <c r="AO841" s="802"/>
      <c r="AP841" s="802"/>
      <c r="AQ841" s="802"/>
      <c r="AR841" s="802"/>
      <c r="AS841" s="802"/>
      <c r="AT841" s="802"/>
      <c r="AU841" s="802"/>
      <c r="AV841" s="802"/>
      <c r="AW841" s="802"/>
      <c r="AX841" s="802"/>
      <c r="AY841" s="802"/>
      <c r="AZ841" s="802"/>
      <c r="BA841" s="802"/>
      <c r="BB841" s="802"/>
      <c r="BC841" s="802"/>
      <c r="BD841" s="802"/>
      <c r="BE841" s="802"/>
      <c r="BF841" s="802"/>
      <c r="BG841" s="802"/>
      <c r="BH841" s="802"/>
      <c r="BI841" s="802"/>
      <c r="BJ841" s="802"/>
      <c r="BK841" s="802"/>
      <c r="BL841" s="802"/>
      <c r="BM841" s="802"/>
      <c r="BN841" s="802"/>
      <c r="BO841" s="802"/>
      <c r="BP841" s="802"/>
      <c r="BQ841" s="802"/>
      <c r="BR841" s="802"/>
      <c r="BS841" s="802"/>
      <c r="BT841" s="802"/>
      <c r="BU841" s="802"/>
      <c r="BV841" s="802"/>
      <c r="BW841" s="802"/>
      <c r="BX841" s="802"/>
      <c r="BY841" s="802"/>
      <c r="BZ841" s="802"/>
      <c r="CA841" s="802"/>
      <c r="CB841" s="802"/>
      <c r="CC841" s="802"/>
      <c r="CD841" s="802"/>
      <c r="CE841" s="802"/>
      <c r="CF841" s="802"/>
      <c r="CG841" s="802"/>
      <c r="CH841" s="802"/>
      <c r="CI841" s="802"/>
      <c r="CJ841" s="802"/>
      <c r="CK841" s="802"/>
      <c r="CL841" s="802"/>
      <c r="CM841" s="802"/>
      <c r="CN841" s="802"/>
      <c r="CO841" s="802"/>
      <c r="CP841" s="802"/>
      <c r="CQ841" s="802"/>
      <c r="CR841" s="802"/>
      <c r="CS841" s="802"/>
      <c r="CT841" s="802"/>
      <c r="CU841" s="802"/>
      <c r="CV841" s="802"/>
      <c r="CW841" s="802"/>
      <c r="CX841" s="802"/>
      <c r="CY841" s="802"/>
      <c r="CZ841" s="802"/>
      <c r="DA841" s="802"/>
      <c r="DB841" s="802"/>
      <c r="DC841" s="802"/>
      <c r="DD841" s="802"/>
      <c r="DE841" s="802"/>
      <c r="DF841" s="802"/>
      <c r="DG841" s="802"/>
      <c r="DH841" s="802"/>
      <c r="DI841" s="802"/>
      <c r="DJ841" s="802"/>
      <c r="DK841" s="802"/>
      <c r="DL841" s="802"/>
      <c r="DM841" s="802"/>
      <c r="DN841" s="802"/>
      <c r="DO841" s="802"/>
      <c r="DP841" s="802"/>
      <c r="DQ841" s="802"/>
      <c r="DR841" s="802"/>
      <c r="DS841" s="802"/>
      <c r="DT841" s="802"/>
      <c r="DU841" s="802"/>
      <c r="DV841" s="802"/>
      <c r="DW841" s="802"/>
      <c r="DX841" s="802"/>
      <c r="DY841" s="802"/>
      <c r="DZ841" s="802"/>
      <c r="EA841" s="802"/>
      <c r="EB841" s="802"/>
      <c r="EC841" s="802"/>
      <c r="ED841" s="802"/>
      <c r="EE841" s="802"/>
      <c r="EF841" s="802"/>
      <c r="EG841" s="802"/>
      <c r="EH841" s="802"/>
      <c r="EI841" s="802"/>
      <c r="EJ841" s="802"/>
      <c r="EK841" s="802"/>
      <c r="EL841" s="802"/>
      <c r="EM841" s="802"/>
      <c r="EN841" s="802"/>
      <c r="EO841" s="802"/>
      <c r="EP841" s="802"/>
      <c r="EQ841" s="802"/>
      <c r="ER841" s="802"/>
      <c r="ES841" s="802"/>
      <c r="ET841" s="802"/>
      <c r="EU841" s="802"/>
      <c r="EV841" s="802"/>
      <c r="EW841" s="802"/>
      <c r="EX841" s="802"/>
      <c r="EY841" s="802"/>
      <c r="EZ841" s="802"/>
      <c r="FA841" s="802"/>
      <c r="FB841" s="802"/>
      <c r="FC841" s="802"/>
      <c r="FD841" s="802"/>
      <c r="FE841" s="802"/>
      <c r="FF841" s="802"/>
      <c r="FG841" s="802"/>
      <c r="FH841" s="802"/>
      <c r="FI841" s="802"/>
      <c r="FJ841" s="802"/>
      <c r="FK841" s="802"/>
      <c r="FL841" s="802"/>
      <c r="FM841" s="802"/>
      <c r="FN841" s="802"/>
      <c r="FO841" s="802"/>
      <c r="FP841" s="802"/>
      <c r="FQ841" s="802"/>
      <c r="FR841" s="802"/>
      <c r="FS841" s="802"/>
      <c r="FT841" s="802"/>
      <c r="FU841" s="802"/>
      <c r="FV841" s="802"/>
      <c r="FW841" s="802"/>
      <c r="FX841" s="802"/>
      <c r="FY841" s="802"/>
      <c r="FZ841" s="802"/>
      <c r="GA841" s="802"/>
      <c r="GB841" s="802"/>
      <c r="GC841" s="802"/>
      <c r="GD841" s="802"/>
      <c r="GE841" s="802"/>
      <c r="GF841" s="802"/>
      <c r="GG841" s="802"/>
      <c r="GH841" s="802"/>
      <c r="GI841" s="802"/>
      <c r="GJ841" s="802"/>
      <c r="GK841" s="802"/>
      <c r="GL841" s="802"/>
      <c r="GM841" s="802"/>
      <c r="GN841" s="802"/>
      <c r="GO841" s="802"/>
      <c r="GP841" s="802"/>
      <c r="GQ841" s="802"/>
      <c r="GR841" s="802"/>
      <c r="GS841" s="802"/>
      <c r="GT841" s="802"/>
      <c r="GU841" s="802"/>
      <c r="GV841" s="802"/>
      <c r="GW841" s="802"/>
      <c r="GX841" s="802"/>
      <c r="GY841" s="802"/>
      <c r="GZ841" s="802"/>
      <c r="HA841" s="802"/>
      <c r="HB841" s="802"/>
      <c r="HC841" s="802"/>
      <c r="HD841" s="802"/>
      <c r="HE841" s="802"/>
      <c r="HF841" s="802"/>
      <c r="HG841" s="802"/>
      <c r="HH841" s="802"/>
      <c r="HI841" s="802"/>
      <c r="HJ841" s="802"/>
      <c r="HK841" s="802"/>
      <c r="HL841" s="802"/>
      <c r="HM841" s="802"/>
      <c r="HN841" s="802"/>
      <c r="HO841" s="802"/>
      <c r="HP841" s="802"/>
      <c r="HQ841" s="802"/>
      <c r="HR841" s="802"/>
      <c r="HS841" s="802"/>
      <c r="HT841" s="802"/>
      <c r="HU841" s="802"/>
      <c r="HV841" s="802"/>
      <c r="HW841" s="802"/>
      <c r="HX841" s="802"/>
      <c r="HY841" s="802"/>
      <c r="HZ841" s="802"/>
      <c r="IA841" s="802"/>
      <c r="IB841" s="802"/>
      <c r="IC841" s="802"/>
      <c r="ID841" s="802"/>
      <c r="IE841" s="802"/>
      <c r="IF841" s="802"/>
      <c r="IG841" s="802"/>
      <c r="IH841" s="802"/>
      <c r="II841" s="802"/>
      <c r="IJ841" s="802"/>
      <c r="IK841" s="802"/>
      <c r="IL841" s="802"/>
      <c r="IM841" s="802"/>
      <c r="IN841" s="802"/>
      <c r="IO841" s="802"/>
      <c r="IP841" s="802"/>
      <c r="IQ841" s="802"/>
      <c r="IR841" s="802"/>
      <c r="IS841" s="802"/>
      <c r="IT841" s="802"/>
      <c r="IU841" s="802"/>
      <c r="IV841" s="802"/>
      <c r="IW841" s="802"/>
      <c r="IX841" s="802"/>
      <c r="IY841" s="802"/>
      <c r="IZ841" s="802"/>
      <c r="JA841" s="802"/>
      <c r="JB841" s="802"/>
      <c r="JC841" s="802"/>
      <c r="JD841" s="802"/>
      <c r="JE841" s="802"/>
      <c r="JF841" s="802"/>
      <c r="JG841" s="802"/>
      <c r="JH841" s="802"/>
      <c r="JI841" s="802"/>
      <c r="JJ841" s="802"/>
      <c r="JK841" s="802"/>
      <c r="JL841" s="802"/>
      <c r="JM841" s="802"/>
      <c r="JN841" s="802"/>
      <c r="JO841" s="802"/>
      <c r="JP841" s="802"/>
      <c r="JQ841" s="802"/>
      <c r="JR841" s="802"/>
      <c r="JS841" s="802"/>
      <c r="JT841" s="802"/>
      <c r="JU841" s="802"/>
      <c r="JV841" s="802"/>
      <c r="JW841" s="802"/>
      <c r="JX841" s="802"/>
      <c r="JY841" s="802"/>
      <c r="JZ841" s="802"/>
      <c r="KA841" s="802"/>
      <c r="KB841" s="802"/>
      <c r="KC841" s="802"/>
      <c r="KD841" s="802"/>
      <c r="KE841" s="802"/>
      <c r="KF841" s="802"/>
      <c r="KG841" s="802"/>
      <c r="KH841" s="802"/>
      <c r="KI841" s="802"/>
      <c r="KJ841" s="802"/>
      <c r="KK841" s="802"/>
      <c r="KL841" s="802"/>
      <c r="KM841" s="802"/>
      <c r="KN841" s="802"/>
      <c r="KO841" s="802"/>
      <c r="KP841" s="802"/>
      <c r="KQ841" s="802"/>
      <c r="KR841" s="802"/>
      <c r="KS841" s="802"/>
      <c r="KT841" s="802"/>
      <c r="KU841" s="802"/>
      <c r="KV841" s="802"/>
      <c r="KW841" s="802"/>
      <c r="KX841" s="802"/>
      <c r="KY841" s="802"/>
      <c r="KZ841" s="802"/>
      <c r="LA841" s="802"/>
      <c r="LB841" s="802"/>
      <c r="LC841" s="802"/>
      <c r="LD841" s="802"/>
      <c r="LE841" s="802"/>
      <c r="LF841" s="802"/>
      <c r="LG841" s="802"/>
      <c r="LH841" s="802"/>
      <c r="LI841" s="802"/>
      <c r="LJ841" s="802"/>
      <c r="LK841" s="802"/>
      <c r="LL841" s="802"/>
      <c r="LM841" s="802"/>
      <c r="LN841" s="802"/>
      <c r="LO841" s="802"/>
      <c r="LP841" s="802"/>
      <c r="LQ841" s="802"/>
      <c r="LR841" s="802"/>
      <c r="LS841" s="802"/>
      <c r="LT841" s="802"/>
      <c r="LU841" s="802"/>
      <c r="LV841" s="802"/>
      <c r="LW841" s="802"/>
      <c r="LX841" s="802"/>
      <c r="LY841" s="802"/>
      <c r="LZ841" s="802"/>
      <c r="MA841" s="802"/>
      <c r="MB841" s="802"/>
      <c r="MC841" s="802"/>
      <c r="MD841" s="802"/>
      <c r="ME841" s="802"/>
      <c r="MF841" s="802"/>
      <c r="MG841" s="802"/>
      <c r="MH841" s="802"/>
      <c r="MI841" s="802"/>
      <c r="MJ841" s="802"/>
      <c r="MK841" s="802"/>
      <c r="ML841" s="802"/>
      <c r="MM841" s="802"/>
      <c r="MN841" s="802"/>
      <c r="MO841" s="802"/>
      <c r="MP841" s="802"/>
      <c r="MQ841" s="802"/>
      <c r="MR841" s="802"/>
      <c r="MS841" s="802"/>
      <c r="MT841" s="802"/>
      <c r="MU841" s="802"/>
      <c r="MV841" s="802"/>
      <c r="MW841" s="802"/>
      <c r="MX841" s="802"/>
      <c r="MY841" s="802"/>
      <c r="MZ841" s="802"/>
      <c r="NA841" s="802"/>
      <c r="NB841" s="802"/>
      <c r="NC841" s="802"/>
      <c r="ND841" s="802"/>
      <c r="NE841" s="802"/>
      <c r="NF841" s="802"/>
      <c r="NG841" s="802"/>
      <c r="NH841" s="802"/>
      <c r="NI841" s="802"/>
      <c r="NJ841" s="802"/>
      <c r="NK841" s="802"/>
      <c r="NL841" s="802"/>
      <c r="NM841" s="802"/>
      <c r="NN841" s="802"/>
      <c r="NO841" s="802"/>
      <c r="NP841" s="802"/>
      <c r="NQ841" s="802"/>
      <c r="NR841" s="802"/>
      <c r="NS841" s="802"/>
      <c r="NT841" s="802"/>
      <c r="NU841" s="802"/>
      <c r="NV841" s="802"/>
      <c r="NW841" s="802"/>
      <c r="NX841" s="802"/>
      <c r="NY841" s="802"/>
      <c r="NZ841" s="802"/>
      <c r="OA841" s="802"/>
      <c r="OB841" s="802"/>
      <c r="OC841" s="802"/>
      <c r="OD841" s="802"/>
      <c r="OE841" s="802"/>
      <c r="OF841" s="802"/>
      <c r="OG841" s="802"/>
      <c r="OH841" s="802"/>
      <c r="OI841" s="802"/>
      <c r="OJ841" s="802"/>
      <c r="OK841" s="802"/>
      <c r="OL841" s="802"/>
      <c r="OM841" s="802"/>
      <c r="ON841" s="802"/>
      <c r="OO841" s="802"/>
      <c r="OP841" s="802"/>
      <c r="OQ841" s="802"/>
      <c r="OR841" s="802"/>
      <c r="OS841" s="802"/>
      <c r="OT841" s="802"/>
      <c r="OU841" s="802"/>
      <c r="OV841" s="802"/>
      <c r="OW841" s="802"/>
      <c r="OX841" s="802"/>
      <c r="OY841" s="802"/>
      <c r="OZ841" s="802"/>
      <c r="PA841" s="802"/>
      <c r="PB841" s="802"/>
      <c r="PC841" s="802"/>
      <c r="PD841" s="802"/>
      <c r="PE841" s="802"/>
      <c r="PF841" s="802"/>
      <c r="PG841" s="802"/>
      <c r="PH841" s="802"/>
      <c r="PI841" s="802"/>
      <c r="PJ841" s="802"/>
      <c r="PK841" s="802"/>
      <c r="PL841" s="802"/>
      <c r="PM841" s="802"/>
      <c r="PN841" s="802"/>
      <c r="PO841" s="802"/>
      <c r="PP841" s="802"/>
      <c r="PQ841" s="802"/>
      <c r="PR841" s="802"/>
      <c r="PS841" s="802"/>
      <c r="PT841" s="802"/>
      <c r="PU841" s="802"/>
      <c r="PV841" s="802"/>
      <c r="PW841" s="802"/>
      <c r="PX841" s="802"/>
      <c r="PY841" s="802"/>
      <c r="PZ841" s="802"/>
      <c r="QA841" s="802"/>
      <c r="QB841" s="802"/>
      <c r="QC841" s="802"/>
      <c r="QD841" s="802"/>
      <c r="QE841" s="802"/>
      <c r="QF841" s="802"/>
      <c r="QG841" s="802"/>
      <c r="QH841" s="802"/>
      <c r="QI841" s="802"/>
      <c r="QJ841" s="802"/>
      <c r="QK841" s="802"/>
      <c r="QL841" s="802"/>
      <c r="QM841" s="802"/>
      <c r="QN841" s="802"/>
      <c r="QO841" s="802"/>
      <c r="QP841" s="802"/>
      <c r="QQ841" s="802"/>
      <c r="QR841" s="802"/>
      <c r="QS841" s="802"/>
      <c r="QT841" s="802"/>
      <c r="QU841" s="802"/>
      <c r="QV841" s="802"/>
      <c r="QW841" s="802"/>
      <c r="QX841" s="802"/>
      <c r="QY841" s="802"/>
      <c r="QZ841" s="802"/>
      <c r="RA841" s="802"/>
      <c r="RB841" s="802"/>
      <c r="RC841" s="802"/>
      <c r="RD841" s="802"/>
      <c r="RE841" s="802"/>
      <c r="RF841" s="802"/>
      <c r="RG841" s="802"/>
      <c r="RH841" s="802"/>
      <c r="RI841" s="802"/>
      <c r="RJ841" s="802"/>
      <c r="RK841" s="802"/>
      <c r="RL841" s="802"/>
      <c r="RM841" s="802"/>
      <c r="RN841" s="802"/>
      <c r="RO841" s="802"/>
      <c r="RP841" s="802"/>
      <c r="RQ841" s="802"/>
      <c r="RR841" s="802"/>
      <c r="RS841" s="802"/>
      <c r="RT841" s="802"/>
      <c r="RU841" s="802"/>
      <c r="RV841" s="802"/>
      <c r="RW841" s="802"/>
      <c r="RX841" s="802"/>
      <c r="RY841" s="802"/>
      <c r="RZ841" s="802"/>
      <c r="SA841" s="802"/>
      <c r="SB841" s="802"/>
      <c r="SC841" s="802"/>
      <c r="SD841" s="802"/>
      <c r="SE841" s="802"/>
      <c r="SF841" s="802"/>
      <c r="SG841" s="802"/>
      <c r="SH841" s="802"/>
      <c r="SI841" s="802"/>
      <c r="SJ841" s="802"/>
      <c r="SK841" s="802"/>
      <c r="SL841" s="802"/>
      <c r="SM841" s="802"/>
      <c r="SN841" s="802"/>
      <c r="SO841" s="802"/>
      <c r="SP841" s="802"/>
      <c r="SQ841" s="802"/>
      <c r="SR841" s="802"/>
      <c r="SS841" s="802"/>
      <c r="ST841" s="802"/>
      <c r="SU841" s="802"/>
      <c r="SV841" s="802"/>
      <c r="SW841" s="802"/>
      <c r="SX841" s="802"/>
      <c r="SY841" s="802"/>
      <c r="SZ841" s="802"/>
      <c r="TA841" s="802"/>
      <c r="TB841" s="802"/>
      <c r="TC841" s="802"/>
      <c r="TD841" s="802"/>
      <c r="TE841" s="802"/>
      <c r="TF841" s="802"/>
      <c r="TG841" s="802"/>
      <c r="TH841" s="802"/>
      <c r="TI841" s="802"/>
      <c r="TJ841" s="802"/>
      <c r="TK841" s="802"/>
      <c r="TL841" s="802"/>
      <c r="TM841" s="802"/>
      <c r="TN841" s="802"/>
      <c r="TO841" s="802"/>
      <c r="TP841" s="802"/>
      <c r="TQ841" s="802"/>
      <c r="TR841" s="802"/>
      <c r="TS841" s="802"/>
      <c r="TT841" s="802"/>
      <c r="TU841" s="802"/>
      <c r="TV841" s="802"/>
      <c r="TW841" s="802"/>
      <c r="TX841" s="802"/>
      <c r="TY841" s="802"/>
      <c r="TZ841" s="802"/>
      <c r="UA841" s="802"/>
      <c r="UB841" s="802"/>
      <c r="UC841" s="802"/>
      <c r="UD841" s="802"/>
      <c r="UE841" s="802"/>
      <c r="UF841" s="802"/>
      <c r="UG841" s="802"/>
      <c r="UH841" s="802"/>
      <c r="UI841" s="802"/>
      <c r="UJ841" s="802"/>
      <c r="UK841" s="802"/>
      <c r="UL841" s="802"/>
      <c r="UM841" s="802"/>
      <c r="UN841" s="802"/>
      <c r="UO841" s="802"/>
      <c r="UP841" s="802"/>
      <c r="UQ841" s="802"/>
      <c r="UR841" s="802"/>
      <c r="US841" s="802"/>
      <c r="UT841" s="802"/>
      <c r="UU841" s="802"/>
      <c r="UV841" s="802"/>
      <c r="UW841" s="802"/>
      <c r="UX841" s="802"/>
      <c r="UY841" s="802"/>
      <c r="UZ841" s="802"/>
      <c r="VA841" s="802"/>
      <c r="VB841" s="802"/>
      <c r="VC841" s="802"/>
      <c r="VD841" s="802"/>
      <c r="VE841" s="802"/>
      <c r="VF841" s="802"/>
      <c r="VG841" s="802"/>
      <c r="VH841" s="802"/>
      <c r="VI841" s="802"/>
      <c r="VJ841" s="802"/>
      <c r="VK841" s="802"/>
      <c r="VL841" s="802"/>
      <c r="VM841" s="802"/>
      <c r="VN841" s="802"/>
      <c r="VO841" s="802"/>
      <c r="VP841" s="802"/>
      <c r="VQ841" s="802"/>
      <c r="VR841" s="802"/>
      <c r="VS841" s="802"/>
      <c r="VT841" s="802"/>
      <c r="VU841" s="802"/>
      <c r="VV841" s="802"/>
      <c r="VW841" s="802"/>
      <c r="VX841" s="802"/>
      <c r="VY841" s="802"/>
      <c r="VZ841" s="802"/>
      <c r="WA841" s="802"/>
      <c r="WB841" s="802"/>
      <c r="WC841" s="802"/>
      <c r="WD841" s="802"/>
      <c r="WE841" s="802"/>
      <c r="WF841" s="802"/>
      <c r="WG841" s="802"/>
      <c r="WH841" s="802"/>
      <c r="WI841" s="802"/>
      <c r="WJ841" s="802"/>
      <c r="WK841" s="802"/>
      <c r="WL841" s="802"/>
      <c r="WM841" s="802"/>
      <c r="WN841" s="802"/>
      <c r="WO841" s="802"/>
      <c r="WP841" s="802"/>
      <c r="WQ841" s="802"/>
      <c r="WR841" s="802"/>
      <c r="WS841" s="802"/>
      <c r="WT841" s="802"/>
      <c r="WU841" s="802"/>
      <c r="WV841" s="802"/>
      <c r="WW841" s="802"/>
      <c r="WX841" s="802"/>
      <c r="WY841" s="802"/>
      <c r="WZ841" s="802"/>
      <c r="XA841" s="802"/>
      <c r="XB841" s="802"/>
      <c r="XC841" s="802"/>
      <c r="XD841" s="802"/>
      <c r="XE841" s="802"/>
      <c r="XF841" s="802"/>
      <c r="XG841" s="802"/>
      <c r="XH841" s="802"/>
      <c r="XI841" s="802"/>
      <c r="XJ841" s="802"/>
      <c r="XK841" s="802"/>
      <c r="XL841" s="802"/>
      <c r="XM841" s="802"/>
      <c r="XN841" s="802"/>
      <c r="XO841" s="802"/>
      <c r="XP841" s="802"/>
      <c r="XQ841" s="802"/>
      <c r="XR841" s="802"/>
      <c r="XS841" s="802"/>
      <c r="XT841" s="802"/>
      <c r="XU841" s="802"/>
      <c r="XV841" s="802"/>
      <c r="XW841" s="802"/>
      <c r="XX841" s="802"/>
      <c r="XY841" s="802"/>
      <c r="XZ841" s="802"/>
      <c r="YA841" s="802"/>
      <c r="YB841" s="802"/>
      <c r="YC841" s="802"/>
      <c r="YD841" s="802"/>
      <c r="YE841" s="802"/>
      <c r="YF841" s="802"/>
      <c r="YG841" s="802"/>
      <c r="YH841" s="802"/>
      <c r="YI841" s="802"/>
      <c r="YJ841" s="802"/>
      <c r="YK841" s="802"/>
      <c r="YL841" s="802"/>
      <c r="YM841" s="802"/>
      <c r="YN841" s="802"/>
      <c r="YO841" s="802"/>
      <c r="YP841" s="802"/>
      <c r="YQ841" s="802"/>
      <c r="YR841" s="802"/>
      <c r="YS841" s="802"/>
      <c r="YT841" s="802"/>
      <c r="YU841" s="802"/>
      <c r="YV841" s="802"/>
      <c r="YW841" s="802"/>
      <c r="YX841" s="802"/>
      <c r="YY841" s="802"/>
      <c r="YZ841" s="802"/>
      <c r="ZA841" s="802"/>
      <c r="ZB841" s="802"/>
      <c r="ZC841" s="802"/>
      <c r="ZD841" s="802"/>
      <c r="ZE841" s="802"/>
      <c r="ZF841" s="802"/>
      <c r="ZG841" s="802"/>
      <c r="ZH841" s="802"/>
      <c r="ZI841" s="802"/>
      <c r="ZJ841" s="802"/>
      <c r="ZK841" s="802"/>
      <c r="ZL841" s="802"/>
      <c r="ZM841" s="802"/>
      <c r="ZN841" s="802"/>
      <c r="ZO841" s="802"/>
      <c r="ZP841" s="802"/>
      <c r="ZQ841" s="802"/>
      <c r="ZR841" s="802"/>
      <c r="ZS841" s="802"/>
      <c r="ZT841" s="802"/>
      <c r="ZU841" s="802"/>
      <c r="ZV841" s="802"/>
      <c r="ZW841" s="802"/>
      <c r="ZX841" s="802"/>
      <c r="ZY841" s="802"/>
      <c r="ZZ841" s="802"/>
      <c r="AAA841" s="802"/>
      <c r="AAB841" s="802"/>
      <c r="AAC841" s="802"/>
      <c r="AAD841" s="802"/>
      <c r="AAE841" s="802"/>
      <c r="AAF841" s="802"/>
      <c r="AAG841" s="802"/>
      <c r="AAH841" s="802"/>
      <c r="AAI841" s="802"/>
      <c r="AAJ841" s="802"/>
      <c r="AAK841" s="802"/>
      <c r="AAL841" s="802"/>
      <c r="AAM841" s="802"/>
      <c r="AAN841" s="802"/>
      <c r="AAO841" s="802"/>
      <c r="AAP841" s="802"/>
      <c r="AAQ841" s="802"/>
      <c r="AAR841" s="802"/>
      <c r="AAS841" s="802"/>
      <c r="AAT841" s="802"/>
      <c r="AAU841" s="802"/>
      <c r="AAV841" s="802"/>
      <c r="AAW841" s="802"/>
      <c r="AAX841" s="802"/>
      <c r="AAY841" s="802"/>
      <c r="AAZ841" s="802"/>
      <c r="ABA841" s="802"/>
      <c r="ABB841" s="802"/>
      <c r="ABC841" s="802"/>
      <c r="ABD841" s="802"/>
      <c r="ABE841" s="802"/>
      <c r="ABF841" s="802"/>
      <c r="ABG841" s="802"/>
      <c r="ABH841" s="802"/>
      <c r="ABI841" s="802"/>
      <c r="ABJ841" s="802"/>
      <c r="ABK841" s="802"/>
      <c r="ABL841" s="802"/>
      <c r="ABM841" s="802"/>
      <c r="ABN841" s="802"/>
      <c r="ABO841" s="802"/>
      <c r="ABP841" s="802"/>
      <c r="ABQ841" s="802"/>
      <c r="ABR841" s="802"/>
      <c r="ABS841" s="802"/>
      <c r="ABT841" s="802"/>
      <c r="ABU841" s="802"/>
      <c r="ABV841" s="802"/>
      <c r="ABW841" s="802"/>
      <c r="ABX841" s="802"/>
      <c r="ABY841" s="802"/>
      <c r="ABZ841" s="802"/>
      <c r="ACA841" s="802"/>
      <c r="ACB841" s="802"/>
      <c r="ACC841" s="802"/>
      <c r="ACD841" s="802"/>
      <c r="ACE841" s="802"/>
      <c r="ACF841" s="802"/>
      <c r="ACG841" s="802"/>
      <c r="ACH841" s="802"/>
      <c r="ACI841" s="802"/>
      <c r="ACJ841" s="802"/>
      <c r="ACK841" s="802"/>
      <c r="ACL841" s="802"/>
      <c r="ACM841" s="802"/>
      <c r="ACN841" s="802"/>
      <c r="ACO841" s="802"/>
      <c r="ACP841" s="802"/>
      <c r="ACQ841" s="802"/>
      <c r="ACR841" s="802"/>
      <c r="ACS841" s="802"/>
      <c r="ACT841" s="802"/>
      <c r="ACU841" s="802"/>
      <c r="ACV841" s="802"/>
      <c r="ACW841" s="802"/>
      <c r="ACX841" s="802"/>
      <c r="ACY841" s="802"/>
      <c r="ACZ841" s="802"/>
      <c r="ADA841" s="802"/>
      <c r="ADB841" s="802"/>
      <c r="ADC841" s="802"/>
      <c r="ADD841" s="802"/>
      <c r="ADE841" s="802"/>
      <c r="ADF841" s="802"/>
      <c r="ADG841" s="802"/>
      <c r="ADH841" s="802"/>
      <c r="ADI841" s="802"/>
      <c r="ADJ841" s="802"/>
      <c r="ADK841" s="802"/>
      <c r="ADL841" s="802"/>
      <c r="ADM841" s="802"/>
      <c r="ADN841" s="802"/>
      <c r="ADO841" s="802"/>
      <c r="ADP841" s="802"/>
      <c r="ADQ841" s="802"/>
      <c r="ADR841" s="802"/>
      <c r="ADS841" s="802"/>
      <c r="ADT841" s="802"/>
      <c r="ADU841" s="802"/>
      <c r="ADV841" s="802"/>
      <c r="ADW841" s="802"/>
      <c r="ADX841" s="802"/>
      <c r="ADY841" s="802"/>
      <c r="ADZ841" s="802"/>
      <c r="AEA841" s="802"/>
      <c r="AEB841" s="802"/>
      <c r="AEC841" s="802"/>
      <c r="AED841" s="802"/>
      <c r="AEE841" s="802"/>
      <c r="AEF841" s="802"/>
      <c r="AEG841" s="802"/>
      <c r="AEH841" s="802"/>
      <c r="AEI841" s="802"/>
      <c r="AEJ841" s="802"/>
      <c r="AEK841" s="802"/>
      <c r="AEL841" s="802"/>
      <c r="AEM841" s="802"/>
      <c r="AEN841" s="802"/>
      <c r="AEO841" s="802"/>
      <c r="AEP841" s="802"/>
      <c r="AEQ841" s="802"/>
      <c r="AER841" s="802"/>
      <c r="AES841" s="802"/>
      <c r="AET841" s="802"/>
      <c r="AEU841" s="802"/>
      <c r="AEV841" s="802"/>
      <c r="AEW841" s="802"/>
      <c r="AEX841" s="802"/>
      <c r="AEY841" s="802"/>
      <c r="AEZ841" s="802"/>
      <c r="AFA841" s="802"/>
      <c r="AFB841" s="802"/>
      <c r="AFC841" s="802"/>
      <c r="AFD841" s="802"/>
      <c r="AFE841" s="802"/>
      <c r="AFF841" s="802"/>
      <c r="AFG841" s="802"/>
      <c r="AFH841" s="802"/>
      <c r="AFI841" s="802"/>
      <c r="AFJ841" s="802"/>
      <c r="AFK841" s="802"/>
      <c r="AFL841" s="802"/>
      <c r="AFM841" s="802"/>
      <c r="AFN841" s="802"/>
      <c r="AFO841" s="802"/>
      <c r="AFP841" s="802"/>
      <c r="AFQ841" s="802"/>
      <c r="AFR841" s="802"/>
      <c r="AFS841" s="802"/>
      <c r="AFT841" s="802"/>
      <c r="AFU841" s="802"/>
      <c r="AFV841" s="802"/>
      <c r="AFW841" s="802"/>
      <c r="AFX841" s="802"/>
      <c r="AFY841" s="802"/>
      <c r="AFZ841" s="802"/>
      <c r="AGA841" s="802"/>
      <c r="AGB841" s="802"/>
      <c r="AGC841" s="802"/>
      <c r="AGD841" s="802"/>
      <c r="AGE841" s="802"/>
      <c r="AGF841" s="802"/>
      <c r="AGG841" s="802"/>
      <c r="AGH841" s="802"/>
      <c r="AGI841" s="802"/>
      <c r="AGJ841" s="802"/>
      <c r="AGK841" s="802"/>
      <c r="AGL841" s="802"/>
      <c r="AGM841" s="802"/>
      <c r="AGN841" s="802"/>
      <c r="AGO841" s="802"/>
      <c r="AGP841" s="802"/>
      <c r="AGQ841" s="802"/>
      <c r="AGR841" s="802"/>
      <c r="AGS841" s="802"/>
      <c r="AGT841" s="802"/>
      <c r="AGU841" s="802"/>
      <c r="AGV841" s="802"/>
      <c r="AGW841" s="802"/>
      <c r="AGX841" s="802"/>
      <c r="AGY841" s="802"/>
      <c r="AGZ841" s="802"/>
      <c r="AHA841" s="802"/>
      <c r="AHB841" s="802"/>
      <c r="AHC841" s="802"/>
      <c r="AHD841" s="802"/>
      <c r="AHE841" s="802"/>
      <c r="AHF841" s="802"/>
      <c r="AHG841" s="802"/>
      <c r="AHH841" s="802"/>
      <c r="AHI841" s="802"/>
      <c r="AHJ841" s="802"/>
      <c r="AHK841" s="802"/>
      <c r="AHL841" s="802"/>
      <c r="AHM841" s="802"/>
      <c r="AHN841" s="802"/>
      <c r="AHO841" s="802"/>
      <c r="AHP841" s="802"/>
      <c r="AHQ841" s="802"/>
      <c r="AHR841" s="802"/>
      <c r="AHS841" s="802"/>
      <c r="AHT841" s="802"/>
      <c r="AHU841" s="802"/>
      <c r="AHV841" s="802"/>
      <c r="AHW841" s="802"/>
      <c r="AHX841" s="802"/>
      <c r="AHY841" s="802"/>
      <c r="AHZ841" s="802"/>
      <c r="AIA841" s="802"/>
      <c r="AIB841" s="802"/>
      <c r="AIC841" s="802"/>
      <c r="AID841" s="802"/>
      <c r="AIE841" s="802"/>
      <c r="AIF841" s="802"/>
      <c r="AIG841" s="802"/>
      <c r="AIH841" s="802"/>
      <c r="AII841" s="802"/>
      <c r="AIJ841" s="802"/>
      <c r="AIK841" s="802"/>
      <c r="AIL841" s="802"/>
      <c r="AIM841" s="802"/>
      <c r="AIN841" s="802"/>
      <c r="AIO841" s="802"/>
      <c r="AIP841" s="802"/>
      <c r="AIQ841" s="802"/>
      <c r="AIR841" s="802"/>
      <c r="AIS841" s="802"/>
      <c r="AIT841" s="802"/>
      <c r="AIU841" s="802"/>
      <c r="AIV841" s="802"/>
      <c r="AIW841" s="802"/>
      <c r="AIX841" s="802"/>
      <c r="AIY841" s="802"/>
      <c r="AIZ841" s="802"/>
      <c r="AJA841" s="802"/>
      <c r="AJB841" s="802"/>
      <c r="AJC841" s="802"/>
      <c r="AJD841" s="802"/>
      <c r="AJE841" s="802"/>
      <c r="AJF841" s="802"/>
      <c r="AJG841" s="802"/>
      <c r="AJH841" s="802"/>
      <c r="AJI841" s="802"/>
      <c r="AJJ841" s="802"/>
      <c r="AJK841" s="802"/>
      <c r="AJL841" s="802"/>
      <c r="AJM841" s="802"/>
      <c r="AJN841" s="802"/>
      <c r="AJO841" s="802"/>
      <c r="AJP841" s="802"/>
      <c r="AJQ841" s="802"/>
      <c r="AJR841" s="802"/>
      <c r="AJS841" s="802"/>
      <c r="AJT841" s="802"/>
      <c r="AJU841" s="802"/>
      <c r="AJV841" s="802"/>
      <c r="AJW841" s="802"/>
      <c r="AJX841" s="802"/>
      <c r="AJY841" s="802"/>
      <c r="AJZ841" s="802"/>
      <c r="AKA841" s="802"/>
      <c r="AKB841" s="802"/>
      <c r="AKC841" s="802"/>
      <c r="AKD841" s="802"/>
      <c r="AKE841" s="802"/>
      <c r="AKF841" s="802"/>
      <c r="AKG841" s="802"/>
      <c r="AKH841" s="802"/>
      <c r="AKI841" s="802"/>
      <c r="AKJ841" s="802"/>
      <c r="AKK841" s="802"/>
      <c r="AKL841" s="802"/>
      <c r="AKM841" s="802"/>
      <c r="AKN841" s="802"/>
      <c r="AKO841" s="802"/>
      <c r="AKP841" s="802"/>
      <c r="AKQ841" s="802"/>
      <c r="AKR841" s="802"/>
      <c r="AKS841" s="802"/>
      <c r="AKT841" s="802"/>
      <c r="AKU841" s="802"/>
      <c r="AKV841" s="802"/>
      <c r="AKW841" s="802"/>
      <c r="AKX841" s="802"/>
      <c r="AKY841" s="802"/>
      <c r="AKZ841" s="802"/>
      <c r="ALA841" s="802"/>
      <c r="ALB841" s="802"/>
      <c r="ALC841" s="802"/>
      <c r="ALD841" s="802"/>
      <c r="ALE841" s="802"/>
      <c r="ALF841" s="802"/>
      <c r="ALG841" s="802"/>
      <c r="ALH841" s="802"/>
      <c r="ALI841" s="802"/>
      <c r="ALJ841" s="802"/>
      <c r="ALK841" s="802"/>
      <c r="ALL841" s="802"/>
      <c r="ALM841" s="802"/>
      <c r="ALN841" s="802"/>
      <c r="ALO841" s="802"/>
      <c r="ALP841" s="802"/>
      <c r="ALQ841" s="802"/>
      <c r="ALR841" s="802"/>
      <c r="ALS841" s="802"/>
      <c r="ALT841" s="802"/>
      <c r="ALU841" s="802"/>
      <c r="ALV841" s="802"/>
      <c r="ALW841" s="802"/>
      <c r="ALX841" s="802"/>
      <c r="ALY841" s="802"/>
      <c r="ALZ841" s="802"/>
      <c r="AMA841" s="802"/>
      <c r="AMB841" s="802"/>
      <c r="AMC841" s="802"/>
      <c r="AMD841" s="802"/>
      <c r="AME841" s="802"/>
      <c r="AMF841" s="802"/>
      <c r="AMG841" s="802"/>
      <c r="AMH841" s="802"/>
      <c r="AMI841" s="802"/>
      <c r="AMJ841" s="802"/>
      <c r="AMK841" s="802"/>
      <c r="AML841" s="802"/>
      <c r="AMM841" s="802"/>
      <c r="AMN841" s="802"/>
      <c r="AMO841" s="802"/>
      <c r="AMP841" s="802"/>
      <c r="AMQ841" s="802"/>
      <c r="AMR841" s="802"/>
      <c r="AMS841" s="802"/>
      <c r="AMT841" s="802"/>
      <c r="AMU841" s="802"/>
      <c r="AMV841" s="802"/>
      <c r="AMW841" s="802"/>
      <c r="AMX841" s="802"/>
      <c r="AMY841" s="802"/>
      <c r="AMZ841" s="802"/>
      <c r="ANA841" s="802"/>
      <c r="ANB841" s="802"/>
      <c r="ANC841" s="802"/>
      <c r="AND841" s="802"/>
      <c r="ANE841" s="802"/>
      <c r="ANF841" s="802"/>
      <c r="ANG841" s="802"/>
      <c r="ANH841" s="802"/>
      <c r="ANI841" s="802"/>
      <c r="ANJ841" s="802"/>
      <c r="ANK841" s="802"/>
      <c r="ANL841" s="802"/>
      <c r="ANM841" s="802"/>
      <c r="ANN841" s="802"/>
      <c r="ANO841" s="802"/>
      <c r="ANP841" s="802"/>
      <c r="ANQ841" s="802"/>
      <c r="ANR841" s="802"/>
      <c r="ANS841" s="802"/>
      <c r="ANT841" s="802"/>
      <c r="ANU841" s="802"/>
      <c r="ANV841" s="802"/>
      <c r="ANW841" s="802"/>
      <c r="ANX841" s="802"/>
      <c r="ANY841" s="802"/>
      <c r="ANZ841" s="802"/>
      <c r="AOA841" s="802"/>
      <c r="AOB841" s="802"/>
      <c r="AOC841" s="802"/>
      <c r="AOD841" s="802"/>
      <c r="AOE841" s="802"/>
      <c r="AOF841" s="802"/>
      <c r="AOG841" s="802"/>
      <c r="AOH841" s="802"/>
      <c r="AOI841" s="802"/>
      <c r="AOJ841" s="802"/>
      <c r="AOK841" s="802"/>
      <c r="AOL841" s="802"/>
      <c r="AOM841" s="802"/>
      <c r="AON841" s="802"/>
      <c r="AOO841" s="802"/>
      <c r="AOP841" s="802"/>
      <c r="AOQ841" s="802"/>
      <c r="AOR841" s="802"/>
      <c r="AOS841" s="802"/>
      <c r="AOT841" s="802"/>
      <c r="AOU841" s="802"/>
      <c r="AOV841" s="802"/>
      <c r="AOW841" s="802"/>
      <c r="AOX841" s="802"/>
      <c r="AOY841" s="802"/>
      <c r="AOZ841" s="802"/>
      <c r="APA841" s="802"/>
      <c r="APB841" s="802"/>
      <c r="APC841" s="802"/>
      <c r="APD841" s="802"/>
      <c r="APE841" s="802"/>
      <c r="APF841" s="802"/>
      <c r="APG841" s="802"/>
      <c r="APH841" s="802"/>
      <c r="API841" s="802"/>
      <c r="APJ841" s="802"/>
      <c r="APK841" s="802"/>
      <c r="APL841" s="802"/>
      <c r="APM841" s="802"/>
      <c r="APN841" s="802"/>
      <c r="APO841" s="802"/>
      <c r="APP841" s="802"/>
      <c r="APQ841" s="802"/>
      <c r="APR841" s="802"/>
      <c r="APS841" s="802"/>
      <c r="APT841" s="802"/>
      <c r="APU841" s="802"/>
      <c r="APV841" s="802"/>
      <c r="APW841" s="802"/>
      <c r="APX841" s="802"/>
      <c r="APY841" s="802"/>
      <c r="APZ841" s="802"/>
      <c r="AQA841" s="802"/>
      <c r="AQB841" s="802"/>
      <c r="AQC841" s="802"/>
      <c r="AQD841" s="802"/>
      <c r="AQE841" s="802"/>
      <c r="AQF841" s="802"/>
      <c r="AQG841" s="802"/>
      <c r="AQH841" s="802"/>
      <c r="AQI841" s="802"/>
      <c r="AQJ841" s="802"/>
      <c r="AQK841" s="802"/>
      <c r="AQL841" s="802"/>
      <c r="AQM841" s="802"/>
      <c r="AQN841" s="802"/>
      <c r="AQO841" s="802"/>
      <c r="AQP841" s="802"/>
      <c r="AQQ841" s="802"/>
      <c r="AQR841" s="802"/>
      <c r="AQS841" s="802"/>
      <c r="AQT841" s="802"/>
      <c r="AQU841" s="802"/>
      <c r="AQV841" s="802"/>
      <c r="AQW841" s="802"/>
      <c r="AQX841" s="802"/>
      <c r="AQY841" s="802"/>
      <c r="AQZ841" s="802"/>
      <c r="ARA841" s="802"/>
      <c r="ARB841" s="802"/>
      <c r="ARC841" s="802"/>
      <c r="ARD841" s="802"/>
      <c r="ARE841" s="802"/>
      <c r="ARF841" s="802"/>
      <c r="ARG841" s="802"/>
      <c r="ARH841" s="802"/>
      <c r="ARI841" s="802"/>
      <c r="ARJ841" s="802"/>
      <c r="ARK841" s="802"/>
      <c r="ARL841" s="802"/>
      <c r="ARM841" s="802"/>
      <c r="ARN841" s="802"/>
      <c r="ARO841" s="802"/>
      <c r="ARP841" s="802"/>
      <c r="ARQ841" s="802"/>
      <c r="ARR841" s="802"/>
      <c r="ARS841" s="802"/>
      <c r="ART841" s="802"/>
      <c r="ARU841" s="802"/>
      <c r="ARV841" s="802"/>
      <c r="ARW841" s="802"/>
      <c r="ARX841" s="802"/>
      <c r="ARY841" s="802"/>
      <c r="ARZ841" s="802"/>
      <c r="ASA841" s="802"/>
      <c r="ASB841" s="802"/>
      <c r="ASC841" s="802"/>
      <c r="ASD841" s="802"/>
      <c r="ASE841" s="802"/>
      <c r="ASF841" s="802"/>
      <c r="ASG841" s="802"/>
      <c r="ASH841" s="802"/>
      <c r="ASI841" s="802"/>
      <c r="ASJ841" s="802"/>
      <c r="ASK841" s="802"/>
      <c r="ASL841" s="802"/>
      <c r="ASM841" s="802"/>
      <c r="ASN841" s="802"/>
      <c r="ASO841" s="802"/>
      <c r="ASP841" s="802"/>
      <c r="ASQ841" s="802"/>
      <c r="ASR841" s="802"/>
      <c r="ASS841" s="802"/>
      <c r="AST841" s="802"/>
      <c r="ASU841" s="802"/>
      <c r="ASV841" s="802"/>
      <c r="ASW841" s="802"/>
      <c r="ASX841" s="802"/>
      <c r="ASY841" s="802"/>
      <c r="ASZ841" s="802"/>
      <c r="ATA841" s="802"/>
      <c r="ATB841" s="802"/>
      <c r="ATC841" s="802"/>
      <c r="ATD841" s="802"/>
      <c r="ATE841" s="802"/>
      <c r="ATF841" s="802"/>
      <c r="ATG841" s="802"/>
      <c r="ATH841" s="802"/>
      <c r="ATI841" s="802"/>
      <c r="ATJ841" s="802"/>
      <c r="ATK841" s="802"/>
      <c r="ATL841" s="802"/>
      <c r="ATM841" s="802"/>
      <c r="ATN841" s="802"/>
      <c r="ATO841" s="802"/>
      <c r="ATP841" s="802"/>
      <c r="ATQ841" s="802"/>
      <c r="ATR841" s="802"/>
      <c r="ATS841" s="802"/>
      <c r="ATT841" s="802"/>
      <c r="ATU841" s="802"/>
      <c r="ATV841" s="802"/>
      <c r="ATW841" s="802"/>
      <c r="ATX841" s="802"/>
      <c r="ATY841" s="802"/>
      <c r="ATZ841" s="802"/>
      <c r="AUA841" s="802"/>
      <c r="AUB841" s="802"/>
      <c r="AUC841" s="802"/>
      <c r="AUD841" s="802"/>
      <c r="AUE841" s="802"/>
      <c r="AUF841" s="802"/>
      <c r="AUG841" s="802"/>
      <c r="AUH841" s="802"/>
      <c r="AUI841" s="802"/>
      <c r="AUJ841" s="802"/>
      <c r="AUK841" s="802"/>
      <c r="AUL841" s="802"/>
      <c r="AUM841" s="802"/>
      <c r="AUN841" s="802"/>
      <c r="AUO841" s="802"/>
      <c r="AUP841" s="802"/>
      <c r="AUQ841" s="802"/>
      <c r="AUR841" s="802"/>
      <c r="AUS841" s="802"/>
      <c r="AUT841" s="802"/>
      <c r="AUU841" s="802"/>
      <c r="AUV841" s="802"/>
      <c r="AUW841" s="802"/>
      <c r="AUX841" s="802"/>
      <c r="AUY841" s="802"/>
      <c r="AUZ841" s="802"/>
      <c r="AVA841" s="802"/>
      <c r="AVB841" s="802"/>
      <c r="AVC841" s="802"/>
      <c r="AVD841" s="802"/>
      <c r="AVE841" s="802"/>
      <c r="AVF841" s="802"/>
      <c r="AVG841" s="802"/>
      <c r="AVH841" s="802"/>
      <c r="AVI841" s="802"/>
      <c r="AVJ841" s="802"/>
      <c r="AVK841" s="802"/>
      <c r="AVL841" s="802"/>
      <c r="AVM841" s="802"/>
      <c r="AVN841" s="802"/>
      <c r="AVO841" s="802"/>
      <c r="AVP841" s="802"/>
      <c r="AVQ841" s="802"/>
      <c r="AVR841" s="802"/>
      <c r="AVS841" s="802"/>
      <c r="AVT841" s="802"/>
      <c r="AVU841" s="802"/>
      <c r="AVV841" s="802"/>
      <c r="AVW841" s="802"/>
      <c r="AVX841" s="802"/>
      <c r="AVY841" s="802"/>
      <c r="AVZ841" s="802"/>
      <c r="AWA841" s="802"/>
      <c r="AWB841" s="802"/>
      <c r="AWC841" s="802"/>
      <c r="AWD841" s="802"/>
      <c r="AWE841" s="802"/>
      <c r="AWF841" s="802"/>
      <c r="AWG841" s="802"/>
      <c r="AWH841" s="802"/>
      <c r="AWI841" s="802"/>
      <c r="AWJ841" s="802"/>
      <c r="AWK841" s="802"/>
      <c r="AWL841" s="802"/>
      <c r="AWM841" s="802"/>
      <c r="AWN841" s="802"/>
      <c r="AWO841" s="802"/>
      <c r="AWP841" s="802"/>
      <c r="AWQ841" s="802"/>
      <c r="AWR841" s="802"/>
      <c r="AWS841" s="802"/>
      <c r="AWT841" s="802"/>
      <c r="AWU841" s="802"/>
      <c r="AWV841" s="802"/>
      <c r="AWW841" s="802"/>
      <c r="AWX841" s="802"/>
      <c r="AWY841" s="802"/>
      <c r="AWZ841" s="802"/>
      <c r="AXA841" s="802"/>
      <c r="AXB841" s="802"/>
      <c r="AXC841" s="802"/>
      <c r="AXD841" s="802"/>
      <c r="AXE841" s="802"/>
      <c r="AXF841" s="802"/>
      <c r="AXG841" s="802"/>
      <c r="AXH841" s="802"/>
      <c r="AXI841" s="802"/>
      <c r="AXJ841" s="802"/>
      <c r="AXK841" s="802"/>
      <c r="AXL841" s="802"/>
      <c r="AXM841" s="802"/>
      <c r="AXN841" s="802"/>
      <c r="AXO841" s="802"/>
      <c r="AXP841" s="802"/>
      <c r="AXQ841" s="802"/>
      <c r="AXR841" s="802"/>
      <c r="AXS841" s="802"/>
      <c r="AXT841" s="802"/>
      <c r="AXU841" s="802"/>
      <c r="AXV841" s="802"/>
      <c r="AXW841" s="802"/>
      <c r="AXX841" s="802"/>
      <c r="AXY841" s="802"/>
      <c r="AXZ841" s="802"/>
      <c r="AYA841" s="802"/>
      <c r="AYB841" s="802"/>
      <c r="AYC841" s="802"/>
      <c r="AYD841" s="802"/>
      <c r="AYE841" s="802"/>
      <c r="AYF841" s="802"/>
      <c r="AYG841" s="802"/>
      <c r="AYH841" s="802"/>
      <c r="AYI841" s="802"/>
      <c r="AYJ841" s="802"/>
      <c r="AYK841" s="802"/>
      <c r="AYL841" s="802"/>
      <c r="AYM841" s="802"/>
      <c r="AYN841" s="802"/>
      <c r="AYO841" s="802"/>
      <c r="AYP841" s="802"/>
      <c r="AYQ841" s="802"/>
      <c r="AYR841" s="802"/>
      <c r="AYS841" s="802"/>
      <c r="AYT841" s="802"/>
      <c r="AYU841" s="802"/>
      <c r="AYV841" s="802"/>
      <c r="AYW841" s="802"/>
      <c r="AYX841" s="802"/>
      <c r="AYY841" s="802"/>
      <c r="AYZ841" s="802"/>
      <c r="AZA841" s="802"/>
      <c r="AZB841" s="802"/>
      <c r="AZC841" s="802"/>
      <c r="AZD841" s="802"/>
      <c r="AZE841" s="802"/>
      <c r="AZF841" s="802"/>
      <c r="AZG841" s="802"/>
      <c r="AZH841" s="802"/>
      <c r="AZI841" s="802"/>
      <c r="AZJ841" s="802"/>
      <c r="AZK841" s="802"/>
      <c r="AZL841" s="802"/>
      <c r="AZM841" s="802"/>
      <c r="AZN841" s="802"/>
      <c r="AZO841" s="802"/>
      <c r="AZP841" s="802"/>
      <c r="AZQ841" s="802"/>
      <c r="AZR841" s="802"/>
      <c r="AZS841" s="802"/>
      <c r="AZT841" s="802"/>
      <c r="AZU841" s="802"/>
      <c r="AZV841" s="802"/>
      <c r="AZW841" s="802"/>
      <c r="AZX841" s="802"/>
      <c r="AZY841" s="802"/>
      <c r="AZZ841" s="802"/>
      <c r="BAA841" s="802"/>
      <c r="BAB841" s="802"/>
      <c r="BAC841" s="802"/>
      <c r="BAD841" s="802"/>
      <c r="BAE841" s="802"/>
      <c r="BAF841" s="802"/>
      <c r="BAG841" s="802"/>
      <c r="BAH841" s="802"/>
      <c r="BAI841" s="802"/>
      <c r="BAJ841" s="802"/>
      <c r="BAK841" s="802"/>
      <c r="BAL841" s="802"/>
      <c r="BAM841" s="802"/>
      <c r="BAN841" s="802"/>
      <c r="BAO841" s="802"/>
      <c r="BAP841" s="802"/>
      <c r="BAQ841" s="802"/>
      <c r="BAR841" s="802"/>
      <c r="BAS841" s="802"/>
      <c r="BAT841" s="802"/>
      <c r="BAU841" s="802"/>
      <c r="BAV841" s="802"/>
      <c r="BAW841" s="802"/>
      <c r="BAX841" s="802"/>
      <c r="BAY841" s="802"/>
      <c r="BAZ841" s="802"/>
      <c r="BBA841" s="802"/>
      <c r="BBB841" s="802"/>
      <c r="BBC841" s="802"/>
      <c r="BBD841" s="802"/>
      <c r="BBE841" s="802"/>
      <c r="BBF841" s="802"/>
      <c r="BBG841" s="802"/>
      <c r="BBH841" s="802"/>
      <c r="BBI841" s="802"/>
      <c r="BBJ841" s="802"/>
      <c r="BBK841" s="802"/>
      <c r="BBL841" s="802"/>
      <c r="BBM841" s="802"/>
      <c r="BBN841" s="802"/>
      <c r="BBO841" s="802"/>
      <c r="BBP841" s="802"/>
      <c r="BBQ841" s="802"/>
      <c r="BBR841" s="802"/>
      <c r="BBS841" s="802"/>
      <c r="BBT841" s="802"/>
      <c r="BBU841" s="802"/>
      <c r="BBV841" s="802"/>
      <c r="BBW841" s="802"/>
      <c r="BBX841" s="802"/>
      <c r="BBY841" s="802"/>
      <c r="BBZ841" s="802"/>
      <c r="BCA841" s="802"/>
      <c r="BCB841" s="802"/>
      <c r="BCC841" s="802"/>
      <c r="BCD841" s="802"/>
      <c r="BCE841" s="802"/>
      <c r="BCF841" s="802"/>
      <c r="BCG841" s="802"/>
      <c r="BCH841" s="802"/>
      <c r="BCI841" s="802"/>
      <c r="BCJ841" s="802"/>
      <c r="BCK841" s="802"/>
      <c r="BCL841" s="802"/>
      <c r="BCM841" s="802"/>
      <c r="BCN841" s="802"/>
      <c r="BCO841" s="802"/>
      <c r="BCP841" s="802"/>
      <c r="BCQ841" s="802"/>
      <c r="BCR841" s="802"/>
      <c r="BCS841" s="802"/>
      <c r="BCT841" s="802"/>
      <c r="BCU841" s="802"/>
      <c r="BCV841" s="802"/>
      <c r="BCW841" s="802"/>
      <c r="BCX841" s="802"/>
      <c r="BCY841" s="802"/>
      <c r="BCZ841" s="802"/>
      <c r="BDA841" s="802"/>
      <c r="BDB841" s="802"/>
      <c r="BDC841" s="802"/>
      <c r="BDD841" s="802"/>
      <c r="BDE841" s="802"/>
      <c r="BDF841" s="802"/>
      <c r="BDG841" s="802"/>
      <c r="BDH841" s="802"/>
      <c r="BDI841" s="802"/>
      <c r="BDJ841" s="802"/>
      <c r="BDK841" s="802"/>
      <c r="BDL841" s="802"/>
      <c r="BDM841" s="802"/>
      <c r="BDN841" s="802"/>
      <c r="BDO841" s="802"/>
      <c r="BDP841" s="802"/>
      <c r="BDQ841" s="802"/>
      <c r="BDR841" s="802"/>
      <c r="BDS841" s="802"/>
      <c r="BDT841" s="802"/>
      <c r="BDU841" s="802"/>
      <c r="BDV841" s="802"/>
      <c r="BDW841" s="802"/>
      <c r="BDX841" s="802"/>
      <c r="BDY841" s="802"/>
      <c r="BDZ841" s="802"/>
      <c r="BEA841" s="802"/>
      <c r="BEB841" s="802"/>
      <c r="BEC841" s="802"/>
      <c r="BED841" s="802"/>
      <c r="BEE841" s="802"/>
      <c r="BEF841" s="802"/>
      <c r="BEG841" s="802"/>
      <c r="BEH841" s="802"/>
      <c r="BEI841" s="802"/>
      <c r="BEJ841" s="802"/>
      <c r="BEK841" s="802"/>
      <c r="BEL841" s="802"/>
      <c r="BEM841" s="802"/>
      <c r="BEN841" s="802"/>
      <c r="BEO841" s="802"/>
      <c r="BEP841" s="802"/>
      <c r="BEQ841" s="802"/>
      <c r="BER841" s="802"/>
      <c r="BES841" s="802"/>
      <c r="BET841" s="802"/>
      <c r="BEU841" s="802"/>
      <c r="BEV841" s="802"/>
      <c r="BEW841" s="802"/>
      <c r="BEX841" s="802"/>
      <c r="BEY841" s="802"/>
      <c r="BEZ841" s="802"/>
      <c r="BFA841" s="802"/>
      <c r="BFB841" s="802"/>
      <c r="BFC841" s="802"/>
      <c r="BFD841" s="802"/>
      <c r="BFE841" s="802"/>
      <c r="BFF841" s="802"/>
      <c r="BFG841" s="802"/>
      <c r="BFH841" s="802"/>
      <c r="BFI841" s="802"/>
      <c r="BFJ841" s="802"/>
      <c r="BFK841" s="802"/>
      <c r="BFL841" s="802"/>
      <c r="BFM841" s="802"/>
      <c r="BFN841" s="802"/>
      <c r="BFO841" s="802"/>
      <c r="BFP841" s="802"/>
      <c r="BFQ841" s="802"/>
      <c r="BFR841" s="802"/>
      <c r="BFS841" s="802"/>
      <c r="BFT841" s="802"/>
      <c r="BFU841" s="802"/>
      <c r="BFV841" s="802"/>
      <c r="BFW841" s="802"/>
      <c r="BFX841" s="802"/>
      <c r="BFY841" s="802"/>
      <c r="BFZ841" s="802"/>
      <c r="BGA841" s="802"/>
      <c r="BGB841" s="802"/>
      <c r="BGC841" s="802"/>
      <c r="BGD841" s="802"/>
      <c r="BGE841" s="802"/>
      <c r="BGF841" s="802"/>
      <c r="BGG841" s="802"/>
      <c r="BGH841" s="802"/>
      <c r="BGI841" s="802"/>
      <c r="BGJ841" s="802"/>
      <c r="BGK841" s="802"/>
      <c r="BGL841" s="802"/>
      <c r="BGM841" s="802"/>
      <c r="BGN841" s="802"/>
      <c r="BGO841" s="802"/>
      <c r="BGP841" s="802"/>
      <c r="BGQ841" s="802"/>
      <c r="BGR841" s="802"/>
      <c r="BGS841" s="802"/>
      <c r="BGT841" s="802"/>
      <c r="BGU841" s="802"/>
      <c r="BGV841" s="802"/>
      <c r="BGW841" s="802"/>
      <c r="BGX841" s="802"/>
      <c r="BGY841" s="802"/>
      <c r="BGZ841" s="802"/>
      <c r="BHA841" s="802"/>
      <c r="BHB841" s="802"/>
      <c r="BHC841" s="802"/>
      <c r="BHD841" s="802"/>
      <c r="BHE841" s="802"/>
      <c r="BHF841" s="802"/>
      <c r="BHG841" s="802"/>
      <c r="BHH841" s="802"/>
      <c r="BHI841" s="802"/>
      <c r="BHJ841" s="802"/>
      <c r="BHK841" s="802"/>
      <c r="BHL841" s="802"/>
      <c r="BHM841" s="802"/>
      <c r="BHN841" s="802"/>
      <c r="BHO841" s="802"/>
      <c r="BHP841" s="802"/>
      <c r="BHQ841" s="802"/>
      <c r="BHR841" s="802"/>
      <c r="BHS841" s="802"/>
      <c r="BHT841" s="802"/>
      <c r="BHU841" s="802"/>
      <c r="BHV841" s="802"/>
      <c r="BHW841" s="802"/>
      <c r="BHX841" s="802"/>
      <c r="BHY841" s="802"/>
      <c r="BHZ841" s="802"/>
      <c r="BIA841" s="802"/>
      <c r="BIB841" s="802"/>
      <c r="BIC841" s="802"/>
      <c r="BID841" s="802"/>
      <c r="BIE841" s="802"/>
      <c r="BIF841" s="802"/>
      <c r="BIG841" s="802"/>
      <c r="BIH841" s="802"/>
      <c r="BII841" s="802"/>
      <c r="BIJ841" s="802"/>
      <c r="BIK841" s="802"/>
      <c r="BIL841" s="802"/>
      <c r="BIM841" s="802"/>
      <c r="BIN841" s="802"/>
      <c r="BIO841" s="802"/>
      <c r="BIP841" s="802"/>
      <c r="BIQ841" s="802"/>
      <c r="BIR841" s="802"/>
      <c r="BIS841" s="802"/>
      <c r="BIT841" s="802"/>
      <c r="BIU841" s="802"/>
      <c r="BIV841" s="802"/>
      <c r="BIW841" s="802"/>
      <c r="BIX841" s="802"/>
      <c r="BIY841" s="802"/>
      <c r="BIZ841" s="802"/>
      <c r="BJA841" s="802"/>
      <c r="BJB841" s="802"/>
      <c r="BJC841" s="802"/>
      <c r="BJD841" s="802"/>
      <c r="BJE841" s="802"/>
      <c r="BJF841" s="802"/>
      <c r="BJG841" s="802"/>
      <c r="BJH841" s="802"/>
      <c r="BJI841" s="802"/>
      <c r="BJJ841" s="802"/>
      <c r="BJK841" s="802"/>
      <c r="BJL841" s="802"/>
      <c r="BJM841" s="802"/>
      <c r="BJN841" s="802"/>
      <c r="BJO841" s="802"/>
      <c r="BJP841" s="802"/>
      <c r="BJQ841" s="802"/>
      <c r="BJR841" s="802"/>
      <c r="BJS841" s="802"/>
      <c r="BJT841" s="802"/>
      <c r="BJU841" s="802"/>
      <c r="BJV841" s="802"/>
      <c r="BJW841" s="802"/>
      <c r="BJX841" s="802"/>
      <c r="BJY841" s="802"/>
      <c r="BJZ841" s="802"/>
      <c r="BKA841" s="802"/>
      <c r="BKB841" s="802"/>
      <c r="BKC841" s="802"/>
      <c r="BKD841" s="802"/>
      <c r="BKE841" s="802"/>
      <c r="BKF841" s="802"/>
      <c r="BKG841" s="802"/>
      <c r="BKH841" s="802"/>
      <c r="BKI841" s="802"/>
      <c r="BKJ841" s="802"/>
      <c r="BKK841" s="802"/>
      <c r="BKL841" s="802"/>
      <c r="BKM841" s="802"/>
      <c r="BKN841" s="802"/>
      <c r="BKO841" s="802"/>
      <c r="BKP841" s="802"/>
      <c r="BKQ841" s="802"/>
      <c r="BKR841" s="802"/>
      <c r="BKS841" s="802"/>
      <c r="BKT841" s="802"/>
      <c r="BKU841" s="802"/>
      <c r="BKV841" s="802"/>
      <c r="BKW841" s="802"/>
      <c r="BKX841" s="802"/>
      <c r="BKY841" s="802"/>
      <c r="BKZ841" s="802"/>
      <c r="BLA841" s="802"/>
      <c r="BLB841" s="802"/>
      <c r="BLC841" s="802"/>
      <c r="BLD841" s="802"/>
      <c r="BLE841" s="802"/>
      <c r="BLF841" s="802"/>
      <c r="BLG841" s="802"/>
      <c r="BLH841" s="802"/>
      <c r="BLI841" s="802"/>
      <c r="BLJ841" s="802"/>
      <c r="BLK841" s="802"/>
      <c r="BLL841" s="802"/>
      <c r="BLM841" s="802"/>
      <c r="BLN841" s="802"/>
      <c r="BLO841" s="802"/>
      <c r="BLP841" s="802"/>
      <c r="BLQ841" s="802"/>
      <c r="BLR841" s="802"/>
      <c r="BLS841" s="802"/>
      <c r="BLT841" s="802"/>
      <c r="BLU841" s="802"/>
      <c r="BLV841" s="802"/>
      <c r="BLW841" s="802"/>
      <c r="BLX841" s="802"/>
      <c r="BLY841" s="802"/>
      <c r="BLZ841" s="802"/>
      <c r="BMA841" s="802"/>
      <c r="BMB841" s="802"/>
      <c r="BMC841" s="802"/>
      <c r="BMD841" s="802"/>
      <c r="BME841" s="802"/>
      <c r="BMF841" s="802"/>
      <c r="BMG841" s="802"/>
      <c r="BMH841" s="802"/>
      <c r="BMI841" s="802"/>
      <c r="BMJ841" s="802"/>
      <c r="BMK841" s="802"/>
      <c r="BML841" s="802"/>
      <c r="BMM841" s="802"/>
      <c r="BMN841" s="802"/>
      <c r="BMO841" s="802"/>
      <c r="BMP841" s="802"/>
      <c r="BMQ841" s="802"/>
      <c r="BMR841" s="802"/>
      <c r="BMS841" s="802"/>
      <c r="BMT841" s="802"/>
      <c r="BMU841" s="802"/>
      <c r="BMV841" s="802"/>
      <c r="BMW841" s="802"/>
      <c r="BMX841" s="802"/>
      <c r="BMY841" s="802"/>
      <c r="BMZ841" s="802"/>
      <c r="BNA841" s="802"/>
      <c r="BNB841" s="802"/>
      <c r="BNC841" s="802"/>
      <c r="BND841" s="802"/>
      <c r="BNE841" s="802"/>
      <c r="BNF841" s="802"/>
      <c r="BNG841" s="802"/>
      <c r="BNH841" s="802"/>
      <c r="BNI841" s="802"/>
      <c r="BNJ841" s="802"/>
      <c r="BNK841" s="802"/>
      <c r="BNL841" s="802"/>
      <c r="BNM841" s="802"/>
      <c r="BNN841" s="802"/>
      <c r="BNO841" s="802"/>
      <c r="BNP841" s="802"/>
      <c r="BNQ841" s="802"/>
      <c r="BNR841" s="802"/>
      <c r="BNS841" s="802"/>
      <c r="BNT841" s="802"/>
      <c r="BNU841" s="802"/>
      <c r="BNV841" s="802"/>
      <c r="BNW841" s="802"/>
      <c r="BNX841" s="802"/>
      <c r="BNY841" s="802"/>
      <c r="BNZ841" s="802"/>
      <c r="BOA841" s="802"/>
      <c r="BOB841" s="802"/>
      <c r="BOC841" s="802"/>
      <c r="BOD841" s="802"/>
      <c r="BOE841" s="802"/>
      <c r="BOF841" s="802"/>
      <c r="BOG841" s="802"/>
      <c r="BOH841" s="802"/>
      <c r="BOI841" s="802"/>
      <c r="BOJ841" s="802"/>
      <c r="BOK841" s="802"/>
      <c r="BOL841" s="802"/>
      <c r="BOM841" s="802"/>
      <c r="BON841" s="802"/>
      <c r="BOO841" s="802"/>
      <c r="BOP841" s="802"/>
      <c r="BOQ841" s="802"/>
      <c r="BOR841" s="802"/>
      <c r="BOS841" s="802"/>
      <c r="BOT841" s="802"/>
      <c r="BOU841" s="802"/>
      <c r="BOV841" s="802"/>
      <c r="BOW841" s="802"/>
      <c r="BOX841" s="802"/>
      <c r="BOY841" s="802"/>
      <c r="BOZ841" s="802"/>
      <c r="BPA841" s="802"/>
      <c r="BPB841" s="802"/>
      <c r="BPC841" s="802"/>
      <c r="BPD841" s="802"/>
      <c r="BPE841" s="802"/>
      <c r="BPF841" s="802"/>
      <c r="BPG841" s="802"/>
      <c r="BPH841" s="802"/>
      <c r="BPI841" s="802"/>
      <c r="BPJ841" s="802"/>
      <c r="BPK841" s="802"/>
      <c r="BPL841" s="802"/>
      <c r="BPM841" s="802"/>
      <c r="BPN841" s="802"/>
      <c r="BPO841" s="802"/>
      <c r="BPP841" s="802"/>
      <c r="BPQ841" s="802"/>
      <c r="BPR841" s="802"/>
      <c r="BPS841" s="802"/>
      <c r="BPT841" s="802"/>
      <c r="BPU841" s="802"/>
      <c r="BPV841" s="802"/>
      <c r="BPW841" s="802"/>
      <c r="BPX841" s="802"/>
      <c r="BPY841" s="802"/>
      <c r="BPZ841" s="802"/>
      <c r="BQA841" s="802"/>
      <c r="BQB841" s="802"/>
      <c r="BQC841" s="802"/>
      <c r="BQD841" s="802"/>
      <c r="BQE841" s="802"/>
      <c r="BQF841" s="802"/>
      <c r="BQG841" s="802"/>
      <c r="BQH841" s="802"/>
      <c r="BQI841" s="802"/>
      <c r="BQJ841" s="802"/>
      <c r="BQK841" s="802"/>
      <c r="BQL841" s="802"/>
      <c r="BQM841" s="802"/>
      <c r="BQN841" s="802"/>
      <c r="BQO841" s="802"/>
      <c r="BQP841" s="802"/>
      <c r="BQQ841" s="802"/>
      <c r="BQR841" s="802"/>
      <c r="BQS841" s="802"/>
      <c r="BQT841" s="802"/>
      <c r="BQU841" s="802"/>
      <c r="BQV841" s="802"/>
      <c r="BQW841" s="802"/>
      <c r="BQX841" s="802"/>
      <c r="BQY841" s="802"/>
      <c r="BQZ841" s="802"/>
      <c r="BRA841" s="802"/>
      <c r="BRB841" s="802"/>
      <c r="BRC841" s="802"/>
      <c r="BRD841" s="802"/>
      <c r="BRE841" s="802"/>
      <c r="BRF841" s="802"/>
      <c r="BRG841" s="802"/>
      <c r="BRH841" s="802"/>
      <c r="BRI841" s="802"/>
      <c r="BRJ841" s="802"/>
      <c r="BRK841" s="802"/>
      <c r="BRL841" s="802"/>
      <c r="BRM841" s="802"/>
      <c r="BRN841" s="802"/>
      <c r="BRO841" s="802"/>
      <c r="BRP841" s="802"/>
      <c r="BRQ841" s="802"/>
      <c r="BRR841" s="802"/>
      <c r="BRS841" s="802"/>
      <c r="BRT841" s="802"/>
      <c r="BRU841" s="802"/>
      <c r="BRV841" s="802"/>
      <c r="BRW841" s="802"/>
      <c r="BRX841" s="802"/>
      <c r="BRY841" s="802"/>
      <c r="BRZ841" s="802"/>
      <c r="BSA841" s="802"/>
      <c r="BSB841" s="802"/>
      <c r="BSC841" s="802"/>
      <c r="BSD841" s="802"/>
      <c r="BSE841" s="802"/>
      <c r="BSF841" s="802"/>
      <c r="BSG841" s="802"/>
      <c r="BSH841" s="802"/>
      <c r="BSI841" s="802"/>
      <c r="BSJ841" s="802"/>
      <c r="BSK841" s="802"/>
      <c r="BSL841" s="802"/>
      <c r="BSM841" s="802"/>
      <c r="BSN841" s="802"/>
      <c r="BSO841" s="802"/>
      <c r="BSP841" s="802"/>
      <c r="BSQ841" s="802"/>
      <c r="BSR841" s="802"/>
      <c r="BSS841" s="802"/>
      <c r="BST841" s="802"/>
      <c r="BSU841" s="802"/>
      <c r="BSV841" s="802"/>
      <c r="BSW841" s="802"/>
      <c r="BSX841" s="802"/>
      <c r="BSY841" s="802"/>
      <c r="BSZ841" s="802"/>
      <c r="BTA841" s="802"/>
      <c r="BTB841" s="802"/>
      <c r="BTC841" s="802"/>
      <c r="BTD841" s="802"/>
      <c r="BTE841" s="802"/>
      <c r="BTF841" s="802"/>
      <c r="BTG841" s="802"/>
      <c r="BTH841" s="802"/>
      <c r="BTI841" s="802"/>
      <c r="BTJ841" s="802"/>
      <c r="BTK841" s="802"/>
      <c r="BTL841" s="802"/>
      <c r="BTM841" s="802"/>
      <c r="BTN841" s="802"/>
      <c r="BTO841" s="802"/>
      <c r="BTP841" s="802"/>
      <c r="BTQ841" s="802"/>
      <c r="BTR841" s="802"/>
      <c r="BTS841" s="802"/>
      <c r="BTT841" s="802"/>
      <c r="BTU841" s="802"/>
      <c r="BTV841" s="802"/>
      <c r="BTW841" s="802"/>
      <c r="BTX841" s="802"/>
      <c r="BTY841" s="802"/>
      <c r="BTZ841" s="802"/>
      <c r="BUA841" s="802"/>
      <c r="BUB841" s="802"/>
      <c r="BUC841" s="802"/>
      <c r="BUD841" s="802"/>
      <c r="BUE841" s="802"/>
      <c r="BUF841" s="802"/>
      <c r="BUG841" s="802"/>
      <c r="BUH841" s="802"/>
      <c r="BUI841" s="802"/>
      <c r="BUJ841" s="802"/>
      <c r="BUK841" s="802"/>
      <c r="BUL841" s="802"/>
      <c r="BUM841" s="802"/>
      <c r="BUN841" s="802"/>
      <c r="BUO841" s="802"/>
      <c r="BUP841" s="802"/>
      <c r="BUQ841" s="802"/>
      <c r="BUR841" s="802"/>
      <c r="BUS841" s="802"/>
      <c r="BUT841" s="802"/>
      <c r="BUU841" s="802"/>
      <c r="BUV841" s="802"/>
      <c r="BUW841" s="802"/>
      <c r="BUX841" s="802"/>
      <c r="BUY841" s="802"/>
      <c r="BUZ841" s="802"/>
      <c r="BVA841" s="802"/>
      <c r="BVB841" s="802"/>
      <c r="BVC841" s="802"/>
      <c r="BVD841" s="802"/>
      <c r="BVE841" s="802"/>
      <c r="BVF841" s="802"/>
      <c r="BVG841" s="802"/>
      <c r="BVH841" s="802"/>
      <c r="BVI841" s="802"/>
      <c r="BVJ841" s="802"/>
      <c r="BVK841" s="802"/>
      <c r="BVL841" s="802"/>
      <c r="BVM841" s="802"/>
      <c r="BVN841" s="802"/>
      <c r="BVO841" s="802"/>
      <c r="BVP841" s="802"/>
      <c r="BVQ841" s="802"/>
      <c r="BVR841" s="802"/>
      <c r="BVS841" s="802"/>
      <c r="BVT841" s="802"/>
      <c r="BVU841" s="802"/>
      <c r="BVV841" s="802"/>
      <c r="BVW841" s="802"/>
      <c r="BVX841" s="802"/>
      <c r="BVY841" s="802"/>
      <c r="BVZ841" s="802"/>
      <c r="BWA841" s="802"/>
      <c r="BWB841" s="802"/>
      <c r="BWC841" s="802"/>
      <c r="BWD841" s="802"/>
      <c r="BWE841" s="802"/>
      <c r="BWF841" s="802"/>
      <c r="BWG841" s="802"/>
      <c r="BWH841" s="802"/>
      <c r="BWI841" s="802"/>
      <c r="BWJ841" s="802"/>
      <c r="BWK841" s="802"/>
      <c r="BWL841" s="802"/>
      <c r="BWM841" s="802"/>
      <c r="BWN841" s="802"/>
      <c r="BWO841" s="802"/>
      <c r="BWP841" s="802"/>
      <c r="BWQ841" s="802"/>
      <c r="BWR841" s="802"/>
      <c r="BWS841" s="802"/>
      <c r="BWT841" s="802"/>
      <c r="BWU841" s="802"/>
      <c r="BWV841" s="802"/>
      <c r="BWW841" s="802"/>
      <c r="BWX841" s="802"/>
      <c r="BWY841" s="802"/>
      <c r="BWZ841" s="802"/>
      <c r="BXA841" s="802"/>
      <c r="BXB841" s="802"/>
      <c r="BXC841" s="802"/>
      <c r="BXD841" s="802"/>
      <c r="BXE841" s="802"/>
      <c r="BXF841" s="802"/>
      <c r="BXG841" s="802"/>
      <c r="BXH841" s="802"/>
      <c r="BXI841" s="802"/>
      <c r="BXJ841" s="802"/>
      <c r="BXK841" s="802"/>
      <c r="BXL841" s="802"/>
      <c r="BXM841" s="802"/>
      <c r="BXN841" s="802"/>
      <c r="BXO841" s="802"/>
      <c r="BXP841" s="802"/>
      <c r="BXQ841" s="802"/>
      <c r="BXR841" s="802"/>
      <c r="BXS841" s="802"/>
      <c r="BXT841" s="802"/>
      <c r="BXU841" s="802"/>
      <c r="BXV841" s="802"/>
      <c r="BXW841" s="802"/>
      <c r="BXX841" s="802"/>
      <c r="BXY841" s="802"/>
      <c r="BXZ841" s="802"/>
      <c r="BYA841" s="802"/>
      <c r="BYB841" s="802"/>
      <c r="BYC841" s="802"/>
      <c r="BYD841" s="802"/>
      <c r="BYE841" s="802"/>
      <c r="BYF841" s="802"/>
      <c r="BYG841" s="802"/>
      <c r="BYH841" s="802"/>
      <c r="BYI841" s="802"/>
      <c r="BYJ841" s="802"/>
      <c r="BYK841" s="802"/>
      <c r="BYL841" s="802"/>
      <c r="BYM841" s="802"/>
      <c r="BYN841" s="802"/>
      <c r="BYO841" s="802"/>
      <c r="BYP841" s="802"/>
      <c r="BYQ841" s="802"/>
      <c r="BYR841" s="802"/>
      <c r="BYS841" s="802"/>
      <c r="BYT841" s="802"/>
      <c r="BYU841" s="802"/>
      <c r="BYV841" s="802"/>
      <c r="BYW841" s="802"/>
      <c r="BYX841" s="802"/>
      <c r="BYY841" s="802"/>
      <c r="BYZ841" s="802"/>
      <c r="BZA841" s="802"/>
      <c r="BZB841" s="802"/>
      <c r="BZC841" s="802"/>
      <c r="BZD841" s="802"/>
      <c r="BZE841" s="802"/>
      <c r="BZF841" s="802"/>
      <c r="BZG841" s="802"/>
      <c r="BZH841" s="802"/>
      <c r="BZI841" s="802"/>
      <c r="BZJ841" s="802"/>
      <c r="BZK841" s="802"/>
      <c r="BZL841" s="802"/>
      <c r="BZM841" s="802"/>
      <c r="BZN841" s="802"/>
      <c r="BZO841" s="802"/>
      <c r="BZP841" s="802"/>
      <c r="BZQ841" s="802"/>
      <c r="BZR841" s="802"/>
      <c r="BZS841" s="802"/>
      <c r="BZT841" s="802"/>
      <c r="BZU841" s="802"/>
      <c r="BZV841" s="802"/>
      <c r="BZW841" s="802"/>
      <c r="BZX841" s="802"/>
      <c r="BZY841" s="802"/>
      <c r="BZZ841" s="802"/>
      <c r="CAA841" s="802"/>
      <c r="CAB841" s="802"/>
      <c r="CAC841" s="802"/>
      <c r="CAD841" s="802"/>
      <c r="CAE841" s="802"/>
      <c r="CAF841" s="802"/>
      <c r="CAG841" s="802"/>
      <c r="CAH841" s="802"/>
      <c r="CAI841" s="802"/>
      <c r="CAJ841" s="802"/>
      <c r="CAK841" s="802"/>
      <c r="CAL841" s="802"/>
      <c r="CAM841" s="802"/>
      <c r="CAN841" s="802"/>
      <c r="CAO841" s="802"/>
      <c r="CAP841" s="802"/>
      <c r="CAQ841" s="802"/>
      <c r="CAR841" s="802"/>
      <c r="CAS841" s="802"/>
      <c r="CAT841" s="802"/>
      <c r="CAU841" s="802"/>
      <c r="CAV841" s="802"/>
      <c r="CAW841" s="802"/>
      <c r="CAX841" s="802"/>
      <c r="CAY841" s="802"/>
      <c r="CAZ841" s="802"/>
      <c r="CBA841" s="802"/>
      <c r="CBB841" s="802"/>
      <c r="CBC841" s="802"/>
      <c r="CBD841" s="802"/>
      <c r="CBE841" s="802"/>
      <c r="CBF841" s="802"/>
      <c r="CBG841" s="802"/>
      <c r="CBH841" s="802"/>
      <c r="CBI841" s="802"/>
      <c r="CBJ841" s="802"/>
      <c r="CBK841" s="802"/>
      <c r="CBL841" s="802"/>
      <c r="CBM841" s="802"/>
      <c r="CBN841" s="802"/>
      <c r="CBO841" s="802"/>
      <c r="CBP841" s="802"/>
      <c r="CBQ841" s="802"/>
      <c r="CBR841" s="802"/>
      <c r="CBS841" s="802"/>
      <c r="CBT841" s="802"/>
      <c r="CBU841" s="802"/>
      <c r="CBV841" s="802"/>
      <c r="CBW841" s="802"/>
      <c r="CBX841" s="802"/>
      <c r="CBY841" s="802"/>
      <c r="CBZ841" s="802"/>
      <c r="CCA841" s="802"/>
      <c r="CCB841" s="802"/>
      <c r="CCC841" s="802"/>
      <c r="CCD841" s="802"/>
      <c r="CCE841" s="802"/>
      <c r="CCF841" s="802"/>
      <c r="CCG841" s="802"/>
      <c r="CCH841" s="802"/>
      <c r="CCI841" s="802"/>
      <c r="CCJ841" s="802"/>
      <c r="CCK841" s="802"/>
      <c r="CCL841" s="802"/>
      <c r="CCM841" s="802"/>
      <c r="CCN841" s="802"/>
      <c r="CCO841" s="802"/>
      <c r="CCP841" s="802"/>
      <c r="CCQ841" s="802"/>
      <c r="CCR841" s="802"/>
      <c r="CCS841" s="802"/>
      <c r="CCT841" s="802"/>
      <c r="CCU841" s="802"/>
      <c r="CCV841" s="802"/>
      <c r="CCW841" s="802"/>
      <c r="CCX841" s="802"/>
      <c r="CCY841" s="802"/>
      <c r="CCZ841" s="802"/>
      <c r="CDA841" s="802"/>
      <c r="CDB841" s="802"/>
      <c r="CDC841" s="802"/>
      <c r="CDD841" s="802"/>
      <c r="CDE841" s="802"/>
      <c r="CDF841" s="802"/>
      <c r="CDG841" s="802"/>
      <c r="CDH841" s="802"/>
      <c r="CDI841" s="802"/>
      <c r="CDJ841" s="802"/>
      <c r="CDK841" s="802"/>
      <c r="CDL841" s="802"/>
      <c r="CDM841" s="802"/>
      <c r="CDN841" s="802"/>
      <c r="CDO841" s="802"/>
      <c r="CDP841" s="802"/>
      <c r="CDQ841" s="802"/>
      <c r="CDR841" s="802"/>
      <c r="CDS841" s="802"/>
      <c r="CDT841" s="802"/>
      <c r="CDU841" s="802"/>
      <c r="CDV841" s="802"/>
      <c r="CDW841" s="802"/>
      <c r="CDX841" s="802"/>
      <c r="CDY841" s="802"/>
      <c r="CDZ841" s="802"/>
      <c r="CEA841" s="802"/>
      <c r="CEB841" s="802"/>
      <c r="CEC841" s="802"/>
      <c r="CED841" s="802"/>
      <c r="CEE841" s="802"/>
      <c r="CEF841" s="802"/>
      <c r="CEG841" s="802"/>
      <c r="CEH841" s="802"/>
      <c r="CEI841" s="802"/>
      <c r="CEJ841" s="802"/>
      <c r="CEK841" s="802"/>
      <c r="CEL841" s="802"/>
      <c r="CEM841" s="802"/>
      <c r="CEN841" s="802"/>
      <c r="CEO841" s="802"/>
      <c r="CEP841" s="802"/>
      <c r="CEQ841" s="802"/>
      <c r="CER841" s="802"/>
      <c r="CES841" s="802"/>
      <c r="CET841" s="802"/>
      <c r="CEU841" s="802"/>
      <c r="CEV841" s="802"/>
      <c r="CEW841" s="802"/>
      <c r="CEX841" s="802"/>
      <c r="CEY841" s="802"/>
      <c r="CEZ841" s="802"/>
      <c r="CFA841" s="802"/>
      <c r="CFB841" s="802"/>
      <c r="CFC841" s="802"/>
      <c r="CFD841" s="802"/>
      <c r="CFE841" s="802"/>
      <c r="CFF841" s="802"/>
      <c r="CFG841" s="802"/>
      <c r="CFH841" s="802"/>
      <c r="CFI841" s="802"/>
      <c r="CFJ841" s="802"/>
      <c r="CFK841" s="802"/>
      <c r="CFL841" s="802"/>
      <c r="CFM841" s="802"/>
      <c r="CFN841" s="802"/>
      <c r="CFO841" s="802"/>
      <c r="CFP841" s="802"/>
      <c r="CFQ841" s="802"/>
      <c r="CFR841" s="802"/>
      <c r="CFS841" s="802"/>
      <c r="CFT841" s="802"/>
      <c r="CFU841" s="802"/>
      <c r="CFV841" s="802"/>
      <c r="CFW841" s="802"/>
      <c r="CFX841" s="802"/>
      <c r="CFY841" s="802"/>
      <c r="CFZ841" s="802"/>
      <c r="CGA841" s="802"/>
      <c r="CGB841" s="802"/>
      <c r="CGC841" s="802"/>
      <c r="CGD841" s="802"/>
      <c r="CGE841" s="802"/>
      <c r="CGF841" s="802"/>
      <c r="CGG841" s="802"/>
      <c r="CGH841" s="802"/>
      <c r="CGI841" s="802"/>
      <c r="CGJ841" s="802"/>
      <c r="CGK841" s="802"/>
      <c r="CGL841" s="802"/>
      <c r="CGM841" s="802"/>
      <c r="CGN841" s="802"/>
      <c r="CGO841" s="802"/>
      <c r="CGP841" s="802"/>
      <c r="CGQ841" s="802"/>
      <c r="CGR841" s="802"/>
      <c r="CGS841" s="802"/>
      <c r="CGT841" s="802"/>
      <c r="CGU841" s="802"/>
      <c r="CGV841" s="802"/>
      <c r="CGW841" s="802"/>
      <c r="CGX841" s="802"/>
      <c r="CGY841" s="802"/>
      <c r="CGZ841" s="802"/>
      <c r="CHA841" s="802"/>
      <c r="CHB841" s="802"/>
      <c r="CHC841" s="802"/>
      <c r="CHD841" s="802"/>
      <c r="CHE841" s="802"/>
      <c r="CHF841" s="802"/>
      <c r="CHG841" s="802"/>
      <c r="CHH841" s="802"/>
      <c r="CHI841" s="802"/>
      <c r="CHJ841" s="802"/>
      <c r="CHK841" s="802"/>
      <c r="CHL841" s="802"/>
      <c r="CHM841" s="802"/>
      <c r="CHN841" s="802"/>
      <c r="CHO841" s="802"/>
      <c r="CHP841" s="802"/>
      <c r="CHQ841" s="802"/>
      <c r="CHR841" s="802"/>
      <c r="CHS841" s="802"/>
      <c r="CHT841" s="802"/>
      <c r="CHU841" s="802"/>
      <c r="CHV841" s="802"/>
      <c r="CHW841" s="802"/>
      <c r="CHX841" s="802"/>
      <c r="CHY841" s="802"/>
      <c r="CHZ841" s="802"/>
      <c r="CIA841" s="802"/>
      <c r="CIB841" s="802"/>
      <c r="CIC841" s="802"/>
      <c r="CID841" s="802"/>
      <c r="CIE841" s="802"/>
      <c r="CIF841" s="802"/>
      <c r="CIG841" s="802"/>
      <c r="CIH841" s="802"/>
      <c r="CII841" s="802"/>
      <c r="CIJ841" s="802"/>
      <c r="CIK841" s="802"/>
      <c r="CIL841" s="802"/>
      <c r="CIM841" s="802"/>
      <c r="CIN841" s="802"/>
      <c r="CIO841" s="802"/>
      <c r="CIP841" s="802"/>
      <c r="CIQ841" s="802"/>
      <c r="CIR841" s="802"/>
      <c r="CIS841" s="802"/>
      <c r="CIT841" s="802"/>
      <c r="CIU841" s="802"/>
      <c r="CIV841" s="802"/>
      <c r="CIW841" s="802"/>
      <c r="CIX841" s="802"/>
      <c r="CIY841" s="802"/>
      <c r="CIZ841" s="802"/>
      <c r="CJA841" s="802"/>
      <c r="CJB841" s="802"/>
      <c r="CJC841" s="802"/>
      <c r="CJD841" s="802"/>
      <c r="CJE841" s="802"/>
      <c r="CJF841" s="802"/>
      <c r="CJG841" s="802"/>
      <c r="CJH841" s="802"/>
      <c r="CJI841" s="802"/>
      <c r="CJJ841" s="802"/>
      <c r="CJK841" s="802"/>
      <c r="CJL841" s="802"/>
      <c r="CJM841" s="802"/>
      <c r="CJN841" s="802"/>
      <c r="CJO841" s="802"/>
      <c r="CJP841" s="802"/>
      <c r="CJQ841" s="802"/>
      <c r="CJR841" s="802"/>
      <c r="CJS841" s="802"/>
      <c r="CJT841" s="802"/>
      <c r="CJU841" s="802"/>
      <c r="CJV841" s="802"/>
      <c r="CJW841" s="802"/>
      <c r="CJX841" s="802"/>
      <c r="CJY841" s="802"/>
      <c r="CJZ841" s="802"/>
      <c r="CKA841" s="802"/>
      <c r="CKB841" s="802"/>
      <c r="CKC841" s="802"/>
      <c r="CKD841" s="802"/>
      <c r="CKE841" s="802"/>
      <c r="CKF841" s="802"/>
      <c r="CKG841" s="802"/>
      <c r="CKH841" s="802"/>
      <c r="CKI841" s="802"/>
      <c r="CKJ841" s="802"/>
      <c r="CKK841" s="802"/>
      <c r="CKL841" s="802"/>
      <c r="CKM841" s="802"/>
      <c r="CKN841" s="802"/>
      <c r="CKO841" s="802"/>
      <c r="CKP841" s="802"/>
      <c r="CKQ841" s="802"/>
      <c r="CKR841" s="802"/>
      <c r="CKS841" s="802"/>
      <c r="CKT841" s="802"/>
      <c r="CKU841" s="802"/>
      <c r="CKV841" s="802"/>
      <c r="CKW841" s="802"/>
      <c r="CKX841" s="802"/>
      <c r="CKY841" s="802"/>
      <c r="CKZ841" s="802"/>
      <c r="CLA841" s="802"/>
      <c r="CLB841" s="802"/>
      <c r="CLC841" s="802"/>
      <c r="CLD841" s="802"/>
      <c r="CLE841" s="802"/>
      <c r="CLF841" s="802"/>
      <c r="CLG841" s="802"/>
      <c r="CLH841" s="802"/>
      <c r="CLI841" s="802"/>
      <c r="CLJ841" s="802"/>
      <c r="CLK841" s="802"/>
      <c r="CLL841" s="802"/>
      <c r="CLM841" s="802"/>
      <c r="CLN841" s="802"/>
      <c r="CLO841" s="802"/>
      <c r="CLP841" s="802"/>
      <c r="CLQ841" s="802"/>
      <c r="CLR841" s="802"/>
      <c r="CLS841" s="802"/>
      <c r="CLT841" s="802"/>
      <c r="CLU841" s="802"/>
      <c r="CLV841" s="802"/>
      <c r="CLW841" s="802"/>
      <c r="CLX841" s="802"/>
      <c r="CLY841" s="802"/>
      <c r="CLZ841" s="802"/>
      <c r="CMA841" s="802"/>
      <c r="CMB841" s="802"/>
      <c r="CMC841" s="802"/>
      <c r="CMD841" s="802"/>
      <c r="CME841" s="802"/>
      <c r="CMF841" s="802"/>
      <c r="CMG841" s="802"/>
      <c r="CMH841" s="802"/>
      <c r="CMI841" s="802"/>
      <c r="CMJ841" s="802"/>
      <c r="CMK841" s="802"/>
      <c r="CML841" s="802"/>
      <c r="CMM841" s="802"/>
      <c r="CMN841" s="802"/>
      <c r="CMO841" s="802"/>
      <c r="CMP841" s="802"/>
      <c r="CMQ841" s="802"/>
      <c r="CMR841" s="802"/>
      <c r="CMS841" s="802"/>
      <c r="CMT841" s="802"/>
      <c r="CMU841" s="802"/>
      <c r="CMV841" s="802"/>
      <c r="CMW841" s="802"/>
      <c r="CMX841" s="802"/>
      <c r="CMY841" s="802"/>
      <c r="CMZ841" s="802"/>
      <c r="CNA841" s="802"/>
      <c r="CNB841" s="802"/>
      <c r="CNC841" s="802"/>
      <c r="CND841" s="802"/>
      <c r="CNE841" s="802"/>
      <c r="CNF841" s="802"/>
      <c r="CNG841" s="802"/>
      <c r="CNH841" s="802"/>
      <c r="CNI841" s="802"/>
      <c r="CNJ841" s="802"/>
      <c r="CNK841" s="802"/>
      <c r="CNL841" s="802"/>
      <c r="CNM841" s="802"/>
      <c r="CNN841" s="802"/>
      <c r="CNO841" s="802"/>
      <c r="CNP841" s="802"/>
      <c r="CNQ841" s="802"/>
      <c r="CNR841" s="802"/>
      <c r="CNS841" s="802"/>
      <c r="CNT841" s="802"/>
      <c r="CNU841" s="802"/>
      <c r="CNV841" s="802"/>
      <c r="CNW841" s="802"/>
      <c r="CNX841" s="802"/>
      <c r="CNY841" s="802"/>
      <c r="CNZ841" s="802"/>
      <c r="COA841" s="802"/>
      <c r="COB841" s="802"/>
      <c r="COC841" s="802"/>
      <c r="COD841" s="802"/>
      <c r="COE841" s="802"/>
      <c r="COF841" s="802"/>
      <c r="COG841" s="802"/>
      <c r="COH841" s="802"/>
      <c r="COI841" s="802"/>
      <c r="COJ841" s="802"/>
      <c r="COK841" s="802"/>
      <c r="COL841" s="802"/>
      <c r="COM841" s="802"/>
      <c r="CON841" s="802"/>
      <c r="COO841" s="802"/>
      <c r="COP841" s="802"/>
      <c r="COQ841" s="802"/>
      <c r="COR841" s="802"/>
      <c r="COS841" s="802"/>
      <c r="COT841" s="802"/>
      <c r="COU841" s="802"/>
      <c r="COV841" s="802"/>
      <c r="COW841" s="802"/>
      <c r="COX841" s="802"/>
      <c r="COY841" s="802"/>
      <c r="COZ841" s="802"/>
      <c r="CPA841" s="802"/>
      <c r="CPB841" s="802"/>
      <c r="CPC841" s="802"/>
      <c r="CPD841" s="802"/>
      <c r="CPE841" s="802"/>
      <c r="CPF841" s="802"/>
      <c r="CPG841" s="802"/>
      <c r="CPH841" s="802"/>
      <c r="CPI841" s="802"/>
      <c r="CPJ841" s="802"/>
      <c r="CPK841" s="802"/>
      <c r="CPL841" s="802"/>
      <c r="CPM841" s="802"/>
      <c r="CPN841" s="802"/>
      <c r="CPO841" s="802"/>
      <c r="CPP841" s="802"/>
      <c r="CPQ841" s="802"/>
      <c r="CPR841" s="802"/>
      <c r="CPS841" s="802"/>
      <c r="CPT841" s="802"/>
      <c r="CPU841" s="802"/>
      <c r="CPV841" s="802"/>
      <c r="CPW841" s="802"/>
      <c r="CPX841" s="802"/>
      <c r="CPY841" s="802"/>
      <c r="CPZ841" s="802"/>
      <c r="CQA841" s="802"/>
      <c r="CQB841" s="802"/>
      <c r="CQC841" s="802"/>
      <c r="CQD841" s="802"/>
      <c r="CQE841" s="802"/>
      <c r="CQF841" s="802"/>
      <c r="CQG841" s="802"/>
      <c r="CQH841" s="802"/>
      <c r="CQI841" s="802"/>
      <c r="CQJ841" s="802"/>
      <c r="CQK841" s="802"/>
      <c r="CQL841" s="802"/>
      <c r="CQM841" s="802"/>
      <c r="CQN841" s="802"/>
      <c r="CQO841" s="802"/>
      <c r="CQP841" s="802"/>
      <c r="CQQ841" s="802"/>
      <c r="CQR841" s="802"/>
      <c r="CQS841" s="802"/>
      <c r="CQT841" s="802"/>
      <c r="CQU841" s="802"/>
      <c r="CQV841" s="802"/>
      <c r="CQW841" s="802"/>
      <c r="CQX841" s="802"/>
      <c r="CQY841" s="802"/>
      <c r="CQZ841" s="802"/>
      <c r="CRA841" s="802"/>
      <c r="CRB841" s="802"/>
      <c r="CRC841" s="802"/>
      <c r="CRD841" s="802"/>
      <c r="CRE841" s="802"/>
      <c r="CRF841" s="802"/>
      <c r="CRG841" s="802"/>
      <c r="CRH841" s="802"/>
      <c r="CRI841" s="802"/>
      <c r="CRJ841" s="802"/>
      <c r="CRK841" s="802"/>
      <c r="CRL841" s="802"/>
      <c r="CRM841" s="802"/>
      <c r="CRN841" s="802"/>
      <c r="CRO841" s="802"/>
      <c r="CRP841" s="802"/>
      <c r="CRQ841" s="802"/>
      <c r="CRR841" s="802"/>
      <c r="CRS841" s="802"/>
      <c r="CRT841" s="802"/>
      <c r="CRU841" s="802"/>
      <c r="CRV841" s="802"/>
      <c r="CRW841" s="802"/>
      <c r="CRX841" s="802"/>
      <c r="CRY841" s="802"/>
      <c r="CRZ841" s="802"/>
      <c r="CSA841" s="802"/>
      <c r="CSB841" s="802"/>
      <c r="CSC841" s="802"/>
      <c r="CSD841" s="802"/>
      <c r="CSE841" s="802"/>
      <c r="CSF841" s="802"/>
      <c r="CSG841" s="802"/>
      <c r="CSH841" s="802"/>
      <c r="CSI841" s="802"/>
      <c r="CSJ841" s="802"/>
      <c r="CSK841" s="802"/>
      <c r="CSL841" s="802"/>
      <c r="CSM841" s="802"/>
      <c r="CSN841" s="802"/>
      <c r="CSO841" s="802"/>
      <c r="CSP841" s="802"/>
      <c r="CSQ841" s="802"/>
      <c r="CSR841" s="802"/>
      <c r="CSS841" s="802"/>
      <c r="CST841" s="802"/>
      <c r="CSU841" s="802"/>
      <c r="CSV841" s="802"/>
      <c r="CSW841" s="802"/>
      <c r="CSX841" s="802"/>
      <c r="CSY841" s="802"/>
      <c r="CSZ841" s="802"/>
      <c r="CTA841" s="802"/>
      <c r="CTB841" s="802"/>
      <c r="CTC841" s="802"/>
      <c r="CTD841" s="802"/>
      <c r="CTE841" s="802"/>
      <c r="CTF841" s="802"/>
      <c r="CTG841" s="802"/>
      <c r="CTH841" s="802"/>
      <c r="CTI841" s="802"/>
      <c r="CTJ841" s="802"/>
      <c r="CTK841" s="802"/>
      <c r="CTL841" s="802"/>
      <c r="CTM841" s="802"/>
      <c r="CTN841" s="802"/>
      <c r="CTO841" s="802"/>
      <c r="CTP841" s="802"/>
      <c r="CTQ841" s="802"/>
      <c r="CTR841" s="802"/>
      <c r="CTS841" s="802"/>
      <c r="CTT841" s="802"/>
      <c r="CTU841" s="802"/>
      <c r="CTV841" s="802"/>
      <c r="CTW841" s="802"/>
      <c r="CTX841" s="802"/>
      <c r="CTY841" s="802"/>
      <c r="CTZ841" s="802"/>
      <c r="CUA841" s="802"/>
      <c r="CUB841" s="802"/>
      <c r="CUC841" s="802"/>
      <c r="CUD841" s="802"/>
      <c r="CUE841" s="802"/>
      <c r="CUF841" s="802"/>
      <c r="CUG841" s="802"/>
      <c r="CUH841" s="802"/>
      <c r="CUI841" s="802"/>
      <c r="CUJ841" s="802"/>
      <c r="CUK841" s="802"/>
      <c r="CUL841" s="802"/>
      <c r="CUM841" s="802"/>
      <c r="CUN841" s="802"/>
      <c r="CUO841" s="802"/>
      <c r="CUP841" s="802"/>
      <c r="CUQ841" s="802"/>
      <c r="CUR841" s="802"/>
      <c r="CUS841" s="802"/>
      <c r="CUT841" s="802"/>
      <c r="CUU841" s="802"/>
      <c r="CUV841" s="802"/>
      <c r="CUW841" s="802"/>
      <c r="CUX841" s="802"/>
      <c r="CUY841" s="802"/>
      <c r="CUZ841" s="802"/>
      <c r="CVA841" s="802"/>
      <c r="CVB841" s="802"/>
      <c r="CVC841" s="802"/>
      <c r="CVD841" s="802"/>
      <c r="CVE841" s="802"/>
      <c r="CVF841" s="802"/>
      <c r="CVG841" s="802"/>
      <c r="CVH841" s="802"/>
      <c r="CVI841" s="802"/>
      <c r="CVJ841" s="802"/>
      <c r="CVK841" s="802"/>
      <c r="CVL841" s="802"/>
      <c r="CVM841" s="802"/>
      <c r="CVN841" s="802"/>
      <c r="CVO841" s="802"/>
      <c r="CVP841" s="802"/>
      <c r="CVQ841" s="802"/>
      <c r="CVR841" s="802"/>
      <c r="CVS841" s="802"/>
      <c r="CVT841" s="802"/>
      <c r="CVU841" s="802"/>
      <c r="CVV841" s="802"/>
      <c r="CVW841" s="802"/>
      <c r="CVX841" s="802"/>
      <c r="CVY841" s="802"/>
      <c r="CVZ841" s="802"/>
      <c r="CWA841" s="802"/>
      <c r="CWB841" s="802"/>
      <c r="CWC841" s="802"/>
      <c r="CWD841" s="802"/>
      <c r="CWE841" s="802"/>
      <c r="CWF841" s="802"/>
      <c r="CWG841" s="802"/>
      <c r="CWH841" s="802"/>
      <c r="CWI841" s="802"/>
      <c r="CWJ841" s="802"/>
      <c r="CWK841" s="802"/>
      <c r="CWL841" s="802"/>
      <c r="CWM841" s="802"/>
      <c r="CWN841" s="802"/>
      <c r="CWO841" s="802"/>
      <c r="CWP841" s="802"/>
      <c r="CWQ841" s="802"/>
      <c r="CWR841" s="802"/>
      <c r="CWS841" s="802"/>
      <c r="CWT841" s="802"/>
      <c r="CWU841" s="802"/>
      <c r="CWV841" s="802"/>
      <c r="CWW841" s="802"/>
      <c r="CWX841" s="802"/>
      <c r="CWY841" s="802"/>
      <c r="CWZ841" s="802"/>
      <c r="CXA841" s="802"/>
      <c r="CXB841" s="802"/>
      <c r="CXC841" s="802"/>
      <c r="CXD841" s="802"/>
      <c r="CXE841" s="802"/>
      <c r="CXF841" s="802"/>
      <c r="CXG841" s="802"/>
      <c r="CXH841" s="802"/>
      <c r="CXI841" s="802"/>
      <c r="CXJ841" s="802"/>
      <c r="CXK841" s="802"/>
      <c r="CXL841" s="802"/>
      <c r="CXM841" s="802"/>
      <c r="CXN841" s="802"/>
      <c r="CXO841" s="802"/>
      <c r="CXP841" s="802"/>
      <c r="CXQ841" s="802"/>
      <c r="CXR841" s="802"/>
      <c r="CXS841" s="802"/>
      <c r="CXT841" s="802"/>
      <c r="CXU841" s="802"/>
      <c r="CXV841" s="802"/>
      <c r="CXW841" s="802"/>
      <c r="CXX841" s="802"/>
      <c r="CXY841" s="802"/>
      <c r="CXZ841" s="802"/>
      <c r="CYA841" s="802"/>
      <c r="CYB841" s="802"/>
      <c r="CYC841" s="802"/>
      <c r="CYD841" s="802"/>
      <c r="CYE841" s="802"/>
      <c r="CYF841" s="802"/>
      <c r="CYG841" s="802"/>
      <c r="CYH841" s="802"/>
      <c r="CYI841" s="802"/>
      <c r="CYJ841" s="802"/>
      <c r="CYK841" s="802"/>
      <c r="CYL841" s="802"/>
      <c r="CYM841" s="802"/>
      <c r="CYN841" s="802"/>
      <c r="CYO841" s="802"/>
      <c r="CYP841" s="802"/>
      <c r="CYQ841" s="802"/>
      <c r="CYR841" s="802"/>
      <c r="CYS841" s="802"/>
      <c r="CYT841" s="802"/>
      <c r="CYU841" s="802"/>
      <c r="CYV841" s="802"/>
      <c r="CYW841" s="802"/>
      <c r="CYX841" s="802"/>
      <c r="CYY841" s="802"/>
      <c r="CYZ841" s="802"/>
      <c r="CZA841" s="802"/>
      <c r="CZB841" s="802"/>
      <c r="CZC841" s="802"/>
      <c r="CZD841" s="802"/>
      <c r="CZE841" s="802"/>
      <c r="CZF841" s="802"/>
      <c r="CZG841" s="802"/>
      <c r="CZH841" s="802"/>
      <c r="CZI841" s="802"/>
      <c r="CZJ841" s="802"/>
      <c r="CZK841" s="802"/>
      <c r="CZL841" s="802"/>
      <c r="CZM841" s="802"/>
      <c r="CZN841" s="802"/>
      <c r="CZO841" s="802"/>
      <c r="CZP841" s="802"/>
      <c r="CZQ841" s="802"/>
      <c r="CZR841" s="802"/>
      <c r="CZS841" s="802"/>
      <c r="CZT841" s="802"/>
      <c r="CZU841" s="802"/>
      <c r="CZV841" s="802"/>
      <c r="CZW841" s="802"/>
      <c r="CZX841" s="802"/>
      <c r="CZY841" s="802"/>
      <c r="CZZ841" s="802"/>
      <c r="DAA841" s="802"/>
      <c r="DAB841" s="802"/>
      <c r="DAC841" s="802"/>
      <c r="DAD841" s="802"/>
      <c r="DAE841" s="802"/>
      <c r="DAF841" s="802"/>
      <c r="DAG841" s="802"/>
      <c r="DAH841" s="802"/>
      <c r="DAI841" s="802"/>
      <c r="DAJ841" s="802"/>
      <c r="DAK841" s="802"/>
      <c r="DAL841" s="802"/>
      <c r="DAM841" s="802"/>
      <c r="DAN841" s="802"/>
      <c r="DAO841" s="802"/>
      <c r="DAP841" s="802"/>
      <c r="DAQ841" s="802"/>
      <c r="DAR841" s="802"/>
      <c r="DAS841" s="802"/>
      <c r="DAT841" s="802"/>
      <c r="DAU841" s="802"/>
      <c r="DAV841" s="802"/>
      <c r="DAW841" s="802"/>
      <c r="DAX841" s="802"/>
      <c r="DAY841" s="802"/>
      <c r="DAZ841" s="802"/>
      <c r="DBA841" s="802"/>
      <c r="DBB841" s="802"/>
      <c r="DBC841" s="802"/>
      <c r="DBD841" s="802"/>
      <c r="DBE841" s="802"/>
      <c r="DBF841" s="802"/>
      <c r="DBG841" s="802"/>
      <c r="DBH841" s="802"/>
      <c r="DBI841" s="802"/>
      <c r="DBJ841" s="802"/>
      <c r="DBK841" s="802"/>
      <c r="DBL841" s="802"/>
      <c r="DBM841" s="802"/>
      <c r="DBN841" s="802"/>
      <c r="DBO841" s="802"/>
      <c r="DBP841" s="802"/>
      <c r="DBQ841" s="802"/>
      <c r="DBR841" s="802"/>
      <c r="DBS841" s="802"/>
      <c r="DBT841" s="802"/>
      <c r="DBU841" s="802"/>
      <c r="DBV841" s="802"/>
      <c r="DBW841" s="802"/>
      <c r="DBX841" s="802"/>
      <c r="DBY841" s="802"/>
      <c r="DBZ841" s="802"/>
      <c r="DCA841" s="802"/>
      <c r="DCB841" s="802"/>
      <c r="DCC841" s="802"/>
      <c r="DCD841" s="802"/>
      <c r="DCE841" s="802"/>
      <c r="DCF841" s="802"/>
      <c r="DCG841" s="802"/>
      <c r="DCH841" s="802"/>
      <c r="DCI841" s="802"/>
      <c r="DCJ841" s="802"/>
      <c r="DCK841" s="802"/>
      <c r="DCL841" s="802"/>
      <c r="DCM841" s="802"/>
      <c r="DCN841" s="802"/>
      <c r="DCO841" s="802"/>
      <c r="DCP841" s="802"/>
      <c r="DCQ841" s="802"/>
      <c r="DCR841" s="802"/>
      <c r="DCS841" s="802"/>
      <c r="DCT841" s="802"/>
      <c r="DCU841" s="802"/>
      <c r="DCV841" s="802"/>
      <c r="DCW841" s="802"/>
      <c r="DCX841" s="802"/>
      <c r="DCY841" s="802"/>
      <c r="DCZ841" s="802"/>
      <c r="DDA841" s="802"/>
      <c r="DDB841" s="802"/>
      <c r="DDC841" s="802"/>
      <c r="DDD841" s="802"/>
      <c r="DDE841" s="802"/>
      <c r="DDF841" s="802"/>
      <c r="DDG841" s="802"/>
      <c r="DDH841" s="802"/>
      <c r="DDI841" s="802"/>
      <c r="DDJ841" s="802"/>
      <c r="DDK841" s="802"/>
      <c r="DDL841" s="802"/>
      <c r="DDM841" s="802"/>
      <c r="DDN841" s="802"/>
      <c r="DDO841" s="802"/>
      <c r="DDP841" s="802"/>
      <c r="DDQ841" s="802"/>
      <c r="DDR841" s="802"/>
      <c r="DDS841" s="802"/>
      <c r="DDT841" s="802"/>
      <c r="DDU841" s="802"/>
      <c r="DDV841" s="802"/>
      <c r="DDW841" s="802"/>
      <c r="DDX841" s="802"/>
      <c r="DDY841" s="802"/>
      <c r="DDZ841" s="802"/>
      <c r="DEA841" s="802"/>
      <c r="DEB841" s="802"/>
      <c r="DEC841" s="802"/>
      <c r="DED841" s="802"/>
      <c r="DEE841" s="802"/>
      <c r="DEF841" s="802"/>
      <c r="DEG841" s="802"/>
      <c r="DEH841" s="802"/>
      <c r="DEI841" s="802"/>
      <c r="DEJ841" s="802"/>
      <c r="DEK841" s="802"/>
      <c r="DEL841" s="802"/>
      <c r="DEM841" s="802"/>
      <c r="DEN841" s="802"/>
      <c r="DEO841" s="802"/>
      <c r="DEP841" s="802"/>
      <c r="DEQ841" s="802"/>
      <c r="DER841" s="802"/>
      <c r="DES841" s="802"/>
      <c r="DET841" s="802"/>
      <c r="DEU841" s="802"/>
      <c r="DEV841" s="802"/>
      <c r="DEW841" s="802"/>
      <c r="DEX841" s="802"/>
      <c r="DEY841" s="802"/>
      <c r="DEZ841" s="802"/>
      <c r="DFA841" s="802"/>
      <c r="DFB841" s="802"/>
      <c r="DFC841" s="802"/>
      <c r="DFD841" s="802"/>
      <c r="DFE841" s="802"/>
      <c r="DFF841" s="802"/>
      <c r="DFG841" s="802"/>
      <c r="DFH841" s="802"/>
      <c r="DFI841" s="802"/>
      <c r="DFJ841" s="802"/>
      <c r="DFK841" s="802"/>
      <c r="DFL841" s="802"/>
      <c r="DFM841" s="802"/>
      <c r="DFN841" s="802"/>
      <c r="DFO841" s="802"/>
      <c r="DFP841" s="802"/>
      <c r="DFQ841" s="802"/>
      <c r="DFR841" s="802"/>
      <c r="DFS841" s="802"/>
      <c r="DFT841" s="802"/>
      <c r="DFU841" s="802"/>
      <c r="DFV841" s="802"/>
      <c r="DFW841" s="802"/>
      <c r="DFX841" s="802"/>
      <c r="DFY841" s="802"/>
      <c r="DFZ841" s="802"/>
      <c r="DGA841" s="802"/>
      <c r="DGB841" s="802"/>
      <c r="DGC841" s="802"/>
      <c r="DGD841" s="802"/>
      <c r="DGE841" s="802"/>
      <c r="DGF841" s="802"/>
      <c r="DGG841" s="802"/>
      <c r="DGH841" s="802"/>
      <c r="DGI841" s="802"/>
      <c r="DGJ841" s="802"/>
      <c r="DGK841" s="802"/>
      <c r="DGL841" s="802"/>
      <c r="DGM841" s="802"/>
      <c r="DGN841" s="802"/>
      <c r="DGO841" s="802"/>
      <c r="DGP841" s="802"/>
      <c r="DGQ841" s="802"/>
      <c r="DGR841" s="802"/>
      <c r="DGS841" s="802"/>
      <c r="DGT841" s="802"/>
      <c r="DGU841" s="802"/>
      <c r="DGV841" s="802"/>
      <c r="DGW841" s="802"/>
      <c r="DGX841" s="802"/>
      <c r="DGY841" s="802"/>
      <c r="DGZ841" s="802"/>
      <c r="DHA841" s="802"/>
      <c r="DHB841" s="802"/>
      <c r="DHC841" s="802"/>
      <c r="DHD841" s="802"/>
      <c r="DHE841" s="802"/>
      <c r="DHF841" s="802"/>
      <c r="DHG841" s="802"/>
      <c r="DHH841" s="802"/>
      <c r="DHI841" s="802"/>
      <c r="DHJ841" s="802"/>
      <c r="DHK841" s="802"/>
      <c r="DHL841" s="802"/>
      <c r="DHM841" s="802"/>
      <c r="DHN841" s="802"/>
      <c r="DHO841" s="802"/>
      <c r="DHP841" s="802"/>
      <c r="DHQ841" s="802"/>
      <c r="DHR841" s="802"/>
      <c r="DHS841" s="802"/>
      <c r="DHT841" s="802"/>
      <c r="DHU841" s="802"/>
      <c r="DHV841" s="802"/>
      <c r="DHW841" s="802"/>
      <c r="DHX841" s="802"/>
      <c r="DHY841" s="802"/>
      <c r="DHZ841" s="802"/>
      <c r="DIA841" s="802"/>
      <c r="DIB841" s="802"/>
      <c r="DIC841" s="802"/>
      <c r="DID841" s="802"/>
      <c r="DIE841" s="802"/>
      <c r="DIF841" s="802"/>
      <c r="DIG841" s="802"/>
      <c r="DIH841" s="802"/>
      <c r="DII841" s="802"/>
      <c r="DIJ841" s="802"/>
      <c r="DIK841" s="802"/>
      <c r="DIL841" s="802"/>
      <c r="DIM841" s="802"/>
      <c r="DIN841" s="802"/>
      <c r="DIO841" s="802"/>
      <c r="DIP841" s="802"/>
      <c r="DIQ841" s="802"/>
      <c r="DIR841" s="802"/>
      <c r="DIS841" s="802"/>
      <c r="DIT841" s="802"/>
      <c r="DIU841" s="802"/>
      <c r="DIV841" s="802"/>
      <c r="DIW841" s="802"/>
      <c r="DIX841" s="802"/>
      <c r="DIY841" s="802"/>
      <c r="DIZ841" s="802"/>
      <c r="DJA841" s="802"/>
      <c r="DJB841" s="802"/>
      <c r="DJC841" s="802"/>
      <c r="DJD841" s="802"/>
      <c r="DJE841" s="802"/>
      <c r="DJF841" s="802"/>
      <c r="DJG841" s="802"/>
      <c r="DJH841" s="802"/>
      <c r="DJI841" s="802"/>
      <c r="DJJ841" s="802"/>
      <c r="DJK841" s="802"/>
      <c r="DJL841" s="802"/>
      <c r="DJM841" s="802"/>
      <c r="DJN841" s="802"/>
      <c r="DJO841" s="802"/>
      <c r="DJP841" s="802"/>
      <c r="DJQ841" s="802"/>
      <c r="DJR841" s="802"/>
      <c r="DJS841" s="802"/>
      <c r="DJT841" s="802"/>
      <c r="DJU841" s="802"/>
      <c r="DJV841" s="802"/>
      <c r="DJW841" s="802"/>
      <c r="DJX841" s="802"/>
      <c r="DJY841" s="802"/>
      <c r="DJZ841" s="802"/>
      <c r="DKA841" s="802"/>
      <c r="DKB841" s="802"/>
      <c r="DKC841" s="802"/>
      <c r="DKD841" s="802"/>
      <c r="DKE841" s="802"/>
      <c r="DKF841" s="802"/>
      <c r="DKG841" s="802"/>
      <c r="DKH841" s="802"/>
      <c r="DKI841" s="802"/>
      <c r="DKJ841" s="802"/>
      <c r="DKK841" s="802"/>
      <c r="DKL841" s="802"/>
      <c r="DKM841" s="802"/>
      <c r="DKN841" s="802"/>
      <c r="DKO841" s="802"/>
      <c r="DKP841" s="802"/>
      <c r="DKQ841" s="802"/>
      <c r="DKR841" s="802"/>
      <c r="DKS841" s="802"/>
      <c r="DKT841" s="802"/>
      <c r="DKU841" s="802"/>
      <c r="DKV841" s="802"/>
      <c r="DKW841" s="802"/>
      <c r="DKX841" s="802"/>
      <c r="DKY841" s="802"/>
      <c r="DKZ841" s="802"/>
      <c r="DLA841" s="802"/>
      <c r="DLB841" s="802"/>
      <c r="DLC841" s="802"/>
      <c r="DLD841" s="802"/>
      <c r="DLE841" s="802"/>
      <c r="DLF841" s="802"/>
      <c r="DLG841" s="802"/>
      <c r="DLH841" s="802"/>
      <c r="DLI841" s="802"/>
      <c r="DLJ841" s="802"/>
      <c r="DLK841" s="802"/>
      <c r="DLL841" s="802"/>
      <c r="DLM841" s="802"/>
      <c r="DLN841" s="802"/>
      <c r="DLO841" s="802"/>
      <c r="DLP841" s="802"/>
      <c r="DLQ841" s="802"/>
      <c r="DLR841" s="802"/>
      <c r="DLS841" s="802"/>
      <c r="DLT841" s="802"/>
      <c r="DLU841" s="802"/>
      <c r="DLV841" s="802"/>
      <c r="DLW841" s="802"/>
      <c r="DLX841" s="802"/>
      <c r="DLY841" s="802"/>
      <c r="DLZ841" s="802"/>
      <c r="DMA841" s="802"/>
      <c r="DMB841" s="802"/>
      <c r="DMC841" s="802"/>
      <c r="DMD841" s="802"/>
      <c r="DME841" s="802"/>
      <c r="DMF841" s="802"/>
      <c r="DMG841" s="802"/>
      <c r="DMH841" s="802"/>
      <c r="DMI841" s="802"/>
      <c r="DMJ841" s="802"/>
      <c r="DMK841" s="802"/>
      <c r="DML841" s="802"/>
      <c r="DMM841" s="802"/>
      <c r="DMN841" s="802"/>
      <c r="DMO841" s="802"/>
      <c r="DMP841" s="802"/>
      <c r="DMQ841" s="802"/>
      <c r="DMR841" s="802"/>
      <c r="DMS841" s="802"/>
      <c r="DMT841" s="802"/>
      <c r="DMU841" s="802"/>
      <c r="DMV841" s="802"/>
      <c r="DMW841" s="802"/>
      <c r="DMX841" s="802"/>
      <c r="DMY841" s="802"/>
      <c r="DMZ841" s="802"/>
      <c r="DNA841" s="802"/>
      <c r="DNB841" s="802"/>
      <c r="DNC841" s="802"/>
      <c r="DND841" s="802"/>
      <c r="DNE841" s="802"/>
      <c r="DNF841" s="802"/>
      <c r="DNG841" s="802"/>
      <c r="DNH841" s="802"/>
      <c r="DNI841" s="802"/>
      <c r="DNJ841" s="802"/>
      <c r="DNK841" s="802"/>
      <c r="DNL841" s="802"/>
      <c r="DNM841" s="802"/>
      <c r="DNN841" s="802"/>
      <c r="DNO841" s="802"/>
      <c r="DNP841" s="802"/>
      <c r="DNQ841" s="802"/>
      <c r="DNR841" s="802"/>
      <c r="DNS841" s="802"/>
      <c r="DNT841" s="802"/>
      <c r="DNU841" s="802"/>
      <c r="DNV841" s="802"/>
      <c r="DNW841" s="802"/>
      <c r="DNX841" s="802"/>
      <c r="DNY841" s="802"/>
      <c r="DNZ841" s="802"/>
      <c r="DOA841" s="802"/>
      <c r="DOB841" s="802"/>
      <c r="DOC841" s="802"/>
      <c r="DOD841" s="802"/>
      <c r="DOE841" s="802"/>
      <c r="DOF841" s="802"/>
      <c r="DOG841" s="802"/>
      <c r="DOH841" s="802"/>
      <c r="DOI841" s="802"/>
      <c r="DOJ841" s="802"/>
      <c r="DOK841" s="802"/>
      <c r="DOL841" s="802"/>
      <c r="DOM841" s="802"/>
      <c r="DON841" s="802"/>
      <c r="DOO841" s="802"/>
      <c r="DOP841" s="802"/>
      <c r="DOQ841" s="802"/>
      <c r="DOR841" s="802"/>
      <c r="DOS841" s="802"/>
      <c r="DOT841" s="802"/>
      <c r="DOU841" s="802"/>
      <c r="DOV841" s="802"/>
      <c r="DOW841" s="802"/>
      <c r="DOX841" s="802"/>
      <c r="DOY841" s="802"/>
      <c r="DOZ841" s="802"/>
      <c r="DPA841" s="802"/>
      <c r="DPB841" s="802"/>
      <c r="DPC841" s="802"/>
      <c r="DPD841" s="802"/>
      <c r="DPE841" s="802"/>
      <c r="DPF841" s="802"/>
      <c r="DPG841" s="802"/>
      <c r="DPH841" s="802"/>
      <c r="DPI841" s="802"/>
      <c r="DPJ841" s="802"/>
      <c r="DPK841" s="802"/>
      <c r="DPL841" s="802"/>
      <c r="DPM841" s="802"/>
      <c r="DPN841" s="802"/>
      <c r="DPO841" s="802"/>
      <c r="DPP841" s="802"/>
      <c r="DPQ841" s="802"/>
      <c r="DPR841" s="802"/>
      <c r="DPS841" s="802"/>
      <c r="DPT841" s="802"/>
      <c r="DPU841" s="802"/>
      <c r="DPV841" s="802"/>
      <c r="DPW841" s="802"/>
      <c r="DPX841" s="802"/>
      <c r="DPY841" s="802"/>
      <c r="DPZ841" s="802"/>
      <c r="DQA841" s="802"/>
      <c r="DQB841" s="802"/>
      <c r="DQC841" s="802"/>
      <c r="DQD841" s="802"/>
      <c r="DQE841" s="802"/>
      <c r="DQF841" s="802"/>
      <c r="DQG841" s="802"/>
      <c r="DQH841" s="802"/>
      <c r="DQI841" s="802"/>
      <c r="DQJ841" s="802"/>
      <c r="DQK841" s="802"/>
      <c r="DQL841" s="802"/>
      <c r="DQM841" s="802"/>
      <c r="DQN841" s="802"/>
      <c r="DQO841" s="802"/>
      <c r="DQP841" s="802"/>
      <c r="DQQ841" s="802"/>
      <c r="DQR841" s="802"/>
      <c r="DQS841" s="802"/>
      <c r="DQT841" s="802"/>
      <c r="DQU841" s="802"/>
      <c r="DQV841" s="802"/>
      <c r="DQW841" s="802"/>
      <c r="DQX841" s="802"/>
      <c r="DQY841" s="802"/>
      <c r="DQZ841" s="802"/>
      <c r="DRA841" s="802"/>
      <c r="DRB841" s="802"/>
      <c r="DRC841" s="802"/>
      <c r="DRD841" s="802"/>
      <c r="DRE841" s="802"/>
      <c r="DRF841" s="802"/>
      <c r="DRG841" s="802"/>
      <c r="DRH841" s="802"/>
      <c r="DRI841" s="802"/>
      <c r="DRJ841" s="802"/>
      <c r="DRK841" s="802"/>
      <c r="DRL841" s="802"/>
      <c r="DRM841" s="802"/>
      <c r="DRN841" s="802"/>
      <c r="DRO841" s="802"/>
      <c r="DRP841" s="802"/>
      <c r="DRQ841" s="802"/>
      <c r="DRR841" s="802"/>
      <c r="DRS841" s="802"/>
      <c r="DRT841" s="802"/>
      <c r="DRU841" s="802"/>
      <c r="DRV841" s="802"/>
      <c r="DRW841" s="802"/>
      <c r="DRX841" s="802"/>
      <c r="DRY841" s="802"/>
      <c r="DRZ841" s="802"/>
      <c r="DSA841" s="802"/>
      <c r="DSB841" s="802"/>
      <c r="DSC841" s="802"/>
      <c r="DSD841" s="802"/>
      <c r="DSE841" s="802"/>
      <c r="DSF841" s="802"/>
      <c r="DSG841" s="802"/>
      <c r="DSH841" s="802"/>
      <c r="DSI841" s="802"/>
      <c r="DSJ841" s="802"/>
      <c r="DSK841" s="802"/>
      <c r="DSL841" s="802"/>
      <c r="DSM841" s="802"/>
      <c r="DSN841" s="802"/>
      <c r="DSO841" s="802"/>
      <c r="DSP841" s="802"/>
      <c r="DSQ841" s="802"/>
      <c r="DSR841" s="802"/>
      <c r="DSS841" s="802"/>
      <c r="DST841" s="802"/>
      <c r="DSU841" s="802"/>
      <c r="DSV841" s="802"/>
      <c r="DSW841" s="802"/>
      <c r="DSX841" s="802"/>
      <c r="DSY841" s="802"/>
      <c r="DSZ841" s="802"/>
      <c r="DTA841" s="802"/>
      <c r="DTB841" s="802"/>
      <c r="DTC841" s="802"/>
      <c r="DTD841" s="802"/>
      <c r="DTE841" s="802"/>
      <c r="DTF841" s="802"/>
      <c r="DTG841" s="802"/>
      <c r="DTH841" s="802"/>
      <c r="DTI841" s="802"/>
      <c r="DTJ841" s="802"/>
      <c r="DTK841" s="802"/>
      <c r="DTL841" s="802"/>
      <c r="DTM841" s="802"/>
      <c r="DTN841" s="802"/>
      <c r="DTO841" s="802"/>
      <c r="DTP841" s="802"/>
      <c r="DTQ841" s="802"/>
      <c r="DTR841" s="802"/>
      <c r="DTS841" s="802"/>
      <c r="DTT841" s="802"/>
      <c r="DTU841" s="802"/>
      <c r="DTV841" s="802"/>
      <c r="DTW841" s="802"/>
      <c r="DTX841" s="802"/>
      <c r="DTY841" s="802"/>
      <c r="DTZ841" s="802"/>
      <c r="DUA841" s="802"/>
      <c r="DUB841" s="802"/>
      <c r="DUC841" s="802"/>
      <c r="DUD841" s="802"/>
      <c r="DUE841" s="802"/>
      <c r="DUF841" s="802"/>
      <c r="DUG841" s="802"/>
      <c r="DUH841" s="802"/>
      <c r="DUI841" s="802"/>
      <c r="DUJ841" s="802"/>
      <c r="DUK841" s="802"/>
      <c r="DUL841" s="802"/>
      <c r="DUM841" s="802"/>
      <c r="DUN841" s="802"/>
      <c r="DUO841" s="802"/>
      <c r="DUP841" s="802"/>
      <c r="DUQ841" s="802"/>
      <c r="DUR841" s="802"/>
      <c r="DUS841" s="802"/>
      <c r="DUT841" s="802"/>
      <c r="DUU841" s="802"/>
      <c r="DUV841" s="802"/>
      <c r="DUW841" s="802"/>
      <c r="DUX841" s="802"/>
      <c r="DUY841" s="802"/>
      <c r="DUZ841" s="802"/>
      <c r="DVA841" s="802"/>
      <c r="DVB841" s="802"/>
      <c r="DVC841" s="802"/>
      <c r="DVD841" s="802"/>
      <c r="DVE841" s="802"/>
      <c r="DVF841" s="802"/>
      <c r="DVG841" s="802"/>
      <c r="DVH841" s="802"/>
      <c r="DVI841" s="802"/>
      <c r="DVJ841" s="802"/>
      <c r="DVK841" s="802"/>
      <c r="DVL841" s="802"/>
      <c r="DVM841" s="802"/>
      <c r="DVN841" s="802"/>
      <c r="DVO841" s="802"/>
      <c r="DVP841" s="802"/>
      <c r="DVQ841" s="802"/>
      <c r="DVR841" s="802"/>
      <c r="DVS841" s="802"/>
      <c r="DVT841" s="802"/>
      <c r="DVU841" s="802"/>
      <c r="DVV841" s="802"/>
      <c r="DVW841" s="802"/>
      <c r="DVX841" s="802"/>
      <c r="DVY841" s="802"/>
      <c r="DVZ841" s="802"/>
      <c r="DWA841" s="802"/>
      <c r="DWB841" s="802"/>
      <c r="DWC841" s="802"/>
      <c r="DWD841" s="802"/>
      <c r="DWE841" s="802"/>
      <c r="DWF841" s="802"/>
      <c r="DWG841" s="802"/>
      <c r="DWH841" s="802"/>
      <c r="DWI841" s="802"/>
      <c r="DWJ841" s="802"/>
      <c r="DWK841" s="802"/>
      <c r="DWL841" s="802"/>
      <c r="DWM841" s="802"/>
      <c r="DWN841" s="802"/>
      <c r="DWO841" s="802"/>
      <c r="DWP841" s="802"/>
      <c r="DWQ841" s="802"/>
      <c r="DWR841" s="802"/>
      <c r="DWS841" s="802"/>
      <c r="DWT841" s="802"/>
      <c r="DWU841" s="802"/>
      <c r="DWV841" s="802"/>
      <c r="DWW841" s="802"/>
      <c r="DWX841" s="802"/>
      <c r="DWY841" s="802"/>
      <c r="DWZ841" s="802"/>
      <c r="DXA841" s="802"/>
      <c r="DXB841" s="802"/>
      <c r="DXC841" s="802"/>
      <c r="DXD841" s="802"/>
      <c r="DXE841" s="802"/>
      <c r="DXF841" s="802"/>
      <c r="DXG841" s="802"/>
      <c r="DXH841" s="802"/>
      <c r="DXI841" s="802"/>
      <c r="DXJ841" s="802"/>
      <c r="DXK841" s="802"/>
      <c r="DXL841" s="802"/>
      <c r="DXM841" s="802"/>
      <c r="DXN841" s="802"/>
      <c r="DXO841" s="802"/>
      <c r="DXP841" s="802"/>
      <c r="DXQ841" s="802"/>
      <c r="DXR841" s="802"/>
      <c r="DXS841" s="802"/>
      <c r="DXT841" s="802"/>
      <c r="DXU841" s="802"/>
      <c r="DXV841" s="802"/>
      <c r="DXW841" s="802"/>
      <c r="DXX841" s="802"/>
      <c r="DXY841" s="802"/>
      <c r="DXZ841" s="802"/>
      <c r="DYA841" s="802"/>
      <c r="DYB841" s="802"/>
      <c r="DYC841" s="802"/>
      <c r="DYD841" s="802"/>
      <c r="DYE841" s="802"/>
      <c r="DYF841" s="802"/>
      <c r="DYG841" s="802"/>
      <c r="DYH841" s="802"/>
      <c r="DYI841" s="802"/>
      <c r="DYJ841" s="802"/>
      <c r="DYK841" s="802"/>
      <c r="DYL841" s="802"/>
      <c r="DYM841" s="802"/>
      <c r="DYN841" s="802"/>
      <c r="DYO841" s="802"/>
      <c r="DYP841" s="802"/>
      <c r="DYQ841" s="802"/>
      <c r="DYR841" s="802"/>
      <c r="DYS841" s="802"/>
      <c r="DYT841" s="802"/>
      <c r="DYU841" s="802"/>
      <c r="DYV841" s="802"/>
      <c r="DYW841" s="802"/>
      <c r="DYX841" s="802"/>
      <c r="DYY841" s="802"/>
      <c r="DYZ841" s="802"/>
      <c r="DZA841" s="802"/>
      <c r="DZB841" s="802"/>
      <c r="DZC841" s="802"/>
      <c r="DZD841" s="802"/>
      <c r="DZE841" s="802"/>
      <c r="DZF841" s="802"/>
      <c r="DZG841" s="802"/>
      <c r="DZH841" s="802"/>
      <c r="DZI841" s="802"/>
      <c r="DZJ841" s="802"/>
      <c r="DZK841" s="802"/>
      <c r="DZL841" s="802"/>
      <c r="DZM841" s="802"/>
      <c r="DZN841" s="802"/>
      <c r="DZO841" s="802"/>
      <c r="DZP841" s="802"/>
      <c r="DZQ841" s="802"/>
      <c r="DZR841" s="802"/>
      <c r="DZS841" s="802"/>
      <c r="DZT841" s="802"/>
      <c r="DZU841" s="802"/>
      <c r="DZV841" s="802"/>
      <c r="DZW841" s="802"/>
      <c r="DZX841" s="802"/>
      <c r="DZY841" s="802"/>
      <c r="DZZ841" s="802"/>
      <c r="EAA841" s="802"/>
      <c r="EAB841" s="802"/>
      <c r="EAC841" s="802"/>
      <c r="EAD841" s="802"/>
      <c r="EAE841" s="802"/>
      <c r="EAF841" s="802"/>
      <c r="EAG841" s="802"/>
      <c r="EAH841" s="802"/>
      <c r="EAI841" s="802"/>
      <c r="EAJ841" s="802"/>
      <c r="EAK841" s="802"/>
      <c r="EAL841" s="802"/>
      <c r="EAM841" s="802"/>
      <c r="EAN841" s="802"/>
      <c r="EAO841" s="802"/>
      <c r="EAP841" s="802"/>
      <c r="EAQ841" s="802"/>
      <c r="EAR841" s="802"/>
      <c r="EAS841" s="802"/>
      <c r="EAT841" s="802"/>
      <c r="EAU841" s="802"/>
      <c r="EAV841" s="802"/>
      <c r="EAW841" s="802"/>
      <c r="EAX841" s="802"/>
      <c r="EAY841" s="802"/>
      <c r="EAZ841" s="802"/>
      <c r="EBA841" s="802"/>
      <c r="EBB841" s="802"/>
      <c r="EBC841" s="802"/>
      <c r="EBD841" s="802"/>
      <c r="EBE841" s="802"/>
      <c r="EBF841" s="802"/>
      <c r="EBG841" s="802"/>
      <c r="EBH841" s="802"/>
      <c r="EBI841" s="802"/>
      <c r="EBJ841" s="802"/>
      <c r="EBK841" s="802"/>
      <c r="EBL841" s="802"/>
      <c r="EBM841" s="802"/>
      <c r="EBN841" s="802"/>
      <c r="EBO841" s="802"/>
      <c r="EBP841" s="802"/>
      <c r="EBQ841" s="802"/>
      <c r="EBR841" s="802"/>
      <c r="EBS841" s="802"/>
      <c r="EBT841" s="802"/>
      <c r="EBU841" s="802"/>
      <c r="EBV841" s="802"/>
      <c r="EBW841" s="802"/>
      <c r="EBX841" s="802"/>
      <c r="EBY841" s="802"/>
      <c r="EBZ841" s="802"/>
      <c r="ECA841" s="802"/>
      <c r="ECB841" s="802"/>
      <c r="ECC841" s="802"/>
      <c r="ECD841" s="802"/>
      <c r="ECE841" s="802"/>
      <c r="ECF841" s="802"/>
      <c r="ECG841" s="802"/>
      <c r="ECH841" s="802"/>
      <c r="ECI841" s="802"/>
      <c r="ECJ841" s="802"/>
      <c r="ECK841" s="802"/>
      <c r="ECL841" s="802"/>
      <c r="ECM841" s="802"/>
      <c r="ECN841" s="802"/>
      <c r="ECO841" s="802"/>
      <c r="ECP841" s="802"/>
      <c r="ECQ841" s="802"/>
      <c r="ECR841" s="802"/>
      <c r="ECS841" s="802"/>
      <c r="ECT841" s="802"/>
      <c r="ECU841" s="802"/>
      <c r="ECV841" s="802"/>
      <c r="ECW841" s="802"/>
      <c r="ECX841" s="802"/>
      <c r="ECY841" s="802"/>
      <c r="ECZ841" s="802"/>
      <c r="EDA841" s="802"/>
      <c r="EDB841" s="802"/>
      <c r="EDC841" s="802"/>
      <c r="EDD841" s="802"/>
      <c r="EDE841" s="802"/>
      <c r="EDF841" s="802"/>
      <c r="EDG841" s="802"/>
      <c r="EDH841" s="802"/>
      <c r="EDI841" s="802"/>
      <c r="EDJ841" s="802"/>
      <c r="EDK841" s="802"/>
      <c r="EDL841" s="802"/>
      <c r="EDM841" s="802"/>
      <c r="EDN841" s="802"/>
      <c r="EDO841" s="802"/>
      <c r="EDP841" s="802"/>
      <c r="EDQ841" s="802"/>
      <c r="EDR841" s="802"/>
      <c r="EDS841" s="802"/>
      <c r="EDT841" s="802"/>
      <c r="EDU841" s="802"/>
      <c r="EDV841" s="802"/>
      <c r="EDW841" s="802"/>
      <c r="EDX841" s="802"/>
      <c r="EDY841" s="802"/>
      <c r="EDZ841" s="802"/>
      <c r="EEA841" s="802"/>
      <c r="EEB841" s="802"/>
      <c r="EEC841" s="802"/>
      <c r="EED841" s="802"/>
      <c r="EEE841" s="802"/>
      <c r="EEF841" s="802"/>
      <c r="EEG841" s="802"/>
      <c r="EEH841" s="802"/>
      <c r="EEI841" s="802"/>
      <c r="EEJ841" s="802"/>
      <c r="EEK841" s="802"/>
      <c r="EEL841" s="802"/>
      <c r="EEM841" s="802"/>
      <c r="EEN841" s="802"/>
      <c r="EEO841" s="802"/>
      <c r="EEP841" s="802"/>
      <c r="EEQ841" s="802"/>
      <c r="EER841" s="802"/>
      <c r="EES841" s="802"/>
      <c r="EET841" s="802"/>
      <c r="EEU841" s="802"/>
      <c r="EEV841" s="802"/>
      <c r="EEW841" s="802"/>
      <c r="EEX841" s="802"/>
      <c r="EEY841" s="802"/>
      <c r="EEZ841" s="802"/>
      <c r="EFA841" s="802"/>
      <c r="EFB841" s="802"/>
      <c r="EFC841" s="802"/>
      <c r="EFD841" s="802"/>
      <c r="EFE841" s="802"/>
      <c r="EFF841" s="802"/>
      <c r="EFG841" s="802"/>
      <c r="EFH841" s="802"/>
      <c r="EFI841" s="802"/>
      <c r="EFJ841" s="802"/>
      <c r="EFK841" s="802"/>
      <c r="EFL841" s="802"/>
      <c r="EFM841" s="802"/>
      <c r="EFN841" s="802"/>
      <c r="EFO841" s="802"/>
      <c r="EFP841" s="802"/>
      <c r="EFQ841" s="802"/>
      <c r="EFR841" s="802"/>
      <c r="EFS841" s="802"/>
      <c r="EFT841" s="802"/>
      <c r="EFU841" s="802"/>
      <c r="EFV841" s="802"/>
      <c r="EFW841" s="802"/>
      <c r="EFX841" s="802"/>
      <c r="EFY841" s="802"/>
      <c r="EFZ841" s="802"/>
      <c r="EGA841" s="802"/>
      <c r="EGB841" s="802"/>
      <c r="EGC841" s="802"/>
      <c r="EGD841" s="802"/>
      <c r="EGE841" s="802"/>
      <c r="EGF841" s="802"/>
      <c r="EGG841" s="802"/>
      <c r="EGH841" s="802"/>
      <c r="EGI841" s="802"/>
      <c r="EGJ841" s="802"/>
      <c r="EGK841" s="802"/>
      <c r="EGL841" s="802"/>
      <c r="EGM841" s="802"/>
      <c r="EGN841" s="802"/>
      <c r="EGO841" s="802"/>
      <c r="EGP841" s="802"/>
      <c r="EGQ841" s="802"/>
      <c r="EGR841" s="802"/>
      <c r="EGS841" s="802"/>
      <c r="EGT841" s="802"/>
      <c r="EGU841" s="802"/>
      <c r="EGV841" s="802"/>
      <c r="EGW841" s="802"/>
      <c r="EGX841" s="802"/>
      <c r="EGY841" s="802"/>
      <c r="EGZ841" s="802"/>
      <c r="EHA841" s="802"/>
      <c r="EHB841" s="802"/>
      <c r="EHC841" s="802"/>
      <c r="EHD841" s="802"/>
      <c r="EHE841" s="802"/>
      <c r="EHF841" s="802"/>
      <c r="EHG841" s="802"/>
      <c r="EHH841" s="802"/>
      <c r="EHI841" s="802"/>
      <c r="EHJ841" s="802"/>
      <c r="EHK841" s="802"/>
      <c r="EHL841" s="802"/>
      <c r="EHM841" s="802"/>
      <c r="EHN841" s="802"/>
      <c r="EHO841" s="802"/>
      <c r="EHP841" s="802"/>
      <c r="EHQ841" s="802"/>
      <c r="EHR841" s="802"/>
      <c r="EHS841" s="802"/>
      <c r="EHT841" s="802"/>
      <c r="EHU841" s="802"/>
      <c r="EHV841" s="802"/>
      <c r="EHW841" s="802"/>
      <c r="EHX841" s="802"/>
      <c r="EHY841" s="802"/>
      <c r="EHZ841" s="802"/>
      <c r="EIA841" s="802"/>
      <c r="EIB841" s="802"/>
      <c r="EIC841" s="802"/>
      <c r="EID841" s="802"/>
      <c r="EIE841" s="802"/>
      <c r="EIF841" s="802"/>
      <c r="EIG841" s="802"/>
      <c r="EIH841" s="802"/>
      <c r="EII841" s="802"/>
      <c r="EIJ841" s="802"/>
      <c r="EIK841" s="802"/>
      <c r="EIL841" s="802"/>
      <c r="EIM841" s="802"/>
      <c r="EIN841" s="802"/>
      <c r="EIO841" s="802"/>
      <c r="EIP841" s="802"/>
      <c r="EIQ841" s="802"/>
      <c r="EIR841" s="802"/>
      <c r="EIS841" s="802"/>
      <c r="EIT841" s="802"/>
      <c r="EIU841" s="802"/>
      <c r="EIV841" s="802"/>
      <c r="EIW841" s="802"/>
      <c r="EIX841" s="802"/>
      <c r="EIY841" s="802"/>
      <c r="EIZ841" s="802"/>
      <c r="EJA841" s="802"/>
      <c r="EJB841" s="802"/>
      <c r="EJC841" s="802"/>
      <c r="EJD841" s="802"/>
      <c r="EJE841" s="802"/>
      <c r="EJF841" s="802"/>
      <c r="EJG841" s="802"/>
      <c r="EJH841" s="802"/>
      <c r="EJI841" s="802"/>
      <c r="EJJ841" s="802"/>
      <c r="EJK841" s="802"/>
      <c r="EJL841" s="802"/>
      <c r="EJM841" s="802"/>
      <c r="EJN841" s="802"/>
      <c r="EJO841" s="802"/>
      <c r="EJP841" s="802"/>
      <c r="EJQ841" s="802"/>
      <c r="EJR841" s="802"/>
      <c r="EJS841" s="802"/>
      <c r="EJT841" s="802"/>
      <c r="EJU841" s="802"/>
      <c r="EJV841" s="802"/>
      <c r="EJW841" s="802"/>
      <c r="EJX841" s="802"/>
      <c r="EJY841" s="802"/>
      <c r="EJZ841" s="802"/>
      <c r="EKA841" s="802"/>
      <c r="EKB841" s="802"/>
      <c r="EKC841" s="802"/>
      <c r="EKD841" s="802"/>
      <c r="EKE841" s="802"/>
      <c r="EKF841" s="802"/>
      <c r="EKG841" s="802"/>
      <c r="EKH841" s="802"/>
      <c r="EKI841" s="802"/>
      <c r="EKJ841" s="802"/>
      <c r="EKK841" s="802"/>
      <c r="EKL841" s="802"/>
      <c r="EKM841" s="802"/>
      <c r="EKN841" s="802"/>
      <c r="EKO841" s="802"/>
      <c r="EKP841" s="802"/>
      <c r="EKQ841" s="802"/>
      <c r="EKR841" s="802"/>
      <c r="EKS841" s="802"/>
      <c r="EKT841" s="802"/>
      <c r="EKU841" s="802"/>
      <c r="EKV841" s="802"/>
      <c r="EKW841" s="802"/>
      <c r="EKX841" s="802"/>
      <c r="EKY841" s="802"/>
      <c r="EKZ841" s="802"/>
      <c r="ELA841" s="802"/>
      <c r="ELB841" s="802"/>
      <c r="ELC841" s="802"/>
      <c r="ELD841" s="802"/>
      <c r="ELE841" s="802"/>
      <c r="ELF841" s="802"/>
      <c r="ELG841" s="802"/>
      <c r="ELH841" s="802"/>
      <c r="ELI841" s="802"/>
      <c r="ELJ841" s="802"/>
      <c r="ELK841" s="802"/>
      <c r="ELL841" s="802"/>
      <c r="ELM841" s="802"/>
      <c r="ELN841" s="802"/>
      <c r="ELO841" s="802"/>
      <c r="ELP841" s="802"/>
      <c r="ELQ841" s="802"/>
      <c r="ELR841" s="802"/>
      <c r="ELS841" s="802"/>
      <c r="ELT841" s="802"/>
      <c r="ELU841" s="802"/>
      <c r="ELV841" s="802"/>
      <c r="ELW841" s="802"/>
      <c r="ELX841" s="802"/>
      <c r="ELY841" s="802"/>
      <c r="ELZ841" s="802"/>
      <c r="EMA841" s="802"/>
      <c r="EMB841" s="802"/>
      <c r="EMC841" s="802"/>
      <c r="EMD841" s="802"/>
      <c r="EME841" s="802"/>
      <c r="EMF841" s="802"/>
      <c r="EMG841" s="802"/>
      <c r="EMH841" s="802"/>
      <c r="EMI841" s="802"/>
      <c r="EMJ841" s="802"/>
      <c r="EMK841" s="802"/>
      <c r="EML841" s="802"/>
      <c r="EMM841" s="802"/>
      <c r="EMN841" s="802"/>
      <c r="EMO841" s="802"/>
      <c r="EMP841" s="802"/>
      <c r="EMQ841" s="802"/>
      <c r="EMR841" s="802"/>
      <c r="EMS841" s="802"/>
      <c r="EMT841" s="802"/>
      <c r="EMU841" s="802"/>
      <c r="EMV841" s="802"/>
      <c r="EMW841" s="802"/>
      <c r="EMX841" s="802"/>
      <c r="EMY841" s="802"/>
      <c r="EMZ841" s="802"/>
      <c r="ENA841" s="802"/>
      <c r="ENB841" s="802"/>
      <c r="ENC841" s="802"/>
      <c r="END841" s="802"/>
      <c r="ENE841" s="802"/>
      <c r="ENF841" s="802"/>
      <c r="ENG841" s="802"/>
      <c r="ENH841" s="802"/>
      <c r="ENI841" s="802"/>
      <c r="ENJ841" s="802"/>
      <c r="ENK841" s="802"/>
      <c r="ENL841" s="802"/>
      <c r="ENM841" s="802"/>
      <c r="ENN841" s="802"/>
      <c r="ENO841" s="802"/>
      <c r="ENP841" s="802"/>
      <c r="ENQ841" s="802"/>
      <c r="ENR841" s="802"/>
      <c r="ENS841" s="802"/>
      <c r="ENT841" s="802"/>
      <c r="ENU841" s="802"/>
      <c r="ENV841" s="802"/>
      <c r="ENW841" s="802"/>
      <c r="ENX841" s="802"/>
      <c r="ENY841" s="802"/>
      <c r="ENZ841" s="802"/>
      <c r="EOA841" s="802"/>
      <c r="EOB841" s="802"/>
      <c r="EOC841" s="802"/>
      <c r="EOD841" s="802"/>
      <c r="EOE841" s="802"/>
      <c r="EOF841" s="802"/>
      <c r="EOG841" s="802"/>
      <c r="EOH841" s="802"/>
      <c r="EOI841" s="802"/>
      <c r="EOJ841" s="802"/>
      <c r="EOK841" s="802"/>
      <c r="EOL841" s="802"/>
      <c r="EOM841" s="802"/>
      <c r="EON841" s="802"/>
      <c r="EOO841" s="802"/>
      <c r="EOP841" s="802"/>
      <c r="EOQ841" s="802"/>
      <c r="EOR841" s="802"/>
      <c r="EOS841" s="802"/>
      <c r="EOT841" s="802"/>
      <c r="EOU841" s="802"/>
      <c r="EOV841" s="802"/>
      <c r="EOW841" s="802"/>
      <c r="EOX841" s="802"/>
      <c r="EOY841" s="802"/>
      <c r="EOZ841" s="802"/>
      <c r="EPA841" s="802"/>
      <c r="EPB841" s="802"/>
      <c r="EPC841" s="802"/>
      <c r="EPD841" s="802"/>
      <c r="EPE841" s="802"/>
      <c r="EPF841" s="802"/>
      <c r="EPG841" s="802"/>
      <c r="EPH841" s="802"/>
      <c r="EPI841" s="802"/>
      <c r="EPJ841" s="802"/>
      <c r="EPK841" s="802"/>
      <c r="EPL841" s="802"/>
      <c r="EPM841" s="802"/>
      <c r="EPN841" s="802"/>
      <c r="EPO841" s="802"/>
      <c r="EPP841" s="802"/>
      <c r="EPQ841" s="802"/>
      <c r="EPR841" s="802"/>
      <c r="EPS841" s="802"/>
      <c r="EPT841" s="802"/>
      <c r="EPU841" s="802"/>
      <c r="EPV841" s="802"/>
      <c r="EPW841" s="802"/>
      <c r="EPX841" s="802"/>
      <c r="EPY841" s="802"/>
      <c r="EPZ841" s="802"/>
      <c r="EQA841" s="802"/>
      <c r="EQB841" s="802"/>
      <c r="EQC841" s="802"/>
      <c r="EQD841" s="802"/>
      <c r="EQE841" s="802"/>
      <c r="EQF841" s="802"/>
      <c r="EQG841" s="802"/>
      <c r="EQH841" s="802"/>
      <c r="EQI841" s="802"/>
      <c r="EQJ841" s="802"/>
      <c r="EQK841" s="802"/>
      <c r="EQL841" s="802"/>
      <c r="EQM841" s="802"/>
      <c r="EQN841" s="802"/>
      <c r="EQO841" s="802"/>
      <c r="EQP841" s="802"/>
      <c r="EQQ841" s="802"/>
      <c r="EQR841" s="802"/>
      <c r="EQS841" s="802"/>
      <c r="EQT841" s="802"/>
      <c r="EQU841" s="802"/>
      <c r="EQV841" s="802"/>
      <c r="EQW841" s="802"/>
      <c r="EQX841" s="802"/>
      <c r="EQY841" s="802"/>
      <c r="EQZ841" s="802"/>
      <c r="ERA841" s="802"/>
      <c r="ERB841" s="802"/>
      <c r="ERC841" s="802"/>
      <c r="ERD841" s="802"/>
      <c r="ERE841" s="802"/>
      <c r="ERF841" s="802"/>
      <c r="ERG841" s="802"/>
      <c r="ERH841" s="802"/>
      <c r="ERI841" s="802"/>
      <c r="ERJ841" s="802"/>
      <c r="ERK841" s="802"/>
      <c r="ERL841" s="802"/>
      <c r="ERM841" s="802"/>
      <c r="ERN841" s="802"/>
      <c r="ERO841" s="802"/>
      <c r="ERP841" s="802"/>
      <c r="ERQ841" s="802"/>
      <c r="ERR841" s="802"/>
      <c r="ERS841" s="802"/>
      <c r="ERT841" s="802"/>
      <c r="ERU841" s="802"/>
      <c r="ERV841" s="802"/>
      <c r="ERW841" s="802"/>
      <c r="ERX841" s="802"/>
      <c r="ERY841" s="802"/>
      <c r="ERZ841" s="802"/>
      <c r="ESA841" s="802"/>
      <c r="ESB841" s="802"/>
      <c r="ESC841" s="802"/>
      <c r="ESD841" s="802"/>
      <c r="ESE841" s="802"/>
      <c r="ESF841" s="802"/>
      <c r="ESG841" s="802"/>
      <c r="ESH841" s="802"/>
      <c r="ESI841" s="802"/>
      <c r="ESJ841" s="802"/>
      <c r="ESK841" s="802"/>
      <c r="ESL841" s="802"/>
      <c r="ESM841" s="802"/>
      <c r="ESN841" s="802"/>
      <c r="ESO841" s="802"/>
      <c r="ESP841" s="802"/>
      <c r="ESQ841" s="802"/>
      <c r="ESR841" s="802"/>
      <c r="ESS841" s="802"/>
      <c r="EST841" s="802"/>
      <c r="ESU841" s="802"/>
      <c r="ESV841" s="802"/>
      <c r="ESW841" s="802"/>
      <c r="ESX841" s="802"/>
      <c r="ESY841" s="802"/>
      <c r="ESZ841" s="802"/>
      <c r="ETA841" s="802"/>
      <c r="ETB841" s="802"/>
      <c r="ETC841" s="802"/>
      <c r="ETD841" s="802"/>
      <c r="ETE841" s="802"/>
      <c r="ETF841" s="802"/>
      <c r="ETG841" s="802"/>
      <c r="ETH841" s="802"/>
      <c r="ETI841" s="802"/>
      <c r="ETJ841" s="802"/>
      <c r="ETK841" s="802"/>
      <c r="ETL841" s="802"/>
      <c r="ETM841" s="802"/>
      <c r="ETN841" s="802"/>
      <c r="ETO841" s="802"/>
      <c r="ETP841" s="802"/>
      <c r="ETQ841" s="802"/>
      <c r="ETR841" s="802"/>
      <c r="ETS841" s="802"/>
      <c r="ETT841" s="802"/>
      <c r="ETU841" s="802"/>
      <c r="ETV841" s="802"/>
      <c r="ETW841" s="802"/>
      <c r="ETX841" s="802"/>
      <c r="ETY841" s="802"/>
      <c r="ETZ841" s="802"/>
      <c r="EUA841" s="802"/>
      <c r="EUB841" s="802"/>
      <c r="EUC841" s="802"/>
      <c r="EUD841" s="802"/>
      <c r="EUE841" s="802"/>
      <c r="EUF841" s="802"/>
      <c r="EUG841" s="802"/>
      <c r="EUH841" s="802"/>
      <c r="EUI841" s="802"/>
      <c r="EUJ841" s="802"/>
      <c r="EUK841" s="802"/>
      <c r="EUL841" s="802"/>
      <c r="EUM841" s="802"/>
      <c r="EUN841" s="802"/>
      <c r="EUO841" s="802"/>
      <c r="EUP841" s="802"/>
      <c r="EUQ841" s="802"/>
      <c r="EUR841" s="802"/>
      <c r="EUS841" s="802"/>
      <c r="EUT841" s="802"/>
      <c r="EUU841" s="802"/>
      <c r="EUV841" s="802"/>
      <c r="EUW841" s="802"/>
      <c r="EUX841" s="802"/>
      <c r="EUY841" s="802"/>
      <c r="EUZ841" s="802"/>
      <c r="EVA841" s="802"/>
      <c r="EVB841" s="802"/>
      <c r="EVC841" s="802"/>
      <c r="EVD841" s="802"/>
      <c r="EVE841" s="802"/>
      <c r="EVF841" s="802"/>
      <c r="EVG841" s="802"/>
      <c r="EVH841" s="802"/>
      <c r="EVI841" s="802"/>
      <c r="EVJ841" s="802"/>
      <c r="EVK841" s="802"/>
      <c r="EVL841" s="802"/>
      <c r="EVM841" s="802"/>
      <c r="EVN841" s="802"/>
      <c r="EVO841" s="802"/>
      <c r="EVP841" s="802"/>
      <c r="EVQ841" s="802"/>
      <c r="EVR841" s="802"/>
      <c r="EVS841" s="802"/>
      <c r="EVT841" s="802"/>
      <c r="EVU841" s="802"/>
      <c r="EVV841" s="802"/>
      <c r="EVW841" s="802"/>
      <c r="EVX841" s="802"/>
      <c r="EVY841" s="802"/>
      <c r="EVZ841" s="802"/>
      <c r="EWA841" s="802"/>
      <c r="EWB841" s="802"/>
      <c r="EWC841" s="802"/>
      <c r="EWD841" s="802"/>
      <c r="EWE841" s="802"/>
      <c r="EWF841" s="802"/>
      <c r="EWG841" s="802"/>
      <c r="EWH841" s="802"/>
      <c r="EWI841" s="802"/>
      <c r="EWJ841" s="802"/>
      <c r="EWK841" s="802"/>
      <c r="EWL841" s="802"/>
      <c r="EWM841" s="802"/>
      <c r="EWN841" s="802"/>
      <c r="EWO841" s="802"/>
      <c r="EWP841" s="802"/>
      <c r="EWQ841" s="802"/>
      <c r="EWR841" s="802"/>
      <c r="EWS841" s="802"/>
      <c r="EWT841" s="802"/>
      <c r="EWU841" s="802"/>
      <c r="EWV841" s="802"/>
      <c r="EWW841" s="802"/>
      <c r="EWX841" s="802"/>
      <c r="EWY841" s="802"/>
      <c r="EWZ841" s="802"/>
      <c r="EXA841" s="802"/>
      <c r="EXB841" s="802"/>
      <c r="EXC841" s="802"/>
      <c r="EXD841" s="802"/>
      <c r="EXE841" s="802"/>
      <c r="EXF841" s="802"/>
      <c r="EXG841" s="802"/>
      <c r="EXH841" s="802"/>
      <c r="EXI841" s="802"/>
      <c r="EXJ841" s="802"/>
      <c r="EXK841" s="802"/>
      <c r="EXL841" s="802"/>
      <c r="EXM841" s="802"/>
      <c r="EXN841" s="802"/>
      <c r="EXO841" s="802"/>
      <c r="EXP841" s="802"/>
      <c r="EXQ841" s="802"/>
      <c r="EXR841" s="802"/>
      <c r="EXS841" s="802"/>
      <c r="EXT841" s="802"/>
      <c r="EXU841" s="802"/>
      <c r="EXV841" s="802"/>
      <c r="EXW841" s="802"/>
      <c r="EXX841" s="802"/>
      <c r="EXY841" s="802"/>
      <c r="EXZ841" s="802"/>
      <c r="EYA841" s="802"/>
      <c r="EYB841" s="802"/>
      <c r="EYC841" s="802"/>
      <c r="EYD841" s="802"/>
      <c r="EYE841" s="802"/>
      <c r="EYF841" s="802"/>
      <c r="EYG841" s="802"/>
      <c r="EYH841" s="802"/>
      <c r="EYI841" s="802"/>
      <c r="EYJ841" s="802"/>
      <c r="EYK841" s="802"/>
      <c r="EYL841" s="802"/>
      <c r="EYM841" s="802"/>
      <c r="EYN841" s="802"/>
      <c r="EYO841" s="802"/>
      <c r="EYP841" s="802"/>
      <c r="EYQ841" s="802"/>
      <c r="EYR841" s="802"/>
      <c r="EYS841" s="802"/>
      <c r="EYT841" s="802"/>
      <c r="EYU841" s="802"/>
      <c r="EYV841" s="802"/>
      <c r="EYW841" s="802"/>
      <c r="EYX841" s="802"/>
      <c r="EYY841" s="802"/>
      <c r="EYZ841" s="802"/>
      <c r="EZA841" s="802"/>
      <c r="EZB841" s="802"/>
      <c r="EZC841" s="802"/>
      <c r="EZD841" s="802"/>
      <c r="EZE841" s="802"/>
      <c r="EZF841" s="802"/>
      <c r="EZG841" s="802"/>
      <c r="EZH841" s="802"/>
      <c r="EZI841" s="802"/>
      <c r="EZJ841" s="802"/>
      <c r="EZK841" s="802"/>
      <c r="EZL841" s="802"/>
      <c r="EZM841" s="802"/>
      <c r="EZN841" s="802"/>
      <c r="EZO841" s="802"/>
      <c r="EZP841" s="802"/>
      <c r="EZQ841" s="802"/>
      <c r="EZR841" s="802"/>
      <c r="EZS841" s="802"/>
      <c r="EZT841" s="802"/>
      <c r="EZU841" s="802"/>
      <c r="EZV841" s="802"/>
      <c r="EZW841" s="802"/>
      <c r="EZX841" s="802"/>
      <c r="EZY841" s="802"/>
      <c r="EZZ841" s="802"/>
      <c r="FAA841" s="802"/>
      <c r="FAB841" s="802"/>
      <c r="FAC841" s="802"/>
      <c r="FAD841" s="802"/>
      <c r="FAE841" s="802"/>
      <c r="FAF841" s="802"/>
      <c r="FAG841" s="802"/>
      <c r="FAH841" s="802"/>
      <c r="FAI841" s="802"/>
      <c r="FAJ841" s="802"/>
      <c r="FAK841" s="802"/>
      <c r="FAL841" s="802"/>
      <c r="FAM841" s="802"/>
      <c r="FAN841" s="802"/>
      <c r="FAO841" s="802"/>
      <c r="FAP841" s="802"/>
      <c r="FAQ841" s="802"/>
      <c r="FAR841" s="802"/>
      <c r="FAS841" s="802"/>
      <c r="FAT841" s="802"/>
      <c r="FAU841" s="802"/>
      <c r="FAV841" s="802"/>
      <c r="FAW841" s="802"/>
      <c r="FAX841" s="802"/>
      <c r="FAY841" s="802"/>
      <c r="FAZ841" s="802"/>
      <c r="FBA841" s="802"/>
      <c r="FBB841" s="802"/>
      <c r="FBC841" s="802"/>
      <c r="FBD841" s="802"/>
      <c r="FBE841" s="802"/>
      <c r="FBF841" s="802"/>
      <c r="FBG841" s="802"/>
      <c r="FBH841" s="802"/>
      <c r="FBI841" s="802"/>
      <c r="FBJ841" s="802"/>
      <c r="FBK841" s="802"/>
      <c r="FBL841" s="802"/>
      <c r="FBM841" s="802"/>
      <c r="FBN841" s="802"/>
      <c r="FBO841" s="802"/>
      <c r="FBP841" s="802"/>
      <c r="FBQ841" s="802"/>
      <c r="FBR841" s="802"/>
      <c r="FBS841" s="802"/>
      <c r="FBT841" s="802"/>
      <c r="FBU841" s="802"/>
      <c r="FBV841" s="802"/>
      <c r="FBW841" s="802"/>
      <c r="FBX841" s="802"/>
      <c r="FBY841" s="802"/>
      <c r="FBZ841" s="802"/>
      <c r="FCA841" s="802"/>
      <c r="FCB841" s="802"/>
      <c r="FCC841" s="802"/>
      <c r="FCD841" s="802"/>
      <c r="FCE841" s="802"/>
      <c r="FCF841" s="802"/>
      <c r="FCG841" s="802"/>
      <c r="FCH841" s="802"/>
      <c r="FCI841" s="802"/>
      <c r="FCJ841" s="802"/>
      <c r="FCK841" s="802"/>
      <c r="FCL841" s="802"/>
      <c r="FCM841" s="802"/>
      <c r="FCN841" s="802"/>
      <c r="FCO841" s="802"/>
      <c r="FCP841" s="802"/>
      <c r="FCQ841" s="802"/>
      <c r="FCR841" s="802"/>
      <c r="FCS841" s="802"/>
      <c r="FCT841" s="802"/>
      <c r="FCU841" s="802"/>
      <c r="FCV841" s="802"/>
      <c r="FCW841" s="802"/>
      <c r="FCX841" s="802"/>
      <c r="FCY841" s="802"/>
      <c r="FCZ841" s="802"/>
      <c r="FDA841" s="802"/>
      <c r="FDB841" s="802"/>
      <c r="FDC841" s="802"/>
      <c r="FDD841" s="802"/>
      <c r="FDE841" s="802"/>
      <c r="FDF841" s="802"/>
      <c r="FDG841" s="802"/>
      <c r="FDH841" s="802"/>
      <c r="FDI841" s="802"/>
      <c r="FDJ841" s="802"/>
      <c r="FDK841" s="802"/>
      <c r="FDL841" s="802"/>
      <c r="FDM841" s="802"/>
      <c r="FDN841" s="802"/>
      <c r="FDO841" s="802"/>
      <c r="FDP841" s="802"/>
      <c r="FDQ841" s="802"/>
      <c r="FDR841" s="802"/>
      <c r="FDS841" s="802"/>
      <c r="FDT841" s="802"/>
      <c r="FDU841" s="802"/>
      <c r="FDV841" s="802"/>
      <c r="FDW841" s="802"/>
      <c r="FDX841" s="802"/>
      <c r="FDY841" s="802"/>
      <c r="FDZ841" s="802"/>
      <c r="FEA841" s="802"/>
      <c r="FEB841" s="802"/>
      <c r="FEC841" s="802"/>
      <c r="FED841" s="802"/>
      <c r="FEE841" s="802"/>
      <c r="FEF841" s="802"/>
      <c r="FEG841" s="802"/>
      <c r="FEH841" s="802"/>
      <c r="FEI841" s="802"/>
      <c r="FEJ841" s="802"/>
      <c r="FEK841" s="802"/>
      <c r="FEL841" s="802"/>
      <c r="FEM841" s="802"/>
      <c r="FEN841" s="802"/>
      <c r="FEO841" s="802"/>
      <c r="FEP841" s="802"/>
      <c r="FEQ841" s="802"/>
      <c r="FER841" s="802"/>
      <c r="FES841" s="802"/>
      <c r="FET841" s="802"/>
      <c r="FEU841" s="802"/>
      <c r="FEV841" s="802"/>
      <c r="FEW841" s="802"/>
      <c r="FEX841" s="802"/>
      <c r="FEY841" s="802"/>
      <c r="FEZ841" s="802"/>
      <c r="FFA841" s="802"/>
      <c r="FFB841" s="802"/>
      <c r="FFC841" s="802"/>
      <c r="FFD841" s="802"/>
      <c r="FFE841" s="802"/>
      <c r="FFF841" s="802"/>
      <c r="FFG841" s="802"/>
      <c r="FFH841" s="802"/>
      <c r="FFI841" s="802"/>
      <c r="FFJ841" s="802"/>
      <c r="FFK841" s="802"/>
      <c r="FFL841" s="802"/>
      <c r="FFM841" s="802"/>
      <c r="FFN841" s="802"/>
      <c r="FFO841" s="802"/>
      <c r="FFP841" s="802"/>
      <c r="FFQ841" s="802"/>
      <c r="FFR841" s="802"/>
      <c r="FFS841" s="802"/>
      <c r="FFT841" s="802"/>
      <c r="FFU841" s="802"/>
      <c r="FFV841" s="802"/>
      <c r="FFW841" s="802"/>
      <c r="FFX841" s="802"/>
      <c r="FFY841" s="802"/>
      <c r="FFZ841" s="802"/>
      <c r="FGA841" s="802"/>
      <c r="FGB841" s="802"/>
      <c r="FGC841" s="802"/>
      <c r="FGD841" s="802"/>
      <c r="FGE841" s="802"/>
      <c r="FGF841" s="802"/>
      <c r="FGG841" s="802"/>
      <c r="FGH841" s="802"/>
      <c r="FGI841" s="802"/>
      <c r="FGJ841" s="802"/>
      <c r="FGK841" s="802"/>
      <c r="FGL841" s="802"/>
      <c r="FGM841" s="802"/>
      <c r="FGN841" s="802"/>
      <c r="FGO841" s="802"/>
      <c r="FGP841" s="802"/>
      <c r="FGQ841" s="802"/>
      <c r="FGR841" s="802"/>
      <c r="FGS841" s="802"/>
      <c r="FGT841" s="802"/>
      <c r="FGU841" s="802"/>
      <c r="FGV841" s="802"/>
      <c r="FGW841" s="802"/>
      <c r="FGX841" s="802"/>
      <c r="FGY841" s="802"/>
      <c r="FGZ841" s="802"/>
      <c r="FHA841" s="802"/>
      <c r="FHB841" s="802"/>
      <c r="FHC841" s="802"/>
      <c r="FHD841" s="802"/>
      <c r="FHE841" s="802"/>
      <c r="FHF841" s="802"/>
      <c r="FHG841" s="802"/>
      <c r="FHH841" s="802"/>
      <c r="FHI841" s="802"/>
      <c r="FHJ841" s="802"/>
      <c r="FHK841" s="802"/>
      <c r="FHL841" s="802"/>
      <c r="FHM841" s="802"/>
      <c r="FHN841" s="802"/>
      <c r="FHO841" s="802"/>
      <c r="FHP841" s="802"/>
      <c r="FHQ841" s="802"/>
      <c r="FHR841" s="802"/>
      <c r="FHS841" s="802"/>
      <c r="FHT841" s="802"/>
      <c r="FHU841" s="802"/>
      <c r="FHV841" s="802"/>
      <c r="FHW841" s="802"/>
      <c r="FHX841" s="802"/>
      <c r="FHY841" s="802"/>
      <c r="FHZ841" s="802"/>
      <c r="FIA841" s="802"/>
      <c r="FIB841" s="802"/>
      <c r="FIC841" s="802"/>
      <c r="FID841" s="802"/>
      <c r="FIE841" s="802"/>
      <c r="FIF841" s="802"/>
      <c r="FIG841" s="802"/>
      <c r="FIH841" s="802"/>
      <c r="FII841" s="802"/>
      <c r="FIJ841" s="802"/>
      <c r="FIK841" s="802"/>
      <c r="FIL841" s="802"/>
      <c r="FIM841" s="802"/>
      <c r="FIN841" s="802"/>
      <c r="FIO841" s="802"/>
      <c r="FIP841" s="802"/>
      <c r="FIQ841" s="802"/>
      <c r="FIR841" s="802"/>
      <c r="FIS841" s="802"/>
      <c r="FIT841" s="802"/>
      <c r="FIU841" s="802"/>
      <c r="FIV841" s="802"/>
      <c r="FIW841" s="802"/>
      <c r="FIX841" s="802"/>
      <c r="FIY841" s="802"/>
      <c r="FIZ841" s="802"/>
      <c r="FJA841" s="802"/>
      <c r="FJB841" s="802"/>
      <c r="FJC841" s="802"/>
      <c r="FJD841" s="802"/>
      <c r="FJE841" s="802"/>
      <c r="FJF841" s="802"/>
      <c r="FJG841" s="802"/>
      <c r="FJH841" s="802"/>
      <c r="FJI841" s="802"/>
      <c r="FJJ841" s="802"/>
      <c r="FJK841" s="802"/>
      <c r="FJL841" s="802"/>
      <c r="FJM841" s="802"/>
      <c r="FJN841" s="802"/>
      <c r="FJO841" s="802"/>
      <c r="FJP841" s="802"/>
      <c r="FJQ841" s="802"/>
      <c r="FJR841" s="802"/>
      <c r="FJS841" s="802"/>
      <c r="FJT841" s="802"/>
      <c r="FJU841" s="802"/>
      <c r="FJV841" s="802"/>
      <c r="FJW841" s="802"/>
      <c r="FJX841" s="802"/>
      <c r="FJY841" s="802"/>
      <c r="FJZ841" s="802"/>
      <c r="FKA841" s="802"/>
      <c r="FKB841" s="802"/>
      <c r="FKC841" s="802"/>
      <c r="FKD841" s="802"/>
      <c r="FKE841" s="802"/>
      <c r="FKF841" s="802"/>
      <c r="FKG841" s="802"/>
      <c r="FKH841" s="802"/>
      <c r="FKI841" s="802"/>
      <c r="FKJ841" s="802"/>
      <c r="FKK841" s="802"/>
      <c r="FKL841" s="802"/>
      <c r="FKM841" s="802"/>
      <c r="FKN841" s="802"/>
      <c r="FKO841" s="802"/>
      <c r="FKP841" s="802"/>
      <c r="FKQ841" s="802"/>
      <c r="FKR841" s="802"/>
      <c r="FKS841" s="802"/>
      <c r="FKT841" s="802"/>
      <c r="FKU841" s="802"/>
      <c r="FKV841" s="802"/>
      <c r="FKW841" s="802"/>
      <c r="FKX841" s="802"/>
      <c r="FKY841" s="802"/>
      <c r="FKZ841" s="802"/>
      <c r="FLA841" s="802"/>
      <c r="FLB841" s="802"/>
      <c r="FLC841" s="802"/>
      <c r="FLD841" s="802"/>
      <c r="FLE841" s="802"/>
      <c r="FLF841" s="802"/>
      <c r="FLG841" s="802"/>
      <c r="FLH841" s="802"/>
      <c r="FLI841" s="802"/>
      <c r="FLJ841" s="802"/>
      <c r="FLK841" s="802"/>
      <c r="FLL841" s="802"/>
      <c r="FLM841" s="802"/>
      <c r="FLN841" s="802"/>
      <c r="FLO841" s="802"/>
      <c r="FLP841" s="802"/>
      <c r="FLQ841" s="802"/>
      <c r="FLR841" s="802"/>
      <c r="FLS841" s="802"/>
      <c r="FLT841" s="802"/>
      <c r="FLU841" s="802"/>
      <c r="FLV841" s="802"/>
      <c r="FLW841" s="802"/>
      <c r="FLX841" s="802"/>
      <c r="FLY841" s="802"/>
      <c r="FLZ841" s="802"/>
      <c r="FMA841" s="802"/>
      <c r="FMB841" s="802"/>
      <c r="FMC841" s="802"/>
      <c r="FMD841" s="802"/>
      <c r="FME841" s="802"/>
      <c r="FMF841" s="802"/>
      <c r="FMG841" s="802"/>
      <c r="FMH841" s="802"/>
      <c r="FMI841" s="802"/>
      <c r="FMJ841" s="802"/>
      <c r="FMK841" s="802"/>
      <c r="FML841" s="802"/>
      <c r="FMM841" s="802"/>
      <c r="FMN841" s="802"/>
      <c r="FMO841" s="802"/>
      <c r="FMP841" s="802"/>
      <c r="FMQ841" s="802"/>
      <c r="FMR841" s="802"/>
      <c r="FMS841" s="802"/>
      <c r="FMT841" s="802"/>
      <c r="FMU841" s="802"/>
      <c r="FMV841" s="802"/>
      <c r="FMW841" s="802"/>
      <c r="FMX841" s="802"/>
      <c r="FMY841" s="802"/>
      <c r="FMZ841" s="802"/>
      <c r="FNA841" s="802"/>
      <c r="FNB841" s="802"/>
      <c r="FNC841" s="802"/>
      <c r="FND841" s="802"/>
      <c r="FNE841" s="802"/>
      <c r="FNF841" s="802"/>
      <c r="FNG841" s="802"/>
      <c r="FNH841" s="802"/>
      <c r="FNI841" s="802"/>
      <c r="FNJ841" s="802"/>
      <c r="FNK841" s="802"/>
      <c r="FNL841" s="802"/>
      <c r="FNM841" s="802"/>
      <c r="FNN841" s="802"/>
      <c r="FNO841" s="802"/>
      <c r="FNP841" s="802"/>
      <c r="FNQ841" s="802"/>
      <c r="FNR841" s="802"/>
      <c r="FNS841" s="802"/>
      <c r="FNT841" s="802"/>
      <c r="FNU841" s="802"/>
      <c r="FNV841" s="802"/>
      <c r="FNW841" s="802"/>
      <c r="FNX841" s="802"/>
      <c r="FNY841" s="802"/>
      <c r="FNZ841" s="802"/>
      <c r="FOA841" s="802"/>
      <c r="FOB841" s="802"/>
      <c r="FOC841" s="802"/>
      <c r="FOD841" s="802"/>
      <c r="FOE841" s="802"/>
      <c r="FOF841" s="802"/>
      <c r="FOG841" s="802"/>
      <c r="FOH841" s="802"/>
      <c r="FOI841" s="802"/>
      <c r="FOJ841" s="802"/>
      <c r="FOK841" s="802"/>
      <c r="FOL841" s="802"/>
      <c r="FOM841" s="802"/>
      <c r="FON841" s="802"/>
      <c r="FOO841" s="802"/>
      <c r="FOP841" s="802"/>
      <c r="FOQ841" s="802"/>
      <c r="FOR841" s="802"/>
      <c r="FOS841" s="802"/>
      <c r="FOT841" s="802"/>
      <c r="FOU841" s="802"/>
      <c r="FOV841" s="802"/>
      <c r="FOW841" s="802"/>
      <c r="FOX841" s="802"/>
      <c r="FOY841" s="802"/>
      <c r="FOZ841" s="802"/>
      <c r="FPA841" s="802"/>
      <c r="FPB841" s="802"/>
      <c r="FPC841" s="802"/>
      <c r="FPD841" s="802"/>
      <c r="FPE841" s="802"/>
      <c r="FPF841" s="802"/>
      <c r="FPG841" s="802"/>
      <c r="FPH841" s="802"/>
      <c r="FPI841" s="802"/>
      <c r="FPJ841" s="802"/>
      <c r="FPK841" s="802"/>
      <c r="FPL841" s="802"/>
      <c r="FPM841" s="802"/>
      <c r="FPN841" s="802"/>
      <c r="FPO841" s="802"/>
      <c r="FPP841" s="802"/>
      <c r="FPQ841" s="802"/>
      <c r="FPR841" s="802"/>
      <c r="FPS841" s="802"/>
      <c r="FPT841" s="802"/>
      <c r="FPU841" s="802"/>
      <c r="FPV841" s="802"/>
      <c r="FPW841" s="802"/>
      <c r="FPX841" s="802"/>
      <c r="FPY841" s="802"/>
      <c r="FPZ841" s="802"/>
      <c r="FQA841" s="802"/>
      <c r="FQB841" s="802"/>
      <c r="FQC841" s="802"/>
      <c r="FQD841" s="802"/>
      <c r="FQE841" s="802"/>
      <c r="FQF841" s="802"/>
      <c r="FQG841" s="802"/>
      <c r="FQH841" s="802"/>
      <c r="FQI841" s="802"/>
      <c r="FQJ841" s="802"/>
      <c r="FQK841" s="802"/>
      <c r="FQL841" s="802"/>
      <c r="FQM841" s="802"/>
      <c r="FQN841" s="802"/>
      <c r="FQO841" s="802"/>
      <c r="FQP841" s="802"/>
      <c r="FQQ841" s="802"/>
      <c r="FQR841" s="802"/>
      <c r="FQS841" s="802"/>
      <c r="FQT841" s="802"/>
      <c r="FQU841" s="802"/>
      <c r="FQV841" s="802"/>
      <c r="FQW841" s="802"/>
      <c r="FQX841" s="802"/>
      <c r="FQY841" s="802"/>
      <c r="FQZ841" s="802"/>
      <c r="FRA841" s="802"/>
      <c r="FRB841" s="802"/>
      <c r="FRC841" s="802"/>
      <c r="FRD841" s="802"/>
      <c r="FRE841" s="802"/>
      <c r="FRF841" s="802"/>
      <c r="FRG841" s="802"/>
      <c r="FRH841" s="802"/>
      <c r="FRI841" s="802"/>
      <c r="FRJ841" s="802"/>
      <c r="FRK841" s="802"/>
      <c r="FRL841" s="802"/>
      <c r="FRM841" s="802"/>
      <c r="FRN841" s="802"/>
      <c r="FRO841" s="802"/>
      <c r="FRP841" s="802"/>
      <c r="FRQ841" s="802"/>
      <c r="FRR841" s="802"/>
      <c r="FRS841" s="802"/>
      <c r="FRT841" s="802"/>
      <c r="FRU841" s="802"/>
      <c r="FRV841" s="802"/>
      <c r="FRW841" s="802"/>
      <c r="FRX841" s="802"/>
      <c r="FRY841" s="802"/>
      <c r="FRZ841" s="802"/>
      <c r="FSA841" s="802"/>
      <c r="FSB841" s="802"/>
      <c r="FSC841" s="802"/>
      <c r="FSD841" s="802"/>
      <c r="FSE841" s="802"/>
      <c r="FSF841" s="802"/>
      <c r="FSG841" s="802"/>
      <c r="FSH841" s="802"/>
      <c r="FSI841" s="802"/>
      <c r="FSJ841" s="802"/>
      <c r="FSK841" s="802"/>
      <c r="FSL841" s="802"/>
      <c r="FSM841" s="802"/>
      <c r="FSN841" s="802"/>
      <c r="FSO841" s="802"/>
      <c r="FSP841" s="802"/>
      <c r="FSQ841" s="802"/>
      <c r="FSR841" s="802"/>
      <c r="FSS841" s="802"/>
      <c r="FST841" s="802"/>
      <c r="FSU841" s="802"/>
      <c r="FSV841" s="802"/>
      <c r="FSW841" s="802"/>
      <c r="FSX841" s="802"/>
      <c r="FSY841" s="802"/>
      <c r="FSZ841" s="802"/>
      <c r="FTA841" s="802"/>
      <c r="FTB841" s="802"/>
      <c r="FTC841" s="802"/>
      <c r="FTD841" s="802"/>
      <c r="FTE841" s="802"/>
      <c r="FTF841" s="802"/>
      <c r="FTG841" s="802"/>
      <c r="FTH841" s="802"/>
      <c r="FTI841" s="802"/>
      <c r="FTJ841" s="802"/>
      <c r="FTK841" s="802"/>
      <c r="FTL841" s="802"/>
      <c r="FTM841" s="802"/>
      <c r="FTN841" s="802"/>
      <c r="FTO841" s="802"/>
      <c r="FTP841" s="802"/>
      <c r="FTQ841" s="802"/>
      <c r="FTR841" s="802"/>
      <c r="FTS841" s="802"/>
      <c r="FTT841" s="802"/>
      <c r="FTU841" s="802"/>
      <c r="FTV841" s="802"/>
      <c r="FTW841" s="802"/>
      <c r="FTX841" s="802"/>
      <c r="FTY841" s="802"/>
      <c r="FTZ841" s="802"/>
      <c r="FUA841" s="802"/>
      <c r="FUB841" s="802"/>
      <c r="FUC841" s="802"/>
      <c r="FUD841" s="802"/>
      <c r="FUE841" s="802"/>
      <c r="FUF841" s="802"/>
      <c r="FUG841" s="802"/>
      <c r="FUH841" s="802"/>
      <c r="FUI841" s="802"/>
      <c r="FUJ841" s="802"/>
      <c r="FUK841" s="802"/>
      <c r="FUL841" s="802"/>
      <c r="FUM841" s="802"/>
      <c r="FUN841" s="802"/>
      <c r="FUO841" s="802"/>
      <c r="FUP841" s="802"/>
      <c r="FUQ841" s="802"/>
      <c r="FUR841" s="802"/>
      <c r="FUS841" s="802"/>
      <c r="FUT841" s="802"/>
      <c r="FUU841" s="802"/>
      <c r="FUV841" s="802"/>
      <c r="FUW841" s="802"/>
      <c r="FUX841" s="802"/>
      <c r="FUY841" s="802"/>
      <c r="FUZ841" s="802"/>
      <c r="FVA841" s="802"/>
      <c r="FVB841" s="802"/>
      <c r="FVC841" s="802"/>
      <c r="FVD841" s="802"/>
      <c r="FVE841" s="802"/>
      <c r="FVF841" s="802"/>
      <c r="FVG841" s="802"/>
      <c r="FVH841" s="802"/>
      <c r="FVI841" s="802"/>
      <c r="FVJ841" s="802"/>
      <c r="FVK841" s="802"/>
      <c r="FVL841" s="802"/>
      <c r="FVM841" s="802"/>
      <c r="FVN841" s="802"/>
      <c r="FVO841" s="802"/>
      <c r="FVP841" s="802"/>
      <c r="FVQ841" s="802"/>
      <c r="FVR841" s="802"/>
      <c r="FVS841" s="802"/>
      <c r="FVT841" s="802"/>
      <c r="FVU841" s="802"/>
      <c r="FVV841" s="802"/>
      <c r="FVW841" s="802"/>
      <c r="FVX841" s="802"/>
      <c r="FVY841" s="802"/>
      <c r="FVZ841" s="802"/>
      <c r="FWA841" s="802"/>
      <c r="FWB841" s="802"/>
      <c r="FWC841" s="802"/>
      <c r="FWD841" s="802"/>
      <c r="FWE841" s="802"/>
      <c r="FWF841" s="802"/>
      <c r="FWG841" s="802"/>
      <c r="FWH841" s="802"/>
      <c r="FWI841" s="802"/>
      <c r="FWJ841" s="802"/>
      <c r="FWK841" s="802"/>
      <c r="FWL841" s="802"/>
      <c r="FWM841" s="802"/>
      <c r="FWN841" s="802"/>
      <c r="FWO841" s="802"/>
      <c r="FWP841" s="802"/>
      <c r="FWQ841" s="802"/>
      <c r="FWR841" s="802"/>
      <c r="FWS841" s="802"/>
      <c r="FWT841" s="802"/>
      <c r="FWU841" s="802"/>
      <c r="FWV841" s="802"/>
      <c r="FWW841" s="802"/>
      <c r="FWX841" s="802"/>
      <c r="FWY841" s="802"/>
      <c r="FWZ841" s="802"/>
      <c r="FXA841" s="802"/>
      <c r="FXB841" s="802"/>
      <c r="FXC841" s="802"/>
      <c r="FXD841" s="802"/>
      <c r="FXE841" s="802"/>
      <c r="FXF841" s="802"/>
      <c r="FXG841" s="802"/>
      <c r="FXH841" s="802"/>
      <c r="FXI841" s="802"/>
      <c r="FXJ841" s="802"/>
      <c r="FXK841" s="802"/>
      <c r="FXL841" s="802"/>
      <c r="FXM841" s="802"/>
      <c r="FXN841" s="802"/>
      <c r="FXO841" s="802"/>
      <c r="FXP841" s="802"/>
      <c r="FXQ841" s="802"/>
      <c r="FXR841" s="802"/>
      <c r="FXS841" s="802"/>
      <c r="FXT841" s="802"/>
      <c r="FXU841" s="802"/>
      <c r="FXV841" s="802"/>
      <c r="FXW841" s="802"/>
      <c r="FXX841" s="802"/>
      <c r="FXY841" s="802"/>
      <c r="FXZ841" s="802"/>
      <c r="FYA841" s="802"/>
      <c r="FYB841" s="802"/>
      <c r="FYC841" s="802"/>
      <c r="FYD841" s="802"/>
      <c r="FYE841" s="802"/>
      <c r="FYF841" s="802"/>
      <c r="FYG841" s="802"/>
      <c r="FYH841" s="802"/>
      <c r="FYI841" s="802"/>
      <c r="FYJ841" s="802"/>
      <c r="FYK841" s="802"/>
      <c r="FYL841" s="802"/>
      <c r="FYM841" s="802"/>
      <c r="FYN841" s="802"/>
      <c r="FYO841" s="802"/>
      <c r="FYP841" s="802"/>
      <c r="FYQ841" s="802"/>
      <c r="FYR841" s="802"/>
      <c r="FYS841" s="802"/>
      <c r="FYT841" s="802"/>
      <c r="FYU841" s="802"/>
      <c r="FYV841" s="802"/>
      <c r="FYW841" s="802"/>
      <c r="FYX841" s="802"/>
      <c r="FYY841" s="802"/>
      <c r="FYZ841" s="802"/>
      <c r="FZA841" s="802"/>
      <c r="FZB841" s="802"/>
      <c r="FZC841" s="802"/>
      <c r="FZD841" s="802"/>
      <c r="FZE841" s="802"/>
      <c r="FZF841" s="802"/>
      <c r="FZG841" s="802"/>
      <c r="FZH841" s="802"/>
      <c r="FZI841" s="802"/>
      <c r="FZJ841" s="802"/>
      <c r="FZK841" s="802"/>
      <c r="FZL841" s="802"/>
      <c r="FZM841" s="802"/>
      <c r="FZN841" s="802"/>
      <c r="FZO841" s="802"/>
      <c r="FZP841" s="802"/>
      <c r="FZQ841" s="802"/>
      <c r="FZR841" s="802"/>
      <c r="FZS841" s="802"/>
      <c r="FZT841" s="802"/>
      <c r="FZU841" s="802"/>
      <c r="FZV841" s="802"/>
      <c r="FZW841" s="802"/>
      <c r="FZX841" s="802"/>
      <c r="FZY841" s="802"/>
      <c r="FZZ841" s="802"/>
      <c r="GAA841" s="802"/>
      <c r="GAB841" s="802"/>
      <c r="GAC841" s="802"/>
      <c r="GAD841" s="802"/>
      <c r="GAE841" s="802"/>
      <c r="GAF841" s="802"/>
      <c r="GAG841" s="802"/>
      <c r="GAH841" s="802"/>
      <c r="GAI841" s="802"/>
      <c r="GAJ841" s="802"/>
      <c r="GAK841" s="802"/>
      <c r="GAL841" s="802"/>
      <c r="GAM841" s="802"/>
      <c r="GAN841" s="802"/>
      <c r="GAO841" s="802"/>
      <c r="GAP841" s="802"/>
      <c r="GAQ841" s="802"/>
      <c r="GAR841" s="802"/>
      <c r="GAS841" s="802"/>
      <c r="GAT841" s="802"/>
      <c r="GAU841" s="802"/>
      <c r="GAV841" s="802"/>
      <c r="GAW841" s="802"/>
      <c r="GAX841" s="802"/>
      <c r="GAY841" s="802"/>
      <c r="GAZ841" s="802"/>
      <c r="GBA841" s="802"/>
      <c r="GBB841" s="802"/>
      <c r="GBC841" s="802"/>
      <c r="GBD841" s="802"/>
      <c r="GBE841" s="802"/>
      <c r="GBF841" s="802"/>
      <c r="GBG841" s="802"/>
      <c r="GBH841" s="802"/>
      <c r="GBI841" s="802"/>
      <c r="GBJ841" s="802"/>
      <c r="GBK841" s="802"/>
      <c r="GBL841" s="802"/>
      <c r="GBM841" s="802"/>
      <c r="GBN841" s="802"/>
      <c r="GBO841" s="802"/>
      <c r="GBP841" s="802"/>
      <c r="GBQ841" s="802"/>
      <c r="GBR841" s="802"/>
      <c r="GBS841" s="802"/>
      <c r="GBT841" s="802"/>
      <c r="GBU841" s="802"/>
      <c r="GBV841" s="802"/>
      <c r="GBW841" s="802"/>
      <c r="GBX841" s="802"/>
      <c r="GBY841" s="802"/>
      <c r="GBZ841" s="802"/>
      <c r="GCA841" s="802"/>
      <c r="GCB841" s="802"/>
      <c r="GCC841" s="802"/>
      <c r="GCD841" s="802"/>
      <c r="GCE841" s="802"/>
      <c r="GCF841" s="802"/>
      <c r="GCG841" s="802"/>
      <c r="GCH841" s="802"/>
      <c r="GCI841" s="802"/>
      <c r="GCJ841" s="802"/>
      <c r="GCK841" s="802"/>
      <c r="GCL841" s="802"/>
      <c r="GCM841" s="802"/>
      <c r="GCN841" s="802"/>
      <c r="GCO841" s="802"/>
      <c r="GCP841" s="802"/>
      <c r="GCQ841" s="802"/>
      <c r="GCR841" s="802"/>
      <c r="GCS841" s="802"/>
      <c r="GCT841" s="802"/>
      <c r="GCU841" s="802"/>
      <c r="GCV841" s="802"/>
      <c r="GCW841" s="802"/>
      <c r="GCX841" s="802"/>
      <c r="GCY841" s="802"/>
      <c r="GCZ841" s="802"/>
      <c r="GDA841" s="802"/>
      <c r="GDB841" s="802"/>
      <c r="GDC841" s="802"/>
      <c r="GDD841" s="802"/>
      <c r="GDE841" s="802"/>
      <c r="GDF841" s="802"/>
      <c r="GDG841" s="802"/>
      <c r="GDH841" s="802"/>
      <c r="GDI841" s="802"/>
      <c r="GDJ841" s="802"/>
      <c r="GDK841" s="802"/>
      <c r="GDL841" s="802"/>
      <c r="GDM841" s="802"/>
      <c r="GDN841" s="802"/>
      <c r="GDO841" s="802"/>
      <c r="GDP841" s="802"/>
      <c r="GDQ841" s="802"/>
      <c r="GDR841" s="802"/>
      <c r="GDS841" s="802"/>
      <c r="GDT841" s="802"/>
      <c r="GDU841" s="802"/>
      <c r="GDV841" s="802"/>
      <c r="GDW841" s="802"/>
      <c r="GDX841" s="802"/>
      <c r="GDY841" s="802"/>
      <c r="GDZ841" s="802"/>
      <c r="GEA841" s="802"/>
      <c r="GEB841" s="802"/>
      <c r="GEC841" s="802"/>
      <c r="GED841" s="802"/>
      <c r="GEE841" s="802"/>
      <c r="GEF841" s="802"/>
      <c r="GEG841" s="802"/>
      <c r="GEH841" s="802"/>
      <c r="GEI841" s="802"/>
      <c r="GEJ841" s="802"/>
      <c r="GEK841" s="802"/>
      <c r="GEL841" s="802"/>
      <c r="GEM841" s="802"/>
      <c r="GEN841" s="802"/>
      <c r="GEO841" s="802"/>
      <c r="GEP841" s="802"/>
      <c r="GEQ841" s="802"/>
      <c r="GER841" s="802"/>
      <c r="GES841" s="802"/>
      <c r="GET841" s="802"/>
      <c r="GEU841" s="802"/>
      <c r="GEV841" s="802"/>
      <c r="GEW841" s="802"/>
      <c r="GEX841" s="802"/>
      <c r="GEY841" s="802"/>
      <c r="GEZ841" s="802"/>
      <c r="GFA841" s="802"/>
      <c r="GFB841" s="802"/>
      <c r="GFC841" s="802"/>
      <c r="GFD841" s="802"/>
      <c r="GFE841" s="802"/>
      <c r="GFF841" s="802"/>
      <c r="GFG841" s="802"/>
      <c r="GFH841" s="802"/>
      <c r="GFI841" s="802"/>
      <c r="GFJ841" s="802"/>
      <c r="GFK841" s="802"/>
      <c r="GFL841" s="802"/>
      <c r="GFM841" s="802"/>
      <c r="GFN841" s="802"/>
      <c r="GFO841" s="802"/>
      <c r="GFP841" s="802"/>
      <c r="GFQ841" s="802"/>
      <c r="GFR841" s="802"/>
      <c r="GFS841" s="802"/>
      <c r="GFT841" s="802"/>
      <c r="GFU841" s="802"/>
      <c r="GFV841" s="802"/>
      <c r="GFW841" s="802"/>
      <c r="GFX841" s="802"/>
      <c r="GFY841" s="802"/>
      <c r="GFZ841" s="802"/>
      <c r="GGA841" s="802"/>
      <c r="GGB841" s="802"/>
      <c r="GGC841" s="802"/>
      <c r="GGD841" s="802"/>
      <c r="GGE841" s="802"/>
      <c r="GGF841" s="802"/>
      <c r="GGG841" s="802"/>
      <c r="GGH841" s="802"/>
      <c r="GGI841" s="802"/>
      <c r="GGJ841" s="802"/>
      <c r="GGK841" s="802"/>
      <c r="GGL841" s="802"/>
      <c r="GGM841" s="802"/>
      <c r="GGN841" s="802"/>
      <c r="GGO841" s="802"/>
      <c r="GGP841" s="802"/>
      <c r="GGQ841" s="802"/>
      <c r="GGR841" s="802"/>
      <c r="GGS841" s="802"/>
      <c r="GGT841" s="802"/>
      <c r="GGU841" s="802"/>
      <c r="GGV841" s="802"/>
      <c r="GGW841" s="802"/>
      <c r="GGX841" s="802"/>
      <c r="GGY841" s="802"/>
      <c r="GGZ841" s="802"/>
      <c r="GHA841" s="802"/>
      <c r="GHB841" s="802"/>
      <c r="GHC841" s="802"/>
      <c r="GHD841" s="802"/>
      <c r="GHE841" s="802"/>
      <c r="GHF841" s="802"/>
      <c r="GHG841" s="802"/>
      <c r="GHH841" s="802"/>
      <c r="GHI841" s="802"/>
      <c r="GHJ841" s="802"/>
      <c r="GHK841" s="802"/>
      <c r="GHL841" s="802"/>
      <c r="GHM841" s="802"/>
      <c r="GHN841" s="802"/>
      <c r="GHO841" s="802"/>
      <c r="GHP841" s="802"/>
      <c r="GHQ841" s="802"/>
      <c r="GHR841" s="802"/>
      <c r="GHS841" s="802"/>
      <c r="GHT841" s="802"/>
      <c r="GHU841" s="802"/>
      <c r="GHV841" s="802"/>
      <c r="GHW841" s="802"/>
      <c r="GHX841" s="802"/>
      <c r="GHY841" s="802"/>
      <c r="GHZ841" s="802"/>
      <c r="GIA841" s="802"/>
      <c r="GIB841" s="802"/>
      <c r="GIC841" s="802"/>
      <c r="GID841" s="802"/>
      <c r="GIE841" s="802"/>
      <c r="GIF841" s="802"/>
      <c r="GIG841" s="802"/>
      <c r="GIH841" s="802"/>
      <c r="GII841" s="802"/>
      <c r="GIJ841" s="802"/>
      <c r="GIK841" s="802"/>
      <c r="GIL841" s="802"/>
      <c r="GIM841" s="802"/>
      <c r="GIN841" s="802"/>
      <c r="GIO841" s="802"/>
      <c r="GIP841" s="802"/>
      <c r="GIQ841" s="802"/>
      <c r="GIR841" s="802"/>
      <c r="GIS841" s="802"/>
      <c r="GIT841" s="802"/>
      <c r="GIU841" s="802"/>
      <c r="GIV841" s="802"/>
      <c r="GIW841" s="802"/>
      <c r="GIX841" s="802"/>
      <c r="GIY841" s="802"/>
      <c r="GIZ841" s="802"/>
      <c r="GJA841" s="802"/>
      <c r="GJB841" s="802"/>
      <c r="GJC841" s="802"/>
      <c r="GJD841" s="802"/>
      <c r="GJE841" s="802"/>
      <c r="GJF841" s="802"/>
      <c r="GJG841" s="802"/>
      <c r="GJH841" s="802"/>
      <c r="GJI841" s="802"/>
      <c r="GJJ841" s="802"/>
      <c r="GJK841" s="802"/>
      <c r="GJL841" s="802"/>
      <c r="GJM841" s="802"/>
      <c r="GJN841" s="802"/>
      <c r="GJO841" s="802"/>
      <c r="GJP841" s="802"/>
      <c r="GJQ841" s="802"/>
      <c r="GJR841" s="802"/>
      <c r="GJS841" s="802"/>
      <c r="GJT841" s="802"/>
      <c r="GJU841" s="802"/>
      <c r="GJV841" s="802"/>
      <c r="GJW841" s="802"/>
      <c r="GJX841" s="802"/>
      <c r="GJY841" s="802"/>
      <c r="GJZ841" s="802"/>
      <c r="GKA841" s="802"/>
      <c r="GKB841" s="802"/>
      <c r="GKC841" s="802"/>
      <c r="GKD841" s="802"/>
      <c r="GKE841" s="802"/>
      <c r="GKF841" s="802"/>
      <c r="GKG841" s="802"/>
      <c r="GKH841" s="802"/>
      <c r="GKI841" s="802"/>
      <c r="GKJ841" s="802"/>
      <c r="GKK841" s="802"/>
      <c r="GKL841" s="802"/>
      <c r="GKM841" s="802"/>
      <c r="GKN841" s="802"/>
      <c r="GKO841" s="802"/>
      <c r="GKP841" s="802"/>
      <c r="GKQ841" s="802"/>
      <c r="GKR841" s="802"/>
      <c r="GKS841" s="802"/>
      <c r="GKT841" s="802"/>
      <c r="GKU841" s="802"/>
      <c r="GKV841" s="802"/>
      <c r="GKW841" s="802"/>
      <c r="GKX841" s="802"/>
      <c r="GKY841" s="802"/>
      <c r="GKZ841" s="802"/>
      <c r="GLA841" s="802"/>
      <c r="GLB841" s="802"/>
      <c r="GLC841" s="802"/>
      <c r="GLD841" s="802"/>
      <c r="GLE841" s="802"/>
      <c r="GLF841" s="802"/>
      <c r="GLG841" s="802"/>
      <c r="GLH841" s="802"/>
      <c r="GLI841" s="802"/>
      <c r="GLJ841" s="802"/>
      <c r="GLK841" s="802"/>
      <c r="GLL841" s="802"/>
      <c r="GLM841" s="802"/>
      <c r="GLN841" s="802"/>
      <c r="GLO841" s="802"/>
      <c r="GLP841" s="802"/>
      <c r="GLQ841" s="802"/>
      <c r="GLR841" s="802"/>
      <c r="GLS841" s="802"/>
      <c r="GLT841" s="802"/>
      <c r="GLU841" s="802"/>
      <c r="GLV841" s="802"/>
      <c r="GLW841" s="802"/>
      <c r="GLX841" s="802"/>
      <c r="GLY841" s="802"/>
      <c r="GLZ841" s="802"/>
      <c r="GMA841" s="802"/>
      <c r="GMB841" s="802"/>
      <c r="GMC841" s="802"/>
      <c r="GMD841" s="802"/>
      <c r="GME841" s="802"/>
      <c r="GMF841" s="802"/>
      <c r="GMG841" s="802"/>
      <c r="GMH841" s="802"/>
      <c r="GMI841" s="802"/>
      <c r="GMJ841" s="802"/>
      <c r="GMK841" s="802"/>
      <c r="GML841" s="802"/>
      <c r="GMM841" s="802"/>
      <c r="GMN841" s="802"/>
      <c r="GMO841" s="802"/>
      <c r="GMP841" s="802"/>
      <c r="GMQ841" s="802"/>
      <c r="GMR841" s="802"/>
      <c r="GMS841" s="802"/>
      <c r="GMT841" s="802"/>
      <c r="GMU841" s="802"/>
      <c r="GMV841" s="802"/>
      <c r="GMW841" s="802"/>
      <c r="GMX841" s="802"/>
      <c r="GMY841" s="802"/>
      <c r="GMZ841" s="802"/>
      <c r="GNA841" s="802"/>
      <c r="GNB841" s="802"/>
      <c r="GNC841" s="802"/>
      <c r="GND841" s="802"/>
      <c r="GNE841" s="802"/>
      <c r="GNF841" s="802"/>
      <c r="GNG841" s="802"/>
      <c r="GNH841" s="802"/>
      <c r="GNI841" s="802"/>
      <c r="GNJ841" s="802"/>
      <c r="GNK841" s="802"/>
      <c r="GNL841" s="802"/>
      <c r="GNM841" s="802"/>
      <c r="GNN841" s="802"/>
      <c r="GNO841" s="802"/>
      <c r="GNP841" s="802"/>
      <c r="GNQ841" s="802"/>
      <c r="GNR841" s="802"/>
      <c r="GNS841" s="802"/>
      <c r="GNT841" s="802"/>
      <c r="GNU841" s="802"/>
      <c r="GNV841" s="802"/>
      <c r="GNW841" s="802"/>
      <c r="GNX841" s="802"/>
      <c r="GNY841" s="802"/>
      <c r="GNZ841" s="802"/>
      <c r="GOA841" s="802"/>
      <c r="GOB841" s="802"/>
      <c r="GOC841" s="802"/>
      <c r="GOD841" s="802"/>
      <c r="GOE841" s="802"/>
      <c r="GOF841" s="802"/>
      <c r="GOG841" s="802"/>
      <c r="GOH841" s="802"/>
      <c r="GOI841" s="802"/>
      <c r="GOJ841" s="802"/>
      <c r="GOK841" s="802"/>
      <c r="GOL841" s="802"/>
      <c r="GOM841" s="802"/>
      <c r="GON841" s="802"/>
      <c r="GOO841" s="802"/>
      <c r="GOP841" s="802"/>
      <c r="GOQ841" s="802"/>
      <c r="GOR841" s="802"/>
      <c r="GOS841" s="802"/>
      <c r="GOT841" s="802"/>
      <c r="GOU841" s="802"/>
      <c r="GOV841" s="802"/>
      <c r="GOW841" s="802"/>
      <c r="GOX841" s="802"/>
      <c r="GOY841" s="802"/>
      <c r="GOZ841" s="802"/>
      <c r="GPA841" s="802"/>
      <c r="GPB841" s="802"/>
      <c r="GPC841" s="802"/>
      <c r="GPD841" s="802"/>
      <c r="GPE841" s="802"/>
      <c r="GPF841" s="802"/>
      <c r="GPG841" s="802"/>
      <c r="GPH841" s="802"/>
      <c r="GPI841" s="802"/>
      <c r="GPJ841" s="802"/>
      <c r="GPK841" s="802"/>
      <c r="GPL841" s="802"/>
      <c r="GPM841" s="802"/>
      <c r="GPN841" s="802"/>
      <c r="GPO841" s="802"/>
      <c r="GPP841" s="802"/>
      <c r="GPQ841" s="802"/>
      <c r="GPR841" s="802"/>
      <c r="GPS841" s="802"/>
      <c r="GPT841" s="802"/>
      <c r="GPU841" s="802"/>
      <c r="GPV841" s="802"/>
      <c r="GPW841" s="802"/>
      <c r="GPX841" s="802"/>
      <c r="GPY841" s="802"/>
      <c r="GPZ841" s="802"/>
      <c r="GQA841" s="802"/>
      <c r="GQB841" s="802"/>
      <c r="GQC841" s="802"/>
      <c r="GQD841" s="802"/>
      <c r="GQE841" s="802"/>
      <c r="GQF841" s="802"/>
      <c r="GQG841" s="802"/>
      <c r="GQH841" s="802"/>
      <c r="GQI841" s="802"/>
      <c r="GQJ841" s="802"/>
      <c r="GQK841" s="802"/>
      <c r="GQL841" s="802"/>
      <c r="GQM841" s="802"/>
      <c r="GQN841" s="802"/>
      <c r="GQO841" s="802"/>
      <c r="GQP841" s="802"/>
      <c r="GQQ841" s="802"/>
      <c r="GQR841" s="802"/>
      <c r="GQS841" s="802"/>
      <c r="GQT841" s="802"/>
      <c r="GQU841" s="802"/>
      <c r="GQV841" s="802"/>
      <c r="GQW841" s="802"/>
      <c r="GQX841" s="802"/>
      <c r="GQY841" s="802"/>
      <c r="GQZ841" s="802"/>
      <c r="GRA841" s="802"/>
      <c r="GRB841" s="802"/>
      <c r="GRC841" s="802"/>
      <c r="GRD841" s="802"/>
      <c r="GRE841" s="802"/>
      <c r="GRF841" s="802"/>
      <c r="GRG841" s="802"/>
      <c r="GRH841" s="802"/>
      <c r="GRI841" s="802"/>
      <c r="GRJ841" s="802"/>
      <c r="GRK841" s="802"/>
      <c r="GRL841" s="802"/>
      <c r="GRM841" s="802"/>
      <c r="GRN841" s="802"/>
      <c r="GRO841" s="802"/>
      <c r="GRP841" s="802"/>
      <c r="GRQ841" s="802"/>
      <c r="GRR841" s="802"/>
      <c r="GRS841" s="802"/>
      <c r="GRT841" s="802"/>
      <c r="GRU841" s="802"/>
      <c r="GRV841" s="802"/>
      <c r="GRW841" s="802"/>
      <c r="GRX841" s="802"/>
      <c r="GRY841" s="802"/>
      <c r="GRZ841" s="802"/>
      <c r="GSA841" s="802"/>
      <c r="GSB841" s="802"/>
      <c r="GSC841" s="802"/>
      <c r="GSD841" s="802"/>
      <c r="GSE841" s="802"/>
      <c r="GSF841" s="802"/>
      <c r="GSG841" s="802"/>
      <c r="GSH841" s="802"/>
      <c r="GSI841" s="802"/>
      <c r="GSJ841" s="802"/>
      <c r="GSK841" s="802"/>
      <c r="GSL841" s="802"/>
      <c r="GSM841" s="802"/>
      <c r="GSN841" s="802"/>
      <c r="GSO841" s="802"/>
      <c r="GSP841" s="802"/>
      <c r="GSQ841" s="802"/>
      <c r="GSR841" s="802"/>
      <c r="GSS841" s="802"/>
      <c r="GST841" s="802"/>
      <c r="GSU841" s="802"/>
      <c r="GSV841" s="802"/>
      <c r="GSW841" s="802"/>
      <c r="GSX841" s="802"/>
      <c r="GSY841" s="802"/>
      <c r="GSZ841" s="802"/>
      <c r="GTA841" s="802"/>
      <c r="GTB841" s="802"/>
      <c r="GTC841" s="802"/>
      <c r="GTD841" s="802"/>
      <c r="GTE841" s="802"/>
      <c r="GTF841" s="802"/>
      <c r="GTG841" s="802"/>
      <c r="GTH841" s="802"/>
      <c r="GTI841" s="802"/>
      <c r="GTJ841" s="802"/>
      <c r="GTK841" s="802"/>
      <c r="GTL841" s="802"/>
      <c r="GTM841" s="802"/>
      <c r="GTN841" s="802"/>
      <c r="GTO841" s="802"/>
      <c r="GTP841" s="802"/>
      <c r="GTQ841" s="802"/>
      <c r="GTR841" s="802"/>
      <c r="GTS841" s="802"/>
      <c r="GTT841" s="802"/>
      <c r="GTU841" s="802"/>
      <c r="GTV841" s="802"/>
      <c r="GTW841" s="802"/>
      <c r="GTX841" s="802"/>
      <c r="GTY841" s="802"/>
      <c r="GTZ841" s="802"/>
      <c r="GUA841" s="802"/>
      <c r="GUB841" s="802"/>
      <c r="GUC841" s="802"/>
      <c r="GUD841" s="802"/>
      <c r="GUE841" s="802"/>
      <c r="GUF841" s="802"/>
      <c r="GUG841" s="802"/>
      <c r="GUH841" s="802"/>
      <c r="GUI841" s="802"/>
      <c r="GUJ841" s="802"/>
      <c r="GUK841" s="802"/>
      <c r="GUL841" s="802"/>
      <c r="GUM841" s="802"/>
      <c r="GUN841" s="802"/>
      <c r="GUO841" s="802"/>
      <c r="GUP841" s="802"/>
      <c r="GUQ841" s="802"/>
      <c r="GUR841" s="802"/>
      <c r="GUS841" s="802"/>
      <c r="GUT841" s="802"/>
      <c r="GUU841" s="802"/>
      <c r="GUV841" s="802"/>
      <c r="GUW841" s="802"/>
      <c r="GUX841" s="802"/>
      <c r="GUY841" s="802"/>
      <c r="GUZ841" s="802"/>
      <c r="GVA841" s="802"/>
      <c r="GVB841" s="802"/>
      <c r="GVC841" s="802"/>
      <c r="GVD841" s="802"/>
      <c r="GVE841" s="802"/>
      <c r="GVF841" s="802"/>
      <c r="GVG841" s="802"/>
      <c r="GVH841" s="802"/>
      <c r="GVI841" s="802"/>
      <c r="GVJ841" s="802"/>
      <c r="GVK841" s="802"/>
      <c r="GVL841" s="802"/>
      <c r="GVM841" s="802"/>
      <c r="GVN841" s="802"/>
      <c r="GVO841" s="802"/>
      <c r="GVP841" s="802"/>
      <c r="GVQ841" s="802"/>
      <c r="GVR841" s="802"/>
      <c r="GVS841" s="802"/>
      <c r="GVT841" s="802"/>
      <c r="GVU841" s="802"/>
      <c r="GVV841" s="802"/>
      <c r="GVW841" s="802"/>
      <c r="GVX841" s="802"/>
      <c r="GVY841" s="802"/>
      <c r="GVZ841" s="802"/>
      <c r="GWA841" s="802"/>
      <c r="GWB841" s="802"/>
      <c r="GWC841" s="802"/>
      <c r="GWD841" s="802"/>
      <c r="GWE841" s="802"/>
      <c r="GWF841" s="802"/>
      <c r="GWG841" s="802"/>
      <c r="GWH841" s="802"/>
      <c r="GWI841" s="802"/>
      <c r="GWJ841" s="802"/>
      <c r="GWK841" s="802"/>
      <c r="GWL841" s="802"/>
      <c r="GWM841" s="802"/>
      <c r="GWN841" s="802"/>
      <c r="GWO841" s="802"/>
      <c r="GWP841" s="802"/>
      <c r="GWQ841" s="802"/>
      <c r="GWR841" s="802"/>
      <c r="GWS841" s="802"/>
      <c r="GWT841" s="802"/>
      <c r="GWU841" s="802"/>
      <c r="GWV841" s="802"/>
      <c r="GWW841" s="802"/>
      <c r="GWX841" s="802"/>
      <c r="GWY841" s="802"/>
      <c r="GWZ841" s="802"/>
      <c r="GXA841" s="802"/>
      <c r="GXB841" s="802"/>
      <c r="GXC841" s="802"/>
      <c r="GXD841" s="802"/>
      <c r="GXE841" s="802"/>
      <c r="GXF841" s="802"/>
      <c r="GXG841" s="802"/>
      <c r="GXH841" s="802"/>
      <c r="GXI841" s="802"/>
      <c r="GXJ841" s="802"/>
      <c r="GXK841" s="802"/>
      <c r="GXL841" s="802"/>
      <c r="GXM841" s="802"/>
      <c r="GXN841" s="802"/>
      <c r="GXO841" s="802"/>
      <c r="GXP841" s="802"/>
      <c r="GXQ841" s="802"/>
      <c r="GXR841" s="802"/>
      <c r="GXS841" s="802"/>
      <c r="GXT841" s="802"/>
      <c r="GXU841" s="802"/>
      <c r="GXV841" s="802"/>
      <c r="GXW841" s="802"/>
      <c r="GXX841" s="802"/>
      <c r="GXY841" s="802"/>
      <c r="GXZ841" s="802"/>
      <c r="GYA841" s="802"/>
      <c r="GYB841" s="802"/>
      <c r="GYC841" s="802"/>
      <c r="GYD841" s="802"/>
      <c r="GYE841" s="802"/>
      <c r="GYF841" s="802"/>
      <c r="GYG841" s="802"/>
      <c r="GYH841" s="802"/>
      <c r="GYI841" s="802"/>
      <c r="GYJ841" s="802"/>
      <c r="GYK841" s="802"/>
      <c r="GYL841" s="802"/>
      <c r="GYM841" s="802"/>
      <c r="GYN841" s="802"/>
      <c r="GYO841" s="802"/>
      <c r="GYP841" s="802"/>
      <c r="GYQ841" s="802"/>
      <c r="GYR841" s="802"/>
      <c r="GYS841" s="802"/>
      <c r="GYT841" s="802"/>
      <c r="GYU841" s="802"/>
      <c r="GYV841" s="802"/>
      <c r="GYW841" s="802"/>
      <c r="GYX841" s="802"/>
      <c r="GYY841" s="802"/>
      <c r="GYZ841" s="802"/>
      <c r="GZA841" s="802"/>
      <c r="GZB841" s="802"/>
      <c r="GZC841" s="802"/>
      <c r="GZD841" s="802"/>
      <c r="GZE841" s="802"/>
      <c r="GZF841" s="802"/>
      <c r="GZG841" s="802"/>
      <c r="GZH841" s="802"/>
      <c r="GZI841" s="802"/>
      <c r="GZJ841" s="802"/>
      <c r="GZK841" s="802"/>
      <c r="GZL841" s="802"/>
      <c r="GZM841" s="802"/>
      <c r="GZN841" s="802"/>
      <c r="GZO841" s="802"/>
      <c r="GZP841" s="802"/>
      <c r="GZQ841" s="802"/>
      <c r="GZR841" s="802"/>
      <c r="GZS841" s="802"/>
      <c r="GZT841" s="802"/>
      <c r="GZU841" s="802"/>
      <c r="GZV841" s="802"/>
      <c r="GZW841" s="802"/>
      <c r="GZX841" s="802"/>
      <c r="GZY841" s="802"/>
      <c r="GZZ841" s="802"/>
      <c r="HAA841" s="802"/>
      <c r="HAB841" s="802"/>
      <c r="HAC841" s="802"/>
      <c r="HAD841" s="802"/>
      <c r="HAE841" s="802"/>
      <c r="HAF841" s="802"/>
      <c r="HAG841" s="802"/>
      <c r="HAH841" s="802"/>
      <c r="HAI841" s="802"/>
      <c r="HAJ841" s="802"/>
      <c r="HAK841" s="802"/>
      <c r="HAL841" s="802"/>
      <c r="HAM841" s="802"/>
      <c r="HAN841" s="802"/>
      <c r="HAO841" s="802"/>
      <c r="HAP841" s="802"/>
      <c r="HAQ841" s="802"/>
      <c r="HAR841" s="802"/>
      <c r="HAS841" s="802"/>
      <c r="HAT841" s="802"/>
      <c r="HAU841" s="802"/>
      <c r="HAV841" s="802"/>
      <c r="HAW841" s="802"/>
      <c r="HAX841" s="802"/>
      <c r="HAY841" s="802"/>
      <c r="HAZ841" s="802"/>
      <c r="HBA841" s="802"/>
      <c r="HBB841" s="802"/>
      <c r="HBC841" s="802"/>
      <c r="HBD841" s="802"/>
      <c r="HBE841" s="802"/>
      <c r="HBF841" s="802"/>
      <c r="HBG841" s="802"/>
      <c r="HBH841" s="802"/>
      <c r="HBI841" s="802"/>
      <c r="HBJ841" s="802"/>
      <c r="HBK841" s="802"/>
      <c r="HBL841" s="802"/>
      <c r="HBM841" s="802"/>
      <c r="HBN841" s="802"/>
      <c r="HBO841" s="802"/>
      <c r="HBP841" s="802"/>
      <c r="HBQ841" s="802"/>
      <c r="HBR841" s="802"/>
      <c r="HBS841" s="802"/>
      <c r="HBT841" s="802"/>
      <c r="HBU841" s="802"/>
      <c r="HBV841" s="802"/>
      <c r="HBW841" s="802"/>
      <c r="HBX841" s="802"/>
      <c r="HBY841" s="802"/>
      <c r="HBZ841" s="802"/>
      <c r="HCA841" s="802"/>
      <c r="HCB841" s="802"/>
      <c r="HCC841" s="802"/>
      <c r="HCD841" s="802"/>
      <c r="HCE841" s="802"/>
      <c r="HCF841" s="802"/>
      <c r="HCG841" s="802"/>
      <c r="HCH841" s="802"/>
      <c r="HCI841" s="802"/>
      <c r="HCJ841" s="802"/>
      <c r="HCK841" s="802"/>
      <c r="HCL841" s="802"/>
      <c r="HCM841" s="802"/>
      <c r="HCN841" s="802"/>
      <c r="HCO841" s="802"/>
      <c r="HCP841" s="802"/>
      <c r="HCQ841" s="802"/>
      <c r="HCR841" s="802"/>
      <c r="HCS841" s="802"/>
      <c r="HCT841" s="802"/>
      <c r="HCU841" s="802"/>
      <c r="HCV841" s="802"/>
      <c r="HCW841" s="802"/>
      <c r="HCX841" s="802"/>
      <c r="HCY841" s="802"/>
      <c r="HCZ841" s="802"/>
      <c r="HDA841" s="802"/>
      <c r="HDB841" s="802"/>
      <c r="HDC841" s="802"/>
      <c r="HDD841" s="802"/>
      <c r="HDE841" s="802"/>
      <c r="HDF841" s="802"/>
      <c r="HDG841" s="802"/>
      <c r="HDH841" s="802"/>
      <c r="HDI841" s="802"/>
      <c r="HDJ841" s="802"/>
      <c r="HDK841" s="802"/>
      <c r="HDL841" s="802"/>
      <c r="HDM841" s="802"/>
      <c r="HDN841" s="802"/>
      <c r="HDO841" s="802"/>
      <c r="HDP841" s="802"/>
      <c r="HDQ841" s="802"/>
      <c r="HDR841" s="802"/>
      <c r="HDS841" s="802"/>
      <c r="HDT841" s="802"/>
      <c r="HDU841" s="802"/>
      <c r="HDV841" s="802"/>
      <c r="HDW841" s="802"/>
      <c r="HDX841" s="802"/>
      <c r="HDY841" s="802"/>
      <c r="HDZ841" s="802"/>
      <c r="HEA841" s="802"/>
      <c r="HEB841" s="802"/>
      <c r="HEC841" s="802"/>
      <c r="HED841" s="802"/>
      <c r="HEE841" s="802"/>
      <c r="HEF841" s="802"/>
      <c r="HEG841" s="802"/>
      <c r="HEH841" s="802"/>
      <c r="HEI841" s="802"/>
      <c r="HEJ841" s="802"/>
      <c r="HEK841" s="802"/>
      <c r="HEL841" s="802"/>
      <c r="HEM841" s="802"/>
      <c r="HEN841" s="802"/>
      <c r="HEO841" s="802"/>
      <c r="HEP841" s="802"/>
      <c r="HEQ841" s="802"/>
      <c r="HER841" s="802"/>
      <c r="HES841" s="802"/>
      <c r="HET841" s="802"/>
      <c r="HEU841" s="802"/>
      <c r="HEV841" s="802"/>
      <c r="HEW841" s="802"/>
      <c r="HEX841" s="802"/>
      <c r="HEY841" s="802"/>
      <c r="HEZ841" s="802"/>
      <c r="HFA841" s="802"/>
      <c r="HFB841" s="802"/>
      <c r="HFC841" s="802"/>
      <c r="HFD841" s="802"/>
      <c r="HFE841" s="802"/>
      <c r="HFF841" s="802"/>
      <c r="HFG841" s="802"/>
      <c r="HFH841" s="802"/>
      <c r="HFI841" s="802"/>
      <c r="HFJ841" s="802"/>
      <c r="HFK841" s="802"/>
      <c r="HFL841" s="802"/>
      <c r="HFM841" s="802"/>
      <c r="HFN841" s="802"/>
      <c r="HFO841" s="802"/>
      <c r="HFP841" s="802"/>
      <c r="HFQ841" s="802"/>
      <c r="HFR841" s="802"/>
      <c r="HFS841" s="802"/>
      <c r="HFT841" s="802"/>
      <c r="HFU841" s="802"/>
      <c r="HFV841" s="802"/>
      <c r="HFW841" s="802"/>
      <c r="HFX841" s="802"/>
      <c r="HFY841" s="802"/>
      <c r="HFZ841" s="802"/>
      <c r="HGA841" s="802"/>
      <c r="HGB841" s="802"/>
      <c r="HGC841" s="802"/>
      <c r="HGD841" s="802"/>
      <c r="HGE841" s="802"/>
      <c r="HGF841" s="802"/>
      <c r="HGG841" s="802"/>
      <c r="HGH841" s="802"/>
      <c r="HGI841" s="802"/>
      <c r="HGJ841" s="802"/>
      <c r="HGK841" s="802"/>
      <c r="HGL841" s="802"/>
      <c r="HGM841" s="802"/>
      <c r="HGN841" s="802"/>
      <c r="HGO841" s="802"/>
      <c r="HGP841" s="802"/>
      <c r="HGQ841" s="802"/>
      <c r="HGR841" s="802"/>
      <c r="HGS841" s="802"/>
      <c r="HGT841" s="802"/>
      <c r="HGU841" s="802"/>
      <c r="HGV841" s="802"/>
      <c r="HGW841" s="802"/>
      <c r="HGX841" s="802"/>
      <c r="HGY841" s="802"/>
      <c r="HGZ841" s="802"/>
      <c r="HHA841" s="802"/>
      <c r="HHB841" s="802"/>
      <c r="HHC841" s="802"/>
      <c r="HHD841" s="802"/>
      <c r="HHE841" s="802"/>
      <c r="HHF841" s="802"/>
      <c r="HHG841" s="802"/>
      <c r="HHH841" s="802"/>
      <c r="HHI841" s="802"/>
      <c r="HHJ841" s="802"/>
      <c r="HHK841" s="802"/>
      <c r="HHL841" s="802"/>
      <c r="HHM841" s="802"/>
      <c r="HHN841" s="802"/>
      <c r="HHO841" s="802"/>
      <c r="HHP841" s="802"/>
      <c r="HHQ841" s="802"/>
      <c r="HHR841" s="802"/>
      <c r="HHS841" s="802"/>
      <c r="HHT841" s="802"/>
      <c r="HHU841" s="802"/>
      <c r="HHV841" s="802"/>
      <c r="HHW841" s="802"/>
      <c r="HHX841" s="802"/>
      <c r="HHY841" s="802"/>
      <c r="HHZ841" s="802"/>
      <c r="HIA841" s="802"/>
      <c r="HIB841" s="802"/>
      <c r="HIC841" s="802"/>
      <c r="HID841" s="802"/>
      <c r="HIE841" s="802"/>
      <c r="HIF841" s="802"/>
      <c r="HIG841" s="802"/>
      <c r="HIH841" s="802"/>
      <c r="HII841" s="802"/>
      <c r="HIJ841" s="802"/>
      <c r="HIK841" s="802"/>
      <c r="HIL841" s="802"/>
      <c r="HIM841" s="802"/>
      <c r="HIN841" s="802"/>
      <c r="HIO841" s="802"/>
      <c r="HIP841" s="802"/>
      <c r="HIQ841" s="802"/>
      <c r="HIR841" s="802"/>
      <c r="HIS841" s="802"/>
      <c r="HIT841" s="802"/>
      <c r="HIU841" s="802"/>
      <c r="HIV841" s="802"/>
      <c r="HIW841" s="802"/>
      <c r="HIX841" s="802"/>
      <c r="HIY841" s="802"/>
      <c r="HIZ841" s="802"/>
      <c r="HJA841" s="802"/>
      <c r="HJB841" s="802"/>
      <c r="HJC841" s="802"/>
      <c r="HJD841" s="802"/>
      <c r="HJE841" s="802"/>
      <c r="HJF841" s="802"/>
      <c r="HJG841" s="802"/>
      <c r="HJH841" s="802"/>
      <c r="HJI841" s="802"/>
      <c r="HJJ841" s="802"/>
      <c r="HJK841" s="802"/>
      <c r="HJL841" s="802"/>
      <c r="HJM841" s="802"/>
      <c r="HJN841" s="802"/>
      <c r="HJO841" s="802"/>
      <c r="HJP841" s="802"/>
      <c r="HJQ841" s="802"/>
      <c r="HJR841" s="802"/>
      <c r="HJS841" s="802"/>
      <c r="HJT841" s="802"/>
      <c r="HJU841" s="802"/>
      <c r="HJV841" s="802"/>
      <c r="HJW841" s="802"/>
      <c r="HJX841" s="802"/>
      <c r="HJY841" s="802"/>
      <c r="HJZ841" s="802"/>
      <c r="HKA841" s="802"/>
      <c r="HKB841" s="802"/>
      <c r="HKC841" s="802"/>
      <c r="HKD841" s="802"/>
      <c r="HKE841" s="802"/>
      <c r="HKF841" s="802"/>
      <c r="HKG841" s="802"/>
      <c r="HKH841" s="802"/>
      <c r="HKI841" s="802"/>
      <c r="HKJ841" s="802"/>
      <c r="HKK841" s="802"/>
      <c r="HKL841" s="802"/>
      <c r="HKM841" s="802"/>
      <c r="HKN841" s="802"/>
      <c r="HKO841" s="802"/>
      <c r="HKP841" s="802"/>
      <c r="HKQ841" s="802"/>
      <c r="HKR841" s="802"/>
      <c r="HKS841" s="802"/>
      <c r="HKT841" s="802"/>
      <c r="HKU841" s="802"/>
      <c r="HKV841" s="802"/>
      <c r="HKW841" s="802"/>
      <c r="HKX841" s="802"/>
      <c r="HKY841" s="802"/>
      <c r="HKZ841" s="802"/>
      <c r="HLA841" s="802"/>
      <c r="HLB841" s="802"/>
      <c r="HLC841" s="802"/>
      <c r="HLD841" s="802"/>
      <c r="HLE841" s="802"/>
      <c r="HLF841" s="802"/>
      <c r="HLG841" s="802"/>
      <c r="HLH841" s="802"/>
      <c r="HLI841" s="802"/>
      <c r="HLJ841" s="802"/>
      <c r="HLK841" s="802"/>
      <c r="HLL841" s="802"/>
      <c r="HLM841" s="802"/>
      <c r="HLN841" s="802"/>
      <c r="HLO841" s="802"/>
      <c r="HLP841" s="802"/>
      <c r="HLQ841" s="802"/>
      <c r="HLR841" s="802"/>
      <c r="HLS841" s="802"/>
      <c r="HLT841" s="802"/>
      <c r="HLU841" s="802"/>
      <c r="HLV841" s="802"/>
      <c r="HLW841" s="802"/>
      <c r="HLX841" s="802"/>
      <c r="HLY841" s="802"/>
      <c r="HLZ841" s="802"/>
      <c r="HMA841" s="802"/>
      <c r="HMB841" s="802"/>
      <c r="HMC841" s="802"/>
      <c r="HMD841" s="802"/>
      <c r="HME841" s="802"/>
      <c r="HMF841" s="802"/>
      <c r="HMG841" s="802"/>
      <c r="HMH841" s="802"/>
      <c r="HMI841" s="802"/>
      <c r="HMJ841" s="802"/>
      <c r="HMK841" s="802"/>
      <c r="HML841" s="802"/>
      <c r="HMM841" s="802"/>
      <c r="HMN841" s="802"/>
      <c r="HMO841" s="802"/>
      <c r="HMP841" s="802"/>
      <c r="HMQ841" s="802"/>
      <c r="HMR841" s="802"/>
      <c r="HMS841" s="802"/>
      <c r="HMT841" s="802"/>
      <c r="HMU841" s="802"/>
      <c r="HMV841" s="802"/>
      <c r="HMW841" s="802"/>
      <c r="HMX841" s="802"/>
      <c r="HMY841" s="802"/>
      <c r="HMZ841" s="802"/>
      <c r="HNA841" s="802"/>
      <c r="HNB841" s="802"/>
      <c r="HNC841" s="802"/>
      <c r="HND841" s="802"/>
      <c r="HNE841" s="802"/>
      <c r="HNF841" s="802"/>
      <c r="HNG841" s="802"/>
      <c r="HNH841" s="802"/>
      <c r="HNI841" s="802"/>
      <c r="HNJ841" s="802"/>
      <c r="HNK841" s="802"/>
      <c r="HNL841" s="802"/>
      <c r="HNM841" s="802"/>
      <c r="HNN841" s="802"/>
      <c r="HNO841" s="802"/>
      <c r="HNP841" s="802"/>
      <c r="HNQ841" s="802"/>
      <c r="HNR841" s="802"/>
      <c r="HNS841" s="802"/>
      <c r="HNT841" s="802"/>
      <c r="HNU841" s="802"/>
      <c r="HNV841" s="802"/>
      <c r="HNW841" s="802"/>
      <c r="HNX841" s="802"/>
      <c r="HNY841" s="802"/>
      <c r="HNZ841" s="802"/>
      <c r="HOA841" s="802"/>
      <c r="HOB841" s="802"/>
      <c r="HOC841" s="802"/>
      <c r="HOD841" s="802"/>
      <c r="HOE841" s="802"/>
      <c r="HOF841" s="802"/>
      <c r="HOG841" s="802"/>
      <c r="HOH841" s="802"/>
      <c r="HOI841" s="802"/>
      <c r="HOJ841" s="802"/>
      <c r="HOK841" s="802"/>
      <c r="HOL841" s="802"/>
      <c r="HOM841" s="802"/>
      <c r="HON841" s="802"/>
      <c r="HOO841" s="802"/>
      <c r="HOP841" s="802"/>
      <c r="HOQ841" s="802"/>
      <c r="HOR841" s="802"/>
      <c r="HOS841" s="802"/>
      <c r="HOT841" s="802"/>
      <c r="HOU841" s="802"/>
      <c r="HOV841" s="802"/>
      <c r="HOW841" s="802"/>
      <c r="HOX841" s="802"/>
      <c r="HOY841" s="802"/>
      <c r="HOZ841" s="802"/>
      <c r="HPA841" s="802"/>
      <c r="HPB841" s="802"/>
      <c r="HPC841" s="802"/>
      <c r="HPD841" s="802"/>
      <c r="HPE841" s="802"/>
      <c r="HPF841" s="802"/>
      <c r="HPG841" s="802"/>
      <c r="HPH841" s="802"/>
      <c r="HPI841" s="802"/>
      <c r="HPJ841" s="802"/>
      <c r="HPK841" s="802"/>
      <c r="HPL841" s="802"/>
      <c r="HPM841" s="802"/>
      <c r="HPN841" s="802"/>
      <c r="HPO841" s="802"/>
      <c r="HPP841" s="802"/>
      <c r="HPQ841" s="802"/>
      <c r="HPR841" s="802"/>
      <c r="HPS841" s="802"/>
      <c r="HPT841" s="802"/>
      <c r="HPU841" s="802"/>
      <c r="HPV841" s="802"/>
      <c r="HPW841" s="802"/>
      <c r="HPX841" s="802"/>
      <c r="HPY841" s="802"/>
      <c r="HPZ841" s="802"/>
      <c r="HQA841" s="802"/>
      <c r="HQB841" s="802"/>
      <c r="HQC841" s="802"/>
      <c r="HQD841" s="802"/>
      <c r="HQE841" s="802"/>
      <c r="HQF841" s="802"/>
      <c r="HQG841" s="802"/>
      <c r="HQH841" s="802"/>
      <c r="HQI841" s="802"/>
      <c r="HQJ841" s="802"/>
      <c r="HQK841" s="802"/>
      <c r="HQL841" s="802"/>
      <c r="HQM841" s="802"/>
      <c r="HQN841" s="802"/>
      <c r="HQO841" s="802"/>
      <c r="HQP841" s="802"/>
      <c r="HQQ841" s="802"/>
      <c r="HQR841" s="802"/>
      <c r="HQS841" s="802"/>
      <c r="HQT841" s="802"/>
      <c r="HQU841" s="802"/>
      <c r="HQV841" s="802"/>
      <c r="HQW841" s="802"/>
      <c r="HQX841" s="802"/>
      <c r="HQY841" s="802"/>
      <c r="HQZ841" s="802"/>
      <c r="HRA841" s="802"/>
      <c r="HRB841" s="802"/>
      <c r="HRC841" s="802"/>
      <c r="HRD841" s="802"/>
      <c r="HRE841" s="802"/>
      <c r="HRF841" s="802"/>
      <c r="HRG841" s="802"/>
      <c r="HRH841" s="802"/>
      <c r="HRI841" s="802"/>
      <c r="HRJ841" s="802"/>
      <c r="HRK841" s="802"/>
      <c r="HRL841" s="802"/>
      <c r="HRM841" s="802"/>
      <c r="HRN841" s="802"/>
      <c r="HRO841" s="802"/>
      <c r="HRP841" s="802"/>
      <c r="HRQ841" s="802"/>
      <c r="HRR841" s="802"/>
      <c r="HRS841" s="802"/>
      <c r="HRT841" s="802"/>
      <c r="HRU841" s="802"/>
      <c r="HRV841" s="802"/>
      <c r="HRW841" s="802"/>
      <c r="HRX841" s="802"/>
      <c r="HRY841" s="802"/>
      <c r="HRZ841" s="802"/>
      <c r="HSA841" s="802"/>
      <c r="HSB841" s="802"/>
      <c r="HSC841" s="802"/>
      <c r="HSD841" s="802"/>
      <c r="HSE841" s="802"/>
      <c r="HSF841" s="802"/>
      <c r="HSG841" s="802"/>
      <c r="HSH841" s="802"/>
      <c r="HSI841" s="802"/>
      <c r="HSJ841" s="802"/>
      <c r="HSK841" s="802"/>
      <c r="HSL841" s="802"/>
      <c r="HSM841" s="802"/>
      <c r="HSN841" s="802"/>
      <c r="HSO841" s="802"/>
      <c r="HSP841" s="802"/>
      <c r="HSQ841" s="802"/>
      <c r="HSR841" s="802"/>
      <c r="HSS841" s="802"/>
      <c r="HST841" s="802"/>
      <c r="HSU841" s="802"/>
      <c r="HSV841" s="802"/>
      <c r="HSW841" s="802"/>
      <c r="HSX841" s="802"/>
      <c r="HSY841" s="802"/>
      <c r="HSZ841" s="802"/>
      <c r="HTA841" s="802"/>
      <c r="HTB841" s="802"/>
      <c r="HTC841" s="802"/>
      <c r="HTD841" s="802"/>
      <c r="HTE841" s="802"/>
      <c r="HTF841" s="802"/>
      <c r="HTG841" s="802"/>
      <c r="HTH841" s="802"/>
      <c r="HTI841" s="802"/>
      <c r="HTJ841" s="802"/>
      <c r="HTK841" s="802"/>
      <c r="HTL841" s="802"/>
      <c r="HTM841" s="802"/>
      <c r="HTN841" s="802"/>
      <c r="HTO841" s="802"/>
      <c r="HTP841" s="802"/>
      <c r="HTQ841" s="802"/>
      <c r="HTR841" s="802"/>
      <c r="HTS841" s="802"/>
      <c r="HTT841" s="802"/>
      <c r="HTU841" s="802"/>
      <c r="HTV841" s="802"/>
      <c r="HTW841" s="802"/>
      <c r="HTX841" s="802"/>
      <c r="HTY841" s="802"/>
      <c r="HTZ841" s="802"/>
      <c r="HUA841" s="802"/>
      <c r="HUB841" s="802"/>
      <c r="HUC841" s="802"/>
      <c r="HUD841" s="802"/>
      <c r="HUE841" s="802"/>
      <c r="HUF841" s="802"/>
      <c r="HUG841" s="802"/>
      <c r="HUH841" s="802"/>
      <c r="HUI841" s="802"/>
      <c r="HUJ841" s="802"/>
      <c r="HUK841" s="802"/>
      <c r="HUL841" s="802"/>
      <c r="HUM841" s="802"/>
      <c r="HUN841" s="802"/>
      <c r="HUO841" s="802"/>
      <c r="HUP841" s="802"/>
      <c r="HUQ841" s="802"/>
      <c r="HUR841" s="802"/>
      <c r="HUS841" s="802"/>
      <c r="HUT841" s="802"/>
      <c r="HUU841" s="802"/>
      <c r="HUV841" s="802"/>
      <c r="HUW841" s="802"/>
      <c r="HUX841" s="802"/>
      <c r="HUY841" s="802"/>
      <c r="HUZ841" s="802"/>
      <c r="HVA841" s="802"/>
      <c r="HVB841" s="802"/>
      <c r="HVC841" s="802"/>
      <c r="HVD841" s="802"/>
      <c r="HVE841" s="802"/>
      <c r="HVF841" s="802"/>
      <c r="HVG841" s="802"/>
      <c r="HVH841" s="802"/>
      <c r="HVI841" s="802"/>
      <c r="HVJ841" s="802"/>
      <c r="HVK841" s="802"/>
      <c r="HVL841" s="802"/>
      <c r="HVM841" s="802"/>
      <c r="HVN841" s="802"/>
      <c r="HVO841" s="802"/>
      <c r="HVP841" s="802"/>
      <c r="HVQ841" s="802"/>
      <c r="HVR841" s="802"/>
      <c r="HVS841" s="802"/>
      <c r="HVT841" s="802"/>
      <c r="HVU841" s="802"/>
      <c r="HVV841" s="802"/>
      <c r="HVW841" s="802"/>
      <c r="HVX841" s="802"/>
      <c r="HVY841" s="802"/>
      <c r="HVZ841" s="802"/>
      <c r="HWA841" s="802"/>
      <c r="HWB841" s="802"/>
      <c r="HWC841" s="802"/>
      <c r="HWD841" s="802"/>
      <c r="HWE841" s="802"/>
      <c r="HWF841" s="802"/>
      <c r="HWG841" s="802"/>
      <c r="HWH841" s="802"/>
      <c r="HWI841" s="802"/>
      <c r="HWJ841" s="802"/>
      <c r="HWK841" s="802"/>
      <c r="HWL841" s="802"/>
      <c r="HWM841" s="802"/>
      <c r="HWN841" s="802"/>
      <c r="HWO841" s="802"/>
      <c r="HWP841" s="802"/>
      <c r="HWQ841" s="802"/>
      <c r="HWR841" s="802"/>
      <c r="HWS841" s="802"/>
      <c r="HWT841" s="802"/>
      <c r="HWU841" s="802"/>
      <c r="HWV841" s="802"/>
      <c r="HWW841" s="802"/>
      <c r="HWX841" s="802"/>
      <c r="HWY841" s="802"/>
      <c r="HWZ841" s="802"/>
      <c r="HXA841" s="802"/>
      <c r="HXB841" s="802"/>
      <c r="HXC841" s="802"/>
      <c r="HXD841" s="802"/>
      <c r="HXE841" s="802"/>
      <c r="HXF841" s="802"/>
      <c r="HXG841" s="802"/>
      <c r="HXH841" s="802"/>
      <c r="HXI841" s="802"/>
      <c r="HXJ841" s="802"/>
      <c r="HXK841" s="802"/>
      <c r="HXL841" s="802"/>
      <c r="HXM841" s="802"/>
      <c r="HXN841" s="802"/>
      <c r="HXO841" s="802"/>
      <c r="HXP841" s="802"/>
      <c r="HXQ841" s="802"/>
      <c r="HXR841" s="802"/>
      <c r="HXS841" s="802"/>
      <c r="HXT841" s="802"/>
      <c r="HXU841" s="802"/>
      <c r="HXV841" s="802"/>
      <c r="HXW841" s="802"/>
      <c r="HXX841" s="802"/>
      <c r="HXY841" s="802"/>
      <c r="HXZ841" s="802"/>
      <c r="HYA841" s="802"/>
      <c r="HYB841" s="802"/>
      <c r="HYC841" s="802"/>
      <c r="HYD841" s="802"/>
      <c r="HYE841" s="802"/>
      <c r="HYF841" s="802"/>
      <c r="HYG841" s="802"/>
      <c r="HYH841" s="802"/>
      <c r="HYI841" s="802"/>
      <c r="HYJ841" s="802"/>
      <c r="HYK841" s="802"/>
      <c r="HYL841" s="802"/>
      <c r="HYM841" s="802"/>
      <c r="HYN841" s="802"/>
      <c r="HYO841" s="802"/>
      <c r="HYP841" s="802"/>
      <c r="HYQ841" s="802"/>
      <c r="HYR841" s="802"/>
      <c r="HYS841" s="802"/>
      <c r="HYT841" s="802"/>
      <c r="HYU841" s="802"/>
      <c r="HYV841" s="802"/>
      <c r="HYW841" s="802"/>
      <c r="HYX841" s="802"/>
      <c r="HYY841" s="802"/>
      <c r="HYZ841" s="802"/>
      <c r="HZA841" s="802"/>
      <c r="HZB841" s="802"/>
      <c r="HZC841" s="802"/>
      <c r="HZD841" s="802"/>
      <c r="HZE841" s="802"/>
      <c r="HZF841" s="802"/>
      <c r="HZG841" s="802"/>
      <c r="HZH841" s="802"/>
      <c r="HZI841" s="802"/>
      <c r="HZJ841" s="802"/>
      <c r="HZK841" s="802"/>
      <c r="HZL841" s="802"/>
      <c r="HZM841" s="802"/>
      <c r="HZN841" s="802"/>
      <c r="HZO841" s="802"/>
      <c r="HZP841" s="802"/>
      <c r="HZQ841" s="802"/>
      <c r="HZR841" s="802"/>
      <c r="HZS841" s="802"/>
      <c r="HZT841" s="802"/>
      <c r="HZU841" s="802"/>
      <c r="HZV841" s="802"/>
      <c r="HZW841" s="802"/>
      <c r="HZX841" s="802"/>
      <c r="HZY841" s="802"/>
      <c r="HZZ841" s="802"/>
      <c r="IAA841" s="802"/>
      <c r="IAB841" s="802"/>
      <c r="IAC841" s="802"/>
      <c r="IAD841" s="802"/>
      <c r="IAE841" s="802"/>
      <c r="IAF841" s="802"/>
      <c r="IAG841" s="802"/>
      <c r="IAH841" s="802"/>
      <c r="IAI841" s="802"/>
      <c r="IAJ841" s="802"/>
      <c r="IAK841" s="802"/>
      <c r="IAL841" s="802"/>
      <c r="IAM841" s="802"/>
      <c r="IAN841" s="802"/>
      <c r="IAO841" s="802"/>
      <c r="IAP841" s="802"/>
      <c r="IAQ841" s="802"/>
      <c r="IAR841" s="802"/>
      <c r="IAS841" s="802"/>
      <c r="IAT841" s="802"/>
      <c r="IAU841" s="802"/>
      <c r="IAV841" s="802"/>
      <c r="IAW841" s="802"/>
      <c r="IAX841" s="802"/>
      <c r="IAY841" s="802"/>
      <c r="IAZ841" s="802"/>
      <c r="IBA841" s="802"/>
      <c r="IBB841" s="802"/>
      <c r="IBC841" s="802"/>
      <c r="IBD841" s="802"/>
      <c r="IBE841" s="802"/>
      <c r="IBF841" s="802"/>
      <c r="IBG841" s="802"/>
      <c r="IBH841" s="802"/>
      <c r="IBI841" s="802"/>
      <c r="IBJ841" s="802"/>
      <c r="IBK841" s="802"/>
      <c r="IBL841" s="802"/>
      <c r="IBM841" s="802"/>
      <c r="IBN841" s="802"/>
      <c r="IBO841" s="802"/>
      <c r="IBP841" s="802"/>
      <c r="IBQ841" s="802"/>
      <c r="IBR841" s="802"/>
      <c r="IBS841" s="802"/>
      <c r="IBT841" s="802"/>
      <c r="IBU841" s="802"/>
      <c r="IBV841" s="802"/>
      <c r="IBW841" s="802"/>
      <c r="IBX841" s="802"/>
      <c r="IBY841" s="802"/>
      <c r="IBZ841" s="802"/>
      <c r="ICA841" s="802"/>
      <c r="ICB841" s="802"/>
      <c r="ICC841" s="802"/>
      <c r="ICD841" s="802"/>
      <c r="ICE841" s="802"/>
      <c r="ICF841" s="802"/>
      <c r="ICG841" s="802"/>
      <c r="ICH841" s="802"/>
      <c r="ICI841" s="802"/>
      <c r="ICJ841" s="802"/>
      <c r="ICK841" s="802"/>
      <c r="ICL841" s="802"/>
      <c r="ICM841" s="802"/>
      <c r="ICN841" s="802"/>
      <c r="ICO841" s="802"/>
      <c r="ICP841" s="802"/>
      <c r="ICQ841" s="802"/>
      <c r="ICR841" s="802"/>
      <c r="ICS841" s="802"/>
      <c r="ICT841" s="802"/>
      <c r="ICU841" s="802"/>
      <c r="ICV841" s="802"/>
      <c r="ICW841" s="802"/>
      <c r="ICX841" s="802"/>
      <c r="ICY841" s="802"/>
      <c r="ICZ841" s="802"/>
      <c r="IDA841" s="802"/>
      <c r="IDB841" s="802"/>
      <c r="IDC841" s="802"/>
      <c r="IDD841" s="802"/>
      <c r="IDE841" s="802"/>
      <c r="IDF841" s="802"/>
      <c r="IDG841" s="802"/>
      <c r="IDH841" s="802"/>
      <c r="IDI841" s="802"/>
      <c r="IDJ841" s="802"/>
      <c r="IDK841" s="802"/>
      <c r="IDL841" s="802"/>
      <c r="IDM841" s="802"/>
      <c r="IDN841" s="802"/>
      <c r="IDO841" s="802"/>
      <c r="IDP841" s="802"/>
      <c r="IDQ841" s="802"/>
      <c r="IDR841" s="802"/>
      <c r="IDS841" s="802"/>
      <c r="IDT841" s="802"/>
      <c r="IDU841" s="802"/>
      <c r="IDV841" s="802"/>
      <c r="IDW841" s="802"/>
      <c r="IDX841" s="802"/>
      <c r="IDY841" s="802"/>
      <c r="IDZ841" s="802"/>
      <c r="IEA841" s="802"/>
      <c r="IEB841" s="802"/>
      <c r="IEC841" s="802"/>
      <c r="IED841" s="802"/>
      <c r="IEE841" s="802"/>
      <c r="IEF841" s="802"/>
      <c r="IEG841" s="802"/>
      <c r="IEH841" s="802"/>
      <c r="IEI841" s="802"/>
      <c r="IEJ841" s="802"/>
      <c r="IEK841" s="802"/>
      <c r="IEL841" s="802"/>
      <c r="IEM841" s="802"/>
      <c r="IEN841" s="802"/>
      <c r="IEO841" s="802"/>
      <c r="IEP841" s="802"/>
      <c r="IEQ841" s="802"/>
      <c r="IER841" s="802"/>
      <c r="IES841" s="802"/>
      <c r="IET841" s="802"/>
      <c r="IEU841" s="802"/>
      <c r="IEV841" s="802"/>
      <c r="IEW841" s="802"/>
      <c r="IEX841" s="802"/>
      <c r="IEY841" s="802"/>
      <c r="IEZ841" s="802"/>
      <c r="IFA841" s="802"/>
      <c r="IFB841" s="802"/>
      <c r="IFC841" s="802"/>
      <c r="IFD841" s="802"/>
      <c r="IFE841" s="802"/>
      <c r="IFF841" s="802"/>
      <c r="IFG841" s="802"/>
      <c r="IFH841" s="802"/>
      <c r="IFI841" s="802"/>
      <c r="IFJ841" s="802"/>
      <c r="IFK841" s="802"/>
      <c r="IFL841" s="802"/>
      <c r="IFM841" s="802"/>
      <c r="IFN841" s="802"/>
      <c r="IFO841" s="802"/>
      <c r="IFP841" s="802"/>
      <c r="IFQ841" s="802"/>
      <c r="IFR841" s="802"/>
      <c r="IFS841" s="802"/>
      <c r="IFT841" s="802"/>
      <c r="IFU841" s="802"/>
      <c r="IFV841" s="802"/>
      <c r="IFW841" s="802"/>
      <c r="IFX841" s="802"/>
      <c r="IFY841" s="802"/>
      <c r="IFZ841" s="802"/>
      <c r="IGA841" s="802"/>
      <c r="IGB841" s="802"/>
      <c r="IGC841" s="802"/>
      <c r="IGD841" s="802"/>
      <c r="IGE841" s="802"/>
      <c r="IGF841" s="802"/>
      <c r="IGG841" s="802"/>
      <c r="IGH841" s="802"/>
      <c r="IGI841" s="802"/>
      <c r="IGJ841" s="802"/>
      <c r="IGK841" s="802"/>
      <c r="IGL841" s="802"/>
      <c r="IGM841" s="802"/>
      <c r="IGN841" s="802"/>
      <c r="IGO841" s="802"/>
      <c r="IGP841" s="802"/>
      <c r="IGQ841" s="802"/>
      <c r="IGR841" s="802"/>
      <c r="IGS841" s="802"/>
      <c r="IGT841" s="802"/>
      <c r="IGU841" s="802"/>
      <c r="IGV841" s="802"/>
      <c r="IGW841" s="802"/>
      <c r="IGX841" s="802"/>
      <c r="IGY841" s="802"/>
      <c r="IGZ841" s="802"/>
      <c r="IHA841" s="802"/>
      <c r="IHB841" s="802"/>
      <c r="IHC841" s="802"/>
      <c r="IHD841" s="802"/>
      <c r="IHE841" s="802"/>
      <c r="IHF841" s="802"/>
      <c r="IHG841" s="802"/>
      <c r="IHH841" s="802"/>
      <c r="IHI841" s="802"/>
      <c r="IHJ841" s="802"/>
      <c r="IHK841" s="802"/>
      <c r="IHL841" s="802"/>
      <c r="IHM841" s="802"/>
      <c r="IHN841" s="802"/>
      <c r="IHO841" s="802"/>
      <c r="IHP841" s="802"/>
      <c r="IHQ841" s="802"/>
      <c r="IHR841" s="802"/>
      <c r="IHS841" s="802"/>
      <c r="IHT841" s="802"/>
      <c r="IHU841" s="802"/>
      <c r="IHV841" s="802"/>
      <c r="IHW841" s="802"/>
      <c r="IHX841" s="802"/>
      <c r="IHY841" s="802"/>
      <c r="IHZ841" s="802"/>
      <c r="IIA841" s="802"/>
      <c r="IIB841" s="802"/>
      <c r="IIC841" s="802"/>
      <c r="IID841" s="802"/>
      <c r="IIE841" s="802"/>
      <c r="IIF841" s="802"/>
      <c r="IIG841" s="802"/>
      <c r="IIH841" s="802"/>
      <c r="III841" s="802"/>
      <c r="IIJ841" s="802"/>
      <c r="IIK841" s="802"/>
      <c r="IIL841" s="802"/>
      <c r="IIM841" s="802"/>
      <c r="IIN841" s="802"/>
      <c r="IIO841" s="802"/>
      <c r="IIP841" s="802"/>
      <c r="IIQ841" s="802"/>
      <c r="IIR841" s="802"/>
      <c r="IIS841" s="802"/>
      <c r="IIT841" s="802"/>
      <c r="IIU841" s="802"/>
      <c r="IIV841" s="802"/>
      <c r="IIW841" s="802"/>
      <c r="IIX841" s="802"/>
      <c r="IIY841" s="802"/>
      <c r="IIZ841" s="802"/>
      <c r="IJA841" s="802"/>
      <c r="IJB841" s="802"/>
      <c r="IJC841" s="802"/>
      <c r="IJD841" s="802"/>
      <c r="IJE841" s="802"/>
      <c r="IJF841" s="802"/>
      <c r="IJG841" s="802"/>
      <c r="IJH841" s="802"/>
      <c r="IJI841" s="802"/>
      <c r="IJJ841" s="802"/>
      <c r="IJK841" s="802"/>
      <c r="IJL841" s="802"/>
      <c r="IJM841" s="802"/>
      <c r="IJN841" s="802"/>
      <c r="IJO841" s="802"/>
      <c r="IJP841" s="802"/>
      <c r="IJQ841" s="802"/>
      <c r="IJR841" s="802"/>
      <c r="IJS841" s="802"/>
      <c r="IJT841" s="802"/>
      <c r="IJU841" s="802"/>
      <c r="IJV841" s="802"/>
      <c r="IJW841" s="802"/>
      <c r="IJX841" s="802"/>
      <c r="IJY841" s="802"/>
      <c r="IJZ841" s="802"/>
      <c r="IKA841" s="802"/>
      <c r="IKB841" s="802"/>
      <c r="IKC841" s="802"/>
      <c r="IKD841" s="802"/>
      <c r="IKE841" s="802"/>
      <c r="IKF841" s="802"/>
      <c r="IKG841" s="802"/>
      <c r="IKH841" s="802"/>
      <c r="IKI841" s="802"/>
      <c r="IKJ841" s="802"/>
      <c r="IKK841" s="802"/>
      <c r="IKL841" s="802"/>
      <c r="IKM841" s="802"/>
      <c r="IKN841" s="802"/>
      <c r="IKO841" s="802"/>
      <c r="IKP841" s="802"/>
      <c r="IKQ841" s="802"/>
      <c r="IKR841" s="802"/>
      <c r="IKS841" s="802"/>
      <c r="IKT841" s="802"/>
      <c r="IKU841" s="802"/>
      <c r="IKV841" s="802"/>
      <c r="IKW841" s="802"/>
      <c r="IKX841" s="802"/>
      <c r="IKY841" s="802"/>
      <c r="IKZ841" s="802"/>
      <c r="ILA841" s="802"/>
      <c r="ILB841" s="802"/>
      <c r="ILC841" s="802"/>
      <c r="ILD841" s="802"/>
      <c r="ILE841" s="802"/>
      <c r="ILF841" s="802"/>
      <c r="ILG841" s="802"/>
      <c r="ILH841" s="802"/>
      <c r="ILI841" s="802"/>
      <c r="ILJ841" s="802"/>
      <c r="ILK841" s="802"/>
      <c r="ILL841" s="802"/>
      <c r="ILM841" s="802"/>
      <c r="ILN841" s="802"/>
      <c r="ILO841" s="802"/>
      <c r="ILP841" s="802"/>
      <c r="ILQ841" s="802"/>
      <c r="ILR841" s="802"/>
      <c r="ILS841" s="802"/>
      <c r="ILT841" s="802"/>
      <c r="ILU841" s="802"/>
      <c r="ILV841" s="802"/>
      <c r="ILW841" s="802"/>
      <c r="ILX841" s="802"/>
      <c r="ILY841" s="802"/>
      <c r="ILZ841" s="802"/>
      <c r="IMA841" s="802"/>
      <c r="IMB841" s="802"/>
      <c r="IMC841" s="802"/>
      <c r="IMD841" s="802"/>
      <c r="IME841" s="802"/>
      <c r="IMF841" s="802"/>
      <c r="IMG841" s="802"/>
      <c r="IMH841" s="802"/>
      <c r="IMI841" s="802"/>
      <c r="IMJ841" s="802"/>
      <c r="IMK841" s="802"/>
      <c r="IML841" s="802"/>
      <c r="IMM841" s="802"/>
      <c r="IMN841" s="802"/>
      <c r="IMO841" s="802"/>
      <c r="IMP841" s="802"/>
      <c r="IMQ841" s="802"/>
      <c r="IMR841" s="802"/>
      <c r="IMS841" s="802"/>
      <c r="IMT841" s="802"/>
      <c r="IMU841" s="802"/>
      <c r="IMV841" s="802"/>
      <c r="IMW841" s="802"/>
      <c r="IMX841" s="802"/>
      <c r="IMY841" s="802"/>
      <c r="IMZ841" s="802"/>
      <c r="INA841" s="802"/>
      <c r="INB841" s="802"/>
      <c r="INC841" s="802"/>
      <c r="IND841" s="802"/>
      <c r="INE841" s="802"/>
      <c r="INF841" s="802"/>
      <c r="ING841" s="802"/>
      <c r="INH841" s="802"/>
      <c r="INI841" s="802"/>
      <c r="INJ841" s="802"/>
      <c r="INK841" s="802"/>
      <c r="INL841" s="802"/>
      <c r="INM841" s="802"/>
      <c r="INN841" s="802"/>
      <c r="INO841" s="802"/>
      <c r="INP841" s="802"/>
      <c r="INQ841" s="802"/>
      <c r="INR841" s="802"/>
      <c r="INS841" s="802"/>
      <c r="INT841" s="802"/>
      <c r="INU841" s="802"/>
      <c r="INV841" s="802"/>
      <c r="INW841" s="802"/>
      <c r="INX841" s="802"/>
      <c r="INY841" s="802"/>
      <c r="INZ841" s="802"/>
      <c r="IOA841" s="802"/>
      <c r="IOB841" s="802"/>
      <c r="IOC841" s="802"/>
      <c r="IOD841" s="802"/>
      <c r="IOE841" s="802"/>
      <c r="IOF841" s="802"/>
      <c r="IOG841" s="802"/>
      <c r="IOH841" s="802"/>
      <c r="IOI841" s="802"/>
      <c r="IOJ841" s="802"/>
      <c r="IOK841" s="802"/>
      <c r="IOL841" s="802"/>
      <c r="IOM841" s="802"/>
      <c r="ION841" s="802"/>
      <c r="IOO841" s="802"/>
      <c r="IOP841" s="802"/>
      <c r="IOQ841" s="802"/>
      <c r="IOR841" s="802"/>
      <c r="IOS841" s="802"/>
      <c r="IOT841" s="802"/>
      <c r="IOU841" s="802"/>
      <c r="IOV841" s="802"/>
      <c r="IOW841" s="802"/>
      <c r="IOX841" s="802"/>
      <c r="IOY841" s="802"/>
      <c r="IOZ841" s="802"/>
      <c r="IPA841" s="802"/>
      <c r="IPB841" s="802"/>
      <c r="IPC841" s="802"/>
      <c r="IPD841" s="802"/>
      <c r="IPE841" s="802"/>
      <c r="IPF841" s="802"/>
      <c r="IPG841" s="802"/>
      <c r="IPH841" s="802"/>
      <c r="IPI841" s="802"/>
      <c r="IPJ841" s="802"/>
      <c r="IPK841" s="802"/>
      <c r="IPL841" s="802"/>
      <c r="IPM841" s="802"/>
      <c r="IPN841" s="802"/>
      <c r="IPO841" s="802"/>
      <c r="IPP841" s="802"/>
      <c r="IPQ841" s="802"/>
      <c r="IPR841" s="802"/>
      <c r="IPS841" s="802"/>
      <c r="IPT841" s="802"/>
      <c r="IPU841" s="802"/>
      <c r="IPV841" s="802"/>
      <c r="IPW841" s="802"/>
      <c r="IPX841" s="802"/>
      <c r="IPY841" s="802"/>
      <c r="IPZ841" s="802"/>
      <c r="IQA841" s="802"/>
      <c r="IQB841" s="802"/>
      <c r="IQC841" s="802"/>
      <c r="IQD841" s="802"/>
      <c r="IQE841" s="802"/>
      <c r="IQF841" s="802"/>
      <c r="IQG841" s="802"/>
      <c r="IQH841" s="802"/>
      <c r="IQI841" s="802"/>
      <c r="IQJ841" s="802"/>
      <c r="IQK841" s="802"/>
      <c r="IQL841" s="802"/>
      <c r="IQM841" s="802"/>
      <c r="IQN841" s="802"/>
      <c r="IQO841" s="802"/>
      <c r="IQP841" s="802"/>
      <c r="IQQ841" s="802"/>
      <c r="IQR841" s="802"/>
      <c r="IQS841" s="802"/>
      <c r="IQT841" s="802"/>
      <c r="IQU841" s="802"/>
      <c r="IQV841" s="802"/>
      <c r="IQW841" s="802"/>
      <c r="IQX841" s="802"/>
      <c r="IQY841" s="802"/>
      <c r="IQZ841" s="802"/>
      <c r="IRA841" s="802"/>
      <c r="IRB841" s="802"/>
      <c r="IRC841" s="802"/>
      <c r="IRD841" s="802"/>
      <c r="IRE841" s="802"/>
      <c r="IRF841" s="802"/>
      <c r="IRG841" s="802"/>
      <c r="IRH841" s="802"/>
      <c r="IRI841" s="802"/>
      <c r="IRJ841" s="802"/>
      <c r="IRK841" s="802"/>
      <c r="IRL841" s="802"/>
      <c r="IRM841" s="802"/>
      <c r="IRN841" s="802"/>
      <c r="IRO841" s="802"/>
      <c r="IRP841" s="802"/>
      <c r="IRQ841" s="802"/>
      <c r="IRR841" s="802"/>
      <c r="IRS841" s="802"/>
      <c r="IRT841" s="802"/>
      <c r="IRU841" s="802"/>
      <c r="IRV841" s="802"/>
      <c r="IRW841" s="802"/>
      <c r="IRX841" s="802"/>
      <c r="IRY841" s="802"/>
      <c r="IRZ841" s="802"/>
      <c r="ISA841" s="802"/>
      <c r="ISB841" s="802"/>
      <c r="ISC841" s="802"/>
      <c r="ISD841" s="802"/>
      <c r="ISE841" s="802"/>
      <c r="ISF841" s="802"/>
      <c r="ISG841" s="802"/>
      <c r="ISH841" s="802"/>
      <c r="ISI841" s="802"/>
      <c r="ISJ841" s="802"/>
      <c r="ISK841" s="802"/>
      <c r="ISL841" s="802"/>
      <c r="ISM841" s="802"/>
      <c r="ISN841" s="802"/>
      <c r="ISO841" s="802"/>
      <c r="ISP841" s="802"/>
      <c r="ISQ841" s="802"/>
      <c r="ISR841" s="802"/>
      <c r="ISS841" s="802"/>
      <c r="IST841" s="802"/>
      <c r="ISU841" s="802"/>
      <c r="ISV841" s="802"/>
      <c r="ISW841" s="802"/>
      <c r="ISX841" s="802"/>
      <c r="ISY841" s="802"/>
      <c r="ISZ841" s="802"/>
      <c r="ITA841" s="802"/>
      <c r="ITB841" s="802"/>
      <c r="ITC841" s="802"/>
      <c r="ITD841" s="802"/>
      <c r="ITE841" s="802"/>
      <c r="ITF841" s="802"/>
      <c r="ITG841" s="802"/>
      <c r="ITH841" s="802"/>
      <c r="ITI841" s="802"/>
      <c r="ITJ841" s="802"/>
      <c r="ITK841" s="802"/>
      <c r="ITL841" s="802"/>
      <c r="ITM841" s="802"/>
      <c r="ITN841" s="802"/>
      <c r="ITO841" s="802"/>
      <c r="ITP841" s="802"/>
      <c r="ITQ841" s="802"/>
      <c r="ITR841" s="802"/>
      <c r="ITS841" s="802"/>
      <c r="ITT841" s="802"/>
      <c r="ITU841" s="802"/>
      <c r="ITV841" s="802"/>
      <c r="ITW841" s="802"/>
      <c r="ITX841" s="802"/>
      <c r="ITY841" s="802"/>
      <c r="ITZ841" s="802"/>
      <c r="IUA841" s="802"/>
      <c r="IUB841" s="802"/>
      <c r="IUC841" s="802"/>
      <c r="IUD841" s="802"/>
      <c r="IUE841" s="802"/>
      <c r="IUF841" s="802"/>
      <c r="IUG841" s="802"/>
      <c r="IUH841" s="802"/>
      <c r="IUI841" s="802"/>
      <c r="IUJ841" s="802"/>
      <c r="IUK841" s="802"/>
      <c r="IUL841" s="802"/>
      <c r="IUM841" s="802"/>
      <c r="IUN841" s="802"/>
      <c r="IUO841" s="802"/>
      <c r="IUP841" s="802"/>
      <c r="IUQ841" s="802"/>
      <c r="IUR841" s="802"/>
      <c r="IUS841" s="802"/>
      <c r="IUT841" s="802"/>
      <c r="IUU841" s="802"/>
      <c r="IUV841" s="802"/>
      <c r="IUW841" s="802"/>
      <c r="IUX841" s="802"/>
      <c r="IUY841" s="802"/>
      <c r="IUZ841" s="802"/>
      <c r="IVA841" s="802"/>
      <c r="IVB841" s="802"/>
      <c r="IVC841" s="802"/>
      <c r="IVD841" s="802"/>
      <c r="IVE841" s="802"/>
      <c r="IVF841" s="802"/>
      <c r="IVG841" s="802"/>
      <c r="IVH841" s="802"/>
      <c r="IVI841" s="802"/>
      <c r="IVJ841" s="802"/>
      <c r="IVK841" s="802"/>
      <c r="IVL841" s="802"/>
      <c r="IVM841" s="802"/>
      <c r="IVN841" s="802"/>
      <c r="IVO841" s="802"/>
      <c r="IVP841" s="802"/>
      <c r="IVQ841" s="802"/>
      <c r="IVR841" s="802"/>
      <c r="IVS841" s="802"/>
      <c r="IVT841" s="802"/>
      <c r="IVU841" s="802"/>
      <c r="IVV841" s="802"/>
      <c r="IVW841" s="802"/>
      <c r="IVX841" s="802"/>
      <c r="IVY841" s="802"/>
      <c r="IVZ841" s="802"/>
      <c r="IWA841" s="802"/>
      <c r="IWB841" s="802"/>
      <c r="IWC841" s="802"/>
      <c r="IWD841" s="802"/>
      <c r="IWE841" s="802"/>
      <c r="IWF841" s="802"/>
      <c r="IWG841" s="802"/>
      <c r="IWH841" s="802"/>
      <c r="IWI841" s="802"/>
      <c r="IWJ841" s="802"/>
      <c r="IWK841" s="802"/>
      <c r="IWL841" s="802"/>
      <c r="IWM841" s="802"/>
      <c r="IWN841" s="802"/>
      <c r="IWO841" s="802"/>
      <c r="IWP841" s="802"/>
      <c r="IWQ841" s="802"/>
      <c r="IWR841" s="802"/>
      <c r="IWS841" s="802"/>
      <c r="IWT841" s="802"/>
      <c r="IWU841" s="802"/>
      <c r="IWV841" s="802"/>
      <c r="IWW841" s="802"/>
      <c r="IWX841" s="802"/>
      <c r="IWY841" s="802"/>
      <c r="IWZ841" s="802"/>
      <c r="IXA841" s="802"/>
      <c r="IXB841" s="802"/>
      <c r="IXC841" s="802"/>
      <c r="IXD841" s="802"/>
      <c r="IXE841" s="802"/>
      <c r="IXF841" s="802"/>
      <c r="IXG841" s="802"/>
      <c r="IXH841" s="802"/>
      <c r="IXI841" s="802"/>
      <c r="IXJ841" s="802"/>
      <c r="IXK841" s="802"/>
      <c r="IXL841" s="802"/>
      <c r="IXM841" s="802"/>
      <c r="IXN841" s="802"/>
      <c r="IXO841" s="802"/>
      <c r="IXP841" s="802"/>
      <c r="IXQ841" s="802"/>
      <c r="IXR841" s="802"/>
      <c r="IXS841" s="802"/>
      <c r="IXT841" s="802"/>
      <c r="IXU841" s="802"/>
      <c r="IXV841" s="802"/>
      <c r="IXW841" s="802"/>
      <c r="IXX841" s="802"/>
      <c r="IXY841" s="802"/>
      <c r="IXZ841" s="802"/>
      <c r="IYA841" s="802"/>
      <c r="IYB841" s="802"/>
      <c r="IYC841" s="802"/>
      <c r="IYD841" s="802"/>
      <c r="IYE841" s="802"/>
      <c r="IYF841" s="802"/>
      <c r="IYG841" s="802"/>
      <c r="IYH841" s="802"/>
      <c r="IYI841" s="802"/>
      <c r="IYJ841" s="802"/>
      <c r="IYK841" s="802"/>
      <c r="IYL841" s="802"/>
      <c r="IYM841" s="802"/>
      <c r="IYN841" s="802"/>
      <c r="IYO841" s="802"/>
      <c r="IYP841" s="802"/>
      <c r="IYQ841" s="802"/>
      <c r="IYR841" s="802"/>
      <c r="IYS841" s="802"/>
      <c r="IYT841" s="802"/>
      <c r="IYU841" s="802"/>
      <c r="IYV841" s="802"/>
      <c r="IYW841" s="802"/>
      <c r="IYX841" s="802"/>
      <c r="IYY841" s="802"/>
      <c r="IYZ841" s="802"/>
      <c r="IZA841" s="802"/>
      <c r="IZB841" s="802"/>
      <c r="IZC841" s="802"/>
      <c r="IZD841" s="802"/>
      <c r="IZE841" s="802"/>
      <c r="IZF841" s="802"/>
      <c r="IZG841" s="802"/>
      <c r="IZH841" s="802"/>
      <c r="IZI841" s="802"/>
      <c r="IZJ841" s="802"/>
      <c r="IZK841" s="802"/>
      <c r="IZL841" s="802"/>
      <c r="IZM841" s="802"/>
      <c r="IZN841" s="802"/>
      <c r="IZO841" s="802"/>
      <c r="IZP841" s="802"/>
      <c r="IZQ841" s="802"/>
      <c r="IZR841" s="802"/>
      <c r="IZS841" s="802"/>
      <c r="IZT841" s="802"/>
      <c r="IZU841" s="802"/>
      <c r="IZV841" s="802"/>
      <c r="IZW841" s="802"/>
      <c r="IZX841" s="802"/>
      <c r="IZY841" s="802"/>
      <c r="IZZ841" s="802"/>
      <c r="JAA841" s="802"/>
      <c r="JAB841" s="802"/>
      <c r="JAC841" s="802"/>
      <c r="JAD841" s="802"/>
      <c r="JAE841" s="802"/>
      <c r="JAF841" s="802"/>
      <c r="JAG841" s="802"/>
      <c r="JAH841" s="802"/>
      <c r="JAI841" s="802"/>
      <c r="JAJ841" s="802"/>
      <c r="JAK841" s="802"/>
      <c r="JAL841" s="802"/>
      <c r="JAM841" s="802"/>
      <c r="JAN841" s="802"/>
      <c r="JAO841" s="802"/>
      <c r="JAP841" s="802"/>
      <c r="JAQ841" s="802"/>
      <c r="JAR841" s="802"/>
      <c r="JAS841" s="802"/>
      <c r="JAT841" s="802"/>
      <c r="JAU841" s="802"/>
      <c r="JAV841" s="802"/>
      <c r="JAW841" s="802"/>
      <c r="JAX841" s="802"/>
      <c r="JAY841" s="802"/>
      <c r="JAZ841" s="802"/>
      <c r="JBA841" s="802"/>
      <c r="JBB841" s="802"/>
      <c r="JBC841" s="802"/>
      <c r="JBD841" s="802"/>
      <c r="JBE841" s="802"/>
      <c r="JBF841" s="802"/>
      <c r="JBG841" s="802"/>
      <c r="JBH841" s="802"/>
      <c r="JBI841" s="802"/>
      <c r="JBJ841" s="802"/>
      <c r="JBK841" s="802"/>
      <c r="JBL841" s="802"/>
      <c r="JBM841" s="802"/>
      <c r="JBN841" s="802"/>
      <c r="JBO841" s="802"/>
      <c r="JBP841" s="802"/>
      <c r="JBQ841" s="802"/>
      <c r="JBR841" s="802"/>
      <c r="JBS841" s="802"/>
      <c r="JBT841" s="802"/>
      <c r="JBU841" s="802"/>
      <c r="JBV841" s="802"/>
      <c r="JBW841" s="802"/>
      <c r="JBX841" s="802"/>
      <c r="JBY841" s="802"/>
      <c r="JBZ841" s="802"/>
      <c r="JCA841" s="802"/>
      <c r="JCB841" s="802"/>
      <c r="JCC841" s="802"/>
      <c r="JCD841" s="802"/>
      <c r="JCE841" s="802"/>
      <c r="JCF841" s="802"/>
      <c r="JCG841" s="802"/>
      <c r="JCH841" s="802"/>
      <c r="JCI841" s="802"/>
      <c r="JCJ841" s="802"/>
      <c r="JCK841" s="802"/>
      <c r="JCL841" s="802"/>
      <c r="JCM841" s="802"/>
      <c r="JCN841" s="802"/>
      <c r="JCO841" s="802"/>
      <c r="JCP841" s="802"/>
      <c r="JCQ841" s="802"/>
      <c r="JCR841" s="802"/>
      <c r="JCS841" s="802"/>
      <c r="JCT841" s="802"/>
      <c r="JCU841" s="802"/>
      <c r="JCV841" s="802"/>
      <c r="JCW841" s="802"/>
      <c r="JCX841" s="802"/>
      <c r="JCY841" s="802"/>
      <c r="JCZ841" s="802"/>
      <c r="JDA841" s="802"/>
      <c r="JDB841" s="802"/>
      <c r="JDC841" s="802"/>
      <c r="JDD841" s="802"/>
      <c r="JDE841" s="802"/>
      <c r="JDF841" s="802"/>
      <c r="JDG841" s="802"/>
      <c r="JDH841" s="802"/>
      <c r="JDI841" s="802"/>
      <c r="JDJ841" s="802"/>
      <c r="JDK841" s="802"/>
      <c r="JDL841" s="802"/>
      <c r="JDM841" s="802"/>
      <c r="JDN841" s="802"/>
      <c r="JDO841" s="802"/>
      <c r="JDP841" s="802"/>
      <c r="JDQ841" s="802"/>
      <c r="JDR841" s="802"/>
      <c r="JDS841" s="802"/>
      <c r="JDT841" s="802"/>
      <c r="JDU841" s="802"/>
      <c r="JDV841" s="802"/>
      <c r="JDW841" s="802"/>
      <c r="JDX841" s="802"/>
      <c r="JDY841" s="802"/>
      <c r="JDZ841" s="802"/>
      <c r="JEA841" s="802"/>
      <c r="JEB841" s="802"/>
      <c r="JEC841" s="802"/>
      <c r="JED841" s="802"/>
      <c r="JEE841" s="802"/>
      <c r="JEF841" s="802"/>
      <c r="JEG841" s="802"/>
      <c r="JEH841" s="802"/>
      <c r="JEI841" s="802"/>
      <c r="JEJ841" s="802"/>
      <c r="JEK841" s="802"/>
      <c r="JEL841" s="802"/>
      <c r="JEM841" s="802"/>
      <c r="JEN841" s="802"/>
      <c r="JEO841" s="802"/>
      <c r="JEP841" s="802"/>
      <c r="JEQ841" s="802"/>
      <c r="JER841" s="802"/>
      <c r="JES841" s="802"/>
      <c r="JET841" s="802"/>
      <c r="JEU841" s="802"/>
      <c r="JEV841" s="802"/>
      <c r="JEW841" s="802"/>
      <c r="JEX841" s="802"/>
      <c r="JEY841" s="802"/>
      <c r="JEZ841" s="802"/>
      <c r="JFA841" s="802"/>
      <c r="JFB841" s="802"/>
      <c r="JFC841" s="802"/>
      <c r="JFD841" s="802"/>
      <c r="JFE841" s="802"/>
      <c r="JFF841" s="802"/>
      <c r="JFG841" s="802"/>
      <c r="JFH841" s="802"/>
      <c r="JFI841" s="802"/>
      <c r="JFJ841" s="802"/>
      <c r="JFK841" s="802"/>
      <c r="JFL841" s="802"/>
      <c r="JFM841" s="802"/>
      <c r="JFN841" s="802"/>
      <c r="JFO841" s="802"/>
      <c r="JFP841" s="802"/>
      <c r="JFQ841" s="802"/>
      <c r="JFR841" s="802"/>
      <c r="JFS841" s="802"/>
      <c r="JFT841" s="802"/>
      <c r="JFU841" s="802"/>
      <c r="JFV841" s="802"/>
      <c r="JFW841" s="802"/>
      <c r="JFX841" s="802"/>
      <c r="JFY841" s="802"/>
      <c r="JFZ841" s="802"/>
      <c r="JGA841" s="802"/>
      <c r="JGB841" s="802"/>
      <c r="JGC841" s="802"/>
      <c r="JGD841" s="802"/>
      <c r="JGE841" s="802"/>
      <c r="JGF841" s="802"/>
      <c r="JGG841" s="802"/>
      <c r="JGH841" s="802"/>
      <c r="JGI841" s="802"/>
      <c r="JGJ841" s="802"/>
      <c r="JGK841" s="802"/>
      <c r="JGL841" s="802"/>
      <c r="JGM841" s="802"/>
      <c r="JGN841" s="802"/>
      <c r="JGO841" s="802"/>
      <c r="JGP841" s="802"/>
      <c r="JGQ841" s="802"/>
      <c r="JGR841" s="802"/>
      <c r="JGS841" s="802"/>
      <c r="JGT841" s="802"/>
      <c r="JGU841" s="802"/>
      <c r="JGV841" s="802"/>
      <c r="JGW841" s="802"/>
      <c r="JGX841" s="802"/>
      <c r="JGY841" s="802"/>
      <c r="JGZ841" s="802"/>
      <c r="JHA841" s="802"/>
      <c r="JHB841" s="802"/>
      <c r="JHC841" s="802"/>
      <c r="JHD841" s="802"/>
      <c r="JHE841" s="802"/>
      <c r="JHF841" s="802"/>
      <c r="JHG841" s="802"/>
      <c r="JHH841" s="802"/>
      <c r="JHI841" s="802"/>
      <c r="JHJ841" s="802"/>
      <c r="JHK841" s="802"/>
      <c r="JHL841" s="802"/>
      <c r="JHM841" s="802"/>
      <c r="JHN841" s="802"/>
      <c r="JHO841" s="802"/>
      <c r="JHP841" s="802"/>
      <c r="JHQ841" s="802"/>
      <c r="JHR841" s="802"/>
      <c r="JHS841" s="802"/>
      <c r="JHT841" s="802"/>
      <c r="JHU841" s="802"/>
      <c r="JHV841" s="802"/>
      <c r="JHW841" s="802"/>
      <c r="JHX841" s="802"/>
      <c r="JHY841" s="802"/>
      <c r="JHZ841" s="802"/>
      <c r="JIA841" s="802"/>
      <c r="JIB841" s="802"/>
      <c r="JIC841" s="802"/>
      <c r="JID841" s="802"/>
      <c r="JIE841" s="802"/>
      <c r="JIF841" s="802"/>
      <c r="JIG841" s="802"/>
      <c r="JIH841" s="802"/>
      <c r="JII841" s="802"/>
      <c r="JIJ841" s="802"/>
      <c r="JIK841" s="802"/>
      <c r="JIL841" s="802"/>
      <c r="JIM841" s="802"/>
      <c r="JIN841" s="802"/>
      <c r="JIO841" s="802"/>
      <c r="JIP841" s="802"/>
      <c r="JIQ841" s="802"/>
      <c r="JIR841" s="802"/>
      <c r="JIS841" s="802"/>
      <c r="JIT841" s="802"/>
      <c r="JIU841" s="802"/>
      <c r="JIV841" s="802"/>
      <c r="JIW841" s="802"/>
      <c r="JIX841" s="802"/>
      <c r="JIY841" s="802"/>
      <c r="JIZ841" s="802"/>
      <c r="JJA841" s="802"/>
      <c r="JJB841" s="802"/>
      <c r="JJC841" s="802"/>
      <c r="JJD841" s="802"/>
      <c r="JJE841" s="802"/>
      <c r="JJF841" s="802"/>
      <c r="JJG841" s="802"/>
      <c r="JJH841" s="802"/>
      <c r="JJI841" s="802"/>
      <c r="JJJ841" s="802"/>
      <c r="JJK841" s="802"/>
      <c r="JJL841" s="802"/>
      <c r="JJM841" s="802"/>
      <c r="JJN841" s="802"/>
      <c r="JJO841" s="802"/>
      <c r="JJP841" s="802"/>
      <c r="JJQ841" s="802"/>
      <c r="JJR841" s="802"/>
      <c r="JJS841" s="802"/>
      <c r="JJT841" s="802"/>
      <c r="JJU841" s="802"/>
      <c r="JJV841" s="802"/>
      <c r="JJW841" s="802"/>
      <c r="JJX841" s="802"/>
      <c r="JJY841" s="802"/>
      <c r="JJZ841" s="802"/>
      <c r="JKA841" s="802"/>
      <c r="JKB841" s="802"/>
      <c r="JKC841" s="802"/>
      <c r="JKD841" s="802"/>
      <c r="JKE841" s="802"/>
      <c r="JKF841" s="802"/>
      <c r="JKG841" s="802"/>
      <c r="JKH841" s="802"/>
      <c r="JKI841" s="802"/>
      <c r="JKJ841" s="802"/>
      <c r="JKK841" s="802"/>
      <c r="JKL841" s="802"/>
      <c r="JKM841" s="802"/>
      <c r="JKN841" s="802"/>
      <c r="JKO841" s="802"/>
      <c r="JKP841" s="802"/>
      <c r="JKQ841" s="802"/>
      <c r="JKR841" s="802"/>
      <c r="JKS841" s="802"/>
      <c r="JKT841" s="802"/>
      <c r="JKU841" s="802"/>
      <c r="JKV841" s="802"/>
      <c r="JKW841" s="802"/>
      <c r="JKX841" s="802"/>
      <c r="JKY841" s="802"/>
      <c r="JKZ841" s="802"/>
      <c r="JLA841" s="802"/>
      <c r="JLB841" s="802"/>
      <c r="JLC841" s="802"/>
      <c r="JLD841" s="802"/>
      <c r="JLE841" s="802"/>
      <c r="JLF841" s="802"/>
      <c r="JLG841" s="802"/>
      <c r="JLH841" s="802"/>
      <c r="JLI841" s="802"/>
      <c r="JLJ841" s="802"/>
      <c r="JLK841" s="802"/>
      <c r="JLL841" s="802"/>
      <c r="JLM841" s="802"/>
      <c r="JLN841" s="802"/>
      <c r="JLO841" s="802"/>
      <c r="JLP841" s="802"/>
      <c r="JLQ841" s="802"/>
      <c r="JLR841" s="802"/>
      <c r="JLS841" s="802"/>
      <c r="JLT841" s="802"/>
      <c r="JLU841" s="802"/>
      <c r="JLV841" s="802"/>
      <c r="JLW841" s="802"/>
      <c r="JLX841" s="802"/>
      <c r="JLY841" s="802"/>
      <c r="JLZ841" s="802"/>
      <c r="JMA841" s="802"/>
      <c r="JMB841" s="802"/>
      <c r="JMC841" s="802"/>
      <c r="JMD841" s="802"/>
      <c r="JME841" s="802"/>
      <c r="JMF841" s="802"/>
      <c r="JMG841" s="802"/>
      <c r="JMH841" s="802"/>
      <c r="JMI841" s="802"/>
      <c r="JMJ841" s="802"/>
      <c r="JMK841" s="802"/>
      <c r="JML841" s="802"/>
      <c r="JMM841" s="802"/>
      <c r="JMN841" s="802"/>
      <c r="JMO841" s="802"/>
      <c r="JMP841" s="802"/>
      <c r="JMQ841" s="802"/>
      <c r="JMR841" s="802"/>
      <c r="JMS841" s="802"/>
      <c r="JMT841" s="802"/>
      <c r="JMU841" s="802"/>
      <c r="JMV841" s="802"/>
      <c r="JMW841" s="802"/>
      <c r="JMX841" s="802"/>
      <c r="JMY841" s="802"/>
      <c r="JMZ841" s="802"/>
      <c r="JNA841" s="802"/>
      <c r="JNB841" s="802"/>
      <c r="JNC841" s="802"/>
      <c r="JND841" s="802"/>
      <c r="JNE841" s="802"/>
      <c r="JNF841" s="802"/>
      <c r="JNG841" s="802"/>
      <c r="JNH841" s="802"/>
      <c r="JNI841" s="802"/>
      <c r="JNJ841" s="802"/>
      <c r="JNK841" s="802"/>
      <c r="JNL841" s="802"/>
      <c r="JNM841" s="802"/>
      <c r="JNN841" s="802"/>
      <c r="JNO841" s="802"/>
      <c r="JNP841" s="802"/>
      <c r="JNQ841" s="802"/>
      <c r="JNR841" s="802"/>
      <c r="JNS841" s="802"/>
      <c r="JNT841" s="802"/>
      <c r="JNU841" s="802"/>
      <c r="JNV841" s="802"/>
      <c r="JNW841" s="802"/>
      <c r="JNX841" s="802"/>
      <c r="JNY841" s="802"/>
      <c r="JNZ841" s="802"/>
      <c r="JOA841" s="802"/>
      <c r="JOB841" s="802"/>
      <c r="JOC841" s="802"/>
      <c r="JOD841" s="802"/>
      <c r="JOE841" s="802"/>
      <c r="JOF841" s="802"/>
      <c r="JOG841" s="802"/>
      <c r="JOH841" s="802"/>
      <c r="JOI841" s="802"/>
      <c r="JOJ841" s="802"/>
      <c r="JOK841" s="802"/>
      <c r="JOL841" s="802"/>
      <c r="JOM841" s="802"/>
      <c r="JON841" s="802"/>
      <c r="JOO841" s="802"/>
      <c r="JOP841" s="802"/>
      <c r="JOQ841" s="802"/>
      <c r="JOR841" s="802"/>
      <c r="JOS841" s="802"/>
      <c r="JOT841" s="802"/>
      <c r="JOU841" s="802"/>
      <c r="JOV841" s="802"/>
      <c r="JOW841" s="802"/>
      <c r="JOX841" s="802"/>
      <c r="JOY841" s="802"/>
      <c r="JOZ841" s="802"/>
      <c r="JPA841" s="802"/>
      <c r="JPB841" s="802"/>
      <c r="JPC841" s="802"/>
      <c r="JPD841" s="802"/>
      <c r="JPE841" s="802"/>
      <c r="JPF841" s="802"/>
      <c r="JPG841" s="802"/>
      <c r="JPH841" s="802"/>
      <c r="JPI841" s="802"/>
      <c r="JPJ841" s="802"/>
      <c r="JPK841" s="802"/>
      <c r="JPL841" s="802"/>
      <c r="JPM841" s="802"/>
      <c r="JPN841" s="802"/>
      <c r="JPO841" s="802"/>
      <c r="JPP841" s="802"/>
      <c r="JPQ841" s="802"/>
      <c r="JPR841" s="802"/>
      <c r="JPS841" s="802"/>
      <c r="JPT841" s="802"/>
      <c r="JPU841" s="802"/>
      <c r="JPV841" s="802"/>
      <c r="JPW841" s="802"/>
      <c r="JPX841" s="802"/>
      <c r="JPY841" s="802"/>
      <c r="JPZ841" s="802"/>
      <c r="JQA841" s="802"/>
      <c r="JQB841" s="802"/>
      <c r="JQC841" s="802"/>
      <c r="JQD841" s="802"/>
      <c r="JQE841" s="802"/>
      <c r="JQF841" s="802"/>
      <c r="JQG841" s="802"/>
      <c r="JQH841" s="802"/>
      <c r="JQI841" s="802"/>
      <c r="JQJ841" s="802"/>
      <c r="JQK841" s="802"/>
      <c r="JQL841" s="802"/>
      <c r="JQM841" s="802"/>
      <c r="JQN841" s="802"/>
      <c r="JQO841" s="802"/>
      <c r="JQP841" s="802"/>
      <c r="JQQ841" s="802"/>
      <c r="JQR841" s="802"/>
      <c r="JQS841" s="802"/>
      <c r="JQT841" s="802"/>
      <c r="JQU841" s="802"/>
      <c r="JQV841" s="802"/>
      <c r="JQW841" s="802"/>
      <c r="JQX841" s="802"/>
      <c r="JQY841" s="802"/>
      <c r="JQZ841" s="802"/>
      <c r="JRA841" s="802"/>
      <c r="JRB841" s="802"/>
      <c r="JRC841" s="802"/>
      <c r="JRD841" s="802"/>
      <c r="JRE841" s="802"/>
      <c r="JRF841" s="802"/>
      <c r="JRG841" s="802"/>
      <c r="JRH841" s="802"/>
      <c r="JRI841" s="802"/>
      <c r="JRJ841" s="802"/>
      <c r="JRK841" s="802"/>
      <c r="JRL841" s="802"/>
      <c r="JRM841" s="802"/>
      <c r="JRN841" s="802"/>
      <c r="JRO841" s="802"/>
      <c r="JRP841" s="802"/>
      <c r="JRQ841" s="802"/>
      <c r="JRR841" s="802"/>
      <c r="JRS841" s="802"/>
      <c r="JRT841" s="802"/>
      <c r="JRU841" s="802"/>
      <c r="JRV841" s="802"/>
      <c r="JRW841" s="802"/>
      <c r="JRX841" s="802"/>
      <c r="JRY841" s="802"/>
      <c r="JRZ841" s="802"/>
      <c r="JSA841" s="802"/>
      <c r="JSB841" s="802"/>
      <c r="JSC841" s="802"/>
      <c r="JSD841" s="802"/>
      <c r="JSE841" s="802"/>
      <c r="JSF841" s="802"/>
      <c r="JSG841" s="802"/>
      <c r="JSH841" s="802"/>
      <c r="JSI841" s="802"/>
      <c r="JSJ841" s="802"/>
      <c r="JSK841" s="802"/>
      <c r="JSL841" s="802"/>
      <c r="JSM841" s="802"/>
      <c r="JSN841" s="802"/>
      <c r="JSO841" s="802"/>
      <c r="JSP841" s="802"/>
      <c r="JSQ841" s="802"/>
      <c r="JSR841" s="802"/>
      <c r="JSS841" s="802"/>
      <c r="JST841" s="802"/>
      <c r="JSU841" s="802"/>
      <c r="JSV841" s="802"/>
      <c r="JSW841" s="802"/>
      <c r="JSX841" s="802"/>
      <c r="JSY841" s="802"/>
      <c r="JSZ841" s="802"/>
      <c r="JTA841" s="802"/>
      <c r="JTB841" s="802"/>
      <c r="JTC841" s="802"/>
      <c r="JTD841" s="802"/>
      <c r="JTE841" s="802"/>
      <c r="JTF841" s="802"/>
      <c r="JTG841" s="802"/>
      <c r="JTH841" s="802"/>
      <c r="JTI841" s="802"/>
      <c r="JTJ841" s="802"/>
      <c r="JTK841" s="802"/>
      <c r="JTL841" s="802"/>
      <c r="JTM841" s="802"/>
      <c r="JTN841" s="802"/>
      <c r="JTO841" s="802"/>
      <c r="JTP841" s="802"/>
      <c r="JTQ841" s="802"/>
      <c r="JTR841" s="802"/>
      <c r="JTS841" s="802"/>
      <c r="JTT841" s="802"/>
      <c r="JTU841" s="802"/>
      <c r="JTV841" s="802"/>
      <c r="JTW841" s="802"/>
      <c r="JTX841" s="802"/>
      <c r="JTY841" s="802"/>
      <c r="JTZ841" s="802"/>
      <c r="JUA841" s="802"/>
      <c r="JUB841" s="802"/>
      <c r="JUC841" s="802"/>
      <c r="JUD841" s="802"/>
      <c r="JUE841" s="802"/>
      <c r="JUF841" s="802"/>
      <c r="JUG841" s="802"/>
      <c r="JUH841" s="802"/>
      <c r="JUI841" s="802"/>
      <c r="JUJ841" s="802"/>
      <c r="JUK841" s="802"/>
      <c r="JUL841" s="802"/>
      <c r="JUM841" s="802"/>
      <c r="JUN841" s="802"/>
      <c r="JUO841" s="802"/>
      <c r="JUP841" s="802"/>
      <c r="JUQ841" s="802"/>
      <c r="JUR841" s="802"/>
      <c r="JUS841" s="802"/>
      <c r="JUT841" s="802"/>
      <c r="JUU841" s="802"/>
      <c r="JUV841" s="802"/>
      <c r="JUW841" s="802"/>
      <c r="JUX841" s="802"/>
      <c r="JUY841" s="802"/>
      <c r="JUZ841" s="802"/>
      <c r="JVA841" s="802"/>
      <c r="JVB841" s="802"/>
      <c r="JVC841" s="802"/>
      <c r="JVD841" s="802"/>
      <c r="JVE841" s="802"/>
      <c r="JVF841" s="802"/>
      <c r="JVG841" s="802"/>
      <c r="JVH841" s="802"/>
      <c r="JVI841" s="802"/>
      <c r="JVJ841" s="802"/>
      <c r="JVK841" s="802"/>
      <c r="JVL841" s="802"/>
      <c r="JVM841" s="802"/>
      <c r="JVN841" s="802"/>
      <c r="JVO841" s="802"/>
      <c r="JVP841" s="802"/>
      <c r="JVQ841" s="802"/>
      <c r="JVR841" s="802"/>
      <c r="JVS841" s="802"/>
      <c r="JVT841" s="802"/>
      <c r="JVU841" s="802"/>
      <c r="JVV841" s="802"/>
      <c r="JVW841" s="802"/>
      <c r="JVX841" s="802"/>
      <c r="JVY841" s="802"/>
      <c r="JVZ841" s="802"/>
      <c r="JWA841" s="802"/>
      <c r="JWB841" s="802"/>
      <c r="JWC841" s="802"/>
      <c r="JWD841" s="802"/>
      <c r="JWE841" s="802"/>
      <c r="JWF841" s="802"/>
      <c r="JWG841" s="802"/>
      <c r="JWH841" s="802"/>
      <c r="JWI841" s="802"/>
      <c r="JWJ841" s="802"/>
      <c r="JWK841" s="802"/>
      <c r="JWL841" s="802"/>
      <c r="JWM841" s="802"/>
      <c r="JWN841" s="802"/>
      <c r="JWO841" s="802"/>
      <c r="JWP841" s="802"/>
      <c r="JWQ841" s="802"/>
      <c r="JWR841" s="802"/>
      <c r="JWS841" s="802"/>
      <c r="JWT841" s="802"/>
      <c r="JWU841" s="802"/>
      <c r="JWV841" s="802"/>
      <c r="JWW841" s="802"/>
      <c r="JWX841" s="802"/>
      <c r="JWY841" s="802"/>
      <c r="JWZ841" s="802"/>
      <c r="JXA841" s="802"/>
      <c r="JXB841" s="802"/>
      <c r="JXC841" s="802"/>
      <c r="JXD841" s="802"/>
      <c r="JXE841" s="802"/>
      <c r="JXF841" s="802"/>
      <c r="JXG841" s="802"/>
      <c r="JXH841" s="802"/>
      <c r="JXI841" s="802"/>
      <c r="JXJ841" s="802"/>
      <c r="JXK841" s="802"/>
      <c r="JXL841" s="802"/>
      <c r="JXM841" s="802"/>
      <c r="JXN841" s="802"/>
      <c r="JXO841" s="802"/>
      <c r="JXP841" s="802"/>
      <c r="JXQ841" s="802"/>
      <c r="JXR841" s="802"/>
      <c r="JXS841" s="802"/>
      <c r="JXT841" s="802"/>
      <c r="JXU841" s="802"/>
      <c r="JXV841" s="802"/>
      <c r="JXW841" s="802"/>
      <c r="JXX841" s="802"/>
      <c r="JXY841" s="802"/>
      <c r="JXZ841" s="802"/>
      <c r="JYA841" s="802"/>
      <c r="JYB841" s="802"/>
      <c r="JYC841" s="802"/>
      <c r="JYD841" s="802"/>
      <c r="JYE841" s="802"/>
      <c r="JYF841" s="802"/>
      <c r="JYG841" s="802"/>
      <c r="JYH841" s="802"/>
      <c r="JYI841" s="802"/>
      <c r="JYJ841" s="802"/>
      <c r="JYK841" s="802"/>
      <c r="JYL841" s="802"/>
      <c r="JYM841" s="802"/>
      <c r="JYN841" s="802"/>
      <c r="JYO841" s="802"/>
      <c r="JYP841" s="802"/>
      <c r="JYQ841" s="802"/>
      <c r="JYR841" s="802"/>
      <c r="JYS841" s="802"/>
      <c r="JYT841" s="802"/>
      <c r="JYU841" s="802"/>
      <c r="JYV841" s="802"/>
      <c r="JYW841" s="802"/>
      <c r="JYX841" s="802"/>
      <c r="JYY841" s="802"/>
      <c r="JYZ841" s="802"/>
      <c r="JZA841" s="802"/>
      <c r="JZB841" s="802"/>
      <c r="JZC841" s="802"/>
      <c r="JZD841" s="802"/>
      <c r="JZE841" s="802"/>
      <c r="JZF841" s="802"/>
      <c r="JZG841" s="802"/>
      <c r="JZH841" s="802"/>
      <c r="JZI841" s="802"/>
      <c r="JZJ841" s="802"/>
      <c r="JZK841" s="802"/>
      <c r="JZL841" s="802"/>
      <c r="JZM841" s="802"/>
      <c r="JZN841" s="802"/>
      <c r="JZO841" s="802"/>
      <c r="JZP841" s="802"/>
      <c r="JZQ841" s="802"/>
      <c r="JZR841" s="802"/>
      <c r="JZS841" s="802"/>
      <c r="JZT841" s="802"/>
      <c r="JZU841" s="802"/>
      <c r="JZV841" s="802"/>
      <c r="JZW841" s="802"/>
      <c r="JZX841" s="802"/>
      <c r="JZY841" s="802"/>
      <c r="JZZ841" s="802"/>
      <c r="KAA841" s="802"/>
      <c r="KAB841" s="802"/>
      <c r="KAC841" s="802"/>
      <c r="KAD841" s="802"/>
      <c r="KAE841" s="802"/>
      <c r="KAF841" s="802"/>
      <c r="KAG841" s="802"/>
      <c r="KAH841" s="802"/>
      <c r="KAI841" s="802"/>
      <c r="KAJ841" s="802"/>
      <c r="KAK841" s="802"/>
      <c r="KAL841" s="802"/>
      <c r="KAM841" s="802"/>
      <c r="KAN841" s="802"/>
      <c r="KAO841" s="802"/>
      <c r="KAP841" s="802"/>
      <c r="KAQ841" s="802"/>
      <c r="KAR841" s="802"/>
      <c r="KAS841" s="802"/>
      <c r="KAT841" s="802"/>
      <c r="KAU841" s="802"/>
      <c r="KAV841" s="802"/>
      <c r="KAW841" s="802"/>
      <c r="KAX841" s="802"/>
      <c r="KAY841" s="802"/>
      <c r="KAZ841" s="802"/>
      <c r="KBA841" s="802"/>
      <c r="KBB841" s="802"/>
      <c r="KBC841" s="802"/>
      <c r="KBD841" s="802"/>
      <c r="KBE841" s="802"/>
      <c r="KBF841" s="802"/>
      <c r="KBG841" s="802"/>
      <c r="KBH841" s="802"/>
      <c r="KBI841" s="802"/>
      <c r="KBJ841" s="802"/>
      <c r="KBK841" s="802"/>
      <c r="KBL841" s="802"/>
      <c r="KBM841" s="802"/>
      <c r="KBN841" s="802"/>
      <c r="KBO841" s="802"/>
      <c r="KBP841" s="802"/>
      <c r="KBQ841" s="802"/>
      <c r="KBR841" s="802"/>
      <c r="KBS841" s="802"/>
      <c r="KBT841" s="802"/>
      <c r="KBU841" s="802"/>
      <c r="KBV841" s="802"/>
      <c r="KBW841" s="802"/>
      <c r="KBX841" s="802"/>
      <c r="KBY841" s="802"/>
      <c r="KBZ841" s="802"/>
      <c r="KCA841" s="802"/>
      <c r="KCB841" s="802"/>
      <c r="KCC841" s="802"/>
      <c r="KCD841" s="802"/>
      <c r="KCE841" s="802"/>
      <c r="KCF841" s="802"/>
      <c r="KCG841" s="802"/>
      <c r="KCH841" s="802"/>
      <c r="KCI841" s="802"/>
      <c r="KCJ841" s="802"/>
      <c r="KCK841" s="802"/>
      <c r="KCL841" s="802"/>
      <c r="KCM841" s="802"/>
      <c r="KCN841" s="802"/>
      <c r="KCO841" s="802"/>
      <c r="KCP841" s="802"/>
      <c r="KCQ841" s="802"/>
      <c r="KCR841" s="802"/>
      <c r="KCS841" s="802"/>
      <c r="KCT841" s="802"/>
      <c r="KCU841" s="802"/>
      <c r="KCV841" s="802"/>
      <c r="KCW841" s="802"/>
      <c r="KCX841" s="802"/>
      <c r="KCY841" s="802"/>
      <c r="KCZ841" s="802"/>
      <c r="KDA841" s="802"/>
      <c r="KDB841" s="802"/>
      <c r="KDC841" s="802"/>
      <c r="KDD841" s="802"/>
      <c r="KDE841" s="802"/>
      <c r="KDF841" s="802"/>
      <c r="KDG841" s="802"/>
      <c r="KDH841" s="802"/>
      <c r="KDI841" s="802"/>
      <c r="KDJ841" s="802"/>
      <c r="KDK841" s="802"/>
      <c r="KDL841" s="802"/>
      <c r="KDM841" s="802"/>
      <c r="KDN841" s="802"/>
      <c r="KDO841" s="802"/>
      <c r="KDP841" s="802"/>
      <c r="KDQ841" s="802"/>
      <c r="KDR841" s="802"/>
      <c r="KDS841" s="802"/>
      <c r="KDT841" s="802"/>
      <c r="KDU841" s="802"/>
      <c r="KDV841" s="802"/>
      <c r="KDW841" s="802"/>
      <c r="KDX841" s="802"/>
      <c r="KDY841" s="802"/>
      <c r="KDZ841" s="802"/>
      <c r="KEA841" s="802"/>
      <c r="KEB841" s="802"/>
      <c r="KEC841" s="802"/>
      <c r="KED841" s="802"/>
      <c r="KEE841" s="802"/>
      <c r="KEF841" s="802"/>
      <c r="KEG841" s="802"/>
      <c r="KEH841" s="802"/>
      <c r="KEI841" s="802"/>
      <c r="KEJ841" s="802"/>
      <c r="KEK841" s="802"/>
      <c r="KEL841" s="802"/>
      <c r="KEM841" s="802"/>
      <c r="KEN841" s="802"/>
      <c r="KEO841" s="802"/>
      <c r="KEP841" s="802"/>
      <c r="KEQ841" s="802"/>
      <c r="KER841" s="802"/>
      <c r="KES841" s="802"/>
      <c r="KET841" s="802"/>
      <c r="KEU841" s="802"/>
      <c r="KEV841" s="802"/>
      <c r="KEW841" s="802"/>
      <c r="KEX841" s="802"/>
      <c r="KEY841" s="802"/>
      <c r="KEZ841" s="802"/>
      <c r="KFA841" s="802"/>
      <c r="KFB841" s="802"/>
      <c r="KFC841" s="802"/>
      <c r="KFD841" s="802"/>
      <c r="KFE841" s="802"/>
      <c r="KFF841" s="802"/>
      <c r="KFG841" s="802"/>
      <c r="KFH841" s="802"/>
      <c r="KFI841" s="802"/>
      <c r="KFJ841" s="802"/>
      <c r="KFK841" s="802"/>
      <c r="KFL841" s="802"/>
      <c r="KFM841" s="802"/>
      <c r="KFN841" s="802"/>
      <c r="KFO841" s="802"/>
      <c r="KFP841" s="802"/>
      <c r="KFQ841" s="802"/>
      <c r="KFR841" s="802"/>
      <c r="KFS841" s="802"/>
      <c r="KFT841" s="802"/>
      <c r="KFU841" s="802"/>
      <c r="KFV841" s="802"/>
      <c r="KFW841" s="802"/>
      <c r="KFX841" s="802"/>
      <c r="KFY841" s="802"/>
      <c r="KFZ841" s="802"/>
      <c r="KGA841" s="802"/>
      <c r="KGB841" s="802"/>
      <c r="KGC841" s="802"/>
      <c r="KGD841" s="802"/>
      <c r="KGE841" s="802"/>
      <c r="KGF841" s="802"/>
      <c r="KGG841" s="802"/>
      <c r="KGH841" s="802"/>
      <c r="KGI841" s="802"/>
      <c r="KGJ841" s="802"/>
      <c r="KGK841" s="802"/>
      <c r="KGL841" s="802"/>
      <c r="KGM841" s="802"/>
      <c r="KGN841" s="802"/>
      <c r="KGO841" s="802"/>
      <c r="KGP841" s="802"/>
      <c r="KGQ841" s="802"/>
      <c r="KGR841" s="802"/>
      <c r="KGS841" s="802"/>
      <c r="KGT841" s="802"/>
      <c r="KGU841" s="802"/>
      <c r="KGV841" s="802"/>
      <c r="KGW841" s="802"/>
      <c r="KGX841" s="802"/>
      <c r="KGY841" s="802"/>
      <c r="KGZ841" s="802"/>
      <c r="KHA841" s="802"/>
      <c r="KHB841" s="802"/>
      <c r="KHC841" s="802"/>
      <c r="KHD841" s="802"/>
      <c r="KHE841" s="802"/>
      <c r="KHF841" s="802"/>
      <c r="KHG841" s="802"/>
      <c r="KHH841" s="802"/>
      <c r="KHI841" s="802"/>
      <c r="KHJ841" s="802"/>
      <c r="KHK841" s="802"/>
      <c r="KHL841" s="802"/>
      <c r="KHM841" s="802"/>
      <c r="KHN841" s="802"/>
      <c r="KHO841" s="802"/>
      <c r="KHP841" s="802"/>
      <c r="KHQ841" s="802"/>
      <c r="KHR841" s="802"/>
      <c r="KHS841" s="802"/>
      <c r="KHT841" s="802"/>
      <c r="KHU841" s="802"/>
      <c r="KHV841" s="802"/>
      <c r="KHW841" s="802"/>
      <c r="KHX841" s="802"/>
      <c r="KHY841" s="802"/>
      <c r="KHZ841" s="802"/>
      <c r="KIA841" s="802"/>
      <c r="KIB841" s="802"/>
      <c r="KIC841" s="802"/>
      <c r="KID841" s="802"/>
      <c r="KIE841" s="802"/>
      <c r="KIF841" s="802"/>
      <c r="KIG841" s="802"/>
      <c r="KIH841" s="802"/>
      <c r="KII841" s="802"/>
      <c r="KIJ841" s="802"/>
      <c r="KIK841" s="802"/>
      <c r="KIL841" s="802"/>
      <c r="KIM841" s="802"/>
      <c r="KIN841" s="802"/>
      <c r="KIO841" s="802"/>
      <c r="KIP841" s="802"/>
      <c r="KIQ841" s="802"/>
      <c r="KIR841" s="802"/>
      <c r="KIS841" s="802"/>
      <c r="KIT841" s="802"/>
      <c r="KIU841" s="802"/>
      <c r="KIV841" s="802"/>
      <c r="KIW841" s="802"/>
      <c r="KIX841" s="802"/>
      <c r="KIY841" s="802"/>
      <c r="KIZ841" s="802"/>
      <c r="KJA841" s="802"/>
      <c r="KJB841" s="802"/>
      <c r="KJC841" s="802"/>
      <c r="KJD841" s="802"/>
      <c r="KJE841" s="802"/>
      <c r="KJF841" s="802"/>
      <c r="KJG841" s="802"/>
      <c r="KJH841" s="802"/>
      <c r="KJI841" s="802"/>
      <c r="KJJ841" s="802"/>
      <c r="KJK841" s="802"/>
      <c r="KJL841" s="802"/>
      <c r="KJM841" s="802"/>
      <c r="KJN841" s="802"/>
      <c r="KJO841" s="802"/>
      <c r="KJP841" s="802"/>
      <c r="KJQ841" s="802"/>
      <c r="KJR841" s="802"/>
      <c r="KJS841" s="802"/>
      <c r="KJT841" s="802"/>
      <c r="KJU841" s="802"/>
      <c r="KJV841" s="802"/>
      <c r="KJW841" s="802"/>
      <c r="KJX841" s="802"/>
      <c r="KJY841" s="802"/>
      <c r="KJZ841" s="802"/>
      <c r="KKA841" s="802"/>
      <c r="KKB841" s="802"/>
      <c r="KKC841" s="802"/>
      <c r="KKD841" s="802"/>
      <c r="KKE841" s="802"/>
      <c r="KKF841" s="802"/>
      <c r="KKG841" s="802"/>
      <c r="KKH841" s="802"/>
      <c r="KKI841" s="802"/>
      <c r="KKJ841" s="802"/>
      <c r="KKK841" s="802"/>
      <c r="KKL841" s="802"/>
      <c r="KKM841" s="802"/>
      <c r="KKN841" s="802"/>
      <c r="KKO841" s="802"/>
      <c r="KKP841" s="802"/>
      <c r="KKQ841" s="802"/>
      <c r="KKR841" s="802"/>
      <c r="KKS841" s="802"/>
      <c r="KKT841" s="802"/>
      <c r="KKU841" s="802"/>
      <c r="KKV841" s="802"/>
      <c r="KKW841" s="802"/>
      <c r="KKX841" s="802"/>
      <c r="KKY841" s="802"/>
      <c r="KKZ841" s="802"/>
      <c r="KLA841" s="802"/>
      <c r="KLB841" s="802"/>
      <c r="KLC841" s="802"/>
      <c r="KLD841" s="802"/>
      <c r="KLE841" s="802"/>
      <c r="KLF841" s="802"/>
      <c r="KLG841" s="802"/>
      <c r="KLH841" s="802"/>
      <c r="KLI841" s="802"/>
      <c r="KLJ841" s="802"/>
      <c r="KLK841" s="802"/>
      <c r="KLL841" s="802"/>
      <c r="KLM841" s="802"/>
      <c r="KLN841" s="802"/>
      <c r="KLO841" s="802"/>
      <c r="KLP841" s="802"/>
      <c r="KLQ841" s="802"/>
      <c r="KLR841" s="802"/>
      <c r="KLS841" s="802"/>
      <c r="KLT841" s="802"/>
      <c r="KLU841" s="802"/>
      <c r="KLV841" s="802"/>
      <c r="KLW841" s="802"/>
      <c r="KLX841" s="802"/>
      <c r="KLY841" s="802"/>
      <c r="KLZ841" s="802"/>
      <c r="KMA841" s="802"/>
      <c r="KMB841" s="802"/>
      <c r="KMC841" s="802"/>
      <c r="KMD841" s="802"/>
      <c r="KME841" s="802"/>
      <c r="KMF841" s="802"/>
      <c r="KMG841" s="802"/>
      <c r="KMH841" s="802"/>
      <c r="KMI841" s="802"/>
      <c r="KMJ841" s="802"/>
      <c r="KMK841" s="802"/>
      <c r="KML841" s="802"/>
      <c r="KMM841" s="802"/>
      <c r="KMN841" s="802"/>
      <c r="KMO841" s="802"/>
      <c r="KMP841" s="802"/>
      <c r="KMQ841" s="802"/>
      <c r="KMR841" s="802"/>
      <c r="KMS841" s="802"/>
      <c r="KMT841" s="802"/>
      <c r="KMU841" s="802"/>
      <c r="KMV841" s="802"/>
      <c r="KMW841" s="802"/>
      <c r="KMX841" s="802"/>
      <c r="KMY841" s="802"/>
      <c r="KMZ841" s="802"/>
      <c r="KNA841" s="802"/>
      <c r="KNB841" s="802"/>
      <c r="KNC841" s="802"/>
      <c r="KND841" s="802"/>
      <c r="KNE841" s="802"/>
      <c r="KNF841" s="802"/>
      <c r="KNG841" s="802"/>
      <c r="KNH841" s="802"/>
      <c r="KNI841" s="802"/>
      <c r="KNJ841" s="802"/>
      <c r="KNK841" s="802"/>
      <c r="KNL841" s="802"/>
      <c r="KNM841" s="802"/>
      <c r="KNN841" s="802"/>
      <c r="KNO841" s="802"/>
      <c r="KNP841" s="802"/>
      <c r="KNQ841" s="802"/>
      <c r="KNR841" s="802"/>
      <c r="KNS841" s="802"/>
      <c r="KNT841" s="802"/>
      <c r="KNU841" s="802"/>
      <c r="KNV841" s="802"/>
      <c r="KNW841" s="802"/>
      <c r="KNX841" s="802"/>
      <c r="KNY841" s="802"/>
      <c r="KNZ841" s="802"/>
      <c r="KOA841" s="802"/>
      <c r="KOB841" s="802"/>
      <c r="KOC841" s="802"/>
      <c r="KOD841" s="802"/>
      <c r="KOE841" s="802"/>
      <c r="KOF841" s="802"/>
      <c r="KOG841" s="802"/>
      <c r="KOH841" s="802"/>
      <c r="KOI841" s="802"/>
      <c r="KOJ841" s="802"/>
      <c r="KOK841" s="802"/>
      <c r="KOL841" s="802"/>
      <c r="KOM841" s="802"/>
      <c r="KON841" s="802"/>
      <c r="KOO841" s="802"/>
      <c r="KOP841" s="802"/>
      <c r="KOQ841" s="802"/>
      <c r="KOR841" s="802"/>
      <c r="KOS841" s="802"/>
      <c r="KOT841" s="802"/>
      <c r="KOU841" s="802"/>
      <c r="KOV841" s="802"/>
      <c r="KOW841" s="802"/>
      <c r="KOX841" s="802"/>
      <c r="KOY841" s="802"/>
      <c r="KOZ841" s="802"/>
      <c r="KPA841" s="802"/>
      <c r="KPB841" s="802"/>
      <c r="KPC841" s="802"/>
      <c r="KPD841" s="802"/>
      <c r="KPE841" s="802"/>
      <c r="KPF841" s="802"/>
      <c r="KPG841" s="802"/>
      <c r="KPH841" s="802"/>
      <c r="KPI841" s="802"/>
      <c r="KPJ841" s="802"/>
      <c r="KPK841" s="802"/>
      <c r="KPL841" s="802"/>
      <c r="KPM841" s="802"/>
      <c r="KPN841" s="802"/>
      <c r="KPO841" s="802"/>
      <c r="KPP841" s="802"/>
      <c r="KPQ841" s="802"/>
      <c r="KPR841" s="802"/>
      <c r="KPS841" s="802"/>
      <c r="KPT841" s="802"/>
      <c r="KPU841" s="802"/>
      <c r="KPV841" s="802"/>
      <c r="KPW841" s="802"/>
      <c r="KPX841" s="802"/>
      <c r="KPY841" s="802"/>
      <c r="KPZ841" s="802"/>
      <c r="KQA841" s="802"/>
      <c r="KQB841" s="802"/>
      <c r="KQC841" s="802"/>
      <c r="KQD841" s="802"/>
      <c r="KQE841" s="802"/>
      <c r="KQF841" s="802"/>
      <c r="KQG841" s="802"/>
      <c r="KQH841" s="802"/>
      <c r="KQI841" s="802"/>
      <c r="KQJ841" s="802"/>
      <c r="KQK841" s="802"/>
      <c r="KQL841" s="802"/>
      <c r="KQM841" s="802"/>
      <c r="KQN841" s="802"/>
      <c r="KQO841" s="802"/>
      <c r="KQP841" s="802"/>
      <c r="KQQ841" s="802"/>
      <c r="KQR841" s="802"/>
      <c r="KQS841" s="802"/>
      <c r="KQT841" s="802"/>
      <c r="KQU841" s="802"/>
      <c r="KQV841" s="802"/>
      <c r="KQW841" s="802"/>
      <c r="KQX841" s="802"/>
      <c r="KQY841" s="802"/>
      <c r="KQZ841" s="802"/>
      <c r="KRA841" s="802"/>
      <c r="KRB841" s="802"/>
      <c r="KRC841" s="802"/>
      <c r="KRD841" s="802"/>
      <c r="KRE841" s="802"/>
      <c r="KRF841" s="802"/>
      <c r="KRG841" s="802"/>
      <c r="KRH841" s="802"/>
      <c r="KRI841" s="802"/>
      <c r="KRJ841" s="802"/>
      <c r="KRK841" s="802"/>
      <c r="KRL841" s="802"/>
      <c r="KRM841" s="802"/>
      <c r="KRN841" s="802"/>
      <c r="KRO841" s="802"/>
      <c r="KRP841" s="802"/>
      <c r="KRQ841" s="802"/>
      <c r="KRR841" s="802"/>
      <c r="KRS841" s="802"/>
      <c r="KRT841" s="802"/>
      <c r="KRU841" s="802"/>
      <c r="KRV841" s="802"/>
      <c r="KRW841" s="802"/>
      <c r="KRX841" s="802"/>
      <c r="KRY841" s="802"/>
      <c r="KRZ841" s="802"/>
      <c r="KSA841" s="802"/>
      <c r="KSB841" s="802"/>
      <c r="KSC841" s="802"/>
      <c r="KSD841" s="802"/>
      <c r="KSE841" s="802"/>
      <c r="KSF841" s="802"/>
      <c r="KSG841" s="802"/>
      <c r="KSH841" s="802"/>
      <c r="KSI841" s="802"/>
      <c r="KSJ841" s="802"/>
      <c r="KSK841" s="802"/>
      <c r="KSL841" s="802"/>
      <c r="KSM841" s="802"/>
      <c r="KSN841" s="802"/>
      <c r="KSO841" s="802"/>
      <c r="KSP841" s="802"/>
      <c r="KSQ841" s="802"/>
      <c r="KSR841" s="802"/>
      <c r="KSS841" s="802"/>
      <c r="KST841" s="802"/>
      <c r="KSU841" s="802"/>
      <c r="KSV841" s="802"/>
      <c r="KSW841" s="802"/>
      <c r="KSX841" s="802"/>
      <c r="KSY841" s="802"/>
      <c r="KSZ841" s="802"/>
      <c r="KTA841" s="802"/>
      <c r="KTB841" s="802"/>
      <c r="KTC841" s="802"/>
      <c r="KTD841" s="802"/>
      <c r="KTE841" s="802"/>
      <c r="KTF841" s="802"/>
      <c r="KTG841" s="802"/>
      <c r="KTH841" s="802"/>
      <c r="KTI841" s="802"/>
      <c r="KTJ841" s="802"/>
      <c r="KTK841" s="802"/>
      <c r="KTL841" s="802"/>
      <c r="KTM841" s="802"/>
      <c r="KTN841" s="802"/>
      <c r="KTO841" s="802"/>
      <c r="KTP841" s="802"/>
      <c r="KTQ841" s="802"/>
      <c r="KTR841" s="802"/>
      <c r="KTS841" s="802"/>
      <c r="KTT841" s="802"/>
      <c r="KTU841" s="802"/>
      <c r="KTV841" s="802"/>
      <c r="KTW841" s="802"/>
      <c r="KTX841" s="802"/>
      <c r="KTY841" s="802"/>
      <c r="KTZ841" s="802"/>
      <c r="KUA841" s="802"/>
      <c r="KUB841" s="802"/>
      <c r="KUC841" s="802"/>
      <c r="KUD841" s="802"/>
      <c r="KUE841" s="802"/>
      <c r="KUF841" s="802"/>
      <c r="KUG841" s="802"/>
      <c r="KUH841" s="802"/>
      <c r="KUI841" s="802"/>
      <c r="KUJ841" s="802"/>
      <c r="KUK841" s="802"/>
      <c r="KUL841" s="802"/>
      <c r="KUM841" s="802"/>
      <c r="KUN841" s="802"/>
      <c r="KUO841" s="802"/>
      <c r="KUP841" s="802"/>
      <c r="KUQ841" s="802"/>
      <c r="KUR841" s="802"/>
      <c r="KUS841" s="802"/>
      <c r="KUT841" s="802"/>
      <c r="KUU841" s="802"/>
      <c r="KUV841" s="802"/>
      <c r="KUW841" s="802"/>
      <c r="KUX841" s="802"/>
      <c r="KUY841" s="802"/>
      <c r="KUZ841" s="802"/>
      <c r="KVA841" s="802"/>
      <c r="KVB841" s="802"/>
      <c r="KVC841" s="802"/>
      <c r="KVD841" s="802"/>
      <c r="KVE841" s="802"/>
      <c r="KVF841" s="802"/>
      <c r="KVG841" s="802"/>
      <c r="KVH841" s="802"/>
      <c r="KVI841" s="802"/>
      <c r="KVJ841" s="802"/>
      <c r="KVK841" s="802"/>
      <c r="KVL841" s="802"/>
      <c r="KVM841" s="802"/>
      <c r="KVN841" s="802"/>
      <c r="KVO841" s="802"/>
      <c r="KVP841" s="802"/>
      <c r="KVQ841" s="802"/>
      <c r="KVR841" s="802"/>
      <c r="KVS841" s="802"/>
      <c r="KVT841" s="802"/>
      <c r="KVU841" s="802"/>
      <c r="KVV841" s="802"/>
      <c r="KVW841" s="802"/>
      <c r="KVX841" s="802"/>
      <c r="KVY841" s="802"/>
      <c r="KVZ841" s="802"/>
      <c r="KWA841" s="802"/>
      <c r="KWB841" s="802"/>
      <c r="KWC841" s="802"/>
      <c r="KWD841" s="802"/>
      <c r="KWE841" s="802"/>
      <c r="KWF841" s="802"/>
      <c r="KWG841" s="802"/>
      <c r="KWH841" s="802"/>
      <c r="KWI841" s="802"/>
      <c r="KWJ841" s="802"/>
      <c r="KWK841" s="802"/>
      <c r="KWL841" s="802"/>
      <c r="KWM841" s="802"/>
      <c r="KWN841" s="802"/>
      <c r="KWO841" s="802"/>
      <c r="KWP841" s="802"/>
      <c r="KWQ841" s="802"/>
      <c r="KWR841" s="802"/>
      <c r="KWS841" s="802"/>
      <c r="KWT841" s="802"/>
      <c r="KWU841" s="802"/>
      <c r="KWV841" s="802"/>
      <c r="KWW841" s="802"/>
      <c r="KWX841" s="802"/>
      <c r="KWY841" s="802"/>
      <c r="KWZ841" s="802"/>
      <c r="KXA841" s="802"/>
      <c r="KXB841" s="802"/>
      <c r="KXC841" s="802"/>
      <c r="KXD841" s="802"/>
      <c r="KXE841" s="802"/>
      <c r="KXF841" s="802"/>
      <c r="KXG841" s="802"/>
      <c r="KXH841" s="802"/>
      <c r="KXI841" s="802"/>
      <c r="KXJ841" s="802"/>
      <c r="KXK841" s="802"/>
      <c r="KXL841" s="802"/>
      <c r="KXM841" s="802"/>
      <c r="KXN841" s="802"/>
      <c r="KXO841" s="802"/>
      <c r="KXP841" s="802"/>
      <c r="KXQ841" s="802"/>
      <c r="KXR841" s="802"/>
      <c r="KXS841" s="802"/>
      <c r="KXT841" s="802"/>
      <c r="KXU841" s="802"/>
      <c r="KXV841" s="802"/>
      <c r="KXW841" s="802"/>
      <c r="KXX841" s="802"/>
      <c r="KXY841" s="802"/>
      <c r="KXZ841" s="802"/>
      <c r="KYA841" s="802"/>
      <c r="KYB841" s="802"/>
      <c r="KYC841" s="802"/>
      <c r="KYD841" s="802"/>
      <c r="KYE841" s="802"/>
      <c r="KYF841" s="802"/>
      <c r="KYG841" s="802"/>
      <c r="KYH841" s="802"/>
      <c r="KYI841" s="802"/>
      <c r="KYJ841" s="802"/>
      <c r="KYK841" s="802"/>
      <c r="KYL841" s="802"/>
      <c r="KYM841" s="802"/>
      <c r="KYN841" s="802"/>
      <c r="KYO841" s="802"/>
      <c r="KYP841" s="802"/>
      <c r="KYQ841" s="802"/>
      <c r="KYR841" s="802"/>
      <c r="KYS841" s="802"/>
      <c r="KYT841" s="802"/>
      <c r="KYU841" s="802"/>
      <c r="KYV841" s="802"/>
      <c r="KYW841" s="802"/>
      <c r="KYX841" s="802"/>
      <c r="KYY841" s="802"/>
      <c r="KYZ841" s="802"/>
      <c r="KZA841" s="802"/>
      <c r="KZB841" s="802"/>
      <c r="KZC841" s="802"/>
      <c r="KZD841" s="802"/>
      <c r="KZE841" s="802"/>
      <c r="KZF841" s="802"/>
      <c r="KZG841" s="802"/>
      <c r="KZH841" s="802"/>
      <c r="KZI841" s="802"/>
      <c r="KZJ841" s="802"/>
      <c r="KZK841" s="802"/>
      <c r="KZL841" s="802"/>
      <c r="KZM841" s="802"/>
      <c r="KZN841" s="802"/>
      <c r="KZO841" s="802"/>
      <c r="KZP841" s="802"/>
      <c r="KZQ841" s="802"/>
      <c r="KZR841" s="802"/>
      <c r="KZS841" s="802"/>
      <c r="KZT841" s="802"/>
      <c r="KZU841" s="802"/>
      <c r="KZV841" s="802"/>
      <c r="KZW841" s="802"/>
      <c r="KZX841" s="802"/>
      <c r="KZY841" s="802"/>
      <c r="KZZ841" s="802"/>
      <c r="LAA841" s="802"/>
      <c r="LAB841" s="802"/>
      <c r="LAC841" s="802"/>
      <c r="LAD841" s="802"/>
      <c r="LAE841" s="802"/>
      <c r="LAF841" s="802"/>
      <c r="LAG841" s="802"/>
      <c r="LAH841" s="802"/>
      <c r="LAI841" s="802"/>
      <c r="LAJ841" s="802"/>
      <c r="LAK841" s="802"/>
      <c r="LAL841" s="802"/>
      <c r="LAM841" s="802"/>
      <c r="LAN841" s="802"/>
      <c r="LAO841" s="802"/>
      <c r="LAP841" s="802"/>
      <c r="LAQ841" s="802"/>
      <c r="LAR841" s="802"/>
      <c r="LAS841" s="802"/>
      <c r="LAT841" s="802"/>
      <c r="LAU841" s="802"/>
      <c r="LAV841" s="802"/>
      <c r="LAW841" s="802"/>
      <c r="LAX841" s="802"/>
      <c r="LAY841" s="802"/>
      <c r="LAZ841" s="802"/>
      <c r="LBA841" s="802"/>
      <c r="LBB841" s="802"/>
      <c r="LBC841" s="802"/>
      <c r="LBD841" s="802"/>
      <c r="LBE841" s="802"/>
      <c r="LBF841" s="802"/>
      <c r="LBG841" s="802"/>
      <c r="LBH841" s="802"/>
      <c r="LBI841" s="802"/>
      <c r="LBJ841" s="802"/>
      <c r="LBK841" s="802"/>
      <c r="LBL841" s="802"/>
      <c r="LBM841" s="802"/>
      <c r="LBN841" s="802"/>
      <c r="LBO841" s="802"/>
      <c r="LBP841" s="802"/>
      <c r="LBQ841" s="802"/>
      <c r="LBR841" s="802"/>
      <c r="LBS841" s="802"/>
      <c r="LBT841" s="802"/>
      <c r="LBU841" s="802"/>
      <c r="LBV841" s="802"/>
      <c r="LBW841" s="802"/>
      <c r="LBX841" s="802"/>
      <c r="LBY841" s="802"/>
      <c r="LBZ841" s="802"/>
      <c r="LCA841" s="802"/>
      <c r="LCB841" s="802"/>
      <c r="LCC841" s="802"/>
      <c r="LCD841" s="802"/>
      <c r="LCE841" s="802"/>
      <c r="LCF841" s="802"/>
      <c r="LCG841" s="802"/>
      <c r="LCH841" s="802"/>
      <c r="LCI841" s="802"/>
      <c r="LCJ841" s="802"/>
      <c r="LCK841" s="802"/>
      <c r="LCL841" s="802"/>
      <c r="LCM841" s="802"/>
      <c r="LCN841" s="802"/>
      <c r="LCO841" s="802"/>
      <c r="LCP841" s="802"/>
      <c r="LCQ841" s="802"/>
      <c r="LCR841" s="802"/>
      <c r="LCS841" s="802"/>
      <c r="LCT841" s="802"/>
      <c r="LCU841" s="802"/>
      <c r="LCV841" s="802"/>
      <c r="LCW841" s="802"/>
      <c r="LCX841" s="802"/>
      <c r="LCY841" s="802"/>
      <c r="LCZ841" s="802"/>
      <c r="LDA841" s="802"/>
      <c r="LDB841" s="802"/>
      <c r="LDC841" s="802"/>
      <c r="LDD841" s="802"/>
      <c r="LDE841" s="802"/>
      <c r="LDF841" s="802"/>
      <c r="LDG841" s="802"/>
      <c r="LDH841" s="802"/>
      <c r="LDI841" s="802"/>
      <c r="LDJ841" s="802"/>
      <c r="LDK841" s="802"/>
      <c r="LDL841" s="802"/>
      <c r="LDM841" s="802"/>
      <c r="LDN841" s="802"/>
      <c r="LDO841" s="802"/>
      <c r="LDP841" s="802"/>
      <c r="LDQ841" s="802"/>
      <c r="LDR841" s="802"/>
      <c r="LDS841" s="802"/>
      <c r="LDT841" s="802"/>
      <c r="LDU841" s="802"/>
      <c r="LDV841" s="802"/>
      <c r="LDW841" s="802"/>
      <c r="LDX841" s="802"/>
      <c r="LDY841" s="802"/>
      <c r="LDZ841" s="802"/>
      <c r="LEA841" s="802"/>
      <c r="LEB841" s="802"/>
      <c r="LEC841" s="802"/>
      <c r="LED841" s="802"/>
      <c r="LEE841" s="802"/>
      <c r="LEF841" s="802"/>
      <c r="LEG841" s="802"/>
      <c r="LEH841" s="802"/>
      <c r="LEI841" s="802"/>
      <c r="LEJ841" s="802"/>
      <c r="LEK841" s="802"/>
      <c r="LEL841" s="802"/>
      <c r="LEM841" s="802"/>
      <c r="LEN841" s="802"/>
      <c r="LEO841" s="802"/>
      <c r="LEP841" s="802"/>
      <c r="LEQ841" s="802"/>
      <c r="LER841" s="802"/>
      <c r="LES841" s="802"/>
      <c r="LET841" s="802"/>
      <c r="LEU841" s="802"/>
      <c r="LEV841" s="802"/>
      <c r="LEW841" s="802"/>
      <c r="LEX841" s="802"/>
      <c r="LEY841" s="802"/>
      <c r="LEZ841" s="802"/>
      <c r="LFA841" s="802"/>
      <c r="LFB841" s="802"/>
      <c r="LFC841" s="802"/>
      <c r="LFD841" s="802"/>
      <c r="LFE841" s="802"/>
      <c r="LFF841" s="802"/>
      <c r="LFG841" s="802"/>
      <c r="LFH841" s="802"/>
      <c r="LFI841" s="802"/>
      <c r="LFJ841" s="802"/>
      <c r="LFK841" s="802"/>
      <c r="LFL841" s="802"/>
      <c r="LFM841" s="802"/>
      <c r="LFN841" s="802"/>
      <c r="LFO841" s="802"/>
      <c r="LFP841" s="802"/>
      <c r="LFQ841" s="802"/>
      <c r="LFR841" s="802"/>
      <c r="LFS841" s="802"/>
      <c r="LFT841" s="802"/>
      <c r="LFU841" s="802"/>
      <c r="LFV841" s="802"/>
      <c r="LFW841" s="802"/>
      <c r="LFX841" s="802"/>
      <c r="LFY841" s="802"/>
      <c r="LFZ841" s="802"/>
      <c r="LGA841" s="802"/>
      <c r="LGB841" s="802"/>
      <c r="LGC841" s="802"/>
      <c r="LGD841" s="802"/>
      <c r="LGE841" s="802"/>
      <c r="LGF841" s="802"/>
      <c r="LGG841" s="802"/>
      <c r="LGH841" s="802"/>
      <c r="LGI841" s="802"/>
      <c r="LGJ841" s="802"/>
      <c r="LGK841" s="802"/>
      <c r="LGL841" s="802"/>
      <c r="LGM841" s="802"/>
      <c r="LGN841" s="802"/>
      <c r="LGO841" s="802"/>
      <c r="LGP841" s="802"/>
      <c r="LGQ841" s="802"/>
      <c r="LGR841" s="802"/>
      <c r="LGS841" s="802"/>
      <c r="LGT841" s="802"/>
      <c r="LGU841" s="802"/>
      <c r="LGV841" s="802"/>
      <c r="LGW841" s="802"/>
      <c r="LGX841" s="802"/>
      <c r="LGY841" s="802"/>
      <c r="LGZ841" s="802"/>
      <c r="LHA841" s="802"/>
      <c r="LHB841" s="802"/>
      <c r="LHC841" s="802"/>
      <c r="LHD841" s="802"/>
      <c r="LHE841" s="802"/>
      <c r="LHF841" s="802"/>
      <c r="LHG841" s="802"/>
      <c r="LHH841" s="802"/>
      <c r="LHI841" s="802"/>
      <c r="LHJ841" s="802"/>
      <c r="LHK841" s="802"/>
      <c r="LHL841" s="802"/>
      <c r="LHM841" s="802"/>
      <c r="LHN841" s="802"/>
      <c r="LHO841" s="802"/>
      <c r="LHP841" s="802"/>
      <c r="LHQ841" s="802"/>
      <c r="LHR841" s="802"/>
      <c r="LHS841" s="802"/>
      <c r="LHT841" s="802"/>
      <c r="LHU841" s="802"/>
      <c r="LHV841" s="802"/>
      <c r="LHW841" s="802"/>
      <c r="LHX841" s="802"/>
      <c r="LHY841" s="802"/>
      <c r="LHZ841" s="802"/>
      <c r="LIA841" s="802"/>
      <c r="LIB841" s="802"/>
      <c r="LIC841" s="802"/>
      <c r="LID841" s="802"/>
      <c r="LIE841" s="802"/>
      <c r="LIF841" s="802"/>
      <c r="LIG841" s="802"/>
      <c r="LIH841" s="802"/>
      <c r="LII841" s="802"/>
      <c r="LIJ841" s="802"/>
      <c r="LIK841" s="802"/>
      <c r="LIL841" s="802"/>
      <c r="LIM841" s="802"/>
      <c r="LIN841" s="802"/>
      <c r="LIO841" s="802"/>
      <c r="LIP841" s="802"/>
      <c r="LIQ841" s="802"/>
      <c r="LIR841" s="802"/>
      <c r="LIS841" s="802"/>
      <c r="LIT841" s="802"/>
      <c r="LIU841" s="802"/>
      <c r="LIV841" s="802"/>
      <c r="LIW841" s="802"/>
      <c r="LIX841" s="802"/>
      <c r="LIY841" s="802"/>
      <c r="LIZ841" s="802"/>
      <c r="LJA841" s="802"/>
      <c r="LJB841" s="802"/>
      <c r="LJC841" s="802"/>
      <c r="LJD841" s="802"/>
      <c r="LJE841" s="802"/>
      <c r="LJF841" s="802"/>
      <c r="LJG841" s="802"/>
      <c r="LJH841" s="802"/>
      <c r="LJI841" s="802"/>
      <c r="LJJ841" s="802"/>
      <c r="LJK841" s="802"/>
      <c r="LJL841" s="802"/>
      <c r="LJM841" s="802"/>
      <c r="LJN841" s="802"/>
      <c r="LJO841" s="802"/>
      <c r="LJP841" s="802"/>
      <c r="LJQ841" s="802"/>
      <c r="LJR841" s="802"/>
      <c r="LJS841" s="802"/>
      <c r="LJT841" s="802"/>
      <c r="LJU841" s="802"/>
      <c r="LJV841" s="802"/>
      <c r="LJW841" s="802"/>
      <c r="LJX841" s="802"/>
      <c r="LJY841" s="802"/>
      <c r="LJZ841" s="802"/>
      <c r="LKA841" s="802"/>
      <c r="LKB841" s="802"/>
      <c r="LKC841" s="802"/>
      <c r="LKD841" s="802"/>
      <c r="LKE841" s="802"/>
      <c r="LKF841" s="802"/>
      <c r="LKG841" s="802"/>
      <c r="LKH841" s="802"/>
      <c r="LKI841" s="802"/>
      <c r="LKJ841" s="802"/>
      <c r="LKK841" s="802"/>
      <c r="LKL841" s="802"/>
      <c r="LKM841" s="802"/>
      <c r="LKN841" s="802"/>
      <c r="LKO841" s="802"/>
      <c r="LKP841" s="802"/>
      <c r="LKQ841" s="802"/>
      <c r="LKR841" s="802"/>
      <c r="LKS841" s="802"/>
      <c r="LKT841" s="802"/>
      <c r="LKU841" s="802"/>
      <c r="LKV841" s="802"/>
      <c r="LKW841" s="802"/>
      <c r="LKX841" s="802"/>
      <c r="LKY841" s="802"/>
      <c r="LKZ841" s="802"/>
      <c r="LLA841" s="802"/>
      <c r="LLB841" s="802"/>
      <c r="LLC841" s="802"/>
      <c r="LLD841" s="802"/>
      <c r="LLE841" s="802"/>
      <c r="LLF841" s="802"/>
      <c r="LLG841" s="802"/>
      <c r="LLH841" s="802"/>
      <c r="LLI841" s="802"/>
      <c r="LLJ841" s="802"/>
      <c r="LLK841" s="802"/>
      <c r="LLL841" s="802"/>
      <c r="LLM841" s="802"/>
      <c r="LLN841" s="802"/>
      <c r="LLO841" s="802"/>
      <c r="LLP841" s="802"/>
      <c r="LLQ841" s="802"/>
      <c r="LLR841" s="802"/>
      <c r="LLS841" s="802"/>
      <c r="LLT841" s="802"/>
      <c r="LLU841" s="802"/>
      <c r="LLV841" s="802"/>
      <c r="LLW841" s="802"/>
      <c r="LLX841" s="802"/>
      <c r="LLY841" s="802"/>
      <c r="LLZ841" s="802"/>
      <c r="LMA841" s="802"/>
      <c r="LMB841" s="802"/>
      <c r="LMC841" s="802"/>
      <c r="LMD841" s="802"/>
      <c r="LME841" s="802"/>
      <c r="LMF841" s="802"/>
      <c r="LMG841" s="802"/>
      <c r="LMH841" s="802"/>
      <c r="LMI841" s="802"/>
      <c r="LMJ841" s="802"/>
      <c r="LMK841" s="802"/>
      <c r="LML841" s="802"/>
      <c r="LMM841" s="802"/>
      <c r="LMN841" s="802"/>
      <c r="LMO841" s="802"/>
      <c r="LMP841" s="802"/>
      <c r="LMQ841" s="802"/>
      <c r="LMR841" s="802"/>
      <c r="LMS841" s="802"/>
      <c r="LMT841" s="802"/>
      <c r="LMU841" s="802"/>
      <c r="LMV841" s="802"/>
      <c r="LMW841" s="802"/>
      <c r="LMX841" s="802"/>
      <c r="LMY841" s="802"/>
      <c r="LMZ841" s="802"/>
      <c r="LNA841" s="802"/>
      <c r="LNB841" s="802"/>
      <c r="LNC841" s="802"/>
      <c r="LND841" s="802"/>
      <c r="LNE841" s="802"/>
      <c r="LNF841" s="802"/>
      <c r="LNG841" s="802"/>
      <c r="LNH841" s="802"/>
      <c r="LNI841" s="802"/>
      <c r="LNJ841" s="802"/>
      <c r="LNK841" s="802"/>
      <c r="LNL841" s="802"/>
      <c r="LNM841" s="802"/>
      <c r="LNN841" s="802"/>
      <c r="LNO841" s="802"/>
      <c r="LNP841" s="802"/>
      <c r="LNQ841" s="802"/>
      <c r="LNR841" s="802"/>
      <c r="LNS841" s="802"/>
      <c r="LNT841" s="802"/>
      <c r="LNU841" s="802"/>
      <c r="LNV841" s="802"/>
      <c r="LNW841" s="802"/>
      <c r="LNX841" s="802"/>
      <c r="LNY841" s="802"/>
      <c r="LNZ841" s="802"/>
      <c r="LOA841" s="802"/>
      <c r="LOB841" s="802"/>
      <c r="LOC841" s="802"/>
      <c r="LOD841" s="802"/>
      <c r="LOE841" s="802"/>
      <c r="LOF841" s="802"/>
      <c r="LOG841" s="802"/>
      <c r="LOH841" s="802"/>
      <c r="LOI841" s="802"/>
      <c r="LOJ841" s="802"/>
      <c r="LOK841" s="802"/>
      <c r="LOL841" s="802"/>
      <c r="LOM841" s="802"/>
      <c r="LON841" s="802"/>
      <c r="LOO841" s="802"/>
      <c r="LOP841" s="802"/>
      <c r="LOQ841" s="802"/>
      <c r="LOR841" s="802"/>
      <c r="LOS841" s="802"/>
      <c r="LOT841" s="802"/>
      <c r="LOU841" s="802"/>
      <c r="LOV841" s="802"/>
      <c r="LOW841" s="802"/>
      <c r="LOX841" s="802"/>
      <c r="LOY841" s="802"/>
      <c r="LOZ841" s="802"/>
      <c r="LPA841" s="802"/>
      <c r="LPB841" s="802"/>
      <c r="LPC841" s="802"/>
      <c r="LPD841" s="802"/>
      <c r="LPE841" s="802"/>
      <c r="LPF841" s="802"/>
      <c r="LPG841" s="802"/>
      <c r="LPH841" s="802"/>
      <c r="LPI841" s="802"/>
      <c r="LPJ841" s="802"/>
      <c r="LPK841" s="802"/>
      <c r="LPL841" s="802"/>
      <c r="LPM841" s="802"/>
      <c r="LPN841" s="802"/>
      <c r="LPO841" s="802"/>
      <c r="LPP841" s="802"/>
      <c r="LPQ841" s="802"/>
      <c r="LPR841" s="802"/>
      <c r="LPS841" s="802"/>
      <c r="LPT841" s="802"/>
      <c r="LPU841" s="802"/>
      <c r="LPV841" s="802"/>
      <c r="LPW841" s="802"/>
      <c r="LPX841" s="802"/>
      <c r="LPY841" s="802"/>
      <c r="LPZ841" s="802"/>
      <c r="LQA841" s="802"/>
      <c r="LQB841" s="802"/>
      <c r="LQC841" s="802"/>
      <c r="LQD841" s="802"/>
      <c r="LQE841" s="802"/>
      <c r="LQF841" s="802"/>
      <c r="LQG841" s="802"/>
      <c r="LQH841" s="802"/>
      <c r="LQI841" s="802"/>
      <c r="LQJ841" s="802"/>
      <c r="LQK841" s="802"/>
      <c r="LQL841" s="802"/>
      <c r="LQM841" s="802"/>
      <c r="LQN841" s="802"/>
      <c r="LQO841" s="802"/>
      <c r="LQP841" s="802"/>
      <c r="LQQ841" s="802"/>
      <c r="LQR841" s="802"/>
      <c r="LQS841" s="802"/>
      <c r="LQT841" s="802"/>
      <c r="LQU841" s="802"/>
      <c r="LQV841" s="802"/>
      <c r="LQW841" s="802"/>
      <c r="LQX841" s="802"/>
      <c r="LQY841" s="802"/>
      <c r="LQZ841" s="802"/>
      <c r="LRA841" s="802"/>
      <c r="LRB841" s="802"/>
      <c r="LRC841" s="802"/>
      <c r="LRD841" s="802"/>
      <c r="LRE841" s="802"/>
      <c r="LRF841" s="802"/>
      <c r="LRG841" s="802"/>
      <c r="LRH841" s="802"/>
      <c r="LRI841" s="802"/>
      <c r="LRJ841" s="802"/>
      <c r="LRK841" s="802"/>
      <c r="LRL841" s="802"/>
      <c r="LRM841" s="802"/>
      <c r="LRN841" s="802"/>
      <c r="LRO841" s="802"/>
      <c r="LRP841" s="802"/>
      <c r="LRQ841" s="802"/>
      <c r="LRR841" s="802"/>
      <c r="LRS841" s="802"/>
      <c r="LRT841" s="802"/>
      <c r="LRU841" s="802"/>
      <c r="LRV841" s="802"/>
      <c r="LRW841" s="802"/>
      <c r="LRX841" s="802"/>
      <c r="LRY841" s="802"/>
      <c r="LRZ841" s="802"/>
      <c r="LSA841" s="802"/>
      <c r="LSB841" s="802"/>
      <c r="LSC841" s="802"/>
      <c r="LSD841" s="802"/>
      <c r="LSE841" s="802"/>
      <c r="LSF841" s="802"/>
      <c r="LSG841" s="802"/>
      <c r="LSH841" s="802"/>
      <c r="LSI841" s="802"/>
      <c r="LSJ841" s="802"/>
      <c r="LSK841" s="802"/>
      <c r="LSL841" s="802"/>
      <c r="LSM841" s="802"/>
      <c r="LSN841" s="802"/>
      <c r="LSO841" s="802"/>
      <c r="LSP841" s="802"/>
      <c r="LSQ841" s="802"/>
      <c r="LSR841" s="802"/>
      <c r="LSS841" s="802"/>
      <c r="LST841" s="802"/>
      <c r="LSU841" s="802"/>
      <c r="LSV841" s="802"/>
      <c r="LSW841" s="802"/>
      <c r="LSX841" s="802"/>
      <c r="LSY841" s="802"/>
      <c r="LSZ841" s="802"/>
      <c r="LTA841" s="802"/>
      <c r="LTB841" s="802"/>
      <c r="LTC841" s="802"/>
      <c r="LTD841" s="802"/>
      <c r="LTE841" s="802"/>
      <c r="LTF841" s="802"/>
      <c r="LTG841" s="802"/>
      <c r="LTH841" s="802"/>
      <c r="LTI841" s="802"/>
      <c r="LTJ841" s="802"/>
      <c r="LTK841" s="802"/>
      <c r="LTL841" s="802"/>
      <c r="LTM841" s="802"/>
      <c r="LTN841" s="802"/>
      <c r="LTO841" s="802"/>
      <c r="LTP841" s="802"/>
      <c r="LTQ841" s="802"/>
      <c r="LTR841" s="802"/>
      <c r="LTS841" s="802"/>
      <c r="LTT841" s="802"/>
      <c r="LTU841" s="802"/>
      <c r="LTV841" s="802"/>
      <c r="LTW841" s="802"/>
      <c r="LTX841" s="802"/>
      <c r="LTY841" s="802"/>
      <c r="LTZ841" s="802"/>
      <c r="LUA841" s="802"/>
      <c r="LUB841" s="802"/>
      <c r="LUC841" s="802"/>
      <c r="LUD841" s="802"/>
      <c r="LUE841" s="802"/>
      <c r="LUF841" s="802"/>
      <c r="LUG841" s="802"/>
      <c r="LUH841" s="802"/>
      <c r="LUI841" s="802"/>
      <c r="LUJ841" s="802"/>
      <c r="LUK841" s="802"/>
      <c r="LUL841" s="802"/>
      <c r="LUM841" s="802"/>
      <c r="LUN841" s="802"/>
      <c r="LUO841" s="802"/>
      <c r="LUP841" s="802"/>
      <c r="LUQ841" s="802"/>
      <c r="LUR841" s="802"/>
      <c r="LUS841" s="802"/>
      <c r="LUT841" s="802"/>
      <c r="LUU841" s="802"/>
      <c r="LUV841" s="802"/>
      <c r="LUW841" s="802"/>
      <c r="LUX841" s="802"/>
      <c r="LUY841" s="802"/>
      <c r="LUZ841" s="802"/>
      <c r="LVA841" s="802"/>
      <c r="LVB841" s="802"/>
      <c r="LVC841" s="802"/>
      <c r="LVD841" s="802"/>
      <c r="LVE841" s="802"/>
      <c r="LVF841" s="802"/>
      <c r="LVG841" s="802"/>
      <c r="LVH841" s="802"/>
      <c r="LVI841" s="802"/>
      <c r="LVJ841" s="802"/>
      <c r="LVK841" s="802"/>
      <c r="LVL841" s="802"/>
      <c r="LVM841" s="802"/>
      <c r="LVN841" s="802"/>
      <c r="LVO841" s="802"/>
      <c r="LVP841" s="802"/>
      <c r="LVQ841" s="802"/>
      <c r="LVR841" s="802"/>
      <c r="LVS841" s="802"/>
      <c r="LVT841" s="802"/>
      <c r="LVU841" s="802"/>
      <c r="LVV841" s="802"/>
      <c r="LVW841" s="802"/>
      <c r="LVX841" s="802"/>
      <c r="LVY841" s="802"/>
      <c r="LVZ841" s="802"/>
      <c r="LWA841" s="802"/>
      <c r="LWB841" s="802"/>
      <c r="LWC841" s="802"/>
      <c r="LWD841" s="802"/>
      <c r="LWE841" s="802"/>
      <c r="LWF841" s="802"/>
      <c r="LWG841" s="802"/>
      <c r="LWH841" s="802"/>
      <c r="LWI841" s="802"/>
      <c r="LWJ841" s="802"/>
      <c r="LWK841" s="802"/>
      <c r="LWL841" s="802"/>
      <c r="LWM841" s="802"/>
      <c r="LWN841" s="802"/>
      <c r="LWO841" s="802"/>
      <c r="LWP841" s="802"/>
      <c r="LWQ841" s="802"/>
      <c r="LWR841" s="802"/>
      <c r="LWS841" s="802"/>
      <c r="LWT841" s="802"/>
      <c r="LWU841" s="802"/>
      <c r="LWV841" s="802"/>
      <c r="LWW841" s="802"/>
      <c r="LWX841" s="802"/>
      <c r="LWY841" s="802"/>
      <c r="LWZ841" s="802"/>
      <c r="LXA841" s="802"/>
      <c r="LXB841" s="802"/>
      <c r="LXC841" s="802"/>
      <c r="LXD841" s="802"/>
      <c r="LXE841" s="802"/>
      <c r="LXF841" s="802"/>
      <c r="LXG841" s="802"/>
      <c r="LXH841" s="802"/>
      <c r="LXI841" s="802"/>
      <c r="LXJ841" s="802"/>
      <c r="LXK841" s="802"/>
      <c r="LXL841" s="802"/>
      <c r="LXM841" s="802"/>
      <c r="LXN841" s="802"/>
      <c r="LXO841" s="802"/>
      <c r="LXP841" s="802"/>
      <c r="LXQ841" s="802"/>
      <c r="LXR841" s="802"/>
      <c r="LXS841" s="802"/>
      <c r="LXT841" s="802"/>
      <c r="LXU841" s="802"/>
      <c r="LXV841" s="802"/>
      <c r="LXW841" s="802"/>
      <c r="LXX841" s="802"/>
      <c r="LXY841" s="802"/>
      <c r="LXZ841" s="802"/>
      <c r="LYA841" s="802"/>
      <c r="LYB841" s="802"/>
      <c r="LYC841" s="802"/>
      <c r="LYD841" s="802"/>
      <c r="LYE841" s="802"/>
      <c r="LYF841" s="802"/>
      <c r="LYG841" s="802"/>
      <c r="LYH841" s="802"/>
      <c r="LYI841" s="802"/>
      <c r="LYJ841" s="802"/>
      <c r="LYK841" s="802"/>
      <c r="LYL841" s="802"/>
      <c r="LYM841" s="802"/>
      <c r="LYN841" s="802"/>
      <c r="LYO841" s="802"/>
      <c r="LYP841" s="802"/>
      <c r="LYQ841" s="802"/>
      <c r="LYR841" s="802"/>
      <c r="LYS841" s="802"/>
      <c r="LYT841" s="802"/>
      <c r="LYU841" s="802"/>
      <c r="LYV841" s="802"/>
      <c r="LYW841" s="802"/>
      <c r="LYX841" s="802"/>
      <c r="LYY841" s="802"/>
      <c r="LYZ841" s="802"/>
      <c r="LZA841" s="802"/>
      <c r="LZB841" s="802"/>
      <c r="LZC841" s="802"/>
      <c r="LZD841" s="802"/>
      <c r="LZE841" s="802"/>
      <c r="LZF841" s="802"/>
      <c r="LZG841" s="802"/>
      <c r="LZH841" s="802"/>
      <c r="LZI841" s="802"/>
      <c r="LZJ841" s="802"/>
      <c r="LZK841" s="802"/>
      <c r="LZL841" s="802"/>
      <c r="LZM841" s="802"/>
      <c r="LZN841" s="802"/>
      <c r="LZO841" s="802"/>
      <c r="LZP841" s="802"/>
      <c r="LZQ841" s="802"/>
      <c r="LZR841" s="802"/>
      <c r="LZS841" s="802"/>
      <c r="LZT841" s="802"/>
      <c r="LZU841" s="802"/>
      <c r="LZV841" s="802"/>
      <c r="LZW841" s="802"/>
      <c r="LZX841" s="802"/>
      <c r="LZY841" s="802"/>
      <c r="LZZ841" s="802"/>
      <c r="MAA841" s="802"/>
      <c r="MAB841" s="802"/>
      <c r="MAC841" s="802"/>
      <c r="MAD841" s="802"/>
      <c r="MAE841" s="802"/>
      <c r="MAF841" s="802"/>
      <c r="MAG841" s="802"/>
      <c r="MAH841" s="802"/>
      <c r="MAI841" s="802"/>
      <c r="MAJ841" s="802"/>
      <c r="MAK841" s="802"/>
      <c r="MAL841" s="802"/>
      <c r="MAM841" s="802"/>
      <c r="MAN841" s="802"/>
      <c r="MAO841" s="802"/>
      <c r="MAP841" s="802"/>
      <c r="MAQ841" s="802"/>
      <c r="MAR841" s="802"/>
      <c r="MAS841" s="802"/>
      <c r="MAT841" s="802"/>
      <c r="MAU841" s="802"/>
      <c r="MAV841" s="802"/>
      <c r="MAW841" s="802"/>
      <c r="MAX841" s="802"/>
      <c r="MAY841" s="802"/>
      <c r="MAZ841" s="802"/>
      <c r="MBA841" s="802"/>
      <c r="MBB841" s="802"/>
      <c r="MBC841" s="802"/>
      <c r="MBD841" s="802"/>
      <c r="MBE841" s="802"/>
      <c r="MBF841" s="802"/>
      <c r="MBG841" s="802"/>
      <c r="MBH841" s="802"/>
      <c r="MBI841" s="802"/>
      <c r="MBJ841" s="802"/>
      <c r="MBK841" s="802"/>
      <c r="MBL841" s="802"/>
      <c r="MBM841" s="802"/>
      <c r="MBN841" s="802"/>
      <c r="MBO841" s="802"/>
      <c r="MBP841" s="802"/>
      <c r="MBQ841" s="802"/>
      <c r="MBR841" s="802"/>
      <c r="MBS841" s="802"/>
      <c r="MBT841" s="802"/>
      <c r="MBU841" s="802"/>
      <c r="MBV841" s="802"/>
      <c r="MBW841" s="802"/>
      <c r="MBX841" s="802"/>
      <c r="MBY841" s="802"/>
      <c r="MBZ841" s="802"/>
      <c r="MCA841" s="802"/>
      <c r="MCB841" s="802"/>
      <c r="MCC841" s="802"/>
      <c r="MCD841" s="802"/>
      <c r="MCE841" s="802"/>
      <c r="MCF841" s="802"/>
      <c r="MCG841" s="802"/>
      <c r="MCH841" s="802"/>
      <c r="MCI841" s="802"/>
      <c r="MCJ841" s="802"/>
      <c r="MCK841" s="802"/>
      <c r="MCL841" s="802"/>
      <c r="MCM841" s="802"/>
      <c r="MCN841" s="802"/>
      <c r="MCO841" s="802"/>
      <c r="MCP841" s="802"/>
      <c r="MCQ841" s="802"/>
      <c r="MCR841" s="802"/>
      <c r="MCS841" s="802"/>
      <c r="MCT841" s="802"/>
      <c r="MCU841" s="802"/>
      <c r="MCV841" s="802"/>
      <c r="MCW841" s="802"/>
      <c r="MCX841" s="802"/>
      <c r="MCY841" s="802"/>
      <c r="MCZ841" s="802"/>
      <c r="MDA841" s="802"/>
      <c r="MDB841" s="802"/>
      <c r="MDC841" s="802"/>
      <c r="MDD841" s="802"/>
      <c r="MDE841" s="802"/>
      <c r="MDF841" s="802"/>
      <c r="MDG841" s="802"/>
      <c r="MDH841" s="802"/>
      <c r="MDI841" s="802"/>
      <c r="MDJ841" s="802"/>
      <c r="MDK841" s="802"/>
      <c r="MDL841" s="802"/>
      <c r="MDM841" s="802"/>
      <c r="MDN841" s="802"/>
      <c r="MDO841" s="802"/>
      <c r="MDP841" s="802"/>
      <c r="MDQ841" s="802"/>
      <c r="MDR841" s="802"/>
      <c r="MDS841" s="802"/>
      <c r="MDT841" s="802"/>
      <c r="MDU841" s="802"/>
      <c r="MDV841" s="802"/>
      <c r="MDW841" s="802"/>
      <c r="MDX841" s="802"/>
      <c r="MDY841" s="802"/>
      <c r="MDZ841" s="802"/>
      <c r="MEA841" s="802"/>
      <c r="MEB841" s="802"/>
      <c r="MEC841" s="802"/>
      <c r="MED841" s="802"/>
      <c r="MEE841" s="802"/>
      <c r="MEF841" s="802"/>
      <c r="MEG841" s="802"/>
      <c r="MEH841" s="802"/>
      <c r="MEI841" s="802"/>
      <c r="MEJ841" s="802"/>
      <c r="MEK841" s="802"/>
      <c r="MEL841" s="802"/>
      <c r="MEM841" s="802"/>
      <c r="MEN841" s="802"/>
      <c r="MEO841" s="802"/>
      <c r="MEP841" s="802"/>
      <c r="MEQ841" s="802"/>
      <c r="MER841" s="802"/>
      <c r="MES841" s="802"/>
      <c r="MET841" s="802"/>
      <c r="MEU841" s="802"/>
      <c r="MEV841" s="802"/>
      <c r="MEW841" s="802"/>
      <c r="MEX841" s="802"/>
      <c r="MEY841" s="802"/>
      <c r="MEZ841" s="802"/>
      <c r="MFA841" s="802"/>
      <c r="MFB841" s="802"/>
      <c r="MFC841" s="802"/>
      <c r="MFD841" s="802"/>
      <c r="MFE841" s="802"/>
      <c r="MFF841" s="802"/>
      <c r="MFG841" s="802"/>
      <c r="MFH841" s="802"/>
      <c r="MFI841" s="802"/>
      <c r="MFJ841" s="802"/>
      <c r="MFK841" s="802"/>
      <c r="MFL841" s="802"/>
      <c r="MFM841" s="802"/>
      <c r="MFN841" s="802"/>
      <c r="MFO841" s="802"/>
      <c r="MFP841" s="802"/>
      <c r="MFQ841" s="802"/>
      <c r="MFR841" s="802"/>
      <c r="MFS841" s="802"/>
      <c r="MFT841" s="802"/>
      <c r="MFU841" s="802"/>
      <c r="MFV841" s="802"/>
      <c r="MFW841" s="802"/>
      <c r="MFX841" s="802"/>
      <c r="MFY841" s="802"/>
      <c r="MFZ841" s="802"/>
      <c r="MGA841" s="802"/>
      <c r="MGB841" s="802"/>
      <c r="MGC841" s="802"/>
      <c r="MGD841" s="802"/>
      <c r="MGE841" s="802"/>
      <c r="MGF841" s="802"/>
      <c r="MGG841" s="802"/>
      <c r="MGH841" s="802"/>
      <c r="MGI841" s="802"/>
      <c r="MGJ841" s="802"/>
      <c r="MGK841" s="802"/>
      <c r="MGL841" s="802"/>
      <c r="MGM841" s="802"/>
      <c r="MGN841" s="802"/>
      <c r="MGO841" s="802"/>
      <c r="MGP841" s="802"/>
      <c r="MGQ841" s="802"/>
      <c r="MGR841" s="802"/>
      <c r="MGS841" s="802"/>
      <c r="MGT841" s="802"/>
      <c r="MGU841" s="802"/>
      <c r="MGV841" s="802"/>
      <c r="MGW841" s="802"/>
      <c r="MGX841" s="802"/>
      <c r="MGY841" s="802"/>
      <c r="MGZ841" s="802"/>
      <c r="MHA841" s="802"/>
      <c r="MHB841" s="802"/>
      <c r="MHC841" s="802"/>
      <c r="MHD841" s="802"/>
      <c r="MHE841" s="802"/>
      <c r="MHF841" s="802"/>
      <c r="MHG841" s="802"/>
      <c r="MHH841" s="802"/>
      <c r="MHI841" s="802"/>
      <c r="MHJ841" s="802"/>
      <c r="MHK841" s="802"/>
      <c r="MHL841" s="802"/>
      <c r="MHM841" s="802"/>
      <c r="MHN841" s="802"/>
      <c r="MHO841" s="802"/>
      <c r="MHP841" s="802"/>
      <c r="MHQ841" s="802"/>
      <c r="MHR841" s="802"/>
      <c r="MHS841" s="802"/>
      <c r="MHT841" s="802"/>
      <c r="MHU841" s="802"/>
      <c r="MHV841" s="802"/>
      <c r="MHW841" s="802"/>
      <c r="MHX841" s="802"/>
      <c r="MHY841" s="802"/>
      <c r="MHZ841" s="802"/>
      <c r="MIA841" s="802"/>
      <c r="MIB841" s="802"/>
      <c r="MIC841" s="802"/>
      <c r="MID841" s="802"/>
      <c r="MIE841" s="802"/>
      <c r="MIF841" s="802"/>
      <c r="MIG841" s="802"/>
      <c r="MIH841" s="802"/>
      <c r="MII841" s="802"/>
      <c r="MIJ841" s="802"/>
      <c r="MIK841" s="802"/>
      <c r="MIL841" s="802"/>
      <c r="MIM841" s="802"/>
      <c r="MIN841" s="802"/>
      <c r="MIO841" s="802"/>
      <c r="MIP841" s="802"/>
      <c r="MIQ841" s="802"/>
      <c r="MIR841" s="802"/>
      <c r="MIS841" s="802"/>
      <c r="MIT841" s="802"/>
      <c r="MIU841" s="802"/>
      <c r="MIV841" s="802"/>
      <c r="MIW841" s="802"/>
      <c r="MIX841" s="802"/>
      <c r="MIY841" s="802"/>
      <c r="MIZ841" s="802"/>
      <c r="MJA841" s="802"/>
      <c r="MJB841" s="802"/>
      <c r="MJC841" s="802"/>
      <c r="MJD841" s="802"/>
      <c r="MJE841" s="802"/>
      <c r="MJF841" s="802"/>
      <c r="MJG841" s="802"/>
      <c r="MJH841" s="802"/>
      <c r="MJI841" s="802"/>
      <c r="MJJ841" s="802"/>
      <c r="MJK841" s="802"/>
      <c r="MJL841" s="802"/>
      <c r="MJM841" s="802"/>
      <c r="MJN841" s="802"/>
      <c r="MJO841" s="802"/>
      <c r="MJP841" s="802"/>
      <c r="MJQ841" s="802"/>
      <c r="MJR841" s="802"/>
      <c r="MJS841" s="802"/>
      <c r="MJT841" s="802"/>
      <c r="MJU841" s="802"/>
      <c r="MJV841" s="802"/>
      <c r="MJW841" s="802"/>
      <c r="MJX841" s="802"/>
      <c r="MJY841" s="802"/>
      <c r="MJZ841" s="802"/>
      <c r="MKA841" s="802"/>
      <c r="MKB841" s="802"/>
      <c r="MKC841" s="802"/>
      <c r="MKD841" s="802"/>
      <c r="MKE841" s="802"/>
      <c r="MKF841" s="802"/>
      <c r="MKG841" s="802"/>
      <c r="MKH841" s="802"/>
      <c r="MKI841" s="802"/>
      <c r="MKJ841" s="802"/>
      <c r="MKK841" s="802"/>
      <c r="MKL841" s="802"/>
      <c r="MKM841" s="802"/>
      <c r="MKN841" s="802"/>
      <c r="MKO841" s="802"/>
      <c r="MKP841" s="802"/>
      <c r="MKQ841" s="802"/>
      <c r="MKR841" s="802"/>
      <c r="MKS841" s="802"/>
      <c r="MKT841" s="802"/>
      <c r="MKU841" s="802"/>
      <c r="MKV841" s="802"/>
      <c r="MKW841" s="802"/>
      <c r="MKX841" s="802"/>
      <c r="MKY841" s="802"/>
      <c r="MKZ841" s="802"/>
      <c r="MLA841" s="802"/>
      <c r="MLB841" s="802"/>
      <c r="MLC841" s="802"/>
      <c r="MLD841" s="802"/>
      <c r="MLE841" s="802"/>
      <c r="MLF841" s="802"/>
      <c r="MLG841" s="802"/>
      <c r="MLH841" s="802"/>
      <c r="MLI841" s="802"/>
      <c r="MLJ841" s="802"/>
      <c r="MLK841" s="802"/>
      <c r="MLL841" s="802"/>
      <c r="MLM841" s="802"/>
      <c r="MLN841" s="802"/>
      <c r="MLO841" s="802"/>
      <c r="MLP841" s="802"/>
      <c r="MLQ841" s="802"/>
      <c r="MLR841" s="802"/>
      <c r="MLS841" s="802"/>
      <c r="MLT841" s="802"/>
      <c r="MLU841" s="802"/>
      <c r="MLV841" s="802"/>
      <c r="MLW841" s="802"/>
      <c r="MLX841" s="802"/>
      <c r="MLY841" s="802"/>
      <c r="MLZ841" s="802"/>
      <c r="MMA841" s="802"/>
      <c r="MMB841" s="802"/>
      <c r="MMC841" s="802"/>
      <c r="MMD841" s="802"/>
      <c r="MME841" s="802"/>
      <c r="MMF841" s="802"/>
      <c r="MMG841" s="802"/>
      <c r="MMH841" s="802"/>
      <c r="MMI841" s="802"/>
      <c r="MMJ841" s="802"/>
      <c r="MMK841" s="802"/>
      <c r="MML841" s="802"/>
      <c r="MMM841" s="802"/>
      <c r="MMN841" s="802"/>
      <c r="MMO841" s="802"/>
      <c r="MMP841" s="802"/>
      <c r="MMQ841" s="802"/>
      <c r="MMR841" s="802"/>
      <c r="MMS841" s="802"/>
      <c r="MMT841" s="802"/>
      <c r="MMU841" s="802"/>
      <c r="MMV841" s="802"/>
      <c r="MMW841" s="802"/>
      <c r="MMX841" s="802"/>
      <c r="MMY841" s="802"/>
      <c r="MMZ841" s="802"/>
      <c r="MNA841" s="802"/>
      <c r="MNB841" s="802"/>
      <c r="MNC841" s="802"/>
      <c r="MND841" s="802"/>
      <c r="MNE841" s="802"/>
      <c r="MNF841" s="802"/>
      <c r="MNG841" s="802"/>
      <c r="MNH841" s="802"/>
      <c r="MNI841" s="802"/>
      <c r="MNJ841" s="802"/>
      <c r="MNK841" s="802"/>
      <c r="MNL841" s="802"/>
      <c r="MNM841" s="802"/>
      <c r="MNN841" s="802"/>
      <c r="MNO841" s="802"/>
      <c r="MNP841" s="802"/>
      <c r="MNQ841" s="802"/>
      <c r="MNR841" s="802"/>
      <c r="MNS841" s="802"/>
      <c r="MNT841" s="802"/>
      <c r="MNU841" s="802"/>
      <c r="MNV841" s="802"/>
      <c r="MNW841" s="802"/>
      <c r="MNX841" s="802"/>
      <c r="MNY841" s="802"/>
      <c r="MNZ841" s="802"/>
      <c r="MOA841" s="802"/>
      <c r="MOB841" s="802"/>
      <c r="MOC841" s="802"/>
      <c r="MOD841" s="802"/>
      <c r="MOE841" s="802"/>
      <c r="MOF841" s="802"/>
      <c r="MOG841" s="802"/>
      <c r="MOH841" s="802"/>
      <c r="MOI841" s="802"/>
      <c r="MOJ841" s="802"/>
      <c r="MOK841" s="802"/>
      <c r="MOL841" s="802"/>
      <c r="MOM841" s="802"/>
      <c r="MON841" s="802"/>
      <c r="MOO841" s="802"/>
      <c r="MOP841" s="802"/>
      <c r="MOQ841" s="802"/>
      <c r="MOR841" s="802"/>
      <c r="MOS841" s="802"/>
      <c r="MOT841" s="802"/>
      <c r="MOU841" s="802"/>
      <c r="MOV841" s="802"/>
      <c r="MOW841" s="802"/>
      <c r="MOX841" s="802"/>
      <c r="MOY841" s="802"/>
      <c r="MOZ841" s="802"/>
      <c r="MPA841" s="802"/>
      <c r="MPB841" s="802"/>
      <c r="MPC841" s="802"/>
      <c r="MPD841" s="802"/>
      <c r="MPE841" s="802"/>
      <c r="MPF841" s="802"/>
      <c r="MPG841" s="802"/>
      <c r="MPH841" s="802"/>
      <c r="MPI841" s="802"/>
      <c r="MPJ841" s="802"/>
      <c r="MPK841" s="802"/>
      <c r="MPL841" s="802"/>
      <c r="MPM841" s="802"/>
      <c r="MPN841" s="802"/>
      <c r="MPO841" s="802"/>
      <c r="MPP841" s="802"/>
      <c r="MPQ841" s="802"/>
      <c r="MPR841" s="802"/>
      <c r="MPS841" s="802"/>
      <c r="MPT841" s="802"/>
      <c r="MPU841" s="802"/>
      <c r="MPV841" s="802"/>
      <c r="MPW841" s="802"/>
      <c r="MPX841" s="802"/>
      <c r="MPY841" s="802"/>
      <c r="MPZ841" s="802"/>
      <c r="MQA841" s="802"/>
      <c r="MQB841" s="802"/>
      <c r="MQC841" s="802"/>
      <c r="MQD841" s="802"/>
      <c r="MQE841" s="802"/>
      <c r="MQF841" s="802"/>
      <c r="MQG841" s="802"/>
      <c r="MQH841" s="802"/>
      <c r="MQI841" s="802"/>
      <c r="MQJ841" s="802"/>
      <c r="MQK841" s="802"/>
      <c r="MQL841" s="802"/>
      <c r="MQM841" s="802"/>
      <c r="MQN841" s="802"/>
      <c r="MQO841" s="802"/>
      <c r="MQP841" s="802"/>
      <c r="MQQ841" s="802"/>
      <c r="MQR841" s="802"/>
      <c r="MQS841" s="802"/>
      <c r="MQT841" s="802"/>
      <c r="MQU841" s="802"/>
      <c r="MQV841" s="802"/>
      <c r="MQW841" s="802"/>
      <c r="MQX841" s="802"/>
      <c r="MQY841" s="802"/>
      <c r="MQZ841" s="802"/>
      <c r="MRA841" s="802"/>
      <c r="MRB841" s="802"/>
      <c r="MRC841" s="802"/>
      <c r="MRD841" s="802"/>
      <c r="MRE841" s="802"/>
      <c r="MRF841" s="802"/>
      <c r="MRG841" s="802"/>
      <c r="MRH841" s="802"/>
      <c r="MRI841" s="802"/>
      <c r="MRJ841" s="802"/>
      <c r="MRK841" s="802"/>
      <c r="MRL841" s="802"/>
      <c r="MRM841" s="802"/>
      <c r="MRN841" s="802"/>
      <c r="MRO841" s="802"/>
      <c r="MRP841" s="802"/>
      <c r="MRQ841" s="802"/>
      <c r="MRR841" s="802"/>
      <c r="MRS841" s="802"/>
      <c r="MRT841" s="802"/>
      <c r="MRU841" s="802"/>
      <c r="MRV841" s="802"/>
      <c r="MRW841" s="802"/>
      <c r="MRX841" s="802"/>
      <c r="MRY841" s="802"/>
      <c r="MRZ841" s="802"/>
      <c r="MSA841" s="802"/>
      <c r="MSB841" s="802"/>
      <c r="MSC841" s="802"/>
      <c r="MSD841" s="802"/>
      <c r="MSE841" s="802"/>
      <c r="MSF841" s="802"/>
      <c r="MSG841" s="802"/>
      <c r="MSH841" s="802"/>
      <c r="MSI841" s="802"/>
      <c r="MSJ841" s="802"/>
      <c r="MSK841" s="802"/>
      <c r="MSL841" s="802"/>
      <c r="MSM841" s="802"/>
      <c r="MSN841" s="802"/>
      <c r="MSO841" s="802"/>
      <c r="MSP841" s="802"/>
      <c r="MSQ841" s="802"/>
      <c r="MSR841" s="802"/>
      <c r="MSS841" s="802"/>
      <c r="MST841" s="802"/>
      <c r="MSU841" s="802"/>
      <c r="MSV841" s="802"/>
      <c r="MSW841" s="802"/>
      <c r="MSX841" s="802"/>
      <c r="MSY841" s="802"/>
      <c r="MSZ841" s="802"/>
      <c r="MTA841" s="802"/>
      <c r="MTB841" s="802"/>
      <c r="MTC841" s="802"/>
      <c r="MTD841" s="802"/>
      <c r="MTE841" s="802"/>
      <c r="MTF841" s="802"/>
      <c r="MTG841" s="802"/>
      <c r="MTH841" s="802"/>
      <c r="MTI841" s="802"/>
      <c r="MTJ841" s="802"/>
      <c r="MTK841" s="802"/>
      <c r="MTL841" s="802"/>
      <c r="MTM841" s="802"/>
      <c r="MTN841" s="802"/>
      <c r="MTO841" s="802"/>
      <c r="MTP841" s="802"/>
      <c r="MTQ841" s="802"/>
      <c r="MTR841" s="802"/>
      <c r="MTS841" s="802"/>
      <c r="MTT841" s="802"/>
      <c r="MTU841" s="802"/>
      <c r="MTV841" s="802"/>
      <c r="MTW841" s="802"/>
      <c r="MTX841" s="802"/>
      <c r="MTY841" s="802"/>
      <c r="MTZ841" s="802"/>
      <c r="MUA841" s="802"/>
      <c r="MUB841" s="802"/>
      <c r="MUC841" s="802"/>
      <c r="MUD841" s="802"/>
      <c r="MUE841" s="802"/>
      <c r="MUF841" s="802"/>
      <c r="MUG841" s="802"/>
      <c r="MUH841" s="802"/>
      <c r="MUI841" s="802"/>
      <c r="MUJ841" s="802"/>
      <c r="MUK841" s="802"/>
      <c r="MUL841" s="802"/>
      <c r="MUM841" s="802"/>
      <c r="MUN841" s="802"/>
      <c r="MUO841" s="802"/>
      <c r="MUP841" s="802"/>
      <c r="MUQ841" s="802"/>
      <c r="MUR841" s="802"/>
      <c r="MUS841" s="802"/>
      <c r="MUT841" s="802"/>
      <c r="MUU841" s="802"/>
      <c r="MUV841" s="802"/>
      <c r="MUW841" s="802"/>
      <c r="MUX841" s="802"/>
      <c r="MUY841" s="802"/>
      <c r="MUZ841" s="802"/>
      <c r="MVA841" s="802"/>
      <c r="MVB841" s="802"/>
      <c r="MVC841" s="802"/>
      <c r="MVD841" s="802"/>
      <c r="MVE841" s="802"/>
      <c r="MVF841" s="802"/>
      <c r="MVG841" s="802"/>
      <c r="MVH841" s="802"/>
      <c r="MVI841" s="802"/>
      <c r="MVJ841" s="802"/>
      <c r="MVK841" s="802"/>
      <c r="MVL841" s="802"/>
      <c r="MVM841" s="802"/>
      <c r="MVN841" s="802"/>
      <c r="MVO841" s="802"/>
      <c r="MVP841" s="802"/>
      <c r="MVQ841" s="802"/>
      <c r="MVR841" s="802"/>
      <c r="MVS841" s="802"/>
      <c r="MVT841" s="802"/>
      <c r="MVU841" s="802"/>
      <c r="MVV841" s="802"/>
      <c r="MVW841" s="802"/>
      <c r="MVX841" s="802"/>
      <c r="MVY841" s="802"/>
      <c r="MVZ841" s="802"/>
      <c r="MWA841" s="802"/>
      <c r="MWB841" s="802"/>
      <c r="MWC841" s="802"/>
      <c r="MWD841" s="802"/>
      <c r="MWE841" s="802"/>
      <c r="MWF841" s="802"/>
      <c r="MWG841" s="802"/>
      <c r="MWH841" s="802"/>
      <c r="MWI841" s="802"/>
      <c r="MWJ841" s="802"/>
      <c r="MWK841" s="802"/>
      <c r="MWL841" s="802"/>
      <c r="MWM841" s="802"/>
      <c r="MWN841" s="802"/>
      <c r="MWO841" s="802"/>
      <c r="MWP841" s="802"/>
      <c r="MWQ841" s="802"/>
      <c r="MWR841" s="802"/>
      <c r="MWS841" s="802"/>
      <c r="MWT841" s="802"/>
      <c r="MWU841" s="802"/>
      <c r="MWV841" s="802"/>
      <c r="MWW841" s="802"/>
      <c r="MWX841" s="802"/>
      <c r="MWY841" s="802"/>
      <c r="MWZ841" s="802"/>
      <c r="MXA841" s="802"/>
      <c r="MXB841" s="802"/>
      <c r="MXC841" s="802"/>
      <c r="MXD841" s="802"/>
      <c r="MXE841" s="802"/>
      <c r="MXF841" s="802"/>
      <c r="MXG841" s="802"/>
      <c r="MXH841" s="802"/>
      <c r="MXI841" s="802"/>
      <c r="MXJ841" s="802"/>
      <c r="MXK841" s="802"/>
      <c r="MXL841" s="802"/>
      <c r="MXM841" s="802"/>
      <c r="MXN841" s="802"/>
      <c r="MXO841" s="802"/>
      <c r="MXP841" s="802"/>
      <c r="MXQ841" s="802"/>
      <c r="MXR841" s="802"/>
      <c r="MXS841" s="802"/>
      <c r="MXT841" s="802"/>
      <c r="MXU841" s="802"/>
      <c r="MXV841" s="802"/>
      <c r="MXW841" s="802"/>
      <c r="MXX841" s="802"/>
      <c r="MXY841" s="802"/>
      <c r="MXZ841" s="802"/>
      <c r="MYA841" s="802"/>
      <c r="MYB841" s="802"/>
      <c r="MYC841" s="802"/>
      <c r="MYD841" s="802"/>
      <c r="MYE841" s="802"/>
      <c r="MYF841" s="802"/>
      <c r="MYG841" s="802"/>
      <c r="MYH841" s="802"/>
      <c r="MYI841" s="802"/>
      <c r="MYJ841" s="802"/>
      <c r="MYK841" s="802"/>
      <c r="MYL841" s="802"/>
      <c r="MYM841" s="802"/>
      <c r="MYN841" s="802"/>
      <c r="MYO841" s="802"/>
      <c r="MYP841" s="802"/>
      <c r="MYQ841" s="802"/>
      <c r="MYR841" s="802"/>
      <c r="MYS841" s="802"/>
      <c r="MYT841" s="802"/>
      <c r="MYU841" s="802"/>
      <c r="MYV841" s="802"/>
      <c r="MYW841" s="802"/>
      <c r="MYX841" s="802"/>
      <c r="MYY841" s="802"/>
      <c r="MYZ841" s="802"/>
      <c r="MZA841" s="802"/>
      <c r="MZB841" s="802"/>
      <c r="MZC841" s="802"/>
      <c r="MZD841" s="802"/>
      <c r="MZE841" s="802"/>
      <c r="MZF841" s="802"/>
      <c r="MZG841" s="802"/>
      <c r="MZH841" s="802"/>
      <c r="MZI841" s="802"/>
      <c r="MZJ841" s="802"/>
      <c r="MZK841" s="802"/>
      <c r="MZL841" s="802"/>
      <c r="MZM841" s="802"/>
      <c r="MZN841" s="802"/>
      <c r="MZO841" s="802"/>
      <c r="MZP841" s="802"/>
      <c r="MZQ841" s="802"/>
      <c r="MZR841" s="802"/>
      <c r="MZS841" s="802"/>
      <c r="MZT841" s="802"/>
      <c r="MZU841" s="802"/>
      <c r="MZV841" s="802"/>
      <c r="MZW841" s="802"/>
      <c r="MZX841" s="802"/>
      <c r="MZY841" s="802"/>
      <c r="MZZ841" s="802"/>
      <c r="NAA841" s="802"/>
      <c r="NAB841" s="802"/>
      <c r="NAC841" s="802"/>
      <c r="NAD841" s="802"/>
      <c r="NAE841" s="802"/>
      <c r="NAF841" s="802"/>
      <c r="NAG841" s="802"/>
      <c r="NAH841" s="802"/>
      <c r="NAI841" s="802"/>
      <c r="NAJ841" s="802"/>
      <c r="NAK841" s="802"/>
      <c r="NAL841" s="802"/>
      <c r="NAM841" s="802"/>
      <c r="NAN841" s="802"/>
      <c r="NAO841" s="802"/>
      <c r="NAP841" s="802"/>
      <c r="NAQ841" s="802"/>
      <c r="NAR841" s="802"/>
      <c r="NAS841" s="802"/>
      <c r="NAT841" s="802"/>
      <c r="NAU841" s="802"/>
      <c r="NAV841" s="802"/>
      <c r="NAW841" s="802"/>
      <c r="NAX841" s="802"/>
      <c r="NAY841" s="802"/>
      <c r="NAZ841" s="802"/>
      <c r="NBA841" s="802"/>
      <c r="NBB841" s="802"/>
      <c r="NBC841" s="802"/>
      <c r="NBD841" s="802"/>
      <c r="NBE841" s="802"/>
      <c r="NBF841" s="802"/>
      <c r="NBG841" s="802"/>
      <c r="NBH841" s="802"/>
      <c r="NBI841" s="802"/>
      <c r="NBJ841" s="802"/>
      <c r="NBK841" s="802"/>
      <c r="NBL841" s="802"/>
      <c r="NBM841" s="802"/>
      <c r="NBN841" s="802"/>
      <c r="NBO841" s="802"/>
      <c r="NBP841" s="802"/>
      <c r="NBQ841" s="802"/>
      <c r="NBR841" s="802"/>
      <c r="NBS841" s="802"/>
      <c r="NBT841" s="802"/>
      <c r="NBU841" s="802"/>
      <c r="NBV841" s="802"/>
      <c r="NBW841" s="802"/>
      <c r="NBX841" s="802"/>
      <c r="NBY841" s="802"/>
      <c r="NBZ841" s="802"/>
      <c r="NCA841" s="802"/>
      <c r="NCB841" s="802"/>
      <c r="NCC841" s="802"/>
      <c r="NCD841" s="802"/>
      <c r="NCE841" s="802"/>
      <c r="NCF841" s="802"/>
      <c r="NCG841" s="802"/>
      <c r="NCH841" s="802"/>
      <c r="NCI841" s="802"/>
      <c r="NCJ841" s="802"/>
      <c r="NCK841" s="802"/>
      <c r="NCL841" s="802"/>
      <c r="NCM841" s="802"/>
      <c r="NCN841" s="802"/>
      <c r="NCO841" s="802"/>
      <c r="NCP841" s="802"/>
      <c r="NCQ841" s="802"/>
      <c r="NCR841" s="802"/>
      <c r="NCS841" s="802"/>
      <c r="NCT841" s="802"/>
      <c r="NCU841" s="802"/>
      <c r="NCV841" s="802"/>
      <c r="NCW841" s="802"/>
      <c r="NCX841" s="802"/>
      <c r="NCY841" s="802"/>
      <c r="NCZ841" s="802"/>
      <c r="NDA841" s="802"/>
      <c r="NDB841" s="802"/>
      <c r="NDC841" s="802"/>
      <c r="NDD841" s="802"/>
      <c r="NDE841" s="802"/>
      <c r="NDF841" s="802"/>
      <c r="NDG841" s="802"/>
      <c r="NDH841" s="802"/>
      <c r="NDI841" s="802"/>
      <c r="NDJ841" s="802"/>
      <c r="NDK841" s="802"/>
      <c r="NDL841" s="802"/>
      <c r="NDM841" s="802"/>
      <c r="NDN841" s="802"/>
      <c r="NDO841" s="802"/>
      <c r="NDP841" s="802"/>
      <c r="NDQ841" s="802"/>
      <c r="NDR841" s="802"/>
      <c r="NDS841" s="802"/>
      <c r="NDT841" s="802"/>
      <c r="NDU841" s="802"/>
      <c r="NDV841" s="802"/>
      <c r="NDW841" s="802"/>
      <c r="NDX841" s="802"/>
      <c r="NDY841" s="802"/>
      <c r="NDZ841" s="802"/>
      <c r="NEA841" s="802"/>
      <c r="NEB841" s="802"/>
      <c r="NEC841" s="802"/>
      <c r="NED841" s="802"/>
      <c r="NEE841" s="802"/>
      <c r="NEF841" s="802"/>
      <c r="NEG841" s="802"/>
      <c r="NEH841" s="802"/>
      <c r="NEI841" s="802"/>
      <c r="NEJ841" s="802"/>
      <c r="NEK841" s="802"/>
      <c r="NEL841" s="802"/>
      <c r="NEM841" s="802"/>
      <c r="NEN841" s="802"/>
      <c r="NEO841" s="802"/>
      <c r="NEP841" s="802"/>
      <c r="NEQ841" s="802"/>
      <c r="NER841" s="802"/>
      <c r="NES841" s="802"/>
      <c r="NET841" s="802"/>
      <c r="NEU841" s="802"/>
      <c r="NEV841" s="802"/>
      <c r="NEW841" s="802"/>
      <c r="NEX841" s="802"/>
      <c r="NEY841" s="802"/>
      <c r="NEZ841" s="802"/>
      <c r="NFA841" s="802"/>
      <c r="NFB841" s="802"/>
      <c r="NFC841" s="802"/>
      <c r="NFD841" s="802"/>
      <c r="NFE841" s="802"/>
      <c r="NFF841" s="802"/>
      <c r="NFG841" s="802"/>
      <c r="NFH841" s="802"/>
      <c r="NFI841" s="802"/>
      <c r="NFJ841" s="802"/>
      <c r="NFK841" s="802"/>
      <c r="NFL841" s="802"/>
      <c r="NFM841" s="802"/>
      <c r="NFN841" s="802"/>
      <c r="NFO841" s="802"/>
      <c r="NFP841" s="802"/>
      <c r="NFQ841" s="802"/>
      <c r="NFR841" s="802"/>
      <c r="NFS841" s="802"/>
      <c r="NFT841" s="802"/>
      <c r="NFU841" s="802"/>
      <c r="NFV841" s="802"/>
      <c r="NFW841" s="802"/>
      <c r="NFX841" s="802"/>
      <c r="NFY841" s="802"/>
      <c r="NFZ841" s="802"/>
      <c r="NGA841" s="802"/>
      <c r="NGB841" s="802"/>
      <c r="NGC841" s="802"/>
      <c r="NGD841" s="802"/>
      <c r="NGE841" s="802"/>
      <c r="NGF841" s="802"/>
      <c r="NGG841" s="802"/>
      <c r="NGH841" s="802"/>
      <c r="NGI841" s="802"/>
      <c r="NGJ841" s="802"/>
      <c r="NGK841" s="802"/>
      <c r="NGL841" s="802"/>
      <c r="NGM841" s="802"/>
      <c r="NGN841" s="802"/>
      <c r="NGO841" s="802"/>
      <c r="NGP841" s="802"/>
      <c r="NGQ841" s="802"/>
      <c r="NGR841" s="802"/>
      <c r="NGS841" s="802"/>
      <c r="NGT841" s="802"/>
      <c r="NGU841" s="802"/>
      <c r="NGV841" s="802"/>
      <c r="NGW841" s="802"/>
      <c r="NGX841" s="802"/>
      <c r="NGY841" s="802"/>
      <c r="NGZ841" s="802"/>
      <c r="NHA841" s="802"/>
      <c r="NHB841" s="802"/>
      <c r="NHC841" s="802"/>
      <c r="NHD841" s="802"/>
      <c r="NHE841" s="802"/>
      <c r="NHF841" s="802"/>
      <c r="NHG841" s="802"/>
      <c r="NHH841" s="802"/>
      <c r="NHI841" s="802"/>
      <c r="NHJ841" s="802"/>
      <c r="NHK841" s="802"/>
      <c r="NHL841" s="802"/>
      <c r="NHM841" s="802"/>
      <c r="NHN841" s="802"/>
      <c r="NHO841" s="802"/>
      <c r="NHP841" s="802"/>
      <c r="NHQ841" s="802"/>
      <c r="NHR841" s="802"/>
      <c r="NHS841" s="802"/>
      <c r="NHT841" s="802"/>
      <c r="NHU841" s="802"/>
      <c r="NHV841" s="802"/>
      <c r="NHW841" s="802"/>
      <c r="NHX841" s="802"/>
      <c r="NHY841" s="802"/>
      <c r="NHZ841" s="802"/>
      <c r="NIA841" s="802"/>
      <c r="NIB841" s="802"/>
      <c r="NIC841" s="802"/>
      <c r="NID841" s="802"/>
      <c r="NIE841" s="802"/>
      <c r="NIF841" s="802"/>
      <c r="NIG841" s="802"/>
      <c r="NIH841" s="802"/>
      <c r="NII841" s="802"/>
      <c r="NIJ841" s="802"/>
      <c r="NIK841" s="802"/>
      <c r="NIL841" s="802"/>
      <c r="NIM841" s="802"/>
      <c r="NIN841" s="802"/>
      <c r="NIO841" s="802"/>
      <c r="NIP841" s="802"/>
      <c r="NIQ841" s="802"/>
      <c r="NIR841" s="802"/>
      <c r="NIS841" s="802"/>
      <c r="NIT841" s="802"/>
      <c r="NIU841" s="802"/>
      <c r="NIV841" s="802"/>
      <c r="NIW841" s="802"/>
      <c r="NIX841" s="802"/>
      <c r="NIY841" s="802"/>
      <c r="NIZ841" s="802"/>
      <c r="NJA841" s="802"/>
      <c r="NJB841" s="802"/>
      <c r="NJC841" s="802"/>
      <c r="NJD841" s="802"/>
      <c r="NJE841" s="802"/>
      <c r="NJF841" s="802"/>
      <c r="NJG841" s="802"/>
      <c r="NJH841" s="802"/>
      <c r="NJI841" s="802"/>
      <c r="NJJ841" s="802"/>
      <c r="NJK841" s="802"/>
      <c r="NJL841" s="802"/>
      <c r="NJM841" s="802"/>
      <c r="NJN841" s="802"/>
      <c r="NJO841" s="802"/>
      <c r="NJP841" s="802"/>
      <c r="NJQ841" s="802"/>
      <c r="NJR841" s="802"/>
      <c r="NJS841" s="802"/>
      <c r="NJT841" s="802"/>
      <c r="NJU841" s="802"/>
      <c r="NJV841" s="802"/>
      <c r="NJW841" s="802"/>
      <c r="NJX841" s="802"/>
      <c r="NJY841" s="802"/>
      <c r="NJZ841" s="802"/>
      <c r="NKA841" s="802"/>
      <c r="NKB841" s="802"/>
      <c r="NKC841" s="802"/>
      <c r="NKD841" s="802"/>
      <c r="NKE841" s="802"/>
      <c r="NKF841" s="802"/>
      <c r="NKG841" s="802"/>
      <c r="NKH841" s="802"/>
      <c r="NKI841" s="802"/>
      <c r="NKJ841" s="802"/>
      <c r="NKK841" s="802"/>
      <c r="NKL841" s="802"/>
      <c r="NKM841" s="802"/>
      <c r="NKN841" s="802"/>
      <c r="NKO841" s="802"/>
      <c r="NKP841" s="802"/>
      <c r="NKQ841" s="802"/>
      <c r="NKR841" s="802"/>
      <c r="NKS841" s="802"/>
      <c r="NKT841" s="802"/>
      <c r="NKU841" s="802"/>
      <c r="NKV841" s="802"/>
      <c r="NKW841" s="802"/>
      <c r="NKX841" s="802"/>
      <c r="NKY841" s="802"/>
      <c r="NKZ841" s="802"/>
      <c r="NLA841" s="802"/>
      <c r="NLB841" s="802"/>
      <c r="NLC841" s="802"/>
      <c r="NLD841" s="802"/>
      <c r="NLE841" s="802"/>
      <c r="NLF841" s="802"/>
      <c r="NLG841" s="802"/>
      <c r="NLH841" s="802"/>
      <c r="NLI841" s="802"/>
      <c r="NLJ841" s="802"/>
      <c r="NLK841" s="802"/>
      <c r="NLL841" s="802"/>
      <c r="NLM841" s="802"/>
      <c r="NLN841" s="802"/>
      <c r="NLO841" s="802"/>
      <c r="NLP841" s="802"/>
      <c r="NLQ841" s="802"/>
      <c r="NLR841" s="802"/>
      <c r="NLS841" s="802"/>
      <c r="NLT841" s="802"/>
      <c r="NLU841" s="802"/>
      <c r="NLV841" s="802"/>
      <c r="NLW841" s="802"/>
      <c r="NLX841" s="802"/>
      <c r="NLY841" s="802"/>
      <c r="NLZ841" s="802"/>
      <c r="NMA841" s="802"/>
      <c r="NMB841" s="802"/>
      <c r="NMC841" s="802"/>
      <c r="NMD841" s="802"/>
      <c r="NME841" s="802"/>
      <c r="NMF841" s="802"/>
      <c r="NMG841" s="802"/>
      <c r="NMH841" s="802"/>
      <c r="NMI841" s="802"/>
      <c r="NMJ841" s="802"/>
      <c r="NMK841" s="802"/>
      <c r="NML841" s="802"/>
      <c r="NMM841" s="802"/>
      <c r="NMN841" s="802"/>
      <c r="NMO841" s="802"/>
      <c r="NMP841" s="802"/>
      <c r="NMQ841" s="802"/>
      <c r="NMR841" s="802"/>
      <c r="NMS841" s="802"/>
      <c r="NMT841" s="802"/>
      <c r="NMU841" s="802"/>
      <c r="NMV841" s="802"/>
      <c r="NMW841" s="802"/>
      <c r="NMX841" s="802"/>
      <c r="NMY841" s="802"/>
      <c r="NMZ841" s="802"/>
      <c r="NNA841" s="802"/>
      <c r="NNB841" s="802"/>
      <c r="NNC841" s="802"/>
      <c r="NND841" s="802"/>
      <c r="NNE841" s="802"/>
      <c r="NNF841" s="802"/>
      <c r="NNG841" s="802"/>
      <c r="NNH841" s="802"/>
      <c r="NNI841" s="802"/>
      <c r="NNJ841" s="802"/>
      <c r="NNK841" s="802"/>
      <c r="NNL841" s="802"/>
      <c r="NNM841" s="802"/>
      <c r="NNN841" s="802"/>
      <c r="NNO841" s="802"/>
      <c r="NNP841" s="802"/>
      <c r="NNQ841" s="802"/>
      <c r="NNR841" s="802"/>
      <c r="NNS841" s="802"/>
      <c r="NNT841" s="802"/>
      <c r="NNU841" s="802"/>
      <c r="NNV841" s="802"/>
      <c r="NNW841" s="802"/>
      <c r="NNX841" s="802"/>
      <c r="NNY841" s="802"/>
      <c r="NNZ841" s="802"/>
      <c r="NOA841" s="802"/>
      <c r="NOB841" s="802"/>
      <c r="NOC841" s="802"/>
      <c r="NOD841" s="802"/>
      <c r="NOE841" s="802"/>
      <c r="NOF841" s="802"/>
      <c r="NOG841" s="802"/>
      <c r="NOH841" s="802"/>
      <c r="NOI841" s="802"/>
      <c r="NOJ841" s="802"/>
      <c r="NOK841" s="802"/>
      <c r="NOL841" s="802"/>
      <c r="NOM841" s="802"/>
      <c r="NON841" s="802"/>
      <c r="NOO841" s="802"/>
      <c r="NOP841" s="802"/>
      <c r="NOQ841" s="802"/>
      <c r="NOR841" s="802"/>
      <c r="NOS841" s="802"/>
      <c r="NOT841" s="802"/>
      <c r="NOU841" s="802"/>
      <c r="NOV841" s="802"/>
      <c r="NOW841" s="802"/>
      <c r="NOX841" s="802"/>
      <c r="NOY841" s="802"/>
      <c r="NOZ841" s="802"/>
      <c r="NPA841" s="802"/>
      <c r="NPB841" s="802"/>
      <c r="NPC841" s="802"/>
      <c r="NPD841" s="802"/>
      <c r="NPE841" s="802"/>
      <c r="NPF841" s="802"/>
      <c r="NPG841" s="802"/>
      <c r="NPH841" s="802"/>
      <c r="NPI841" s="802"/>
      <c r="NPJ841" s="802"/>
      <c r="NPK841" s="802"/>
      <c r="NPL841" s="802"/>
      <c r="NPM841" s="802"/>
      <c r="NPN841" s="802"/>
      <c r="NPO841" s="802"/>
      <c r="NPP841" s="802"/>
      <c r="NPQ841" s="802"/>
      <c r="NPR841" s="802"/>
      <c r="NPS841" s="802"/>
      <c r="NPT841" s="802"/>
      <c r="NPU841" s="802"/>
      <c r="NPV841" s="802"/>
      <c r="NPW841" s="802"/>
      <c r="NPX841" s="802"/>
      <c r="NPY841" s="802"/>
      <c r="NPZ841" s="802"/>
      <c r="NQA841" s="802"/>
      <c r="NQB841" s="802"/>
      <c r="NQC841" s="802"/>
      <c r="NQD841" s="802"/>
      <c r="NQE841" s="802"/>
      <c r="NQF841" s="802"/>
      <c r="NQG841" s="802"/>
      <c r="NQH841" s="802"/>
      <c r="NQI841" s="802"/>
      <c r="NQJ841" s="802"/>
      <c r="NQK841" s="802"/>
      <c r="NQL841" s="802"/>
      <c r="NQM841" s="802"/>
      <c r="NQN841" s="802"/>
      <c r="NQO841" s="802"/>
      <c r="NQP841" s="802"/>
      <c r="NQQ841" s="802"/>
      <c r="NQR841" s="802"/>
      <c r="NQS841" s="802"/>
      <c r="NQT841" s="802"/>
      <c r="NQU841" s="802"/>
      <c r="NQV841" s="802"/>
      <c r="NQW841" s="802"/>
      <c r="NQX841" s="802"/>
      <c r="NQY841" s="802"/>
      <c r="NQZ841" s="802"/>
      <c r="NRA841" s="802"/>
      <c r="NRB841" s="802"/>
      <c r="NRC841" s="802"/>
      <c r="NRD841" s="802"/>
      <c r="NRE841" s="802"/>
      <c r="NRF841" s="802"/>
      <c r="NRG841" s="802"/>
      <c r="NRH841" s="802"/>
      <c r="NRI841" s="802"/>
      <c r="NRJ841" s="802"/>
      <c r="NRK841" s="802"/>
      <c r="NRL841" s="802"/>
      <c r="NRM841" s="802"/>
      <c r="NRN841" s="802"/>
      <c r="NRO841" s="802"/>
      <c r="NRP841" s="802"/>
      <c r="NRQ841" s="802"/>
      <c r="NRR841" s="802"/>
      <c r="NRS841" s="802"/>
      <c r="NRT841" s="802"/>
      <c r="NRU841" s="802"/>
      <c r="NRV841" s="802"/>
      <c r="NRW841" s="802"/>
      <c r="NRX841" s="802"/>
      <c r="NRY841" s="802"/>
      <c r="NRZ841" s="802"/>
      <c r="NSA841" s="802"/>
      <c r="NSB841" s="802"/>
      <c r="NSC841" s="802"/>
      <c r="NSD841" s="802"/>
      <c r="NSE841" s="802"/>
      <c r="NSF841" s="802"/>
      <c r="NSG841" s="802"/>
      <c r="NSH841" s="802"/>
      <c r="NSI841" s="802"/>
      <c r="NSJ841" s="802"/>
      <c r="NSK841" s="802"/>
      <c r="NSL841" s="802"/>
      <c r="NSM841" s="802"/>
      <c r="NSN841" s="802"/>
      <c r="NSO841" s="802"/>
      <c r="NSP841" s="802"/>
      <c r="NSQ841" s="802"/>
      <c r="NSR841" s="802"/>
      <c r="NSS841" s="802"/>
      <c r="NST841" s="802"/>
      <c r="NSU841" s="802"/>
      <c r="NSV841" s="802"/>
      <c r="NSW841" s="802"/>
      <c r="NSX841" s="802"/>
      <c r="NSY841" s="802"/>
      <c r="NSZ841" s="802"/>
      <c r="NTA841" s="802"/>
      <c r="NTB841" s="802"/>
      <c r="NTC841" s="802"/>
      <c r="NTD841" s="802"/>
      <c r="NTE841" s="802"/>
      <c r="NTF841" s="802"/>
      <c r="NTG841" s="802"/>
      <c r="NTH841" s="802"/>
      <c r="NTI841" s="802"/>
      <c r="NTJ841" s="802"/>
      <c r="NTK841" s="802"/>
      <c r="NTL841" s="802"/>
      <c r="NTM841" s="802"/>
      <c r="NTN841" s="802"/>
      <c r="NTO841" s="802"/>
      <c r="NTP841" s="802"/>
      <c r="NTQ841" s="802"/>
      <c r="NTR841" s="802"/>
      <c r="NTS841" s="802"/>
      <c r="NTT841" s="802"/>
      <c r="NTU841" s="802"/>
      <c r="NTV841" s="802"/>
      <c r="NTW841" s="802"/>
      <c r="NTX841" s="802"/>
      <c r="NTY841" s="802"/>
      <c r="NTZ841" s="802"/>
      <c r="NUA841" s="802"/>
      <c r="NUB841" s="802"/>
      <c r="NUC841" s="802"/>
      <c r="NUD841" s="802"/>
      <c r="NUE841" s="802"/>
      <c r="NUF841" s="802"/>
      <c r="NUG841" s="802"/>
      <c r="NUH841" s="802"/>
      <c r="NUI841" s="802"/>
      <c r="NUJ841" s="802"/>
      <c r="NUK841" s="802"/>
      <c r="NUL841" s="802"/>
      <c r="NUM841" s="802"/>
      <c r="NUN841" s="802"/>
      <c r="NUO841" s="802"/>
      <c r="NUP841" s="802"/>
      <c r="NUQ841" s="802"/>
      <c r="NUR841" s="802"/>
      <c r="NUS841" s="802"/>
      <c r="NUT841" s="802"/>
      <c r="NUU841" s="802"/>
      <c r="NUV841" s="802"/>
      <c r="NUW841" s="802"/>
      <c r="NUX841" s="802"/>
      <c r="NUY841" s="802"/>
      <c r="NUZ841" s="802"/>
      <c r="NVA841" s="802"/>
      <c r="NVB841" s="802"/>
      <c r="NVC841" s="802"/>
      <c r="NVD841" s="802"/>
      <c r="NVE841" s="802"/>
      <c r="NVF841" s="802"/>
      <c r="NVG841" s="802"/>
      <c r="NVH841" s="802"/>
      <c r="NVI841" s="802"/>
      <c r="NVJ841" s="802"/>
      <c r="NVK841" s="802"/>
      <c r="NVL841" s="802"/>
      <c r="NVM841" s="802"/>
      <c r="NVN841" s="802"/>
      <c r="NVO841" s="802"/>
      <c r="NVP841" s="802"/>
      <c r="NVQ841" s="802"/>
      <c r="NVR841" s="802"/>
      <c r="NVS841" s="802"/>
      <c r="NVT841" s="802"/>
      <c r="NVU841" s="802"/>
      <c r="NVV841" s="802"/>
      <c r="NVW841" s="802"/>
      <c r="NVX841" s="802"/>
      <c r="NVY841" s="802"/>
      <c r="NVZ841" s="802"/>
      <c r="NWA841" s="802"/>
      <c r="NWB841" s="802"/>
      <c r="NWC841" s="802"/>
      <c r="NWD841" s="802"/>
      <c r="NWE841" s="802"/>
      <c r="NWF841" s="802"/>
      <c r="NWG841" s="802"/>
      <c r="NWH841" s="802"/>
      <c r="NWI841" s="802"/>
      <c r="NWJ841" s="802"/>
      <c r="NWK841" s="802"/>
      <c r="NWL841" s="802"/>
      <c r="NWM841" s="802"/>
      <c r="NWN841" s="802"/>
      <c r="NWO841" s="802"/>
      <c r="NWP841" s="802"/>
      <c r="NWQ841" s="802"/>
      <c r="NWR841" s="802"/>
      <c r="NWS841" s="802"/>
      <c r="NWT841" s="802"/>
      <c r="NWU841" s="802"/>
      <c r="NWV841" s="802"/>
      <c r="NWW841" s="802"/>
      <c r="NWX841" s="802"/>
      <c r="NWY841" s="802"/>
      <c r="NWZ841" s="802"/>
      <c r="NXA841" s="802"/>
      <c r="NXB841" s="802"/>
      <c r="NXC841" s="802"/>
      <c r="NXD841" s="802"/>
      <c r="NXE841" s="802"/>
      <c r="NXF841" s="802"/>
      <c r="NXG841" s="802"/>
      <c r="NXH841" s="802"/>
      <c r="NXI841" s="802"/>
      <c r="NXJ841" s="802"/>
      <c r="NXK841" s="802"/>
      <c r="NXL841" s="802"/>
      <c r="NXM841" s="802"/>
      <c r="NXN841" s="802"/>
      <c r="NXO841" s="802"/>
      <c r="NXP841" s="802"/>
      <c r="NXQ841" s="802"/>
      <c r="NXR841" s="802"/>
      <c r="NXS841" s="802"/>
      <c r="NXT841" s="802"/>
      <c r="NXU841" s="802"/>
      <c r="NXV841" s="802"/>
      <c r="NXW841" s="802"/>
      <c r="NXX841" s="802"/>
      <c r="NXY841" s="802"/>
      <c r="NXZ841" s="802"/>
      <c r="NYA841" s="802"/>
      <c r="NYB841" s="802"/>
      <c r="NYC841" s="802"/>
      <c r="NYD841" s="802"/>
      <c r="NYE841" s="802"/>
      <c r="NYF841" s="802"/>
      <c r="NYG841" s="802"/>
      <c r="NYH841" s="802"/>
      <c r="NYI841" s="802"/>
      <c r="NYJ841" s="802"/>
      <c r="NYK841" s="802"/>
      <c r="NYL841" s="802"/>
      <c r="NYM841" s="802"/>
      <c r="NYN841" s="802"/>
      <c r="NYO841" s="802"/>
      <c r="NYP841" s="802"/>
      <c r="NYQ841" s="802"/>
      <c r="NYR841" s="802"/>
      <c r="NYS841" s="802"/>
      <c r="NYT841" s="802"/>
      <c r="NYU841" s="802"/>
      <c r="NYV841" s="802"/>
      <c r="NYW841" s="802"/>
      <c r="NYX841" s="802"/>
      <c r="NYY841" s="802"/>
      <c r="NYZ841" s="802"/>
      <c r="NZA841" s="802"/>
      <c r="NZB841" s="802"/>
      <c r="NZC841" s="802"/>
      <c r="NZD841" s="802"/>
      <c r="NZE841" s="802"/>
      <c r="NZF841" s="802"/>
      <c r="NZG841" s="802"/>
      <c r="NZH841" s="802"/>
      <c r="NZI841" s="802"/>
      <c r="NZJ841" s="802"/>
      <c r="NZK841" s="802"/>
      <c r="NZL841" s="802"/>
      <c r="NZM841" s="802"/>
      <c r="NZN841" s="802"/>
      <c r="NZO841" s="802"/>
      <c r="NZP841" s="802"/>
      <c r="NZQ841" s="802"/>
      <c r="NZR841" s="802"/>
      <c r="NZS841" s="802"/>
      <c r="NZT841" s="802"/>
      <c r="NZU841" s="802"/>
      <c r="NZV841" s="802"/>
      <c r="NZW841" s="802"/>
      <c r="NZX841" s="802"/>
      <c r="NZY841" s="802"/>
      <c r="NZZ841" s="802"/>
      <c r="OAA841" s="802"/>
      <c r="OAB841" s="802"/>
      <c r="OAC841" s="802"/>
      <c r="OAD841" s="802"/>
      <c r="OAE841" s="802"/>
      <c r="OAF841" s="802"/>
      <c r="OAG841" s="802"/>
      <c r="OAH841" s="802"/>
      <c r="OAI841" s="802"/>
      <c r="OAJ841" s="802"/>
      <c r="OAK841" s="802"/>
      <c r="OAL841" s="802"/>
      <c r="OAM841" s="802"/>
      <c r="OAN841" s="802"/>
      <c r="OAO841" s="802"/>
      <c r="OAP841" s="802"/>
      <c r="OAQ841" s="802"/>
      <c r="OAR841" s="802"/>
      <c r="OAS841" s="802"/>
      <c r="OAT841" s="802"/>
      <c r="OAU841" s="802"/>
      <c r="OAV841" s="802"/>
      <c r="OAW841" s="802"/>
      <c r="OAX841" s="802"/>
      <c r="OAY841" s="802"/>
      <c r="OAZ841" s="802"/>
      <c r="OBA841" s="802"/>
      <c r="OBB841" s="802"/>
      <c r="OBC841" s="802"/>
      <c r="OBD841" s="802"/>
      <c r="OBE841" s="802"/>
      <c r="OBF841" s="802"/>
      <c r="OBG841" s="802"/>
      <c r="OBH841" s="802"/>
      <c r="OBI841" s="802"/>
      <c r="OBJ841" s="802"/>
      <c r="OBK841" s="802"/>
      <c r="OBL841" s="802"/>
      <c r="OBM841" s="802"/>
      <c r="OBN841" s="802"/>
      <c r="OBO841" s="802"/>
      <c r="OBP841" s="802"/>
      <c r="OBQ841" s="802"/>
      <c r="OBR841" s="802"/>
      <c r="OBS841" s="802"/>
      <c r="OBT841" s="802"/>
      <c r="OBU841" s="802"/>
      <c r="OBV841" s="802"/>
      <c r="OBW841" s="802"/>
      <c r="OBX841" s="802"/>
      <c r="OBY841" s="802"/>
      <c r="OBZ841" s="802"/>
      <c r="OCA841" s="802"/>
      <c r="OCB841" s="802"/>
      <c r="OCC841" s="802"/>
      <c r="OCD841" s="802"/>
      <c r="OCE841" s="802"/>
      <c r="OCF841" s="802"/>
      <c r="OCG841" s="802"/>
      <c r="OCH841" s="802"/>
      <c r="OCI841" s="802"/>
      <c r="OCJ841" s="802"/>
      <c r="OCK841" s="802"/>
      <c r="OCL841" s="802"/>
      <c r="OCM841" s="802"/>
      <c r="OCN841" s="802"/>
      <c r="OCO841" s="802"/>
      <c r="OCP841" s="802"/>
      <c r="OCQ841" s="802"/>
      <c r="OCR841" s="802"/>
      <c r="OCS841" s="802"/>
      <c r="OCT841" s="802"/>
      <c r="OCU841" s="802"/>
      <c r="OCV841" s="802"/>
      <c r="OCW841" s="802"/>
      <c r="OCX841" s="802"/>
      <c r="OCY841" s="802"/>
      <c r="OCZ841" s="802"/>
      <c r="ODA841" s="802"/>
      <c r="ODB841" s="802"/>
      <c r="ODC841" s="802"/>
      <c r="ODD841" s="802"/>
      <c r="ODE841" s="802"/>
      <c r="ODF841" s="802"/>
      <c r="ODG841" s="802"/>
      <c r="ODH841" s="802"/>
      <c r="ODI841" s="802"/>
      <c r="ODJ841" s="802"/>
      <c r="ODK841" s="802"/>
      <c r="ODL841" s="802"/>
      <c r="ODM841" s="802"/>
      <c r="ODN841" s="802"/>
      <c r="ODO841" s="802"/>
      <c r="ODP841" s="802"/>
      <c r="ODQ841" s="802"/>
      <c r="ODR841" s="802"/>
      <c r="ODS841" s="802"/>
      <c r="ODT841" s="802"/>
      <c r="ODU841" s="802"/>
      <c r="ODV841" s="802"/>
      <c r="ODW841" s="802"/>
      <c r="ODX841" s="802"/>
      <c r="ODY841" s="802"/>
      <c r="ODZ841" s="802"/>
      <c r="OEA841" s="802"/>
      <c r="OEB841" s="802"/>
      <c r="OEC841" s="802"/>
      <c r="OED841" s="802"/>
      <c r="OEE841" s="802"/>
      <c r="OEF841" s="802"/>
      <c r="OEG841" s="802"/>
      <c r="OEH841" s="802"/>
      <c r="OEI841" s="802"/>
      <c r="OEJ841" s="802"/>
      <c r="OEK841" s="802"/>
      <c r="OEL841" s="802"/>
      <c r="OEM841" s="802"/>
      <c r="OEN841" s="802"/>
      <c r="OEO841" s="802"/>
      <c r="OEP841" s="802"/>
      <c r="OEQ841" s="802"/>
      <c r="OER841" s="802"/>
      <c r="OES841" s="802"/>
      <c r="OET841" s="802"/>
      <c r="OEU841" s="802"/>
      <c r="OEV841" s="802"/>
      <c r="OEW841" s="802"/>
      <c r="OEX841" s="802"/>
      <c r="OEY841" s="802"/>
      <c r="OEZ841" s="802"/>
      <c r="OFA841" s="802"/>
      <c r="OFB841" s="802"/>
      <c r="OFC841" s="802"/>
      <c r="OFD841" s="802"/>
      <c r="OFE841" s="802"/>
      <c r="OFF841" s="802"/>
      <c r="OFG841" s="802"/>
      <c r="OFH841" s="802"/>
      <c r="OFI841" s="802"/>
      <c r="OFJ841" s="802"/>
      <c r="OFK841" s="802"/>
      <c r="OFL841" s="802"/>
      <c r="OFM841" s="802"/>
      <c r="OFN841" s="802"/>
      <c r="OFO841" s="802"/>
      <c r="OFP841" s="802"/>
      <c r="OFQ841" s="802"/>
      <c r="OFR841" s="802"/>
      <c r="OFS841" s="802"/>
      <c r="OFT841" s="802"/>
      <c r="OFU841" s="802"/>
      <c r="OFV841" s="802"/>
      <c r="OFW841" s="802"/>
      <c r="OFX841" s="802"/>
      <c r="OFY841" s="802"/>
      <c r="OFZ841" s="802"/>
      <c r="OGA841" s="802"/>
      <c r="OGB841" s="802"/>
      <c r="OGC841" s="802"/>
      <c r="OGD841" s="802"/>
      <c r="OGE841" s="802"/>
      <c r="OGF841" s="802"/>
      <c r="OGG841" s="802"/>
      <c r="OGH841" s="802"/>
      <c r="OGI841" s="802"/>
      <c r="OGJ841" s="802"/>
      <c r="OGK841" s="802"/>
      <c r="OGL841" s="802"/>
      <c r="OGM841" s="802"/>
      <c r="OGN841" s="802"/>
      <c r="OGO841" s="802"/>
      <c r="OGP841" s="802"/>
      <c r="OGQ841" s="802"/>
      <c r="OGR841" s="802"/>
      <c r="OGS841" s="802"/>
      <c r="OGT841" s="802"/>
      <c r="OGU841" s="802"/>
      <c r="OGV841" s="802"/>
      <c r="OGW841" s="802"/>
      <c r="OGX841" s="802"/>
      <c r="OGY841" s="802"/>
      <c r="OGZ841" s="802"/>
      <c r="OHA841" s="802"/>
      <c r="OHB841" s="802"/>
      <c r="OHC841" s="802"/>
      <c r="OHD841" s="802"/>
      <c r="OHE841" s="802"/>
      <c r="OHF841" s="802"/>
      <c r="OHG841" s="802"/>
      <c r="OHH841" s="802"/>
      <c r="OHI841" s="802"/>
      <c r="OHJ841" s="802"/>
      <c r="OHK841" s="802"/>
      <c r="OHL841" s="802"/>
      <c r="OHM841" s="802"/>
      <c r="OHN841" s="802"/>
      <c r="OHO841" s="802"/>
      <c r="OHP841" s="802"/>
      <c r="OHQ841" s="802"/>
      <c r="OHR841" s="802"/>
      <c r="OHS841" s="802"/>
      <c r="OHT841" s="802"/>
      <c r="OHU841" s="802"/>
      <c r="OHV841" s="802"/>
      <c r="OHW841" s="802"/>
      <c r="OHX841" s="802"/>
      <c r="OHY841" s="802"/>
      <c r="OHZ841" s="802"/>
      <c r="OIA841" s="802"/>
      <c r="OIB841" s="802"/>
      <c r="OIC841" s="802"/>
      <c r="OID841" s="802"/>
      <c r="OIE841" s="802"/>
      <c r="OIF841" s="802"/>
      <c r="OIG841" s="802"/>
      <c r="OIH841" s="802"/>
      <c r="OII841" s="802"/>
      <c r="OIJ841" s="802"/>
      <c r="OIK841" s="802"/>
      <c r="OIL841" s="802"/>
      <c r="OIM841" s="802"/>
      <c r="OIN841" s="802"/>
      <c r="OIO841" s="802"/>
      <c r="OIP841" s="802"/>
      <c r="OIQ841" s="802"/>
      <c r="OIR841" s="802"/>
      <c r="OIS841" s="802"/>
      <c r="OIT841" s="802"/>
      <c r="OIU841" s="802"/>
      <c r="OIV841" s="802"/>
      <c r="OIW841" s="802"/>
      <c r="OIX841" s="802"/>
      <c r="OIY841" s="802"/>
      <c r="OIZ841" s="802"/>
      <c r="OJA841" s="802"/>
      <c r="OJB841" s="802"/>
      <c r="OJC841" s="802"/>
      <c r="OJD841" s="802"/>
      <c r="OJE841" s="802"/>
      <c r="OJF841" s="802"/>
      <c r="OJG841" s="802"/>
      <c r="OJH841" s="802"/>
      <c r="OJI841" s="802"/>
      <c r="OJJ841" s="802"/>
      <c r="OJK841" s="802"/>
      <c r="OJL841" s="802"/>
      <c r="OJM841" s="802"/>
      <c r="OJN841" s="802"/>
      <c r="OJO841" s="802"/>
      <c r="OJP841" s="802"/>
      <c r="OJQ841" s="802"/>
      <c r="OJR841" s="802"/>
      <c r="OJS841" s="802"/>
      <c r="OJT841" s="802"/>
      <c r="OJU841" s="802"/>
      <c r="OJV841" s="802"/>
      <c r="OJW841" s="802"/>
      <c r="OJX841" s="802"/>
      <c r="OJY841" s="802"/>
      <c r="OJZ841" s="802"/>
      <c r="OKA841" s="802"/>
      <c r="OKB841" s="802"/>
      <c r="OKC841" s="802"/>
      <c r="OKD841" s="802"/>
      <c r="OKE841" s="802"/>
      <c r="OKF841" s="802"/>
      <c r="OKG841" s="802"/>
      <c r="OKH841" s="802"/>
      <c r="OKI841" s="802"/>
      <c r="OKJ841" s="802"/>
      <c r="OKK841" s="802"/>
      <c r="OKL841" s="802"/>
      <c r="OKM841" s="802"/>
      <c r="OKN841" s="802"/>
      <c r="OKO841" s="802"/>
      <c r="OKP841" s="802"/>
      <c r="OKQ841" s="802"/>
      <c r="OKR841" s="802"/>
      <c r="OKS841" s="802"/>
      <c r="OKT841" s="802"/>
      <c r="OKU841" s="802"/>
      <c r="OKV841" s="802"/>
      <c r="OKW841" s="802"/>
      <c r="OKX841" s="802"/>
      <c r="OKY841" s="802"/>
      <c r="OKZ841" s="802"/>
      <c r="OLA841" s="802"/>
      <c r="OLB841" s="802"/>
      <c r="OLC841" s="802"/>
      <c r="OLD841" s="802"/>
      <c r="OLE841" s="802"/>
      <c r="OLF841" s="802"/>
      <c r="OLG841" s="802"/>
      <c r="OLH841" s="802"/>
      <c r="OLI841" s="802"/>
      <c r="OLJ841" s="802"/>
      <c r="OLK841" s="802"/>
      <c r="OLL841" s="802"/>
      <c r="OLM841" s="802"/>
      <c r="OLN841" s="802"/>
      <c r="OLO841" s="802"/>
      <c r="OLP841" s="802"/>
      <c r="OLQ841" s="802"/>
      <c r="OLR841" s="802"/>
      <c r="OLS841" s="802"/>
      <c r="OLT841" s="802"/>
      <c r="OLU841" s="802"/>
      <c r="OLV841" s="802"/>
      <c r="OLW841" s="802"/>
      <c r="OLX841" s="802"/>
      <c r="OLY841" s="802"/>
      <c r="OLZ841" s="802"/>
      <c r="OMA841" s="802"/>
      <c r="OMB841" s="802"/>
      <c r="OMC841" s="802"/>
      <c r="OMD841" s="802"/>
      <c r="OME841" s="802"/>
      <c r="OMF841" s="802"/>
      <c r="OMG841" s="802"/>
      <c r="OMH841" s="802"/>
      <c r="OMI841" s="802"/>
      <c r="OMJ841" s="802"/>
      <c r="OMK841" s="802"/>
      <c r="OML841" s="802"/>
      <c r="OMM841" s="802"/>
      <c r="OMN841" s="802"/>
      <c r="OMO841" s="802"/>
      <c r="OMP841" s="802"/>
      <c r="OMQ841" s="802"/>
      <c r="OMR841" s="802"/>
      <c r="OMS841" s="802"/>
      <c r="OMT841" s="802"/>
      <c r="OMU841" s="802"/>
      <c r="OMV841" s="802"/>
      <c r="OMW841" s="802"/>
      <c r="OMX841" s="802"/>
      <c r="OMY841" s="802"/>
      <c r="OMZ841" s="802"/>
      <c r="ONA841" s="802"/>
      <c r="ONB841" s="802"/>
      <c r="ONC841" s="802"/>
      <c r="OND841" s="802"/>
      <c r="ONE841" s="802"/>
      <c r="ONF841" s="802"/>
      <c r="ONG841" s="802"/>
      <c r="ONH841" s="802"/>
      <c r="ONI841" s="802"/>
      <c r="ONJ841" s="802"/>
      <c r="ONK841" s="802"/>
      <c r="ONL841" s="802"/>
      <c r="ONM841" s="802"/>
      <c r="ONN841" s="802"/>
      <c r="ONO841" s="802"/>
      <c r="ONP841" s="802"/>
      <c r="ONQ841" s="802"/>
      <c r="ONR841" s="802"/>
      <c r="ONS841" s="802"/>
      <c r="ONT841" s="802"/>
      <c r="ONU841" s="802"/>
      <c r="ONV841" s="802"/>
      <c r="ONW841" s="802"/>
      <c r="ONX841" s="802"/>
      <c r="ONY841" s="802"/>
      <c r="ONZ841" s="802"/>
      <c r="OOA841" s="802"/>
      <c r="OOB841" s="802"/>
      <c r="OOC841" s="802"/>
      <c r="OOD841" s="802"/>
      <c r="OOE841" s="802"/>
      <c r="OOF841" s="802"/>
      <c r="OOG841" s="802"/>
      <c r="OOH841" s="802"/>
      <c r="OOI841" s="802"/>
      <c r="OOJ841" s="802"/>
      <c r="OOK841" s="802"/>
      <c r="OOL841" s="802"/>
      <c r="OOM841" s="802"/>
      <c r="OON841" s="802"/>
      <c r="OOO841" s="802"/>
      <c r="OOP841" s="802"/>
      <c r="OOQ841" s="802"/>
      <c r="OOR841" s="802"/>
      <c r="OOS841" s="802"/>
      <c r="OOT841" s="802"/>
      <c r="OOU841" s="802"/>
      <c r="OOV841" s="802"/>
      <c r="OOW841" s="802"/>
      <c r="OOX841" s="802"/>
      <c r="OOY841" s="802"/>
      <c r="OOZ841" s="802"/>
      <c r="OPA841" s="802"/>
      <c r="OPB841" s="802"/>
      <c r="OPC841" s="802"/>
      <c r="OPD841" s="802"/>
      <c r="OPE841" s="802"/>
      <c r="OPF841" s="802"/>
      <c r="OPG841" s="802"/>
      <c r="OPH841" s="802"/>
      <c r="OPI841" s="802"/>
      <c r="OPJ841" s="802"/>
      <c r="OPK841" s="802"/>
      <c r="OPL841" s="802"/>
      <c r="OPM841" s="802"/>
      <c r="OPN841" s="802"/>
      <c r="OPO841" s="802"/>
      <c r="OPP841" s="802"/>
      <c r="OPQ841" s="802"/>
      <c r="OPR841" s="802"/>
      <c r="OPS841" s="802"/>
      <c r="OPT841" s="802"/>
      <c r="OPU841" s="802"/>
      <c r="OPV841" s="802"/>
      <c r="OPW841" s="802"/>
      <c r="OPX841" s="802"/>
      <c r="OPY841" s="802"/>
      <c r="OPZ841" s="802"/>
      <c r="OQA841" s="802"/>
      <c r="OQB841" s="802"/>
      <c r="OQC841" s="802"/>
      <c r="OQD841" s="802"/>
      <c r="OQE841" s="802"/>
      <c r="OQF841" s="802"/>
      <c r="OQG841" s="802"/>
      <c r="OQH841" s="802"/>
      <c r="OQI841" s="802"/>
      <c r="OQJ841" s="802"/>
      <c r="OQK841" s="802"/>
      <c r="OQL841" s="802"/>
      <c r="OQM841" s="802"/>
      <c r="OQN841" s="802"/>
      <c r="OQO841" s="802"/>
      <c r="OQP841" s="802"/>
      <c r="OQQ841" s="802"/>
      <c r="OQR841" s="802"/>
      <c r="OQS841" s="802"/>
      <c r="OQT841" s="802"/>
      <c r="OQU841" s="802"/>
      <c r="OQV841" s="802"/>
      <c r="OQW841" s="802"/>
      <c r="OQX841" s="802"/>
      <c r="OQY841" s="802"/>
      <c r="OQZ841" s="802"/>
      <c r="ORA841" s="802"/>
      <c r="ORB841" s="802"/>
      <c r="ORC841" s="802"/>
      <c r="ORD841" s="802"/>
      <c r="ORE841" s="802"/>
      <c r="ORF841" s="802"/>
      <c r="ORG841" s="802"/>
      <c r="ORH841" s="802"/>
      <c r="ORI841" s="802"/>
      <c r="ORJ841" s="802"/>
      <c r="ORK841" s="802"/>
      <c r="ORL841" s="802"/>
      <c r="ORM841" s="802"/>
      <c r="ORN841" s="802"/>
      <c r="ORO841" s="802"/>
      <c r="ORP841" s="802"/>
      <c r="ORQ841" s="802"/>
      <c r="ORR841" s="802"/>
      <c r="ORS841" s="802"/>
      <c r="ORT841" s="802"/>
      <c r="ORU841" s="802"/>
      <c r="ORV841" s="802"/>
      <c r="ORW841" s="802"/>
      <c r="ORX841" s="802"/>
      <c r="ORY841" s="802"/>
      <c r="ORZ841" s="802"/>
      <c r="OSA841" s="802"/>
      <c r="OSB841" s="802"/>
      <c r="OSC841" s="802"/>
      <c r="OSD841" s="802"/>
      <c r="OSE841" s="802"/>
      <c r="OSF841" s="802"/>
      <c r="OSG841" s="802"/>
      <c r="OSH841" s="802"/>
      <c r="OSI841" s="802"/>
      <c r="OSJ841" s="802"/>
      <c r="OSK841" s="802"/>
      <c r="OSL841" s="802"/>
      <c r="OSM841" s="802"/>
      <c r="OSN841" s="802"/>
      <c r="OSO841" s="802"/>
      <c r="OSP841" s="802"/>
      <c r="OSQ841" s="802"/>
      <c r="OSR841" s="802"/>
      <c r="OSS841" s="802"/>
      <c r="OST841" s="802"/>
      <c r="OSU841" s="802"/>
      <c r="OSV841" s="802"/>
      <c r="OSW841" s="802"/>
      <c r="OSX841" s="802"/>
      <c r="OSY841" s="802"/>
      <c r="OSZ841" s="802"/>
      <c r="OTA841" s="802"/>
      <c r="OTB841" s="802"/>
      <c r="OTC841" s="802"/>
      <c r="OTD841" s="802"/>
      <c r="OTE841" s="802"/>
      <c r="OTF841" s="802"/>
      <c r="OTG841" s="802"/>
      <c r="OTH841" s="802"/>
      <c r="OTI841" s="802"/>
      <c r="OTJ841" s="802"/>
      <c r="OTK841" s="802"/>
      <c r="OTL841" s="802"/>
      <c r="OTM841" s="802"/>
      <c r="OTN841" s="802"/>
      <c r="OTO841" s="802"/>
      <c r="OTP841" s="802"/>
      <c r="OTQ841" s="802"/>
      <c r="OTR841" s="802"/>
      <c r="OTS841" s="802"/>
      <c r="OTT841" s="802"/>
      <c r="OTU841" s="802"/>
      <c r="OTV841" s="802"/>
      <c r="OTW841" s="802"/>
      <c r="OTX841" s="802"/>
      <c r="OTY841" s="802"/>
      <c r="OTZ841" s="802"/>
      <c r="OUA841" s="802"/>
      <c r="OUB841" s="802"/>
      <c r="OUC841" s="802"/>
      <c r="OUD841" s="802"/>
      <c r="OUE841" s="802"/>
      <c r="OUF841" s="802"/>
      <c r="OUG841" s="802"/>
      <c r="OUH841" s="802"/>
      <c r="OUI841" s="802"/>
      <c r="OUJ841" s="802"/>
      <c r="OUK841" s="802"/>
      <c r="OUL841" s="802"/>
      <c r="OUM841" s="802"/>
      <c r="OUN841" s="802"/>
      <c r="OUO841" s="802"/>
      <c r="OUP841" s="802"/>
      <c r="OUQ841" s="802"/>
      <c r="OUR841" s="802"/>
      <c r="OUS841" s="802"/>
      <c r="OUT841" s="802"/>
      <c r="OUU841" s="802"/>
      <c r="OUV841" s="802"/>
      <c r="OUW841" s="802"/>
      <c r="OUX841" s="802"/>
      <c r="OUY841" s="802"/>
      <c r="OUZ841" s="802"/>
      <c r="OVA841" s="802"/>
      <c r="OVB841" s="802"/>
      <c r="OVC841" s="802"/>
      <c r="OVD841" s="802"/>
      <c r="OVE841" s="802"/>
      <c r="OVF841" s="802"/>
      <c r="OVG841" s="802"/>
      <c r="OVH841" s="802"/>
      <c r="OVI841" s="802"/>
      <c r="OVJ841" s="802"/>
      <c r="OVK841" s="802"/>
      <c r="OVL841" s="802"/>
      <c r="OVM841" s="802"/>
      <c r="OVN841" s="802"/>
      <c r="OVO841" s="802"/>
      <c r="OVP841" s="802"/>
      <c r="OVQ841" s="802"/>
      <c r="OVR841" s="802"/>
      <c r="OVS841" s="802"/>
      <c r="OVT841" s="802"/>
      <c r="OVU841" s="802"/>
      <c r="OVV841" s="802"/>
      <c r="OVW841" s="802"/>
      <c r="OVX841" s="802"/>
      <c r="OVY841" s="802"/>
      <c r="OVZ841" s="802"/>
      <c r="OWA841" s="802"/>
      <c r="OWB841" s="802"/>
      <c r="OWC841" s="802"/>
      <c r="OWD841" s="802"/>
      <c r="OWE841" s="802"/>
      <c r="OWF841" s="802"/>
      <c r="OWG841" s="802"/>
      <c r="OWH841" s="802"/>
      <c r="OWI841" s="802"/>
      <c r="OWJ841" s="802"/>
      <c r="OWK841" s="802"/>
      <c r="OWL841" s="802"/>
      <c r="OWM841" s="802"/>
      <c r="OWN841" s="802"/>
      <c r="OWO841" s="802"/>
      <c r="OWP841" s="802"/>
      <c r="OWQ841" s="802"/>
      <c r="OWR841" s="802"/>
      <c r="OWS841" s="802"/>
      <c r="OWT841" s="802"/>
      <c r="OWU841" s="802"/>
      <c r="OWV841" s="802"/>
      <c r="OWW841" s="802"/>
      <c r="OWX841" s="802"/>
      <c r="OWY841" s="802"/>
      <c r="OWZ841" s="802"/>
      <c r="OXA841" s="802"/>
      <c r="OXB841" s="802"/>
      <c r="OXC841" s="802"/>
      <c r="OXD841" s="802"/>
      <c r="OXE841" s="802"/>
      <c r="OXF841" s="802"/>
      <c r="OXG841" s="802"/>
      <c r="OXH841" s="802"/>
      <c r="OXI841" s="802"/>
      <c r="OXJ841" s="802"/>
      <c r="OXK841" s="802"/>
      <c r="OXL841" s="802"/>
      <c r="OXM841" s="802"/>
      <c r="OXN841" s="802"/>
      <c r="OXO841" s="802"/>
      <c r="OXP841" s="802"/>
      <c r="OXQ841" s="802"/>
      <c r="OXR841" s="802"/>
      <c r="OXS841" s="802"/>
      <c r="OXT841" s="802"/>
      <c r="OXU841" s="802"/>
      <c r="OXV841" s="802"/>
      <c r="OXW841" s="802"/>
      <c r="OXX841" s="802"/>
      <c r="OXY841" s="802"/>
      <c r="OXZ841" s="802"/>
      <c r="OYA841" s="802"/>
      <c r="OYB841" s="802"/>
      <c r="OYC841" s="802"/>
      <c r="OYD841" s="802"/>
      <c r="OYE841" s="802"/>
      <c r="OYF841" s="802"/>
      <c r="OYG841" s="802"/>
      <c r="OYH841" s="802"/>
      <c r="OYI841" s="802"/>
      <c r="OYJ841" s="802"/>
      <c r="OYK841" s="802"/>
      <c r="OYL841" s="802"/>
      <c r="OYM841" s="802"/>
      <c r="OYN841" s="802"/>
      <c r="OYO841" s="802"/>
      <c r="OYP841" s="802"/>
      <c r="OYQ841" s="802"/>
      <c r="OYR841" s="802"/>
      <c r="OYS841" s="802"/>
      <c r="OYT841" s="802"/>
      <c r="OYU841" s="802"/>
      <c r="OYV841" s="802"/>
      <c r="OYW841" s="802"/>
      <c r="OYX841" s="802"/>
      <c r="OYY841" s="802"/>
      <c r="OYZ841" s="802"/>
      <c r="OZA841" s="802"/>
      <c r="OZB841" s="802"/>
      <c r="OZC841" s="802"/>
      <c r="OZD841" s="802"/>
      <c r="OZE841" s="802"/>
      <c r="OZF841" s="802"/>
      <c r="OZG841" s="802"/>
      <c r="OZH841" s="802"/>
      <c r="OZI841" s="802"/>
      <c r="OZJ841" s="802"/>
      <c r="OZK841" s="802"/>
      <c r="OZL841" s="802"/>
      <c r="OZM841" s="802"/>
      <c r="OZN841" s="802"/>
      <c r="OZO841" s="802"/>
      <c r="OZP841" s="802"/>
      <c r="OZQ841" s="802"/>
      <c r="OZR841" s="802"/>
      <c r="OZS841" s="802"/>
      <c r="OZT841" s="802"/>
      <c r="OZU841" s="802"/>
      <c r="OZV841" s="802"/>
      <c r="OZW841" s="802"/>
      <c r="OZX841" s="802"/>
      <c r="OZY841" s="802"/>
      <c r="OZZ841" s="802"/>
      <c r="PAA841" s="802"/>
      <c r="PAB841" s="802"/>
      <c r="PAC841" s="802"/>
      <c r="PAD841" s="802"/>
      <c r="PAE841" s="802"/>
      <c r="PAF841" s="802"/>
      <c r="PAG841" s="802"/>
      <c r="PAH841" s="802"/>
      <c r="PAI841" s="802"/>
      <c r="PAJ841" s="802"/>
      <c r="PAK841" s="802"/>
      <c r="PAL841" s="802"/>
      <c r="PAM841" s="802"/>
      <c r="PAN841" s="802"/>
      <c r="PAO841" s="802"/>
      <c r="PAP841" s="802"/>
      <c r="PAQ841" s="802"/>
      <c r="PAR841" s="802"/>
      <c r="PAS841" s="802"/>
      <c r="PAT841" s="802"/>
      <c r="PAU841" s="802"/>
      <c r="PAV841" s="802"/>
      <c r="PAW841" s="802"/>
      <c r="PAX841" s="802"/>
      <c r="PAY841" s="802"/>
      <c r="PAZ841" s="802"/>
      <c r="PBA841" s="802"/>
      <c r="PBB841" s="802"/>
      <c r="PBC841" s="802"/>
      <c r="PBD841" s="802"/>
      <c r="PBE841" s="802"/>
      <c r="PBF841" s="802"/>
      <c r="PBG841" s="802"/>
      <c r="PBH841" s="802"/>
      <c r="PBI841" s="802"/>
      <c r="PBJ841" s="802"/>
      <c r="PBK841" s="802"/>
      <c r="PBL841" s="802"/>
      <c r="PBM841" s="802"/>
      <c r="PBN841" s="802"/>
      <c r="PBO841" s="802"/>
      <c r="PBP841" s="802"/>
      <c r="PBQ841" s="802"/>
      <c r="PBR841" s="802"/>
      <c r="PBS841" s="802"/>
      <c r="PBT841" s="802"/>
      <c r="PBU841" s="802"/>
      <c r="PBV841" s="802"/>
      <c r="PBW841" s="802"/>
      <c r="PBX841" s="802"/>
      <c r="PBY841" s="802"/>
      <c r="PBZ841" s="802"/>
      <c r="PCA841" s="802"/>
      <c r="PCB841" s="802"/>
      <c r="PCC841" s="802"/>
      <c r="PCD841" s="802"/>
      <c r="PCE841" s="802"/>
      <c r="PCF841" s="802"/>
      <c r="PCG841" s="802"/>
      <c r="PCH841" s="802"/>
      <c r="PCI841" s="802"/>
      <c r="PCJ841" s="802"/>
      <c r="PCK841" s="802"/>
      <c r="PCL841" s="802"/>
      <c r="PCM841" s="802"/>
      <c r="PCN841" s="802"/>
      <c r="PCO841" s="802"/>
      <c r="PCP841" s="802"/>
      <c r="PCQ841" s="802"/>
      <c r="PCR841" s="802"/>
      <c r="PCS841" s="802"/>
      <c r="PCT841" s="802"/>
      <c r="PCU841" s="802"/>
      <c r="PCV841" s="802"/>
      <c r="PCW841" s="802"/>
      <c r="PCX841" s="802"/>
      <c r="PCY841" s="802"/>
      <c r="PCZ841" s="802"/>
      <c r="PDA841" s="802"/>
      <c r="PDB841" s="802"/>
      <c r="PDC841" s="802"/>
      <c r="PDD841" s="802"/>
      <c r="PDE841" s="802"/>
      <c r="PDF841" s="802"/>
      <c r="PDG841" s="802"/>
      <c r="PDH841" s="802"/>
      <c r="PDI841" s="802"/>
      <c r="PDJ841" s="802"/>
      <c r="PDK841" s="802"/>
      <c r="PDL841" s="802"/>
      <c r="PDM841" s="802"/>
      <c r="PDN841" s="802"/>
      <c r="PDO841" s="802"/>
      <c r="PDP841" s="802"/>
      <c r="PDQ841" s="802"/>
      <c r="PDR841" s="802"/>
      <c r="PDS841" s="802"/>
      <c r="PDT841" s="802"/>
      <c r="PDU841" s="802"/>
      <c r="PDV841" s="802"/>
      <c r="PDW841" s="802"/>
      <c r="PDX841" s="802"/>
      <c r="PDY841" s="802"/>
      <c r="PDZ841" s="802"/>
      <c r="PEA841" s="802"/>
      <c r="PEB841" s="802"/>
      <c r="PEC841" s="802"/>
      <c r="PED841" s="802"/>
      <c r="PEE841" s="802"/>
      <c r="PEF841" s="802"/>
      <c r="PEG841" s="802"/>
      <c r="PEH841" s="802"/>
      <c r="PEI841" s="802"/>
      <c r="PEJ841" s="802"/>
      <c r="PEK841" s="802"/>
      <c r="PEL841" s="802"/>
      <c r="PEM841" s="802"/>
      <c r="PEN841" s="802"/>
      <c r="PEO841" s="802"/>
      <c r="PEP841" s="802"/>
      <c r="PEQ841" s="802"/>
      <c r="PER841" s="802"/>
      <c r="PES841" s="802"/>
      <c r="PET841" s="802"/>
      <c r="PEU841" s="802"/>
      <c r="PEV841" s="802"/>
      <c r="PEW841" s="802"/>
      <c r="PEX841" s="802"/>
      <c r="PEY841" s="802"/>
      <c r="PEZ841" s="802"/>
      <c r="PFA841" s="802"/>
      <c r="PFB841" s="802"/>
      <c r="PFC841" s="802"/>
      <c r="PFD841" s="802"/>
      <c r="PFE841" s="802"/>
      <c r="PFF841" s="802"/>
      <c r="PFG841" s="802"/>
      <c r="PFH841" s="802"/>
      <c r="PFI841" s="802"/>
      <c r="PFJ841" s="802"/>
      <c r="PFK841" s="802"/>
      <c r="PFL841" s="802"/>
      <c r="PFM841" s="802"/>
      <c r="PFN841" s="802"/>
      <c r="PFO841" s="802"/>
      <c r="PFP841" s="802"/>
      <c r="PFQ841" s="802"/>
      <c r="PFR841" s="802"/>
      <c r="PFS841" s="802"/>
      <c r="PFT841" s="802"/>
      <c r="PFU841" s="802"/>
      <c r="PFV841" s="802"/>
      <c r="PFW841" s="802"/>
      <c r="PFX841" s="802"/>
      <c r="PFY841" s="802"/>
      <c r="PFZ841" s="802"/>
      <c r="PGA841" s="802"/>
      <c r="PGB841" s="802"/>
      <c r="PGC841" s="802"/>
      <c r="PGD841" s="802"/>
      <c r="PGE841" s="802"/>
      <c r="PGF841" s="802"/>
      <c r="PGG841" s="802"/>
      <c r="PGH841" s="802"/>
      <c r="PGI841" s="802"/>
      <c r="PGJ841" s="802"/>
      <c r="PGK841" s="802"/>
      <c r="PGL841" s="802"/>
      <c r="PGM841" s="802"/>
      <c r="PGN841" s="802"/>
      <c r="PGO841" s="802"/>
      <c r="PGP841" s="802"/>
      <c r="PGQ841" s="802"/>
      <c r="PGR841" s="802"/>
      <c r="PGS841" s="802"/>
      <c r="PGT841" s="802"/>
      <c r="PGU841" s="802"/>
      <c r="PGV841" s="802"/>
      <c r="PGW841" s="802"/>
      <c r="PGX841" s="802"/>
      <c r="PGY841" s="802"/>
      <c r="PGZ841" s="802"/>
      <c r="PHA841" s="802"/>
      <c r="PHB841" s="802"/>
      <c r="PHC841" s="802"/>
      <c r="PHD841" s="802"/>
      <c r="PHE841" s="802"/>
      <c r="PHF841" s="802"/>
      <c r="PHG841" s="802"/>
      <c r="PHH841" s="802"/>
      <c r="PHI841" s="802"/>
      <c r="PHJ841" s="802"/>
      <c r="PHK841" s="802"/>
      <c r="PHL841" s="802"/>
      <c r="PHM841" s="802"/>
      <c r="PHN841" s="802"/>
      <c r="PHO841" s="802"/>
      <c r="PHP841" s="802"/>
      <c r="PHQ841" s="802"/>
      <c r="PHR841" s="802"/>
      <c r="PHS841" s="802"/>
      <c r="PHT841" s="802"/>
      <c r="PHU841" s="802"/>
      <c r="PHV841" s="802"/>
      <c r="PHW841" s="802"/>
      <c r="PHX841" s="802"/>
      <c r="PHY841" s="802"/>
      <c r="PHZ841" s="802"/>
      <c r="PIA841" s="802"/>
      <c r="PIB841" s="802"/>
      <c r="PIC841" s="802"/>
      <c r="PID841" s="802"/>
      <c r="PIE841" s="802"/>
      <c r="PIF841" s="802"/>
      <c r="PIG841" s="802"/>
      <c r="PIH841" s="802"/>
      <c r="PII841" s="802"/>
      <c r="PIJ841" s="802"/>
      <c r="PIK841" s="802"/>
      <c r="PIL841" s="802"/>
      <c r="PIM841" s="802"/>
      <c r="PIN841" s="802"/>
      <c r="PIO841" s="802"/>
      <c r="PIP841" s="802"/>
      <c r="PIQ841" s="802"/>
      <c r="PIR841" s="802"/>
      <c r="PIS841" s="802"/>
      <c r="PIT841" s="802"/>
      <c r="PIU841" s="802"/>
      <c r="PIV841" s="802"/>
      <c r="PIW841" s="802"/>
      <c r="PIX841" s="802"/>
      <c r="PIY841" s="802"/>
      <c r="PIZ841" s="802"/>
      <c r="PJA841" s="802"/>
      <c r="PJB841" s="802"/>
      <c r="PJC841" s="802"/>
      <c r="PJD841" s="802"/>
      <c r="PJE841" s="802"/>
      <c r="PJF841" s="802"/>
      <c r="PJG841" s="802"/>
      <c r="PJH841" s="802"/>
      <c r="PJI841" s="802"/>
      <c r="PJJ841" s="802"/>
      <c r="PJK841" s="802"/>
      <c r="PJL841" s="802"/>
      <c r="PJM841" s="802"/>
      <c r="PJN841" s="802"/>
      <c r="PJO841" s="802"/>
      <c r="PJP841" s="802"/>
      <c r="PJQ841" s="802"/>
      <c r="PJR841" s="802"/>
      <c r="PJS841" s="802"/>
      <c r="PJT841" s="802"/>
      <c r="PJU841" s="802"/>
      <c r="PJV841" s="802"/>
      <c r="PJW841" s="802"/>
      <c r="PJX841" s="802"/>
      <c r="PJY841" s="802"/>
      <c r="PJZ841" s="802"/>
      <c r="PKA841" s="802"/>
      <c r="PKB841" s="802"/>
      <c r="PKC841" s="802"/>
      <c r="PKD841" s="802"/>
      <c r="PKE841" s="802"/>
      <c r="PKF841" s="802"/>
      <c r="PKG841" s="802"/>
      <c r="PKH841" s="802"/>
      <c r="PKI841" s="802"/>
      <c r="PKJ841" s="802"/>
      <c r="PKK841" s="802"/>
      <c r="PKL841" s="802"/>
      <c r="PKM841" s="802"/>
      <c r="PKN841" s="802"/>
      <c r="PKO841" s="802"/>
      <c r="PKP841" s="802"/>
      <c r="PKQ841" s="802"/>
      <c r="PKR841" s="802"/>
      <c r="PKS841" s="802"/>
      <c r="PKT841" s="802"/>
      <c r="PKU841" s="802"/>
      <c r="PKV841" s="802"/>
      <c r="PKW841" s="802"/>
      <c r="PKX841" s="802"/>
      <c r="PKY841" s="802"/>
      <c r="PKZ841" s="802"/>
      <c r="PLA841" s="802"/>
      <c r="PLB841" s="802"/>
      <c r="PLC841" s="802"/>
      <c r="PLD841" s="802"/>
      <c r="PLE841" s="802"/>
      <c r="PLF841" s="802"/>
      <c r="PLG841" s="802"/>
      <c r="PLH841" s="802"/>
      <c r="PLI841" s="802"/>
      <c r="PLJ841" s="802"/>
      <c r="PLK841" s="802"/>
      <c r="PLL841" s="802"/>
      <c r="PLM841" s="802"/>
      <c r="PLN841" s="802"/>
      <c r="PLO841" s="802"/>
      <c r="PLP841" s="802"/>
      <c r="PLQ841" s="802"/>
      <c r="PLR841" s="802"/>
      <c r="PLS841" s="802"/>
      <c r="PLT841" s="802"/>
      <c r="PLU841" s="802"/>
      <c r="PLV841" s="802"/>
      <c r="PLW841" s="802"/>
      <c r="PLX841" s="802"/>
      <c r="PLY841" s="802"/>
      <c r="PLZ841" s="802"/>
      <c r="PMA841" s="802"/>
      <c r="PMB841" s="802"/>
      <c r="PMC841" s="802"/>
      <c r="PMD841" s="802"/>
      <c r="PME841" s="802"/>
      <c r="PMF841" s="802"/>
      <c r="PMG841" s="802"/>
      <c r="PMH841" s="802"/>
      <c r="PMI841" s="802"/>
      <c r="PMJ841" s="802"/>
      <c r="PMK841" s="802"/>
      <c r="PML841" s="802"/>
      <c r="PMM841" s="802"/>
      <c r="PMN841" s="802"/>
      <c r="PMO841" s="802"/>
      <c r="PMP841" s="802"/>
      <c r="PMQ841" s="802"/>
      <c r="PMR841" s="802"/>
      <c r="PMS841" s="802"/>
      <c r="PMT841" s="802"/>
      <c r="PMU841" s="802"/>
      <c r="PMV841" s="802"/>
      <c r="PMW841" s="802"/>
      <c r="PMX841" s="802"/>
      <c r="PMY841" s="802"/>
      <c r="PMZ841" s="802"/>
      <c r="PNA841" s="802"/>
      <c r="PNB841" s="802"/>
      <c r="PNC841" s="802"/>
      <c r="PND841" s="802"/>
      <c r="PNE841" s="802"/>
      <c r="PNF841" s="802"/>
      <c r="PNG841" s="802"/>
      <c r="PNH841" s="802"/>
      <c r="PNI841" s="802"/>
      <c r="PNJ841" s="802"/>
      <c r="PNK841" s="802"/>
      <c r="PNL841" s="802"/>
      <c r="PNM841" s="802"/>
      <c r="PNN841" s="802"/>
      <c r="PNO841" s="802"/>
      <c r="PNP841" s="802"/>
      <c r="PNQ841" s="802"/>
      <c r="PNR841" s="802"/>
      <c r="PNS841" s="802"/>
      <c r="PNT841" s="802"/>
      <c r="PNU841" s="802"/>
      <c r="PNV841" s="802"/>
      <c r="PNW841" s="802"/>
      <c r="PNX841" s="802"/>
      <c r="PNY841" s="802"/>
      <c r="PNZ841" s="802"/>
      <c r="POA841" s="802"/>
      <c r="POB841" s="802"/>
      <c r="POC841" s="802"/>
      <c r="POD841" s="802"/>
      <c r="POE841" s="802"/>
      <c r="POF841" s="802"/>
      <c r="POG841" s="802"/>
      <c r="POH841" s="802"/>
      <c r="POI841" s="802"/>
      <c r="POJ841" s="802"/>
      <c r="POK841" s="802"/>
      <c r="POL841" s="802"/>
      <c r="POM841" s="802"/>
      <c r="PON841" s="802"/>
      <c r="POO841" s="802"/>
      <c r="POP841" s="802"/>
      <c r="POQ841" s="802"/>
      <c r="POR841" s="802"/>
      <c r="POS841" s="802"/>
      <c r="POT841" s="802"/>
      <c r="POU841" s="802"/>
      <c r="POV841" s="802"/>
      <c r="POW841" s="802"/>
      <c r="POX841" s="802"/>
      <c r="POY841" s="802"/>
      <c r="POZ841" s="802"/>
      <c r="PPA841" s="802"/>
      <c r="PPB841" s="802"/>
      <c r="PPC841" s="802"/>
      <c r="PPD841" s="802"/>
      <c r="PPE841" s="802"/>
      <c r="PPF841" s="802"/>
      <c r="PPG841" s="802"/>
      <c r="PPH841" s="802"/>
      <c r="PPI841" s="802"/>
      <c r="PPJ841" s="802"/>
      <c r="PPK841" s="802"/>
      <c r="PPL841" s="802"/>
      <c r="PPM841" s="802"/>
      <c r="PPN841" s="802"/>
      <c r="PPO841" s="802"/>
      <c r="PPP841" s="802"/>
      <c r="PPQ841" s="802"/>
      <c r="PPR841" s="802"/>
      <c r="PPS841" s="802"/>
      <c r="PPT841" s="802"/>
      <c r="PPU841" s="802"/>
      <c r="PPV841" s="802"/>
      <c r="PPW841" s="802"/>
      <c r="PPX841" s="802"/>
      <c r="PPY841" s="802"/>
      <c r="PPZ841" s="802"/>
      <c r="PQA841" s="802"/>
      <c r="PQB841" s="802"/>
      <c r="PQC841" s="802"/>
      <c r="PQD841" s="802"/>
      <c r="PQE841" s="802"/>
      <c r="PQF841" s="802"/>
      <c r="PQG841" s="802"/>
      <c r="PQH841" s="802"/>
      <c r="PQI841" s="802"/>
      <c r="PQJ841" s="802"/>
      <c r="PQK841" s="802"/>
      <c r="PQL841" s="802"/>
      <c r="PQM841" s="802"/>
      <c r="PQN841" s="802"/>
      <c r="PQO841" s="802"/>
      <c r="PQP841" s="802"/>
      <c r="PQQ841" s="802"/>
      <c r="PQR841" s="802"/>
      <c r="PQS841" s="802"/>
      <c r="PQT841" s="802"/>
      <c r="PQU841" s="802"/>
      <c r="PQV841" s="802"/>
      <c r="PQW841" s="802"/>
      <c r="PQX841" s="802"/>
      <c r="PQY841" s="802"/>
      <c r="PQZ841" s="802"/>
      <c r="PRA841" s="802"/>
      <c r="PRB841" s="802"/>
      <c r="PRC841" s="802"/>
      <c r="PRD841" s="802"/>
      <c r="PRE841" s="802"/>
      <c r="PRF841" s="802"/>
      <c r="PRG841" s="802"/>
      <c r="PRH841" s="802"/>
      <c r="PRI841" s="802"/>
      <c r="PRJ841" s="802"/>
      <c r="PRK841" s="802"/>
      <c r="PRL841" s="802"/>
      <c r="PRM841" s="802"/>
      <c r="PRN841" s="802"/>
      <c r="PRO841" s="802"/>
      <c r="PRP841" s="802"/>
      <c r="PRQ841" s="802"/>
      <c r="PRR841" s="802"/>
      <c r="PRS841" s="802"/>
      <c r="PRT841" s="802"/>
      <c r="PRU841" s="802"/>
      <c r="PRV841" s="802"/>
      <c r="PRW841" s="802"/>
      <c r="PRX841" s="802"/>
      <c r="PRY841" s="802"/>
      <c r="PRZ841" s="802"/>
      <c r="PSA841" s="802"/>
      <c r="PSB841" s="802"/>
      <c r="PSC841" s="802"/>
      <c r="PSD841" s="802"/>
      <c r="PSE841" s="802"/>
      <c r="PSF841" s="802"/>
      <c r="PSG841" s="802"/>
      <c r="PSH841" s="802"/>
      <c r="PSI841" s="802"/>
      <c r="PSJ841" s="802"/>
      <c r="PSK841" s="802"/>
      <c r="PSL841" s="802"/>
      <c r="PSM841" s="802"/>
      <c r="PSN841" s="802"/>
      <c r="PSO841" s="802"/>
      <c r="PSP841" s="802"/>
      <c r="PSQ841" s="802"/>
      <c r="PSR841" s="802"/>
      <c r="PSS841" s="802"/>
      <c r="PST841" s="802"/>
      <c r="PSU841" s="802"/>
      <c r="PSV841" s="802"/>
      <c r="PSW841" s="802"/>
      <c r="PSX841" s="802"/>
      <c r="PSY841" s="802"/>
      <c r="PSZ841" s="802"/>
      <c r="PTA841" s="802"/>
      <c r="PTB841" s="802"/>
      <c r="PTC841" s="802"/>
      <c r="PTD841" s="802"/>
      <c r="PTE841" s="802"/>
      <c r="PTF841" s="802"/>
      <c r="PTG841" s="802"/>
      <c r="PTH841" s="802"/>
      <c r="PTI841" s="802"/>
      <c r="PTJ841" s="802"/>
      <c r="PTK841" s="802"/>
      <c r="PTL841" s="802"/>
      <c r="PTM841" s="802"/>
      <c r="PTN841" s="802"/>
      <c r="PTO841" s="802"/>
      <c r="PTP841" s="802"/>
      <c r="PTQ841" s="802"/>
      <c r="PTR841" s="802"/>
      <c r="PTS841" s="802"/>
      <c r="PTT841" s="802"/>
      <c r="PTU841" s="802"/>
      <c r="PTV841" s="802"/>
      <c r="PTW841" s="802"/>
      <c r="PTX841" s="802"/>
      <c r="PTY841" s="802"/>
      <c r="PTZ841" s="802"/>
      <c r="PUA841" s="802"/>
      <c r="PUB841" s="802"/>
      <c r="PUC841" s="802"/>
      <c r="PUD841" s="802"/>
      <c r="PUE841" s="802"/>
      <c r="PUF841" s="802"/>
      <c r="PUG841" s="802"/>
      <c r="PUH841" s="802"/>
      <c r="PUI841" s="802"/>
      <c r="PUJ841" s="802"/>
      <c r="PUK841" s="802"/>
      <c r="PUL841" s="802"/>
      <c r="PUM841" s="802"/>
      <c r="PUN841" s="802"/>
      <c r="PUO841" s="802"/>
      <c r="PUP841" s="802"/>
      <c r="PUQ841" s="802"/>
      <c r="PUR841" s="802"/>
      <c r="PUS841" s="802"/>
      <c r="PUT841" s="802"/>
      <c r="PUU841" s="802"/>
      <c r="PUV841" s="802"/>
      <c r="PUW841" s="802"/>
      <c r="PUX841" s="802"/>
      <c r="PUY841" s="802"/>
      <c r="PUZ841" s="802"/>
      <c r="PVA841" s="802"/>
      <c r="PVB841" s="802"/>
      <c r="PVC841" s="802"/>
      <c r="PVD841" s="802"/>
      <c r="PVE841" s="802"/>
      <c r="PVF841" s="802"/>
      <c r="PVG841" s="802"/>
      <c r="PVH841" s="802"/>
      <c r="PVI841" s="802"/>
      <c r="PVJ841" s="802"/>
      <c r="PVK841" s="802"/>
      <c r="PVL841" s="802"/>
      <c r="PVM841" s="802"/>
      <c r="PVN841" s="802"/>
      <c r="PVO841" s="802"/>
      <c r="PVP841" s="802"/>
      <c r="PVQ841" s="802"/>
      <c r="PVR841" s="802"/>
      <c r="PVS841" s="802"/>
      <c r="PVT841" s="802"/>
      <c r="PVU841" s="802"/>
      <c r="PVV841" s="802"/>
      <c r="PVW841" s="802"/>
      <c r="PVX841" s="802"/>
      <c r="PVY841" s="802"/>
      <c r="PVZ841" s="802"/>
      <c r="PWA841" s="802"/>
      <c r="PWB841" s="802"/>
      <c r="PWC841" s="802"/>
      <c r="PWD841" s="802"/>
      <c r="PWE841" s="802"/>
      <c r="PWF841" s="802"/>
      <c r="PWG841" s="802"/>
      <c r="PWH841" s="802"/>
      <c r="PWI841" s="802"/>
      <c r="PWJ841" s="802"/>
      <c r="PWK841" s="802"/>
      <c r="PWL841" s="802"/>
      <c r="PWM841" s="802"/>
      <c r="PWN841" s="802"/>
      <c r="PWO841" s="802"/>
      <c r="PWP841" s="802"/>
      <c r="PWQ841" s="802"/>
      <c r="PWR841" s="802"/>
      <c r="PWS841" s="802"/>
      <c r="PWT841" s="802"/>
      <c r="PWU841" s="802"/>
      <c r="PWV841" s="802"/>
      <c r="PWW841" s="802"/>
      <c r="PWX841" s="802"/>
      <c r="PWY841" s="802"/>
      <c r="PWZ841" s="802"/>
      <c r="PXA841" s="802"/>
      <c r="PXB841" s="802"/>
      <c r="PXC841" s="802"/>
      <c r="PXD841" s="802"/>
      <c r="PXE841" s="802"/>
      <c r="PXF841" s="802"/>
      <c r="PXG841" s="802"/>
      <c r="PXH841" s="802"/>
      <c r="PXI841" s="802"/>
      <c r="PXJ841" s="802"/>
      <c r="PXK841" s="802"/>
      <c r="PXL841" s="802"/>
      <c r="PXM841" s="802"/>
      <c r="PXN841" s="802"/>
      <c r="PXO841" s="802"/>
      <c r="PXP841" s="802"/>
      <c r="PXQ841" s="802"/>
      <c r="PXR841" s="802"/>
      <c r="PXS841" s="802"/>
      <c r="PXT841" s="802"/>
      <c r="PXU841" s="802"/>
      <c r="PXV841" s="802"/>
      <c r="PXW841" s="802"/>
      <c r="PXX841" s="802"/>
      <c r="PXY841" s="802"/>
      <c r="PXZ841" s="802"/>
      <c r="PYA841" s="802"/>
      <c r="PYB841" s="802"/>
      <c r="PYC841" s="802"/>
      <c r="PYD841" s="802"/>
      <c r="PYE841" s="802"/>
      <c r="PYF841" s="802"/>
      <c r="PYG841" s="802"/>
      <c r="PYH841" s="802"/>
      <c r="PYI841" s="802"/>
      <c r="PYJ841" s="802"/>
      <c r="PYK841" s="802"/>
      <c r="PYL841" s="802"/>
      <c r="PYM841" s="802"/>
      <c r="PYN841" s="802"/>
      <c r="PYO841" s="802"/>
      <c r="PYP841" s="802"/>
      <c r="PYQ841" s="802"/>
      <c r="PYR841" s="802"/>
      <c r="PYS841" s="802"/>
      <c r="PYT841" s="802"/>
      <c r="PYU841" s="802"/>
      <c r="PYV841" s="802"/>
      <c r="PYW841" s="802"/>
      <c r="PYX841" s="802"/>
      <c r="PYY841" s="802"/>
      <c r="PYZ841" s="802"/>
      <c r="PZA841" s="802"/>
      <c r="PZB841" s="802"/>
      <c r="PZC841" s="802"/>
      <c r="PZD841" s="802"/>
      <c r="PZE841" s="802"/>
      <c r="PZF841" s="802"/>
      <c r="PZG841" s="802"/>
      <c r="PZH841" s="802"/>
      <c r="PZI841" s="802"/>
      <c r="PZJ841" s="802"/>
      <c r="PZK841" s="802"/>
      <c r="PZL841" s="802"/>
      <c r="PZM841" s="802"/>
      <c r="PZN841" s="802"/>
      <c r="PZO841" s="802"/>
      <c r="PZP841" s="802"/>
      <c r="PZQ841" s="802"/>
      <c r="PZR841" s="802"/>
      <c r="PZS841" s="802"/>
      <c r="PZT841" s="802"/>
      <c r="PZU841" s="802"/>
      <c r="PZV841" s="802"/>
      <c r="PZW841" s="802"/>
      <c r="PZX841" s="802"/>
      <c r="PZY841" s="802"/>
      <c r="PZZ841" s="802"/>
      <c r="QAA841" s="802"/>
      <c r="QAB841" s="802"/>
      <c r="QAC841" s="802"/>
      <c r="QAD841" s="802"/>
      <c r="QAE841" s="802"/>
      <c r="QAF841" s="802"/>
      <c r="QAG841" s="802"/>
      <c r="QAH841" s="802"/>
      <c r="QAI841" s="802"/>
      <c r="QAJ841" s="802"/>
      <c r="QAK841" s="802"/>
      <c r="QAL841" s="802"/>
      <c r="QAM841" s="802"/>
      <c r="QAN841" s="802"/>
      <c r="QAO841" s="802"/>
      <c r="QAP841" s="802"/>
      <c r="QAQ841" s="802"/>
      <c r="QAR841" s="802"/>
      <c r="QAS841" s="802"/>
      <c r="QAT841" s="802"/>
      <c r="QAU841" s="802"/>
      <c r="QAV841" s="802"/>
      <c r="QAW841" s="802"/>
      <c r="QAX841" s="802"/>
      <c r="QAY841" s="802"/>
      <c r="QAZ841" s="802"/>
      <c r="QBA841" s="802"/>
      <c r="QBB841" s="802"/>
      <c r="QBC841" s="802"/>
      <c r="QBD841" s="802"/>
      <c r="QBE841" s="802"/>
      <c r="QBF841" s="802"/>
      <c r="QBG841" s="802"/>
      <c r="QBH841" s="802"/>
      <c r="QBI841" s="802"/>
      <c r="QBJ841" s="802"/>
      <c r="QBK841" s="802"/>
      <c r="QBL841" s="802"/>
      <c r="QBM841" s="802"/>
      <c r="QBN841" s="802"/>
      <c r="QBO841" s="802"/>
      <c r="QBP841" s="802"/>
      <c r="QBQ841" s="802"/>
      <c r="QBR841" s="802"/>
      <c r="QBS841" s="802"/>
      <c r="QBT841" s="802"/>
      <c r="QBU841" s="802"/>
      <c r="QBV841" s="802"/>
      <c r="QBW841" s="802"/>
      <c r="QBX841" s="802"/>
      <c r="QBY841" s="802"/>
      <c r="QBZ841" s="802"/>
      <c r="QCA841" s="802"/>
      <c r="QCB841" s="802"/>
      <c r="QCC841" s="802"/>
      <c r="QCD841" s="802"/>
      <c r="QCE841" s="802"/>
      <c r="QCF841" s="802"/>
      <c r="QCG841" s="802"/>
      <c r="QCH841" s="802"/>
      <c r="QCI841" s="802"/>
      <c r="QCJ841" s="802"/>
      <c r="QCK841" s="802"/>
      <c r="QCL841" s="802"/>
      <c r="QCM841" s="802"/>
      <c r="QCN841" s="802"/>
      <c r="QCO841" s="802"/>
      <c r="QCP841" s="802"/>
      <c r="QCQ841" s="802"/>
      <c r="QCR841" s="802"/>
      <c r="QCS841" s="802"/>
      <c r="QCT841" s="802"/>
      <c r="QCU841" s="802"/>
      <c r="QCV841" s="802"/>
      <c r="QCW841" s="802"/>
      <c r="QCX841" s="802"/>
      <c r="QCY841" s="802"/>
      <c r="QCZ841" s="802"/>
      <c r="QDA841" s="802"/>
      <c r="QDB841" s="802"/>
      <c r="QDC841" s="802"/>
      <c r="QDD841" s="802"/>
      <c r="QDE841" s="802"/>
      <c r="QDF841" s="802"/>
      <c r="QDG841" s="802"/>
      <c r="QDH841" s="802"/>
      <c r="QDI841" s="802"/>
      <c r="QDJ841" s="802"/>
      <c r="QDK841" s="802"/>
      <c r="QDL841" s="802"/>
      <c r="QDM841" s="802"/>
      <c r="QDN841" s="802"/>
      <c r="QDO841" s="802"/>
      <c r="QDP841" s="802"/>
      <c r="QDQ841" s="802"/>
      <c r="QDR841" s="802"/>
      <c r="QDS841" s="802"/>
      <c r="QDT841" s="802"/>
      <c r="QDU841" s="802"/>
      <c r="QDV841" s="802"/>
      <c r="QDW841" s="802"/>
      <c r="QDX841" s="802"/>
      <c r="QDY841" s="802"/>
      <c r="QDZ841" s="802"/>
      <c r="QEA841" s="802"/>
      <c r="QEB841" s="802"/>
      <c r="QEC841" s="802"/>
      <c r="QED841" s="802"/>
      <c r="QEE841" s="802"/>
      <c r="QEF841" s="802"/>
      <c r="QEG841" s="802"/>
      <c r="QEH841" s="802"/>
      <c r="QEI841" s="802"/>
      <c r="QEJ841" s="802"/>
      <c r="QEK841" s="802"/>
      <c r="QEL841" s="802"/>
      <c r="QEM841" s="802"/>
      <c r="QEN841" s="802"/>
      <c r="QEO841" s="802"/>
      <c r="QEP841" s="802"/>
      <c r="QEQ841" s="802"/>
      <c r="QER841" s="802"/>
      <c r="QES841" s="802"/>
      <c r="QET841" s="802"/>
      <c r="QEU841" s="802"/>
      <c r="QEV841" s="802"/>
      <c r="QEW841" s="802"/>
      <c r="QEX841" s="802"/>
      <c r="QEY841" s="802"/>
      <c r="QEZ841" s="802"/>
      <c r="QFA841" s="802"/>
      <c r="QFB841" s="802"/>
      <c r="QFC841" s="802"/>
      <c r="QFD841" s="802"/>
      <c r="QFE841" s="802"/>
      <c r="QFF841" s="802"/>
      <c r="QFG841" s="802"/>
      <c r="QFH841" s="802"/>
      <c r="QFI841" s="802"/>
      <c r="QFJ841" s="802"/>
      <c r="QFK841" s="802"/>
      <c r="QFL841" s="802"/>
      <c r="QFM841" s="802"/>
      <c r="QFN841" s="802"/>
      <c r="QFO841" s="802"/>
      <c r="QFP841" s="802"/>
      <c r="QFQ841" s="802"/>
      <c r="QFR841" s="802"/>
      <c r="QFS841" s="802"/>
      <c r="QFT841" s="802"/>
      <c r="QFU841" s="802"/>
      <c r="QFV841" s="802"/>
      <c r="QFW841" s="802"/>
      <c r="QFX841" s="802"/>
      <c r="QFY841" s="802"/>
      <c r="QFZ841" s="802"/>
      <c r="QGA841" s="802"/>
      <c r="QGB841" s="802"/>
      <c r="QGC841" s="802"/>
      <c r="QGD841" s="802"/>
      <c r="QGE841" s="802"/>
      <c r="QGF841" s="802"/>
      <c r="QGG841" s="802"/>
      <c r="QGH841" s="802"/>
      <c r="QGI841" s="802"/>
      <c r="QGJ841" s="802"/>
      <c r="QGK841" s="802"/>
      <c r="QGL841" s="802"/>
      <c r="QGM841" s="802"/>
      <c r="QGN841" s="802"/>
      <c r="QGO841" s="802"/>
      <c r="QGP841" s="802"/>
      <c r="QGQ841" s="802"/>
      <c r="QGR841" s="802"/>
      <c r="QGS841" s="802"/>
      <c r="QGT841" s="802"/>
      <c r="QGU841" s="802"/>
      <c r="QGV841" s="802"/>
      <c r="QGW841" s="802"/>
      <c r="QGX841" s="802"/>
      <c r="QGY841" s="802"/>
      <c r="QGZ841" s="802"/>
      <c r="QHA841" s="802"/>
      <c r="QHB841" s="802"/>
      <c r="QHC841" s="802"/>
      <c r="QHD841" s="802"/>
      <c r="QHE841" s="802"/>
      <c r="QHF841" s="802"/>
      <c r="QHG841" s="802"/>
      <c r="QHH841" s="802"/>
      <c r="QHI841" s="802"/>
      <c r="QHJ841" s="802"/>
      <c r="QHK841" s="802"/>
      <c r="QHL841" s="802"/>
      <c r="QHM841" s="802"/>
      <c r="QHN841" s="802"/>
      <c r="QHO841" s="802"/>
      <c r="QHP841" s="802"/>
      <c r="QHQ841" s="802"/>
      <c r="QHR841" s="802"/>
      <c r="QHS841" s="802"/>
      <c r="QHT841" s="802"/>
      <c r="QHU841" s="802"/>
      <c r="QHV841" s="802"/>
      <c r="QHW841" s="802"/>
      <c r="QHX841" s="802"/>
      <c r="QHY841" s="802"/>
      <c r="QHZ841" s="802"/>
      <c r="QIA841" s="802"/>
      <c r="QIB841" s="802"/>
      <c r="QIC841" s="802"/>
      <c r="QID841" s="802"/>
      <c r="QIE841" s="802"/>
      <c r="QIF841" s="802"/>
      <c r="QIG841" s="802"/>
      <c r="QIH841" s="802"/>
      <c r="QII841" s="802"/>
      <c r="QIJ841" s="802"/>
      <c r="QIK841" s="802"/>
      <c r="QIL841" s="802"/>
      <c r="QIM841" s="802"/>
      <c r="QIN841" s="802"/>
      <c r="QIO841" s="802"/>
      <c r="QIP841" s="802"/>
      <c r="QIQ841" s="802"/>
      <c r="QIR841" s="802"/>
      <c r="QIS841" s="802"/>
      <c r="QIT841" s="802"/>
      <c r="QIU841" s="802"/>
      <c r="QIV841" s="802"/>
      <c r="QIW841" s="802"/>
      <c r="QIX841" s="802"/>
      <c r="QIY841" s="802"/>
      <c r="QIZ841" s="802"/>
      <c r="QJA841" s="802"/>
      <c r="QJB841" s="802"/>
      <c r="QJC841" s="802"/>
      <c r="QJD841" s="802"/>
      <c r="QJE841" s="802"/>
      <c r="QJF841" s="802"/>
      <c r="QJG841" s="802"/>
      <c r="QJH841" s="802"/>
      <c r="QJI841" s="802"/>
      <c r="QJJ841" s="802"/>
      <c r="QJK841" s="802"/>
      <c r="QJL841" s="802"/>
      <c r="QJM841" s="802"/>
      <c r="QJN841" s="802"/>
      <c r="QJO841" s="802"/>
      <c r="QJP841" s="802"/>
      <c r="QJQ841" s="802"/>
      <c r="QJR841" s="802"/>
      <c r="QJS841" s="802"/>
      <c r="QJT841" s="802"/>
      <c r="QJU841" s="802"/>
      <c r="QJV841" s="802"/>
      <c r="QJW841" s="802"/>
      <c r="QJX841" s="802"/>
      <c r="QJY841" s="802"/>
      <c r="QJZ841" s="802"/>
      <c r="QKA841" s="802"/>
      <c r="QKB841" s="802"/>
      <c r="QKC841" s="802"/>
      <c r="QKD841" s="802"/>
      <c r="QKE841" s="802"/>
      <c r="QKF841" s="802"/>
      <c r="QKG841" s="802"/>
      <c r="QKH841" s="802"/>
      <c r="QKI841" s="802"/>
      <c r="QKJ841" s="802"/>
      <c r="QKK841" s="802"/>
      <c r="QKL841" s="802"/>
      <c r="QKM841" s="802"/>
      <c r="QKN841" s="802"/>
      <c r="QKO841" s="802"/>
      <c r="QKP841" s="802"/>
      <c r="QKQ841" s="802"/>
      <c r="QKR841" s="802"/>
      <c r="QKS841" s="802"/>
      <c r="QKT841" s="802"/>
      <c r="QKU841" s="802"/>
      <c r="QKV841" s="802"/>
      <c r="QKW841" s="802"/>
      <c r="QKX841" s="802"/>
      <c r="QKY841" s="802"/>
      <c r="QKZ841" s="802"/>
      <c r="QLA841" s="802"/>
      <c r="QLB841" s="802"/>
      <c r="QLC841" s="802"/>
      <c r="QLD841" s="802"/>
      <c r="QLE841" s="802"/>
      <c r="QLF841" s="802"/>
      <c r="QLG841" s="802"/>
      <c r="QLH841" s="802"/>
      <c r="QLI841" s="802"/>
      <c r="QLJ841" s="802"/>
      <c r="QLK841" s="802"/>
      <c r="QLL841" s="802"/>
      <c r="QLM841" s="802"/>
      <c r="QLN841" s="802"/>
      <c r="QLO841" s="802"/>
      <c r="QLP841" s="802"/>
      <c r="QLQ841" s="802"/>
      <c r="QLR841" s="802"/>
      <c r="QLS841" s="802"/>
      <c r="QLT841" s="802"/>
      <c r="QLU841" s="802"/>
      <c r="QLV841" s="802"/>
      <c r="QLW841" s="802"/>
      <c r="QLX841" s="802"/>
      <c r="QLY841" s="802"/>
      <c r="QLZ841" s="802"/>
      <c r="QMA841" s="802"/>
      <c r="QMB841" s="802"/>
      <c r="QMC841" s="802"/>
      <c r="QMD841" s="802"/>
      <c r="QME841" s="802"/>
      <c r="QMF841" s="802"/>
      <c r="QMG841" s="802"/>
      <c r="QMH841" s="802"/>
      <c r="QMI841" s="802"/>
      <c r="QMJ841" s="802"/>
      <c r="QMK841" s="802"/>
      <c r="QML841" s="802"/>
      <c r="QMM841" s="802"/>
      <c r="QMN841" s="802"/>
      <c r="QMO841" s="802"/>
      <c r="QMP841" s="802"/>
      <c r="QMQ841" s="802"/>
      <c r="QMR841" s="802"/>
      <c r="QMS841" s="802"/>
      <c r="QMT841" s="802"/>
      <c r="QMU841" s="802"/>
      <c r="QMV841" s="802"/>
      <c r="QMW841" s="802"/>
      <c r="QMX841" s="802"/>
      <c r="QMY841" s="802"/>
      <c r="QMZ841" s="802"/>
      <c r="QNA841" s="802"/>
      <c r="QNB841" s="802"/>
      <c r="QNC841" s="802"/>
      <c r="QND841" s="802"/>
      <c r="QNE841" s="802"/>
      <c r="QNF841" s="802"/>
      <c r="QNG841" s="802"/>
      <c r="QNH841" s="802"/>
      <c r="QNI841" s="802"/>
      <c r="QNJ841" s="802"/>
      <c r="QNK841" s="802"/>
      <c r="QNL841" s="802"/>
      <c r="QNM841" s="802"/>
      <c r="QNN841" s="802"/>
      <c r="QNO841" s="802"/>
      <c r="QNP841" s="802"/>
      <c r="QNQ841" s="802"/>
      <c r="QNR841" s="802"/>
      <c r="QNS841" s="802"/>
      <c r="QNT841" s="802"/>
      <c r="QNU841" s="802"/>
      <c r="QNV841" s="802"/>
      <c r="QNW841" s="802"/>
      <c r="QNX841" s="802"/>
      <c r="QNY841" s="802"/>
      <c r="QNZ841" s="802"/>
      <c r="QOA841" s="802"/>
      <c r="QOB841" s="802"/>
      <c r="QOC841" s="802"/>
      <c r="QOD841" s="802"/>
      <c r="QOE841" s="802"/>
      <c r="QOF841" s="802"/>
      <c r="QOG841" s="802"/>
      <c r="QOH841" s="802"/>
      <c r="QOI841" s="802"/>
      <c r="QOJ841" s="802"/>
      <c r="QOK841" s="802"/>
      <c r="QOL841" s="802"/>
      <c r="QOM841" s="802"/>
      <c r="QON841" s="802"/>
      <c r="QOO841" s="802"/>
      <c r="QOP841" s="802"/>
      <c r="QOQ841" s="802"/>
      <c r="QOR841" s="802"/>
      <c r="QOS841" s="802"/>
      <c r="QOT841" s="802"/>
      <c r="QOU841" s="802"/>
      <c r="QOV841" s="802"/>
      <c r="QOW841" s="802"/>
      <c r="QOX841" s="802"/>
      <c r="QOY841" s="802"/>
      <c r="QOZ841" s="802"/>
      <c r="QPA841" s="802"/>
      <c r="QPB841" s="802"/>
      <c r="QPC841" s="802"/>
      <c r="QPD841" s="802"/>
      <c r="QPE841" s="802"/>
      <c r="QPF841" s="802"/>
      <c r="QPG841" s="802"/>
      <c r="QPH841" s="802"/>
      <c r="QPI841" s="802"/>
      <c r="QPJ841" s="802"/>
      <c r="QPK841" s="802"/>
      <c r="QPL841" s="802"/>
      <c r="QPM841" s="802"/>
      <c r="QPN841" s="802"/>
      <c r="QPO841" s="802"/>
      <c r="QPP841" s="802"/>
      <c r="QPQ841" s="802"/>
      <c r="QPR841" s="802"/>
      <c r="QPS841" s="802"/>
      <c r="QPT841" s="802"/>
      <c r="QPU841" s="802"/>
      <c r="QPV841" s="802"/>
      <c r="QPW841" s="802"/>
      <c r="QPX841" s="802"/>
      <c r="QPY841" s="802"/>
      <c r="QPZ841" s="802"/>
      <c r="QQA841" s="802"/>
      <c r="QQB841" s="802"/>
      <c r="QQC841" s="802"/>
      <c r="QQD841" s="802"/>
      <c r="QQE841" s="802"/>
      <c r="QQF841" s="802"/>
      <c r="QQG841" s="802"/>
      <c r="QQH841" s="802"/>
      <c r="QQI841" s="802"/>
      <c r="QQJ841" s="802"/>
      <c r="QQK841" s="802"/>
      <c r="QQL841" s="802"/>
      <c r="QQM841" s="802"/>
      <c r="QQN841" s="802"/>
      <c r="QQO841" s="802"/>
      <c r="QQP841" s="802"/>
      <c r="QQQ841" s="802"/>
      <c r="QQR841" s="802"/>
      <c r="QQS841" s="802"/>
      <c r="QQT841" s="802"/>
      <c r="QQU841" s="802"/>
      <c r="QQV841" s="802"/>
      <c r="QQW841" s="802"/>
      <c r="QQX841" s="802"/>
      <c r="QQY841" s="802"/>
      <c r="QQZ841" s="802"/>
      <c r="QRA841" s="802"/>
      <c r="QRB841" s="802"/>
      <c r="QRC841" s="802"/>
      <c r="QRD841" s="802"/>
      <c r="QRE841" s="802"/>
      <c r="QRF841" s="802"/>
      <c r="QRG841" s="802"/>
      <c r="QRH841" s="802"/>
      <c r="QRI841" s="802"/>
      <c r="QRJ841" s="802"/>
      <c r="QRK841" s="802"/>
      <c r="QRL841" s="802"/>
      <c r="QRM841" s="802"/>
      <c r="QRN841" s="802"/>
      <c r="QRO841" s="802"/>
      <c r="QRP841" s="802"/>
      <c r="QRQ841" s="802"/>
      <c r="QRR841" s="802"/>
      <c r="QRS841" s="802"/>
      <c r="QRT841" s="802"/>
      <c r="QRU841" s="802"/>
      <c r="QRV841" s="802"/>
      <c r="QRW841" s="802"/>
      <c r="QRX841" s="802"/>
      <c r="QRY841" s="802"/>
      <c r="QRZ841" s="802"/>
      <c r="QSA841" s="802"/>
      <c r="QSB841" s="802"/>
      <c r="QSC841" s="802"/>
      <c r="QSD841" s="802"/>
      <c r="QSE841" s="802"/>
      <c r="QSF841" s="802"/>
      <c r="QSG841" s="802"/>
      <c r="QSH841" s="802"/>
      <c r="QSI841" s="802"/>
      <c r="QSJ841" s="802"/>
      <c r="QSK841" s="802"/>
      <c r="QSL841" s="802"/>
      <c r="QSM841" s="802"/>
      <c r="QSN841" s="802"/>
      <c r="QSO841" s="802"/>
      <c r="QSP841" s="802"/>
      <c r="QSQ841" s="802"/>
      <c r="QSR841" s="802"/>
      <c r="QSS841" s="802"/>
      <c r="QST841" s="802"/>
      <c r="QSU841" s="802"/>
      <c r="QSV841" s="802"/>
      <c r="QSW841" s="802"/>
      <c r="QSX841" s="802"/>
      <c r="QSY841" s="802"/>
      <c r="QSZ841" s="802"/>
      <c r="QTA841" s="802"/>
      <c r="QTB841" s="802"/>
      <c r="QTC841" s="802"/>
      <c r="QTD841" s="802"/>
      <c r="QTE841" s="802"/>
      <c r="QTF841" s="802"/>
      <c r="QTG841" s="802"/>
      <c r="QTH841" s="802"/>
      <c r="QTI841" s="802"/>
      <c r="QTJ841" s="802"/>
      <c r="QTK841" s="802"/>
      <c r="QTL841" s="802"/>
      <c r="QTM841" s="802"/>
      <c r="QTN841" s="802"/>
      <c r="QTO841" s="802"/>
      <c r="QTP841" s="802"/>
      <c r="QTQ841" s="802"/>
      <c r="QTR841" s="802"/>
      <c r="QTS841" s="802"/>
      <c r="QTT841" s="802"/>
      <c r="QTU841" s="802"/>
      <c r="QTV841" s="802"/>
      <c r="QTW841" s="802"/>
      <c r="QTX841" s="802"/>
      <c r="QTY841" s="802"/>
      <c r="QTZ841" s="802"/>
      <c r="QUA841" s="802"/>
      <c r="QUB841" s="802"/>
      <c r="QUC841" s="802"/>
      <c r="QUD841" s="802"/>
      <c r="QUE841" s="802"/>
      <c r="QUF841" s="802"/>
      <c r="QUG841" s="802"/>
      <c r="QUH841" s="802"/>
      <c r="QUI841" s="802"/>
      <c r="QUJ841" s="802"/>
      <c r="QUK841" s="802"/>
      <c r="QUL841" s="802"/>
      <c r="QUM841" s="802"/>
      <c r="QUN841" s="802"/>
      <c r="QUO841" s="802"/>
      <c r="QUP841" s="802"/>
      <c r="QUQ841" s="802"/>
      <c r="QUR841" s="802"/>
      <c r="QUS841" s="802"/>
      <c r="QUT841" s="802"/>
      <c r="QUU841" s="802"/>
      <c r="QUV841" s="802"/>
      <c r="QUW841" s="802"/>
      <c r="QUX841" s="802"/>
      <c r="QUY841" s="802"/>
      <c r="QUZ841" s="802"/>
      <c r="QVA841" s="802"/>
      <c r="QVB841" s="802"/>
      <c r="QVC841" s="802"/>
      <c r="QVD841" s="802"/>
      <c r="QVE841" s="802"/>
      <c r="QVF841" s="802"/>
      <c r="QVG841" s="802"/>
      <c r="QVH841" s="802"/>
      <c r="QVI841" s="802"/>
      <c r="QVJ841" s="802"/>
      <c r="QVK841" s="802"/>
      <c r="QVL841" s="802"/>
      <c r="QVM841" s="802"/>
      <c r="QVN841" s="802"/>
      <c r="QVO841" s="802"/>
      <c r="QVP841" s="802"/>
      <c r="QVQ841" s="802"/>
      <c r="QVR841" s="802"/>
      <c r="QVS841" s="802"/>
      <c r="QVT841" s="802"/>
      <c r="QVU841" s="802"/>
      <c r="QVV841" s="802"/>
      <c r="QVW841" s="802"/>
      <c r="QVX841" s="802"/>
      <c r="QVY841" s="802"/>
      <c r="QVZ841" s="802"/>
      <c r="QWA841" s="802"/>
      <c r="QWB841" s="802"/>
      <c r="QWC841" s="802"/>
      <c r="QWD841" s="802"/>
      <c r="QWE841" s="802"/>
      <c r="QWF841" s="802"/>
      <c r="QWG841" s="802"/>
      <c r="QWH841" s="802"/>
      <c r="QWI841" s="802"/>
      <c r="QWJ841" s="802"/>
      <c r="QWK841" s="802"/>
      <c r="QWL841" s="802"/>
      <c r="QWM841" s="802"/>
      <c r="QWN841" s="802"/>
      <c r="QWO841" s="802"/>
      <c r="QWP841" s="802"/>
      <c r="QWQ841" s="802"/>
      <c r="QWR841" s="802"/>
      <c r="QWS841" s="802"/>
      <c r="QWT841" s="802"/>
      <c r="QWU841" s="802"/>
      <c r="QWV841" s="802"/>
      <c r="QWW841" s="802"/>
      <c r="QWX841" s="802"/>
      <c r="QWY841" s="802"/>
      <c r="QWZ841" s="802"/>
      <c r="QXA841" s="802"/>
      <c r="QXB841" s="802"/>
      <c r="QXC841" s="802"/>
      <c r="QXD841" s="802"/>
      <c r="QXE841" s="802"/>
      <c r="QXF841" s="802"/>
      <c r="QXG841" s="802"/>
      <c r="QXH841" s="802"/>
      <c r="QXI841" s="802"/>
      <c r="QXJ841" s="802"/>
      <c r="QXK841" s="802"/>
      <c r="QXL841" s="802"/>
      <c r="QXM841" s="802"/>
      <c r="QXN841" s="802"/>
      <c r="QXO841" s="802"/>
      <c r="QXP841" s="802"/>
      <c r="QXQ841" s="802"/>
      <c r="QXR841" s="802"/>
      <c r="QXS841" s="802"/>
      <c r="QXT841" s="802"/>
      <c r="QXU841" s="802"/>
      <c r="QXV841" s="802"/>
      <c r="QXW841" s="802"/>
      <c r="QXX841" s="802"/>
      <c r="QXY841" s="802"/>
      <c r="QXZ841" s="802"/>
      <c r="QYA841" s="802"/>
      <c r="QYB841" s="802"/>
      <c r="QYC841" s="802"/>
      <c r="QYD841" s="802"/>
      <c r="QYE841" s="802"/>
      <c r="QYF841" s="802"/>
      <c r="QYG841" s="802"/>
      <c r="QYH841" s="802"/>
      <c r="QYI841" s="802"/>
      <c r="QYJ841" s="802"/>
      <c r="QYK841" s="802"/>
      <c r="QYL841" s="802"/>
      <c r="QYM841" s="802"/>
      <c r="QYN841" s="802"/>
      <c r="QYO841" s="802"/>
      <c r="QYP841" s="802"/>
      <c r="QYQ841" s="802"/>
      <c r="QYR841" s="802"/>
      <c r="QYS841" s="802"/>
      <c r="QYT841" s="802"/>
      <c r="QYU841" s="802"/>
      <c r="QYV841" s="802"/>
      <c r="QYW841" s="802"/>
      <c r="QYX841" s="802"/>
      <c r="QYY841" s="802"/>
      <c r="QYZ841" s="802"/>
      <c r="QZA841" s="802"/>
      <c r="QZB841" s="802"/>
      <c r="QZC841" s="802"/>
      <c r="QZD841" s="802"/>
      <c r="QZE841" s="802"/>
      <c r="QZF841" s="802"/>
      <c r="QZG841" s="802"/>
      <c r="QZH841" s="802"/>
      <c r="QZI841" s="802"/>
      <c r="QZJ841" s="802"/>
      <c r="QZK841" s="802"/>
      <c r="QZL841" s="802"/>
      <c r="QZM841" s="802"/>
      <c r="QZN841" s="802"/>
      <c r="QZO841" s="802"/>
      <c r="QZP841" s="802"/>
      <c r="QZQ841" s="802"/>
      <c r="QZR841" s="802"/>
      <c r="QZS841" s="802"/>
      <c r="QZT841" s="802"/>
      <c r="QZU841" s="802"/>
      <c r="QZV841" s="802"/>
      <c r="QZW841" s="802"/>
      <c r="QZX841" s="802"/>
      <c r="QZY841" s="802"/>
      <c r="QZZ841" s="802"/>
      <c r="RAA841" s="802"/>
      <c r="RAB841" s="802"/>
      <c r="RAC841" s="802"/>
      <c r="RAD841" s="802"/>
      <c r="RAE841" s="802"/>
      <c r="RAF841" s="802"/>
      <c r="RAG841" s="802"/>
      <c r="RAH841" s="802"/>
      <c r="RAI841" s="802"/>
      <c r="RAJ841" s="802"/>
      <c r="RAK841" s="802"/>
      <c r="RAL841" s="802"/>
      <c r="RAM841" s="802"/>
      <c r="RAN841" s="802"/>
      <c r="RAO841" s="802"/>
      <c r="RAP841" s="802"/>
      <c r="RAQ841" s="802"/>
      <c r="RAR841" s="802"/>
      <c r="RAS841" s="802"/>
      <c r="RAT841" s="802"/>
      <c r="RAU841" s="802"/>
      <c r="RAV841" s="802"/>
      <c r="RAW841" s="802"/>
      <c r="RAX841" s="802"/>
      <c r="RAY841" s="802"/>
      <c r="RAZ841" s="802"/>
      <c r="RBA841" s="802"/>
      <c r="RBB841" s="802"/>
      <c r="RBC841" s="802"/>
      <c r="RBD841" s="802"/>
      <c r="RBE841" s="802"/>
      <c r="RBF841" s="802"/>
      <c r="RBG841" s="802"/>
      <c r="RBH841" s="802"/>
      <c r="RBI841" s="802"/>
      <c r="RBJ841" s="802"/>
      <c r="RBK841" s="802"/>
      <c r="RBL841" s="802"/>
      <c r="RBM841" s="802"/>
      <c r="RBN841" s="802"/>
      <c r="RBO841" s="802"/>
      <c r="RBP841" s="802"/>
      <c r="RBQ841" s="802"/>
      <c r="RBR841" s="802"/>
      <c r="RBS841" s="802"/>
      <c r="RBT841" s="802"/>
      <c r="RBU841" s="802"/>
      <c r="RBV841" s="802"/>
      <c r="RBW841" s="802"/>
      <c r="RBX841" s="802"/>
      <c r="RBY841" s="802"/>
      <c r="RBZ841" s="802"/>
      <c r="RCA841" s="802"/>
      <c r="RCB841" s="802"/>
      <c r="RCC841" s="802"/>
      <c r="RCD841" s="802"/>
      <c r="RCE841" s="802"/>
      <c r="RCF841" s="802"/>
      <c r="RCG841" s="802"/>
      <c r="RCH841" s="802"/>
      <c r="RCI841" s="802"/>
      <c r="RCJ841" s="802"/>
      <c r="RCK841" s="802"/>
      <c r="RCL841" s="802"/>
      <c r="RCM841" s="802"/>
      <c r="RCN841" s="802"/>
      <c r="RCO841" s="802"/>
      <c r="RCP841" s="802"/>
      <c r="RCQ841" s="802"/>
      <c r="RCR841" s="802"/>
      <c r="RCS841" s="802"/>
      <c r="RCT841" s="802"/>
      <c r="RCU841" s="802"/>
      <c r="RCV841" s="802"/>
      <c r="RCW841" s="802"/>
      <c r="RCX841" s="802"/>
      <c r="RCY841" s="802"/>
      <c r="RCZ841" s="802"/>
      <c r="RDA841" s="802"/>
      <c r="RDB841" s="802"/>
      <c r="RDC841" s="802"/>
      <c r="RDD841" s="802"/>
      <c r="RDE841" s="802"/>
      <c r="RDF841" s="802"/>
      <c r="RDG841" s="802"/>
      <c r="RDH841" s="802"/>
      <c r="RDI841" s="802"/>
      <c r="RDJ841" s="802"/>
      <c r="RDK841" s="802"/>
      <c r="RDL841" s="802"/>
      <c r="RDM841" s="802"/>
      <c r="RDN841" s="802"/>
      <c r="RDO841" s="802"/>
      <c r="RDP841" s="802"/>
      <c r="RDQ841" s="802"/>
      <c r="RDR841" s="802"/>
      <c r="RDS841" s="802"/>
      <c r="RDT841" s="802"/>
      <c r="RDU841" s="802"/>
      <c r="RDV841" s="802"/>
      <c r="RDW841" s="802"/>
      <c r="RDX841" s="802"/>
      <c r="RDY841" s="802"/>
      <c r="RDZ841" s="802"/>
      <c r="REA841" s="802"/>
      <c r="REB841" s="802"/>
      <c r="REC841" s="802"/>
      <c r="RED841" s="802"/>
      <c r="REE841" s="802"/>
      <c r="REF841" s="802"/>
      <c r="REG841" s="802"/>
      <c r="REH841" s="802"/>
      <c r="REI841" s="802"/>
      <c r="REJ841" s="802"/>
      <c r="REK841" s="802"/>
      <c r="REL841" s="802"/>
      <c r="REM841" s="802"/>
      <c r="REN841" s="802"/>
      <c r="REO841" s="802"/>
      <c r="REP841" s="802"/>
      <c r="REQ841" s="802"/>
      <c r="RER841" s="802"/>
      <c r="RES841" s="802"/>
      <c r="RET841" s="802"/>
      <c r="REU841" s="802"/>
      <c r="REV841" s="802"/>
      <c r="REW841" s="802"/>
      <c r="REX841" s="802"/>
      <c r="REY841" s="802"/>
      <c r="REZ841" s="802"/>
      <c r="RFA841" s="802"/>
      <c r="RFB841" s="802"/>
      <c r="RFC841" s="802"/>
      <c r="RFD841" s="802"/>
      <c r="RFE841" s="802"/>
      <c r="RFF841" s="802"/>
      <c r="RFG841" s="802"/>
      <c r="RFH841" s="802"/>
      <c r="RFI841" s="802"/>
      <c r="RFJ841" s="802"/>
      <c r="RFK841" s="802"/>
      <c r="RFL841" s="802"/>
      <c r="RFM841" s="802"/>
      <c r="RFN841" s="802"/>
      <c r="RFO841" s="802"/>
      <c r="RFP841" s="802"/>
      <c r="RFQ841" s="802"/>
      <c r="RFR841" s="802"/>
      <c r="RFS841" s="802"/>
      <c r="RFT841" s="802"/>
      <c r="RFU841" s="802"/>
      <c r="RFV841" s="802"/>
      <c r="RFW841" s="802"/>
      <c r="RFX841" s="802"/>
      <c r="RFY841" s="802"/>
      <c r="RFZ841" s="802"/>
      <c r="RGA841" s="802"/>
      <c r="RGB841" s="802"/>
      <c r="RGC841" s="802"/>
      <c r="RGD841" s="802"/>
      <c r="RGE841" s="802"/>
      <c r="RGF841" s="802"/>
      <c r="RGG841" s="802"/>
      <c r="RGH841" s="802"/>
      <c r="RGI841" s="802"/>
      <c r="RGJ841" s="802"/>
      <c r="RGK841" s="802"/>
      <c r="RGL841" s="802"/>
      <c r="RGM841" s="802"/>
      <c r="RGN841" s="802"/>
      <c r="RGO841" s="802"/>
      <c r="RGP841" s="802"/>
      <c r="RGQ841" s="802"/>
      <c r="RGR841" s="802"/>
      <c r="RGS841" s="802"/>
      <c r="RGT841" s="802"/>
      <c r="RGU841" s="802"/>
      <c r="RGV841" s="802"/>
      <c r="RGW841" s="802"/>
      <c r="RGX841" s="802"/>
      <c r="RGY841" s="802"/>
      <c r="RGZ841" s="802"/>
      <c r="RHA841" s="802"/>
      <c r="RHB841" s="802"/>
      <c r="RHC841" s="802"/>
      <c r="RHD841" s="802"/>
      <c r="RHE841" s="802"/>
      <c r="RHF841" s="802"/>
      <c r="RHG841" s="802"/>
      <c r="RHH841" s="802"/>
      <c r="RHI841" s="802"/>
      <c r="RHJ841" s="802"/>
      <c r="RHK841" s="802"/>
      <c r="RHL841" s="802"/>
      <c r="RHM841" s="802"/>
      <c r="RHN841" s="802"/>
      <c r="RHO841" s="802"/>
      <c r="RHP841" s="802"/>
      <c r="RHQ841" s="802"/>
      <c r="RHR841" s="802"/>
      <c r="RHS841" s="802"/>
      <c r="RHT841" s="802"/>
      <c r="RHU841" s="802"/>
      <c r="RHV841" s="802"/>
      <c r="RHW841" s="802"/>
      <c r="RHX841" s="802"/>
      <c r="RHY841" s="802"/>
      <c r="RHZ841" s="802"/>
      <c r="RIA841" s="802"/>
      <c r="RIB841" s="802"/>
      <c r="RIC841" s="802"/>
      <c r="RID841" s="802"/>
      <c r="RIE841" s="802"/>
      <c r="RIF841" s="802"/>
      <c r="RIG841" s="802"/>
      <c r="RIH841" s="802"/>
      <c r="RII841" s="802"/>
      <c r="RIJ841" s="802"/>
      <c r="RIK841" s="802"/>
      <c r="RIL841" s="802"/>
      <c r="RIM841" s="802"/>
      <c r="RIN841" s="802"/>
      <c r="RIO841" s="802"/>
      <c r="RIP841" s="802"/>
      <c r="RIQ841" s="802"/>
      <c r="RIR841" s="802"/>
      <c r="RIS841" s="802"/>
      <c r="RIT841" s="802"/>
      <c r="RIU841" s="802"/>
      <c r="RIV841" s="802"/>
      <c r="RIW841" s="802"/>
      <c r="RIX841" s="802"/>
      <c r="RIY841" s="802"/>
      <c r="RIZ841" s="802"/>
      <c r="RJA841" s="802"/>
      <c r="RJB841" s="802"/>
      <c r="RJC841" s="802"/>
      <c r="RJD841" s="802"/>
      <c r="RJE841" s="802"/>
      <c r="RJF841" s="802"/>
      <c r="RJG841" s="802"/>
      <c r="RJH841" s="802"/>
      <c r="RJI841" s="802"/>
      <c r="RJJ841" s="802"/>
      <c r="RJK841" s="802"/>
      <c r="RJL841" s="802"/>
      <c r="RJM841" s="802"/>
      <c r="RJN841" s="802"/>
      <c r="RJO841" s="802"/>
      <c r="RJP841" s="802"/>
      <c r="RJQ841" s="802"/>
      <c r="RJR841" s="802"/>
      <c r="RJS841" s="802"/>
      <c r="RJT841" s="802"/>
      <c r="RJU841" s="802"/>
      <c r="RJV841" s="802"/>
      <c r="RJW841" s="802"/>
      <c r="RJX841" s="802"/>
      <c r="RJY841" s="802"/>
      <c r="RJZ841" s="802"/>
      <c r="RKA841" s="802"/>
      <c r="RKB841" s="802"/>
      <c r="RKC841" s="802"/>
      <c r="RKD841" s="802"/>
      <c r="RKE841" s="802"/>
      <c r="RKF841" s="802"/>
      <c r="RKG841" s="802"/>
      <c r="RKH841" s="802"/>
      <c r="RKI841" s="802"/>
      <c r="RKJ841" s="802"/>
      <c r="RKK841" s="802"/>
      <c r="RKL841" s="802"/>
      <c r="RKM841" s="802"/>
      <c r="RKN841" s="802"/>
      <c r="RKO841" s="802"/>
      <c r="RKP841" s="802"/>
      <c r="RKQ841" s="802"/>
      <c r="RKR841" s="802"/>
      <c r="RKS841" s="802"/>
      <c r="RKT841" s="802"/>
      <c r="RKU841" s="802"/>
      <c r="RKV841" s="802"/>
      <c r="RKW841" s="802"/>
      <c r="RKX841" s="802"/>
      <c r="RKY841" s="802"/>
      <c r="RKZ841" s="802"/>
      <c r="RLA841" s="802"/>
      <c r="RLB841" s="802"/>
      <c r="RLC841" s="802"/>
      <c r="RLD841" s="802"/>
      <c r="RLE841" s="802"/>
      <c r="RLF841" s="802"/>
      <c r="RLG841" s="802"/>
      <c r="RLH841" s="802"/>
      <c r="RLI841" s="802"/>
      <c r="RLJ841" s="802"/>
      <c r="RLK841" s="802"/>
      <c r="RLL841" s="802"/>
      <c r="RLM841" s="802"/>
      <c r="RLN841" s="802"/>
      <c r="RLO841" s="802"/>
      <c r="RLP841" s="802"/>
      <c r="RLQ841" s="802"/>
      <c r="RLR841" s="802"/>
      <c r="RLS841" s="802"/>
      <c r="RLT841" s="802"/>
      <c r="RLU841" s="802"/>
      <c r="RLV841" s="802"/>
      <c r="RLW841" s="802"/>
      <c r="RLX841" s="802"/>
      <c r="RLY841" s="802"/>
      <c r="RLZ841" s="802"/>
      <c r="RMA841" s="802"/>
      <c r="RMB841" s="802"/>
      <c r="RMC841" s="802"/>
      <c r="RMD841" s="802"/>
      <c r="RME841" s="802"/>
      <c r="RMF841" s="802"/>
      <c r="RMG841" s="802"/>
      <c r="RMH841" s="802"/>
      <c r="RMI841" s="802"/>
      <c r="RMJ841" s="802"/>
      <c r="RMK841" s="802"/>
      <c r="RML841" s="802"/>
      <c r="RMM841" s="802"/>
      <c r="RMN841" s="802"/>
      <c r="RMO841" s="802"/>
      <c r="RMP841" s="802"/>
      <c r="RMQ841" s="802"/>
      <c r="RMR841" s="802"/>
      <c r="RMS841" s="802"/>
      <c r="RMT841" s="802"/>
      <c r="RMU841" s="802"/>
      <c r="RMV841" s="802"/>
      <c r="RMW841" s="802"/>
      <c r="RMX841" s="802"/>
      <c r="RMY841" s="802"/>
      <c r="RMZ841" s="802"/>
      <c r="RNA841" s="802"/>
      <c r="RNB841" s="802"/>
      <c r="RNC841" s="802"/>
      <c r="RND841" s="802"/>
      <c r="RNE841" s="802"/>
      <c r="RNF841" s="802"/>
      <c r="RNG841" s="802"/>
      <c r="RNH841" s="802"/>
      <c r="RNI841" s="802"/>
      <c r="RNJ841" s="802"/>
      <c r="RNK841" s="802"/>
      <c r="RNL841" s="802"/>
      <c r="RNM841" s="802"/>
      <c r="RNN841" s="802"/>
      <c r="RNO841" s="802"/>
      <c r="RNP841" s="802"/>
      <c r="RNQ841" s="802"/>
      <c r="RNR841" s="802"/>
      <c r="RNS841" s="802"/>
      <c r="RNT841" s="802"/>
      <c r="RNU841" s="802"/>
      <c r="RNV841" s="802"/>
      <c r="RNW841" s="802"/>
      <c r="RNX841" s="802"/>
      <c r="RNY841" s="802"/>
      <c r="RNZ841" s="802"/>
      <c r="ROA841" s="802"/>
      <c r="ROB841" s="802"/>
      <c r="ROC841" s="802"/>
      <c r="ROD841" s="802"/>
      <c r="ROE841" s="802"/>
      <c r="ROF841" s="802"/>
      <c r="ROG841" s="802"/>
      <c r="ROH841" s="802"/>
      <c r="ROI841" s="802"/>
      <c r="ROJ841" s="802"/>
      <c r="ROK841" s="802"/>
      <c r="ROL841" s="802"/>
      <c r="ROM841" s="802"/>
      <c r="RON841" s="802"/>
      <c r="ROO841" s="802"/>
      <c r="ROP841" s="802"/>
      <c r="ROQ841" s="802"/>
      <c r="ROR841" s="802"/>
      <c r="ROS841" s="802"/>
      <c r="ROT841" s="802"/>
      <c r="ROU841" s="802"/>
      <c r="ROV841" s="802"/>
      <c r="ROW841" s="802"/>
      <c r="ROX841" s="802"/>
      <c r="ROY841" s="802"/>
      <c r="ROZ841" s="802"/>
      <c r="RPA841" s="802"/>
      <c r="RPB841" s="802"/>
      <c r="RPC841" s="802"/>
      <c r="RPD841" s="802"/>
      <c r="RPE841" s="802"/>
      <c r="RPF841" s="802"/>
      <c r="RPG841" s="802"/>
      <c r="RPH841" s="802"/>
      <c r="RPI841" s="802"/>
      <c r="RPJ841" s="802"/>
      <c r="RPK841" s="802"/>
      <c r="RPL841" s="802"/>
      <c r="RPM841" s="802"/>
      <c r="RPN841" s="802"/>
      <c r="RPO841" s="802"/>
      <c r="RPP841" s="802"/>
      <c r="RPQ841" s="802"/>
      <c r="RPR841" s="802"/>
      <c r="RPS841" s="802"/>
      <c r="RPT841" s="802"/>
      <c r="RPU841" s="802"/>
      <c r="RPV841" s="802"/>
      <c r="RPW841" s="802"/>
      <c r="RPX841" s="802"/>
      <c r="RPY841" s="802"/>
      <c r="RPZ841" s="802"/>
      <c r="RQA841" s="802"/>
      <c r="RQB841" s="802"/>
      <c r="RQC841" s="802"/>
      <c r="RQD841" s="802"/>
      <c r="RQE841" s="802"/>
      <c r="RQF841" s="802"/>
      <c r="RQG841" s="802"/>
      <c r="RQH841" s="802"/>
      <c r="RQI841" s="802"/>
      <c r="RQJ841" s="802"/>
      <c r="RQK841" s="802"/>
      <c r="RQL841" s="802"/>
      <c r="RQM841" s="802"/>
      <c r="RQN841" s="802"/>
      <c r="RQO841" s="802"/>
      <c r="RQP841" s="802"/>
      <c r="RQQ841" s="802"/>
      <c r="RQR841" s="802"/>
      <c r="RQS841" s="802"/>
      <c r="RQT841" s="802"/>
      <c r="RQU841" s="802"/>
      <c r="RQV841" s="802"/>
      <c r="RQW841" s="802"/>
      <c r="RQX841" s="802"/>
      <c r="RQY841" s="802"/>
      <c r="RQZ841" s="802"/>
      <c r="RRA841" s="802"/>
      <c r="RRB841" s="802"/>
      <c r="RRC841" s="802"/>
      <c r="RRD841" s="802"/>
      <c r="RRE841" s="802"/>
      <c r="RRF841" s="802"/>
      <c r="RRG841" s="802"/>
      <c r="RRH841" s="802"/>
      <c r="RRI841" s="802"/>
      <c r="RRJ841" s="802"/>
      <c r="RRK841" s="802"/>
      <c r="RRL841" s="802"/>
      <c r="RRM841" s="802"/>
      <c r="RRN841" s="802"/>
      <c r="RRO841" s="802"/>
      <c r="RRP841" s="802"/>
      <c r="RRQ841" s="802"/>
      <c r="RRR841" s="802"/>
      <c r="RRS841" s="802"/>
      <c r="RRT841" s="802"/>
      <c r="RRU841" s="802"/>
      <c r="RRV841" s="802"/>
      <c r="RRW841" s="802"/>
      <c r="RRX841" s="802"/>
      <c r="RRY841" s="802"/>
      <c r="RRZ841" s="802"/>
      <c r="RSA841" s="802"/>
      <c r="RSB841" s="802"/>
      <c r="RSC841" s="802"/>
      <c r="RSD841" s="802"/>
      <c r="RSE841" s="802"/>
      <c r="RSF841" s="802"/>
      <c r="RSG841" s="802"/>
      <c r="RSH841" s="802"/>
      <c r="RSI841" s="802"/>
      <c r="RSJ841" s="802"/>
      <c r="RSK841" s="802"/>
      <c r="RSL841" s="802"/>
      <c r="RSM841" s="802"/>
      <c r="RSN841" s="802"/>
      <c r="RSO841" s="802"/>
      <c r="RSP841" s="802"/>
      <c r="RSQ841" s="802"/>
      <c r="RSR841" s="802"/>
      <c r="RSS841" s="802"/>
      <c r="RST841" s="802"/>
      <c r="RSU841" s="802"/>
      <c r="RSV841" s="802"/>
      <c r="RSW841" s="802"/>
      <c r="RSX841" s="802"/>
      <c r="RSY841" s="802"/>
      <c r="RSZ841" s="802"/>
      <c r="RTA841" s="802"/>
      <c r="RTB841" s="802"/>
      <c r="RTC841" s="802"/>
      <c r="RTD841" s="802"/>
      <c r="RTE841" s="802"/>
      <c r="RTF841" s="802"/>
      <c r="RTG841" s="802"/>
      <c r="RTH841" s="802"/>
      <c r="RTI841" s="802"/>
      <c r="RTJ841" s="802"/>
      <c r="RTK841" s="802"/>
      <c r="RTL841" s="802"/>
      <c r="RTM841" s="802"/>
      <c r="RTN841" s="802"/>
      <c r="RTO841" s="802"/>
      <c r="RTP841" s="802"/>
      <c r="RTQ841" s="802"/>
      <c r="RTR841" s="802"/>
      <c r="RTS841" s="802"/>
      <c r="RTT841" s="802"/>
      <c r="RTU841" s="802"/>
      <c r="RTV841" s="802"/>
      <c r="RTW841" s="802"/>
      <c r="RTX841" s="802"/>
      <c r="RTY841" s="802"/>
      <c r="RTZ841" s="802"/>
      <c r="RUA841" s="802"/>
      <c r="RUB841" s="802"/>
      <c r="RUC841" s="802"/>
      <c r="RUD841" s="802"/>
      <c r="RUE841" s="802"/>
      <c r="RUF841" s="802"/>
      <c r="RUG841" s="802"/>
      <c r="RUH841" s="802"/>
      <c r="RUI841" s="802"/>
      <c r="RUJ841" s="802"/>
      <c r="RUK841" s="802"/>
      <c r="RUL841" s="802"/>
      <c r="RUM841" s="802"/>
      <c r="RUN841" s="802"/>
      <c r="RUO841" s="802"/>
      <c r="RUP841" s="802"/>
      <c r="RUQ841" s="802"/>
      <c r="RUR841" s="802"/>
      <c r="RUS841" s="802"/>
      <c r="RUT841" s="802"/>
      <c r="RUU841" s="802"/>
      <c r="RUV841" s="802"/>
      <c r="RUW841" s="802"/>
      <c r="RUX841" s="802"/>
      <c r="RUY841" s="802"/>
      <c r="RUZ841" s="802"/>
      <c r="RVA841" s="802"/>
      <c r="RVB841" s="802"/>
      <c r="RVC841" s="802"/>
      <c r="RVD841" s="802"/>
      <c r="RVE841" s="802"/>
      <c r="RVF841" s="802"/>
      <c r="RVG841" s="802"/>
      <c r="RVH841" s="802"/>
      <c r="RVI841" s="802"/>
      <c r="RVJ841" s="802"/>
      <c r="RVK841" s="802"/>
      <c r="RVL841" s="802"/>
      <c r="RVM841" s="802"/>
      <c r="RVN841" s="802"/>
      <c r="RVO841" s="802"/>
      <c r="RVP841" s="802"/>
      <c r="RVQ841" s="802"/>
      <c r="RVR841" s="802"/>
      <c r="RVS841" s="802"/>
      <c r="RVT841" s="802"/>
      <c r="RVU841" s="802"/>
      <c r="RVV841" s="802"/>
      <c r="RVW841" s="802"/>
      <c r="RVX841" s="802"/>
      <c r="RVY841" s="802"/>
      <c r="RVZ841" s="802"/>
      <c r="RWA841" s="802"/>
      <c r="RWB841" s="802"/>
      <c r="RWC841" s="802"/>
      <c r="RWD841" s="802"/>
      <c r="RWE841" s="802"/>
      <c r="RWF841" s="802"/>
      <c r="RWG841" s="802"/>
      <c r="RWH841" s="802"/>
      <c r="RWI841" s="802"/>
      <c r="RWJ841" s="802"/>
      <c r="RWK841" s="802"/>
      <c r="RWL841" s="802"/>
      <c r="RWM841" s="802"/>
      <c r="RWN841" s="802"/>
      <c r="RWO841" s="802"/>
      <c r="RWP841" s="802"/>
      <c r="RWQ841" s="802"/>
      <c r="RWR841" s="802"/>
      <c r="RWS841" s="802"/>
      <c r="RWT841" s="802"/>
      <c r="RWU841" s="802"/>
      <c r="RWV841" s="802"/>
      <c r="RWW841" s="802"/>
      <c r="RWX841" s="802"/>
      <c r="RWY841" s="802"/>
      <c r="RWZ841" s="802"/>
      <c r="RXA841" s="802"/>
      <c r="RXB841" s="802"/>
      <c r="RXC841" s="802"/>
      <c r="RXD841" s="802"/>
      <c r="RXE841" s="802"/>
      <c r="RXF841" s="802"/>
      <c r="RXG841" s="802"/>
      <c r="RXH841" s="802"/>
      <c r="RXI841" s="802"/>
      <c r="RXJ841" s="802"/>
      <c r="RXK841" s="802"/>
      <c r="RXL841" s="802"/>
      <c r="RXM841" s="802"/>
      <c r="RXN841" s="802"/>
      <c r="RXO841" s="802"/>
      <c r="RXP841" s="802"/>
      <c r="RXQ841" s="802"/>
      <c r="RXR841" s="802"/>
      <c r="RXS841" s="802"/>
      <c r="RXT841" s="802"/>
      <c r="RXU841" s="802"/>
      <c r="RXV841" s="802"/>
      <c r="RXW841" s="802"/>
      <c r="RXX841" s="802"/>
      <c r="RXY841" s="802"/>
      <c r="RXZ841" s="802"/>
      <c r="RYA841" s="802"/>
      <c r="RYB841" s="802"/>
      <c r="RYC841" s="802"/>
      <c r="RYD841" s="802"/>
      <c r="RYE841" s="802"/>
      <c r="RYF841" s="802"/>
      <c r="RYG841" s="802"/>
      <c r="RYH841" s="802"/>
      <c r="RYI841" s="802"/>
      <c r="RYJ841" s="802"/>
      <c r="RYK841" s="802"/>
      <c r="RYL841" s="802"/>
      <c r="RYM841" s="802"/>
      <c r="RYN841" s="802"/>
      <c r="RYO841" s="802"/>
      <c r="RYP841" s="802"/>
      <c r="RYQ841" s="802"/>
      <c r="RYR841" s="802"/>
      <c r="RYS841" s="802"/>
      <c r="RYT841" s="802"/>
      <c r="RYU841" s="802"/>
      <c r="RYV841" s="802"/>
      <c r="RYW841" s="802"/>
      <c r="RYX841" s="802"/>
      <c r="RYY841" s="802"/>
      <c r="RYZ841" s="802"/>
      <c r="RZA841" s="802"/>
      <c r="RZB841" s="802"/>
      <c r="RZC841" s="802"/>
      <c r="RZD841" s="802"/>
      <c r="RZE841" s="802"/>
      <c r="RZF841" s="802"/>
      <c r="RZG841" s="802"/>
      <c r="RZH841" s="802"/>
      <c r="RZI841" s="802"/>
      <c r="RZJ841" s="802"/>
      <c r="RZK841" s="802"/>
      <c r="RZL841" s="802"/>
      <c r="RZM841" s="802"/>
      <c r="RZN841" s="802"/>
      <c r="RZO841" s="802"/>
      <c r="RZP841" s="802"/>
      <c r="RZQ841" s="802"/>
      <c r="RZR841" s="802"/>
      <c r="RZS841" s="802"/>
      <c r="RZT841" s="802"/>
      <c r="RZU841" s="802"/>
      <c r="RZV841" s="802"/>
      <c r="RZW841" s="802"/>
      <c r="RZX841" s="802"/>
      <c r="RZY841" s="802"/>
      <c r="RZZ841" s="802"/>
      <c r="SAA841" s="802"/>
      <c r="SAB841" s="802"/>
      <c r="SAC841" s="802"/>
      <c r="SAD841" s="802"/>
      <c r="SAE841" s="802"/>
      <c r="SAF841" s="802"/>
      <c r="SAG841" s="802"/>
      <c r="SAH841" s="802"/>
      <c r="SAI841" s="802"/>
      <c r="SAJ841" s="802"/>
      <c r="SAK841" s="802"/>
      <c r="SAL841" s="802"/>
      <c r="SAM841" s="802"/>
      <c r="SAN841" s="802"/>
      <c r="SAO841" s="802"/>
      <c r="SAP841" s="802"/>
      <c r="SAQ841" s="802"/>
      <c r="SAR841" s="802"/>
      <c r="SAS841" s="802"/>
      <c r="SAT841" s="802"/>
      <c r="SAU841" s="802"/>
      <c r="SAV841" s="802"/>
      <c r="SAW841" s="802"/>
      <c r="SAX841" s="802"/>
      <c r="SAY841" s="802"/>
      <c r="SAZ841" s="802"/>
      <c r="SBA841" s="802"/>
      <c r="SBB841" s="802"/>
      <c r="SBC841" s="802"/>
      <c r="SBD841" s="802"/>
      <c r="SBE841" s="802"/>
      <c r="SBF841" s="802"/>
      <c r="SBG841" s="802"/>
      <c r="SBH841" s="802"/>
      <c r="SBI841" s="802"/>
      <c r="SBJ841" s="802"/>
      <c r="SBK841" s="802"/>
      <c r="SBL841" s="802"/>
      <c r="SBM841" s="802"/>
      <c r="SBN841" s="802"/>
      <c r="SBO841" s="802"/>
      <c r="SBP841" s="802"/>
      <c r="SBQ841" s="802"/>
      <c r="SBR841" s="802"/>
      <c r="SBS841" s="802"/>
      <c r="SBT841" s="802"/>
      <c r="SBU841" s="802"/>
      <c r="SBV841" s="802"/>
      <c r="SBW841" s="802"/>
      <c r="SBX841" s="802"/>
      <c r="SBY841" s="802"/>
      <c r="SBZ841" s="802"/>
      <c r="SCA841" s="802"/>
      <c r="SCB841" s="802"/>
      <c r="SCC841" s="802"/>
      <c r="SCD841" s="802"/>
      <c r="SCE841" s="802"/>
      <c r="SCF841" s="802"/>
      <c r="SCG841" s="802"/>
      <c r="SCH841" s="802"/>
      <c r="SCI841" s="802"/>
      <c r="SCJ841" s="802"/>
      <c r="SCK841" s="802"/>
      <c r="SCL841" s="802"/>
      <c r="SCM841" s="802"/>
      <c r="SCN841" s="802"/>
      <c r="SCO841" s="802"/>
      <c r="SCP841" s="802"/>
      <c r="SCQ841" s="802"/>
      <c r="SCR841" s="802"/>
      <c r="SCS841" s="802"/>
      <c r="SCT841" s="802"/>
      <c r="SCU841" s="802"/>
      <c r="SCV841" s="802"/>
      <c r="SCW841" s="802"/>
      <c r="SCX841" s="802"/>
      <c r="SCY841" s="802"/>
      <c r="SCZ841" s="802"/>
      <c r="SDA841" s="802"/>
      <c r="SDB841" s="802"/>
      <c r="SDC841" s="802"/>
      <c r="SDD841" s="802"/>
      <c r="SDE841" s="802"/>
      <c r="SDF841" s="802"/>
      <c r="SDG841" s="802"/>
      <c r="SDH841" s="802"/>
      <c r="SDI841" s="802"/>
      <c r="SDJ841" s="802"/>
      <c r="SDK841" s="802"/>
      <c r="SDL841" s="802"/>
      <c r="SDM841" s="802"/>
      <c r="SDN841" s="802"/>
      <c r="SDO841" s="802"/>
      <c r="SDP841" s="802"/>
      <c r="SDQ841" s="802"/>
      <c r="SDR841" s="802"/>
      <c r="SDS841" s="802"/>
      <c r="SDT841" s="802"/>
      <c r="SDU841" s="802"/>
      <c r="SDV841" s="802"/>
      <c r="SDW841" s="802"/>
      <c r="SDX841" s="802"/>
      <c r="SDY841" s="802"/>
      <c r="SDZ841" s="802"/>
      <c r="SEA841" s="802"/>
      <c r="SEB841" s="802"/>
      <c r="SEC841" s="802"/>
      <c r="SED841" s="802"/>
      <c r="SEE841" s="802"/>
      <c r="SEF841" s="802"/>
      <c r="SEG841" s="802"/>
      <c r="SEH841" s="802"/>
      <c r="SEI841" s="802"/>
      <c r="SEJ841" s="802"/>
      <c r="SEK841" s="802"/>
      <c r="SEL841" s="802"/>
      <c r="SEM841" s="802"/>
      <c r="SEN841" s="802"/>
      <c r="SEO841" s="802"/>
      <c r="SEP841" s="802"/>
      <c r="SEQ841" s="802"/>
      <c r="SER841" s="802"/>
      <c r="SES841" s="802"/>
      <c r="SET841" s="802"/>
      <c r="SEU841" s="802"/>
      <c r="SEV841" s="802"/>
      <c r="SEW841" s="802"/>
      <c r="SEX841" s="802"/>
      <c r="SEY841" s="802"/>
      <c r="SEZ841" s="802"/>
      <c r="SFA841" s="802"/>
      <c r="SFB841" s="802"/>
      <c r="SFC841" s="802"/>
      <c r="SFD841" s="802"/>
      <c r="SFE841" s="802"/>
      <c r="SFF841" s="802"/>
      <c r="SFG841" s="802"/>
      <c r="SFH841" s="802"/>
      <c r="SFI841" s="802"/>
      <c r="SFJ841" s="802"/>
      <c r="SFK841" s="802"/>
      <c r="SFL841" s="802"/>
      <c r="SFM841" s="802"/>
      <c r="SFN841" s="802"/>
      <c r="SFO841" s="802"/>
      <c r="SFP841" s="802"/>
      <c r="SFQ841" s="802"/>
      <c r="SFR841" s="802"/>
      <c r="SFS841" s="802"/>
      <c r="SFT841" s="802"/>
      <c r="SFU841" s="802"/>
      <c r="SFV841" s="802"/>
      <c r="SFW841" s="802"/>
      <c r="SFX841" s="802"/>
      <c r="SFY841" s="802"/>
      <c r="SFZ841" s="802"/>
      <c r="SGA841" s="802"/>
      <c r="SGB841" s="802"/>
      <c r="SGC841" s="802"/>
      <c r="SGD841" s="802"/>
      <c r="SGE841" s="802"/>
      <c r="SGF841" s="802"/>
      <c r="SGG841" s="802"/>
      <c r="SGH841" s="802"/>
      <c r="SGI841" s="802"/>
      <c r="SGJ841" s="802"/>
      <c r="SGK841" s="802"/>
      <c r="SGL841" s="802"/>
      <c r="SGM841" s="802"/>
      <c r="SGN841" s="802"/>
      <c r="SGO841" s="802"/>
      <c r="SGP841" s="802"/>
      <c r="SGQ841" s="802"/>
      <c r="SGR841" s="802"/>
      <c r="SGS841" s="802"/>
      <c r="SGT841" s="802"/>
      <c r="SGU841" s="802"/>
      <c r="SGV841" s="802"/>
      <c r="SGW841" s="802"/>
      <c r="SGX841" s="802"/>
      <c r="SGY841" s="802"/>
      <c r="SGZ841" s="802"/>
      <c r="SHA841" s="802"/>
      <c r="SHB841" s="802"/>
      <c r="SHC841" s="802"/>
      <c r="SHD841" s="802"/>
      <c r="SHE841" s="802"/>
      <c r="SHF841" s="802"/>
      <c r="SHG841" s="802"/>
      <c r="SHH841" s="802"/>
      <c r="SHI841" s="802"/>
      <c r="SHJ841" s="802"/>
      <c r="SHK841" s="802"/>
      <c r="SHL841" s="802"/>
      <c r="SHM841" s="802"/>
      <c r="SHN841" s="802"/>
      <c r="SHO841" s="802"/>
      <c r="SHP841" s="802"/>
      <c r="SHQ841" s="802"/>
      <c r="SHR841" s="802"/>
      <c r="SHS841" s="802"/>
      <c r="SHT841" s="802"/>
      <c r="SHU841" s="802"/>
      <c r="SHV841" s="802"/>
      <c r="SHW841" s="802"/>
      <c r="SHX841" s="802"/>
      <c r="SHY841" s="802"/>
      <c r="SHZ841" s="802"/>
      <c r="SIA841" s="802"/>
      <c r="SIB841" s="802"/>
      <c r="SIC841" s="802"/>
      <c r="SID841" s="802"/>
      <c r="SIE841" s="802"/>
      <c r="SIF841" s="802"/>
      <c r="SIG841" s="802"/>
      <c r="SIH841" s="802"/>
      <c r="SII841" s="802"/>
      <c r="SIJ841" s="802"/>
      <c r="SIK841" s="802"/>
      <c r="SIL841" s="802"/>
      <c r="SIM841" s="802"/>
      <c r="SIN841" s="802"/>
      <c r="SIO841" s="802"/>
      <c r="SIP841" s="802"/>
      <c r="SIQ841" s="802"/>
      <c r="SIR841" s="802"/>
      <c r="SIS841" s="802"/>
      <c r="SIT841" s="802"/>
      <c r="SIU841" s="802"/>
      <c r="SIV841" s="802"/>
      <c r="SIW841" s="802"/>
      <c r="SIX841" s="802"/>
      <c r="SIY841" s="802"/>
      <c r="SIZ841" s="802"/>
      <c r="SJA841" s="802"/>
      <c r="SJB841" s="802"/>
      <c r="SJC841" s="802"/>
      <c r="SJD841" s="802"/>
      <c r="SJE841" s="802"/>
      <c r="SJF841" s="802"/>
      <c r="SJG841" s="802"/>
      <c r="SJH841" s="802"/>
      <c r="SJI841" s="802"/>
      <c r="SJJ841" s="802"/>
      <c r="SJK841" s="802"/>
      <c r="SJL841" s="802"/>
      <c r="SJM841" s="802"/>
      <c r="SJN841" s="802"/>
      <c r="SJO841" s="802"/>
      <c r="SJP841" s="802"/>
      <c r="SJQ841" s="802"/>
      <c r="SJR841" s="802"/>
      <c r="SJS841" s="802"/>
      <c r="SJT841" s="802"/>
      <c r="SJU841" s="802"/>
      <c r="SJV841" s="802"/>
      <c r="SJW841" s="802"/>
      <c r="SJX841" s="802"/>
      <c r="SJY841" s="802"/>
      <c r="SJZ841" s="802"/>
      <c r="SKA841" s="802"/>
      <c r="SKB841" s="802"/>
      <c r="SKC841" s="802"/>
      <c r="SKD841" s="802"/>
      <c r="SKE841" s="802"/>
      <c r="SKF841" s="802"/>
      <c r="SKG841" s="802"/>
      <c r="SKH841" s="802"/>
      <c r="SKI841" s="802"/>
      <c r="SKJ841" s="802"/>
      <c r="SKK841" s="802"/>
      <c r="SKL841" s="802"/>
      <c r="SKM841" s="802"/>
      <c r="SKN841" s="802"/>
      <c r="SKO841" s="802"/>
      <c r="SKP841" s="802"/>
      <c r="SKQ841" s="802"/>
      <c r="SKR841" s="802"/>
      <c r="SKS841" s="802"/>
      <c r="SKT841" s="802"/>
      <c r="SKU841" s="802"/>
      <c r="SKV841" s="802"/>
      <c r="SKW841" s="802"/>
      <c r="SKX841" s="802"/>
      <c r="SKY841" s="802"/>
      <c r="SKZ841" s="802"/>
      <c r="SLA841" s="802"/>
      <c r="SLB841" s="802"/>
      <c r="SLC841" s="802"/>
      <c r="SLD841" s="802"/>
      <c r="SLE841" s="802"/>
      <c r="SLF841" s="802"/>
      <c r="SLG841" s="802"/>
      <c r="SLH841" s="802"/>
      <c r="SLI841" s="802"/>
      <c r="SLJ841" s="802"/>
      <c r="SLK841" s="802"/>
      <c r="SLL841" s="802"/>
      <c r="SLM841" s="802"/>
      <c r="SLN841" s="802"/>
      <c r="SLO841" s="802"/>
      <c r="SLP841" s="802"/>
      <c r="SLQ841" s="802"/>
      <c r="SLR841" s="802"/>
      <c r="SLS841" s="802"/>
      <c r="SLT841" s="802"/>
      <c r="SLU841" s="802"/>
      <c r="SLV841" s="802"/>
      <c r="SLW841" s="802"/>
      <c r="SLX841" s="802"/>
      <c r="SLY841" s="802"/>
      <c r="SLZ841" s="802"/>
      <c r="SMA841" s="802"/>
      <c r="SMB841" s="802"/>
      <c r="SMC841" s="802"/>
      <c r="SMD841" s="802"/>
      <c r="SME841" s="802"/>
      <c r="SMF841" s="802"/>
      <c r="SMG841" s="802"/>
      <c r="SMH841" s="802"/>
      <c r="SMI841" s="802"/>
      <c r="SMJ841" s="802"/>
      <c r="SMK841" s="802"/>
      <c r="SML841" s="802"/>
      <c r="SMM841" s="802"/>
      <c r="SMN841" s="802"/>
      <c r="SMO841" s="802"/>
      <c r="SMP841" s="802"/>
      <c r="SMQ841" s="802"/>
      <c r="SMR841" s="802"/>
      <c r="SMS841" s="802"/>
      <c r="SMT841" s="802"/>
      <c r="SMU841" s="802"/>
      <c r="SMV841" s="802"/>
      <c r="SMW841" s="802"/>
      <c r="SMX841" s="802"/>
      <c r="SMY841" s="802"/>
      <c r="SMZ841" s="802"/>
      <c r="SNA841" s="802"/>
      <c r="SNB841" s="802"/>
      <c r="SNC841" s="802"/>
      <c r="SND841" s="802"/>
      <c r="SNE841" s="802"/>
      <c r="SNF841" s="802"/>
      <c r="SNG841" s="802"/>
      <c r="SNH841" s="802"/>
      <c r="SNI841" s="802"/>
      <c r="SNJ841" s="802"/>
      <c r="SNK841" s="802"/>
      <c r="SNL841" s="802"/>
      <c r="SNM841" s="802"/>
      <c r="SNN841" s="802"/>
      <c r="SNO841" s="802"/>
      <c r="SNP841" s="802"/>
      <c r="SNQ841" s="802"/>
      <c r="SNR841" s="802"/>
      <c r="SNS841" s="802"/>
      <c r="SNT841" s="802"/>
      <c r="SNU841" s="802"/>
      <c r="SNV841" s="802"/>
      <c r="SNW841" s="802"/>
      <c r="SNX841" s="802"/>
      <c r="SNY841" s="802"/>
      <c r="SNZ841" s="802"/>
      <c r="SOA841" s="802"/>
      <c r="SOB841" s="802"/>
      <c r="SOC841" s="802"/>
      <c r="SOD841" s="802"/>
      <c r="SOE841" s="802"/>
      <c r="SOF841" s="802"/>
      <c r="SOG841" s="802"/>
      <c r="SOH841" s="802"/>
      <c r="SOI841" s="802"/>
      <c r="SOJ841" s="802"/>
      <c r="SOK841" s="802"/>
      <c r="SOL841" s="802"/>
      <c r="SOM841" s="802"/>
      <c r="SON841" s="802"/>
      <c r="SOO841" s="802"/>
      <c r="SOP841" s="802"/>
      <c r="SOQ841" s="802"/>
      <c r="SOR841" s="802"/>
      <c r="SOS841" s="802"/>
      <c r="SOT841" s="802"/>
      <c r="SOU841" s="802"/>
      <c r="SOV841" s="802"/>
      <c r="SOW841" s="802"/>
      <c r="SOX841" s="802"/>
      <c r="SOY841" s="802"/>
      <c r="SOZ841" s="802"/>
      <c r="SPA841" s="802"/>
      <c r="SPB841" s="802"/>
      <c r="SPC841" s="802"/>
      <c r="SPD841" s="802"/>
      <c r="SPE841" s="802"/>
      <c r="SPF841" s="802"/>
      <c r="SPG841" s="802"/>
      <c r="SPH841" s="802"/>
      <c r="SPI841" s="802"/>
      <c r="SPJ841" s="802"/>
      <c r="SPK841" s="802"/>
      <c r="SPL841" s="802"/>
      <c r="SPM841" s="802"/>
      <c r="SPN841" s="802"/>
      <c r="SPO841" s="802"/>
      <c r="SPP841" s="802"/>
      <c r="SPQ841" s="802"/>
      <c r="SPR841" s="802"/>
      <c r="SPS841" s="802"/>
      <c r="SPT841" s="802"/>
      <c r="SPU841" s="802"/>
      <c r="SPV841" s="802"/>
      <c r="SPW841" s="802"/>
      <c r="SPX841" s="802"/>
      <c r="SPY841" s="802"/>
      <c r="SPZ841" s="802"/>
      <c r="SQA841" s="802"/>
      <c r="SQB841" s="802"/>
      <c r="SQC841" s="802"/>
      <c r="SQD841" s="802"/>
      <c r="SQE841" s="802"/>
      <c r="SQF841" s="802"/>
      <c r="SQG841" s="802"/>
      <c r="SQH841" s="802"/>
      <c r="SQI841" s="802"/>
      <c r="SQJ841" s="802"/>
      <c r="SQK841" s="802"/>
      <c r="SQL841" s="802"/>
      <c r="SQM841" s="802"/>
      <c r="SQN841" s="802"/>
      <c r="SQO841" s="802"/>
      <c r="SQP841" s="802"/>
      <c r="SQQ841" s="802"/>
      <c r="SQR841" s="802"/>
      <c r="SQS841" s="802"/>
      <c r="SQT841" s="802"/>
      <c r="SQU841" s="802"/>
      <c r="SQV841" s="802"/>
      <c r="SQW841" s="802"/>
      <c r="SQX841" s="802"/>
      <c r="SQY841" s="802"/>
      <c r="SQZ841" s="802"/>
      <c r="SRA841" s="802"/>
      <c r="SRB841" s="802"/>
      <c r="SRC841" s="802"/>
      <c r="SRD841" s="802"/>
      <c r="SRE841" s="802"/>
      <c r="SRF841" s="802"/>
      <c r="SRG841" s="802"/>
      <c r="SRH841" s="802"/>
      <c r="SRI841" s="802"/>
      <c r="SRJ841" s="802"/>
      <c r="SRK841" s="802"/>
      <c r="SRL841" s="802"/>
      <c r="SRM841" s="802"/>
      <c r="SRN841" s="802"/>
      <c r="SRO841" s="802"/>
      <c r="SRP841" s="802"/>
      <c r="SRQ841" s="802"/>
      <c r="SRR841" s="802"/>
      <c r="SRS841" s="802"/>
      <c r="SRT841" s="802"/>
      <c r="SRU841" s="802"/>
      <c r="SRV841" s="802"/>
      <c r="SRW841" s="802"/>
      <c r="SRX841" s="802"/>
      <c r="SRY841" s="802"/>
      <c r="SRZ841" s="802"/>
      <c r="SSA841" s="802"/>
      <c r="SSB841" s="802"/>
      <c r="SSC841" s="802"/>
      <c r="SSD841" s="802"/>
      <c r="SSE841" s="802"/>
      <c r="SSF841" s="802"/>
      <c r="SSG841" s="802"/>
      <c r="SSH841" s="802"/>
      <c r="SSI841" s="802"/>
      <c r="SSJ841" s="802"/>
      <c r="SSK841" s="802"/>
      <c r="SSL841" s="802"/>
      <c r="SSM841" s="802"/>
      <c r="SSN841" s="802"/>
      <c r="SSO841" s="802"/>
      <c r="SSP841" s="802"/>
      <c r="SSQ841" s="802"/>
      <c r="SSR841" s="802"/>
      <c r="SSS841" s="802"/>
      <c r="SST841" s="802"/>
      <c r="SSU841" s="802"/>
      <c r="SSV841" s="802"/>
      <c r="SSW841" s="802"/>
      <c r="SSX841" s="802"/>
      <c r="SSY841" s="802"/>
      <c r="SSZ841" s="802"/>
      <c r="STA841" s="802"/>
      <c r="STB841" s="802"/>
      <c r="STC841" s="802"/>
      <c r="STD841" s="802"/>
      <c r="STE841" s="802"/>
      <c r="STF841" s="802"/>
      <c r="STG841" s="802"/>
      <c r="STH841" s="802"/>
      <c r="STI841" s="802"/>
      <c r="STJ841" s="802"/>
      <c r="STK841" s="802"/>
      <c r="STL841" s="802"/>
      <c r="STM841" s="802"/>
      <c r="STN841" s="802"/>
      <c r="STO841" s="802"/>
      <c r="STP841" s="802"/>
      <c r="STQ841" s="802"/>
      <c r="STR841" s="802"/>
      <c r="STS841" s="802"/>
      <c r="STT841" s="802"/>
      <c r="STU841" s="802"/>
      <c r="STV841" s="802"/>
      <c r="STW841" s="802"/>
      <c r="STX841" s="802"/>
      <c r="STY841" s="802"/>
      <c r="STZ841" s="802"/>
      <c r="SUA841" s="802"/>
      <c r="SUB841" s="802"/>
      <c r="SUC841" s="802"/>
      <c r="SUD841" s="802"/>
      <c r="SUE841" s="802"/>
      <c r="SUF841" s="802"/>
      <c r="SUG841" s="802"/>
      <c r="SUH841" s="802"/>
      <c r="SUI841" s="802"/>
      <c r="SUJ841" s="802"/>
      <c r="SUK841" s="802"/>
      <c r="SUL841" s="802"/>
      <c r="SUM841" s="802"/>
      <c r="SUN841" s="802"/>
      <c r="SUO841" s="802"/>
      <c r="SUP841" s="802"/>
      <c r="SUQ841" s="802"/>
      <c r="SUR841" s="802"/>
      <c r="SUS841" s="802"/>
      <c r="SUT841" s="802"/>
      <c r="SUU841" s="802"/>
      <c r="SUV841" s="802"/>
      <c r="SUW841" s="802"/>
      <c r="SUX841" s="802"/>
      <c r="SUY841" s="802"/>
      <c r="SUZ841" s="802"/>
      <c r="SVA841" s="802"/>
      <c r="SVB841" s="802"/>
      <c r="SVC841" s="802"/>
      <c r="SVD841" s="802"/>
      <c r="SVE841" s="802"/>
      <c r="SVF841" s="802"/>
      <c r="SVG841" s="802"/>
      <c r="SVH841" s="802"/>
      <c r="SVI841" s="802"/>
      <c r="SVJ841" s="802"/>
      <c r="SVK841" s="802"/>
      <c r="SVL841" s="802"/>
      <c r="SVM841" s="802"/>
      <c r="SVN841" s="802"/>
      <c r="SVO841" s="802"/>
      <c r="SVP841" s="802"/>
      <c r="SVQ841" s="802"/>
      <c r="SVR841" s="802"/>
      <c r="SVS841" s="802"/>
      <c r="SVT841" s="802"/>
      <c r="SVU841" s="802"/>
      <c r="SVV841" s="802"/>
      <c r="SVW841" s="802"/>
      <c r="SVX841" s="802"/>
      <c r="SVY841" s="802"/>
      <c r="SVZ841" s="802"/>
      <c r="SWA841" s="802"/>
      <c r="SWB841" s="802"/>
      <c r="SWC841" s="802"/>
      <c r="SWD841" s="802"/>
      <c r="SWE841" s="802"/>
      <c r="SWF841" s="802"/>
      <c r="SWG841" s="802"/>
      <c r="SWH841" s="802"/>
      <c r="SWI841" s="802"/>
      <c r="SWJ841" s="802"/>
      <c r="SWK841" s="802"/>
      <c r="SWL841" s="802"/>
      <c r="SWM841" s="802"/>
      <c r="SWN841" s="802"/>
      <c r="SWO841" s="802"/>
      <c r="SWP841" s="802"/>
      <c r="SWQ841" s="802"/>
      <c r="SWR841" s="802"/>
      <c r="SWS841" s="802"/>
      <c r="SWT841" s="802"/>
      <c r="SWU841" s="802"/>
      <c r="SWV841" s="802"/>
      <c r="SWW841" s="802"/>
      <c r="SWX841" s="802"/>
      <c r="SWY841" s="802"/>
      <c r="SWZ841" s="802"/>
      <c r="SXA841" s="802"/>
      <c r="SXB841" s="802"/>
      <c r="SXC841" s="802"/>
      <c r="SXD841" s="802"/>
      <c r="SXE841" s="802"/>
      <c r="SXF841" s="802"/>
      <c r="SXG841" s="802"/>
      <c r="SXH841" s="802"/>
      <c r="SXI841" s="802"/>
      <c r="SXJ841" s="802"/>
      <c r="SXK841" s="802"/>
      <c r="SXL841" s="802"/>
      <c r="SXM841" s="802"/>
      <c r="SXN841" s="802"/>
      <c r="SXO841" s="802"/>
      <c r="SXP841" s="802"/>
      <c r="SXQ841" s="802"/>
      <c r="SXR841" s="802"/>
      <c r="SXS841" s="802"/>
      <c r="SXT841" s="802"/>
      <c r="SXU841" s="802"/>
      <c r="SXV841" s="802"/>
      <c r="SXW841" s="802"/>
      <c r="SXX841" s="802"/>
      <c r="SXY841" s="802"/>
      <c r="SXZ841" s="802"/>
      <c r="SYA841" s="802"/>
      <c r="SYB841" s="802"/>
      <c r="SYC841" s="802"/>
      <c r="SYD841" s="802"/>
      <c r="SYE841" s="802"/>
      <c r="SYF841" s="802"/>
      <c r="SYG841" s="802"/>
      <c r="SYH841" s="802"/>
      <c r="SYI841" s="802"/>
      <c r="SYJ841" s="802"/>
      <c r="SYK841" s="802"/>
      <c r="SYL841" s="802"/>
      <c r="SYM841" s="802"/>
      <c r="SYN841" s="802"/>
      <c r="SYO841" s="802"/>
      <c r="SYP841" s="802"/>
      <c r="SYQ841" s="802"/>
      <c r="SYR841" s="802"/>
      <c r="SYS841" s="802"/>
      <c r="SYT841" s="802"/>
      <c r="SYU841" s="802"/>
      <c r="SYV841" s="802"/>
      <c r="SYW841" s="802"/>
      <c r="SYX841" s="802"/>
      <c r="SYY841" s="802"/>
      <c r="SYZ841" s="802"/>
      <c r="SZA841" s="802"/>
      <c r="SZB841" s="802"/>
      <c r="SZC841" s="802"/>
      <c r="SZD841" s="802"/>
      <c r="SZE841" s="802"/>
      <c r="SZF841" s="802"/>
      <c r="SZG841" s="802"/>
      <c r="SZH841" s="802"/>
      <c r="SZI841" s="802"/>
      <c r="SZJ841" s="802"/>
      <c r="SZK841" s="802"/>
      <c r="SZL841" s="802"/>
      <c r="SZM841" s="802"/>
      <c r="SZN841" s="802"/>
      <c r="SZO841" s="802"/>
      <c r="SZP841" s="802"/>
      <c r="SZQ841" s="802"/>
      <c r="SZR841" s="802"/>
      <c r="SZS841" s="802"/>
      <c r="SZT841" s="802"/>
      <c r="SZU841" s="802"/>
      <c r="SZV841" s="802"/>
      <c r="SZW841" s="802"/>
      <c r="SZX841" s="802"/>
      <c r="SZY841" s="802"/>
      <c r="SZZ841" s="802"/>
      <c r="TAA841" s="802"/>
      <c r="TAB841" s="802"/>
      <c r="TAC841" s="802"/>
      <c r="TAD841" s="802"/>
      <c r="TAE841" s="802"/>
      <c r="TAF841" s="802"/>
      <c r="TAG841" s="802"/>
      <c r="TAH841" s="802"/>
      <c r="TAI841" s="802"/>
      <c r="TAJ841" s="802"/>
      <c r="TAK841" s="802"/>
      <c r="TAL841" s="802"/>
      <c r="TAM841" s="802"/>
      <c r="TAN841" s="802"/>
      <c r="TAO841" s="802"/>
      <c r="TAP841" s="802"/>
      <c r="TAQ841" s="802"/>
      <c r="TAR841" s="802"/>
      <c r="TAS841" s="802"/>
      <c r="TAT841" s="802"/>
      <c r="TAU841" s="802"/>
      <c r="TAV841" s="802"/>
      <c r="TAW841" s="802"/>
      <c r="TAX841" s="802"/>
      <c r="TAY841" s="802"/>
      <c r="TAZ841" s="802"/>
      <c r="TBA841" s="802"/>
      <c r="TBB841" s="802"/>
      <c r="TBC841" s="802"/>
      <c r="TBD841" s="802"/>
      <c r="TBE841" s="802"/>
      <c r="TBF841" s="802"/>
      <c r="TBG841" s="802"/>
      <c r="TBH841" s="802"/>
      <c r="TBI841" s="802"/>
      <c r="TBJ841" s="802"/>
      <c r="TBK841" s="802"/>
      <c r="TBL841" s="802"/>
      <c r="TBM841" s="802"/>
      <c r="TBN841" s="802"/>
      <c r="TBO841" s="802"/>
      <c r="TBP841" s="802"/>
      <c r="TBQ841" s="802"/>
      <c r="TBR841" s="802"/>
      <c r="TBS841" s="802"/>
      <c r="TBT841" s="802"/>
      <c r="TBU841" s="802"/>
      <c r="TBV841" s="802"/>
      <c r="TBW841" s="802"/>
      <c r="TBX841" s="802"/>
      <c r="TBY841" s="802"/>
      <c r="TBZ841" s="802"/>
      <c r="TCA841" s="802"/>
      <c r="TCB841" s="802"/>
      <c r="TCC841" s="802"/>
      <c r="TCD841" s="802"/>
      <c r="TCE841" s="802"/>
      <c r="TCF841" s="802"/>
      <c r="TCG841" s="802"/>
      <c r="TCH841" s="802"/>
      <c r="TCI841" s="802"/>
      <c r="TCJ841" s="802"/>
      <c r="TCK841" s="802"/>
      <c r="TCL841" s="802"/>
      <c r="TCM841" s="802"/>
      <c r="TCN841" s="802"/>
      <c r="TCO841" s="802"/>
      <c r="TCP841" s="802"/>
      <c r="TCQ841" s="802"/>
      <c r="TCR841" s="802"/>
      <c r="TCS841" s="802"/>
      <c r="TCT841" s="802"/>
      <c r="TCU841" s="802"/>
      <c r="TCV841" s="802"/>
      <c r="TCW841" s="802"/>
      <c r="TCX841" s="802"/>
      <c r="TCY841" s="802"/>
      <c r="TCZ841" s="802"/>
      <c r="TDA841" s="802"/>
      <c r="TDB841" s="802"/>
      <c r="TDC841" s="802"/>
      <c r="TDD841" s="802"/>
      <c r="TDE841" s="802"/>
      <c r="TDF841" s="802"/>
      <c r="TDG841" s="802"/>
      <c r="TDH841" s="802"/>
      <c r="TDI841" s="802"/>
      <c r="TDJ841" s="802"/>
      <c r="TDK841" s="802"/>
      <c r="TDL841" s="802"/>
      <c r="TDM841" s="802"/>
      <c r="TDN841" s="802"/>
      <c r="TDO841" s="802"/>
      <c r="TDP841" s="802"/>
      <c r="TDQ841" s="802"/>
      <c r="TDR841" s="802"/>
      <c r="TDS841" s="802"/>
      <c r="TDT841" s="802"/>
      <c r="TDU841" s="802"/>
      <c r="TDV841" s="802"/>
      <c r="TDW841" s="802"/>
      <c r="TDX841" s="802"/>
      <c r="TDY841" s="802"/>
      <c r="TDZ841" s="802"/>
      <c r="TEA841" s="802"/>
      <c r="TEB841" s="802"/>
      <c r="TEC841" s="802"/>
      <c r="TED841" s="802"/>
      <c r="TEE841" s="802"/>
      <c r="TEF841" s="802"/>
      <c r="TEG841" s="802"/>
      <c r="TEH841" s="802"/>
      <c r="TEI841" s="802"/>
      <c r="TEJ841" s="802"/>
      <c r="TEK841" s="802"/>
      <c r="TEL841" s="802"/>
      <c r="TEM841" s="802"/>
      <c r="TEN841" s="802"/>
      <c r="TEO841" s="802"/>
      <c r="TEP841" s="802"/>
      <c r="TEQ841" s="802"/>
      <c r="TER841" s="802"/>
      <c r="TES841" s="802"/>
      <c r="TET841" s="802"/>
      <c r="TEU841" s="802"/>
      <c r="TEV841" s="802"/>
      <c r="TEW841" s="802"/>
      <c r="TEX841" s="802"/>
      <c r="TEY841" s="802"/>
      <c r="TEZ841" s="802"/>
      <c r="TFA841" s="802"/>
      <c r="TFB841" s="802"/>
      <c r="TFC841" s="802"/>
      <c r="TFD841" s="802"/>
      <c r="TFE841" s="802"/>
      <c r="TFF841" s="802"/>
      <c r="TFG841" s="802"/>
      <c r="TFH841" s="802"/>
      <c r="TFI841" s="802"/>
      <c r="TFJ841" s="802"/>
      <c r="TFK841" s="802"/>
      <c r="TFL841" s="802"/>
      <c r="TFM841" s="802"/>
      <c r="TFN841" s="802"/>
      <c r="TFO841" s="802"/>
      <c r="TFP841" s="802"/>
      <c r="TFQ841" s="802"/>
      <c r="TFR841" s="802"/>
      <c r="TFS841" s="802"/>
      <c r="TFT841" s="802"/>
      <c r="TFU841" s="802"/>
      <c r="TFV841" s="802"/>
      <c r="TFW841" s="802"/>
      <c r="TFX841" s="802"/>
      <c r="TFY841" s="802"/>
      <c r="TFZ841" s="802"/>
      <c r="TGA841" s="802"/>
      <c r="TGB841" s="802"/>
      <c r="TGC841" s="802"/>
      <c r="TGD841" s="802"/>
      <c r="TGE841" s="802"/>
      <c r="TGF841" s="802"/>
      <c r="TGG841" s="802"/>
      <c r="TGH841" s="802"/>
      <c r="TGI841" s="802"/>
      <c r="TGJ841" s="802"/>
      <c r="TGK841" s="802"/>
      <c r="TGL841" s="802"/>
      <c r="TGM841" s="802"/>
      <c r="TGN841" s="802"/>
      <c r="TGO841" s="802"/>
      <c r="TGP841" s="802"/>
      <c r="TGQ841" s="802"/>
      <c r="TGR841" s="802"/>
      <c r="TGS841" s="802"/>
      <c r="TGT841" s="802"/>
      <c r="TGU841" s="802"/>
      <c r="TGV841" s="802"/>
      <c r="TGW841" s="802"/>
      <c r="TGX841" s="802"/>
      <c r="TGY841" s="802"/>
      <c r="TGZ841" s="802"/>
      <c r="THA841" s="802"/>
      <c r="THB841" s="802"/>
      <c r="THC841" s="802"/>
      <c r="THD841" s="802"/>
      <c r="THE841" s="802"/>
      <c r="THF841" s="802"/>
      <c r="THG841" s="802"/>
      <c r="THH841" s="802"/>
      <c r="THI841" s="802"/>
      <c r="THJ841" s="802"/>
      <c r="THK841" s="802"/>
      <c r="THL841" s="802"/>
      <c r="THM841" s="802"/>
      <c r="THN841" s="802"/>
      <c r="THO841" s="802"/>
      <c r="THP841" s="802"/>
      <c r="THQ841" s="802"/>
      <c r="THR841" s="802"/>
      <c r="THS841" s="802"/>
      <c r="THT841" s="802"/>
      <c r="THU841" s="802"/>
      <c r="THV841" s="802"/>
      <c r="THW841" s="802"/>
      <c r="THX841" s="802"/>
      <c r="THY841" s="802"/>
      <c r="THZ841" s="802"/>
      <c r="TIA841" s="802"/>
      <c r="TIB841" s="802"/>
      <c r="TIC841" s="802"/>
      <c r="TID841" s="802"/>
      <c r="TIE841" s="802"/>
      <c r="TIF841" s="802"/>
      <c r="TIG841" s="802"/>
      <c r="TIH841" s="802"/>
      <c r="TII841" s="802"/>
      <c r="TIJ841" s="802"/>
      <c r="TIK841" s="802"/>
      <c r="TIL841" s="802"/>
      <c r="TIM841" s="802"/>
      <c r="TIN841" s="802"/>
      <c r="TIO841" s="802"/>
      <c r="TIP841" s="802"/>
      <c r="TIQ841" s="802"/>
      <c r="TIR841" s="802"/>
      <c r="TIS841" s="802"/>
      <c r="TIT841" s="802"/>
      <c r="TIU841" s="802"/>
      <c r="TIV841" s="802"/>
      <c r="TIW841" s="802"/>
      <c r="TIX841" s="802"/>
      <c r="TIY841" s="802"/>
      <c r="TIZ841" s="802"/>
      <c r="TJA841" s="802"/>
      <c r="TJB841" s="802"/>
      <c r="TJC841" s="802"/>
      <c r="TJD841" s="802"/>
      <c r="TJE841" s="802"/>
      <c r="TJF841" s="802"/>
      <c r="TJG841" s="802"/>
      <c r="TJH841" s="802"/>
      <c r="TJI841" s="802"/>
      <c r="TJJ841" s="802"/>
      <c r="TJK841" s="802"/>
      <c r="TJL841" s="802"/>
      <c r="TJM841" s="802"/>
      <c r="TJN841" s="802"/>
      <c r="TJO841" s="802"/>
      <c r="TJP841" s="802"/>
      <c r="TJQ841" s="802"/>
      <c r="TJR841" s="802"/>
      <c r="TJS841" s="802"/>
      <c r="TJT841" s="802"/>
      <c r="TJU841" s="802"/>
      <c r="TJV841" s="802"/>
      <c r="TJW841" s="802"/>
      <c r="TJX841" s="802"/>
      <c r="TJY841" s="802"/>
      <c r="TJZ841" s="802"/>
      <c r="TKA841" s="802"/>
      <c r="TKB841" s="802"/>
      <c r="TKC841" s="802"/>
      <c r="TKD841" s="802"/>
      <c r="TKE841" s="802"/>
      <c r="TKF841" s="802"/>
      <c r="TKG841" s="802"/>
      <c r="TKH841" s="802"/>
      <c r="TKI841" s="802"/>
      <c r="TKJ841" s="802"/>
      <c r="TKK841" s="802"/>
      <c r="TKL841" s="802"/>
      <c r="TKM841" s="802"/>
      <c r="TKN841" s="802"/>
      <c r="TKO841" s="802"/>
      <c r="TKP841" s="802"/>
      <c r="TKQ841" s="802"/>
      <c r="TKR841" s="802"/>
      <c r="TKS841" s="802"/>
      <c r="TKT841" s="802"/>
      <c r="TKU841" s="802"/>
      <c r="TKV841" s="802"/>
      <c r="TKW841" s="802"/>
      <c r="TKX841" s="802"/>
      <c r="TKY841" s="802"/>
      <c r="TKZ841" s="802"/>
      <c r="TLA841" s="802"/>
      <c r="TLB841" s="802"/>
      <c r="TLC841" s="802"/>
      <c r="TLD841" s="802"/>
      <c r="TLE841" s="802"/>
      <c r="TLF841" s="802"/>
      <c r="TLG841" s="802"/>
      <c r="TLH841" s="802"/>
      <c r="TLI841" s="802"/>
      <c r="TLJ841" s="802"/>
      <c r="TLK841" s="802"/>
      <c r="TLL841" s="802"/>
      <c r="TLM841" s="802"/>
      <c r="TLN841" s="802"/>
      <c r="TLO841" s="802"/>
      <c r="TLP841" s="802"/>
      <c r="TLQ841" s="802"/>
      <c r="TLR841" s="802"/>
      <c r="TLS841" s="802"/>
      <c r="TLT841" s="802"/>
      <c r="TLU841" s="802"/>
      <c r="TLV841" s="802"/>
      <c r="TLW841" s="802"/>
      <c r="TLX841" s="802"/>
      <c r="TLY841" s="802"/>
      <c r="TLZ841" s="802"/>
      <c r="TMA841" s="802"/>
      <c r="TMB841" s="802"/>
      <c r="TMC841" s="802"/>
      <c r="TMD841" s="802"/>
      <c r="TME841" s="802"/>
      <c r="TMF841" s="802"/>
      <c r="TMG841" s="802"/>
      <c r="TMH841" s="802"/>
      <c r="TMI841" s="802"/>
      <c r="TMJ841" s="802"/>
      <c r="TMK841" s="802"/>
      <c r="TML841" s="802"/>
      <c r="TMM841" s="802"/>
      <c r="TMN841" s="802"/>
      <c r="TMO841" s="802"/>
      <c r="TMP841" s="802"/>
      <c r="TMQ841" s="802"/>
      <c r="TMR841" s="802"/>
      <c r="TMS841" s="802"/>
      <c r="TMT841" s="802"/>
      <c r="TMU841" s="802"/>
      <c r="TMV841" s="802"/>
      <c r="TMW841" s="802"/>
      <c r="TMX841" s="802"/>
      <c r="TMY841" s="802"/>
      <c r="TMZ841" s="802"/>
      <c r="TNA841" s="802"/>
      <c r="TNB841" s="802"/>
      <c r="TNC841" s="802"/>
      <c r="TND841" s="802"/>
      <c r="TNE841" s="802"/>
      <c r="TNF841" s="802"/>
      <c r="TNG841" s="802"/>
      <c r="TNH841" s="802"/>
      <c r="TNI841" s="802"/>
      <c r="TNJ841" s="802"/>
      <c r="TNK841" s="802"/>
      <c r="TNL841" s="802"/>
      <c r="TNM841" s="802"/>
      <c r="TNN841" s="802"/>
      <c r="TNO841" s="802"/>
      <c r="TNP841" s="802"/>
      <c r="TNQ841" s="802"/>
      <c r="TNR841" s="802"/>
      <c r="TNS841" s="802"/>
      <c r="TNT841" s="802"/>
      <c r="TNU841" s="802"/>
      <c r="TNV841" s="802"/>
      <c r="TNW841" s="802"/>
      <c r="TNX841" s="802"/>
      <c r="TNY841" s="802"/>
      <c r="TNZ841" s="802"/>
      <c r="TOA841" s="802"/>
      <c r="TOB841" s="802"/>
      <c r="TOC841" s="802"/>
      <c r="TOD841" s="802"/>
      <c r="TOE841" s="802"/>
      <c r="TOF841" s="802"/>
      <c r="TOG841" s="802"/>
      <c r="TOH841" s="802"/>
      <c r="TOI841" s="802"/>
      <c r="TOJ841" s="802"/>
      <c r="TOK841" s="802"/>
      <c r="TOL841" s="802"/>
      <c r="TOM841" s="802"/>
      <c r="TON841" s="802"/>
      <c r="TOO841" s="802"/>
      <c r="TOP841" s="802"/>
      <c r="TOQ841" s="802"/>
      <c r="TOR841" s="802"/>
      <c r="TOS841" s="802"/>
      <c r="TOT841" s="802"/>
      <c r="TOU841" s="802"/>
      <c r="TOV841" s="802"/>
      <c r="TOW841" s="802"/>
      <c r="TOX841" s="802"/>
      <c r="TOY841" s="802"/>
      <c r="TOZ841" s="802"/>
      <c r="TPA841" s="802"/>
      <c r="TPB841" s="802"/>
      <c r="TPC841" s="802"/>
      <c r="TPD841" s="802"/>
      <c r="TPE841" s="802"/>
      <c r="TPF841" s="802"/>
      <c r="TPG841" s="802"/>
      <c r="TPH841" s="802"/>
      <c r="TPI841" s="802"/>
      <c r="TPJ841" s="802"/>
      <c r="TPK841" s="802"/>
      <c r="TPL841" s="802"/>
      <c r="TPM841" s="802"/>
      <c r="TPN841" s="802"/>
      <c r="TPO841" s="802"/>
      <c r="TPP841" s="802"/>
      <c r="TPQ841" s="802"/>
      <c r="TPR841" s="802"/>
      <c r="TPS841" s="802"/>
      <c r="TPT841" s="802"/>
      <c r="TPU841" s="802"/>
      <c r="TPV841" s="802"/>
      <c r="TPW841" s="802"/>
      <c r="TPX841" s="802"/>
      <c r="TPY841" s="802"/>
      <c r="TPZ841" s="802"/>
      <c r="TQA841" s="802"/>
      <c r="TQB841" s="802"/>
      <c r="TQC841" s="802"/>
      <c r="TQD841" s="802"/>
      <c r="TQE841" s="802"/>
      <c r="TQF841" s="802"/>
      <c r="TQG841" s="802"/>
      <c r="TQH841" s="802"/>
      <c r="TQI841" s="802"/>
      <c r="TQJ841" s="802"/>
      <c r="TQK841" s="802"/>
      <c r="TQL841" s="802"/>
      <c r="TQM841" s="802"/>
      <c r="TQN841" s="802"/>
      <c r="TQO841" s="802"/>
      <c r="TQP841" s="802"/>
      <c r="TQQ841" s="802"/>
      <c r="TQR841" s="802"/>
      <c r="TQS841" s="802"/>
      <c r="TQT841" s="802"/>
      <c r="TQU841" s="802"/>
      <c r="TQV841" s="802"/>
      <c r="TQW841" s="802"/>
      <c r="TQX841" s="802"/>
      <c r="TQY841" s="802"/>
      <c r="TQZ841" s="802"/>
      <c r="TRA841" s="802"/>
      <c r="TRB841" s="802"/>
      <c r="TRC841" s="802"/>
      <c r="TRD841" s="802"/>
      <c r="TRE841" s="802"/>
      <c r="TRF841" s="802"/>
      <c r="TRG841" s="802"/>
      <c r="TRH841" s="802"/>
      <c r="TRI841" s="802"/>
      <c r="TRJ841" s="802"/>
      <c r="TRK841" s="802"/>
      <c r="TRL841" s="802"/>
      <c r="TRM841" s="802"/>
      <c r="TRN841" s="802"/>
      <c r="TRO841" s="802"/>
      <c r="TRP841" s="802"/>
      <c r="TRQ841" s="802"/>
      <c r="TRR841" s="802"/>
      <c r="TRS841" s="802"/>
      <c r="TRT841" s="802"/>
      <c r="TRU841" s="802"/>
      <c r="TRV841" s="802"/>
      <c r="TRW841" s="802"/>
      <c r="TRX841" s="802"/>
      <c r="TRY841" s="802"/>
      <c r="TRZ841" s="802"/>
      <c r="TSA841" s="802"/>
      <c r="TSB841" s="802"/>
      <c r="TSC841" s="802"/>
      <c r="TSD841" s="802"/>
      <c r="TSE841" s="802"/>
      <c r="TSF841" s="802"/>
      <c r="TSG841" s="802"/>
      <c r="TSH841" s="802"/>
      <c r="TSI841" s="802"/>
      <c r="TSJ841" s="802"/>
      <c r="TSK841" s="802"/>
      <c r="TSL841" s="802"/>
      <c r="TSM841" s="802"/>
      <c r="TSN841" s="802"/>
      <c r="TSO841" s="802"/>
      <c r="TSP841" s="802"/>
      <c r="TSQ841" s="802"/>
      <c r="TSR841" s="802"/>
      <c r="TSS841" s="802"/>
      <c r="TST841" s="802"/>
      <c r="TSU841" s="802"/>
      <c r="TSV841" s="802"/>
      <c r="TSW841" s="802"/>
      <c r="TSX841" s="802"/>
      <c r="TSY841" s="802"/>
      <c r="TSZ841" s="802"/>
      <c r="TTA841" s="802"/>
      <c r="TTB841" s="802"/>
      <c r="TTC841" s="802"/>
      <c r="TTD841" s="802"/>
      <c r="TTE841" s="802"/>
      <c r="TTF841" s="802"/>
      <c r="TTG841" s="802"/>
      <c r="TTH841" s="802"/>
      <c r="TTI841" s="802"/>
      <c r="TTJ841" s="802"/>
      <c r="TTK841" s="802"/>
      <c r="TTL841" s="802"/>
      <c r="TTM841" s="802"/>
      <c r="TTN841" s="802"/>
      <c r="TTO841" s="802"/>
      <c r="TTP841" s="802"/>
      <c r="TTQ841" s="802"/>
      <c r="TTR841" s="802"/>
      <c r="TTS841" s="802"/>
      <c r="TTT841" s="802"/>
      <c r="TTU841" s="802"/>
      <c r="TTV841" s="802"/>
      <c r="TTW841" s="802"/>
      <c r="TTX841" s="802"/>
      <c r="TTY841" s="802"/>
      <c r="TTZ841" s="802"/>
      <c r="TUA841" s="802"/>
      <c r="TUB841" s="802"/>
      <c r="TUC841" s="802"/>
      <c r="TUD841" s="802"/>
      <c r="TUE841" s="802"/>
      <c r="TUF841" s="802"/>
      <c r="TUG841" s="802"/>
      <c r="TUH841" s="802"/>
      <c r="TUI841" s="802"/>
      <c r="TUJ841" s="802"/>
      <c r="TUK841" s="802"/>
      <c r="TUL841" s="802"/>
      <c r="TUM841" s="802"/>
      <c r="TUN841" s="802"/>
      <c r="TUO841" s="802"/>
      <c r="TUP841" s="802"/>
      <c r="TUQ841" s="802"/>
      <c r="TUR841" s="802"/>
      <c r="TUS841" s="802"/>
      <c r="TUT841" s="802"/>
      <c r="TUU841" s="802"/>
      <c r="TUV841" s="802"/>
      <c r="TUW841" s="802"/>
      <c r="TUX841" s="802"/>
      <c r="TUY841" s="802"/>
      <c r="TUZ841" s="802"/>
      <c r="TVA841" s="802"/>
      <c r="TVB841" s="802"/>
      <c r="TVC841" s="802"/>
      <c r="TVD841" s="802"/>
      <c r="TVE841" s="802"/>
      <c r="TVF841" s="802"/>
      <c r="TVG841" s="802"/>
      <c r="TVH841" s="802"/>
      <c r="TVI841" s="802"/>
      <c r="TVJ841" s="802"/>
      <c r="TVK841" s="802"/>
      <c r="TVL841" s="802"/>
      <c r="TVM841" s="802"/>
      <c r="TVN841" s="802"/>
      <c r="TVO841" s="802"/>
      <c r="TVP841" s="802"/>
      <c r="TVQ841" s="802"/>
      <c r="TVR841" s="802"/>
      <c r="TVS841" s="802"/>
      <c r="TVT841" s="802"/>
      <c r="TVU841" s="802"/>
      <c r="TVV841" s="802"/>
      <c r="TVW841" s="802"/>
      <c r="TVX841" s="802"/>
      <c r="TVY841" s="802"/>
      <c r="TVZ841" s="802"/>
      <c r="TWA841" s="802"/>
      <c r="TWB841" s="802"/>
      <c r="TWC841" s="802"/>
      <c r="TWD841" s="802"/>
      <c r="TWE841" s="802"/>
      <c r="TWF841" s="802"/>
      <c r="TWG841" s="802"/>
      <c r="TWH841" s="802"/>
      <c r="TWI841" s="802"/>
      <c r="TWJ841" s="802"/>
      <c r="TWK841" s="802"/>
      <c r="TWL841" s="802"/>
      <c r="TWM841" s="802"/>
      <c r="TWN841" s="802"/>
      <c r="TWO841" s="802"/>
      <c r="TWP841" s="802"/>
      <c r="TWQ841" s="802"/>
      <c r="TWR841" s="802"/>
      <c r="TWS841" s="802"/>
      <c r="TWT841" s="802"/>
      <c r="TWU841" s="802"/>
      <c r="TWV841" s="802"/>
      <c r="TWW841" s="802"/>
      <c r="TWX841" s="802"/>
      <c r="TWY841" s="802"/>
      <c r="TWZ841" s="802"/>
      <c r="TXA841" s="802"/>
      <c r="TXB841" s="802"/>
      <c r="TXC841" s="802"/>
      <c r="TXD841" s="802"/>
      <c r="TXE841" s="802"/>
      <c r="TXF841" s="802"/>
      <c r="TXG841" s="802"/>
      <c r="TXH841" s="802"/>
      <c r="TXI841" s="802"/>
      <c r="TXJ841" s="802"/>
      <c r="TXK841" s="802"/>
      <c r="TXL841" s="802"/>
      <c r="TXM841" s="802"/>
      <c r="TXN841" s="802"/>
      <c r="TXO841" s="802"/>
      <c r="TXP841" s="802"/>
      <c r="TXQ841" s="802"/>
      <c r="TXR841" s="802"/>
      <c r="TXS841" s="802"/>
      <c r="TXT841" s="802"/>
      <c r="TXU841" s="802"/>
      <c r="TXV841" s="802"/>
      <c r="TXW841" s="802"/>
      <c r="TXX841" s="802"/>
      <c r="TXY841" s="802"/>
      <c r="TXZ841" s="802"/>
      <c r="TYA841" s="802"/>
      <c r="TYB841" s="802"/>
      <c r="TYC841" s="802"/>
      <c r="TYD841" s="802"/>
      <c r="TYE841" s="802"/>
      <c r="TYF841" s="802"/>
      <c r="TYG841" s="802"/>
      <c r="TYH841" s="802"/>
      <c r="TYI841" s="802"/>
      <c r="TYJ841" s="802"/>
      <c r="TYK841" s="802"/>
      <c r="TYL841" s="802"/>
      <c r="TYM841" s="802"/>
      <c r="TYN841" s="802"/>
      <c r="TYO841" s="802"/>
      <c r="TYP841" s="802"/>
      <c r="TYQ841" s="802"/>
      <c r="TYR841" s="802"/>
      <c r="TYS841" s="802"/>
      <c r="TYT841" s="802"/>
      <c r="TYU841" s="802"/>
      <c r="TYV841" s="802"/>
      <c r="TYW841" s="802"/>
      <c r="TYX841" s="802"/>
      <c r="TYY841" s="802"/>
      <c r="TYZ841" s="802"/>
      <c r="TZA841" s="802"/>
      <c r="TZB841" s="802"/>
      <c r="TZC841" s="802"/>
      <c r="TZD841" s="802"/>
      <c r="TZE841" s="802"/>
      <c r="TZF841" s="802"/>
      <c r="TZG841" s="802"/>
      <c r="TZH841" s="802"/>
      <c r="TZI841" s="802"/>
      <c r="TZJ841" s="802"/>
      <c r="TZK841" s="802"/>
      <c r="TZL841" s="802"/>
      <c r="TZM841" s="802"/>
      <c r="TZN841" s="802"/>
      <c r="TZO841" s="802"/>
      <c r="TZP841" s="802"/>
      <c r="TZQ841" s="802"/>
      <c r="TZR841" s="802"/>
      <c r="TZS841" s="802"/>
      <c r="TZT841" s="802"/>
      <c r="TZU841" s="802"/>
      <c r="TZV841" s="802"/>
      <c r="TZW841" s="802"/>
      <c r="TZX841" s="802"/>
      <c r="TZY841" s="802"/>
      <c r="TZZ841" s="802"/>
      <c r="UAA841" s="802"/>
      <c r="UAB841" s="802"/>
      <c r="UAC841" s="802"/>
      <c r="UAD841" s="802"/>
      <c r="UAE841" s="802"/>
      <c r="UAF841" s="802"/>
      <c r="UAG841" s="802"/>
      <c r="UAH841" s="802"/>
      <c r="UAI841" s="802"/>
      <c r="UAJ841" s="802"/>
      <c r="UAK841" s="802"/>
      <c r="UAL841" s="802"/>
      <c r="UAM841" s="802"/>
      <c r="UAN841" s="802"/>
      <c r="UAO841" s="802"/>
      <c r="UAP841" s="802"/>
      <c r="UAQ841" s="802"/>
      <c r="UAR841" s="802"/>
      <c r="UAS841" s="802"/>
      <c r="UAT841" s="802"/>
      <c r="UAU841" s="802"/>
      <c r="UAV841" s="802"/>
      <c r="UAW841" s="802"/>
      <c r="UAX841" s="802"/>
      <c r="UAY841" s="802"/>
      <c r="UAZ841" s="802"/>
      <c r="UBA841" s="802"/>
      <c r="UBB841" s="802"/>
      <c r="UBC841" s="802"/>
      <c r="UBD841" s="802"/>
      <c r="UBE841" s="802"/>
      <c r="UBF841" s="802"/>
      <c r="UBG841" s="802"/>
      <c r="UBH841" s="802"/>
      <c r="UBI841" s="802"/>
      <c r="UBJ841" s="802"/>
      <c r="UBK841" s="802"/>
      <c r="UBL841" s="802"/>
      <c r="UBM841" s="802"/>
      <c r="UBN841" s="802"/>
      <c r="UBO841" s="802"/>
      <c r="UBP841" s="802"/>
      <c r="UBQ841" s="802"/>
      <c r="UBR841" s="802"/>
      <c r="UBS841" s="802"/>
      <c r="UBT841" s="802"/>
      <c r="UBU841" s="802"/>
      <c r="UBV841" s="802"/>
      <c r="UBW841" s="802"/>
      <c r="UBX841" s="802"/>
      <c r="UBY841" s="802"/>
      <c r="UBZ841" s="802"/>
      <c r="UCA841" s="802"/>
      <c r="UCB841" s="802"/>
      <c r="UCC841" s="802"/>
      <c r="UCD841" s="802"/>
      <c r="UCE841" s="802"/>
      <c r="UCF841" s="802"/>
      <c r="UCG841" s="802"/>
      <c r="UCH841" s="802"/>
      <c r="UCI841" s="802"/>
      <c r="UCJ841" s="802"/>
      <c r="UCK841" s="802"/>
      <c r="UCL841" s="802"/>
      <c r="UCM841" s="802"/>
      <c r="UCN841" s="802"/>
      <c r="UCO841" s="802"/>
      <c r="UCP841" s="802"/>
      <c r="UCQ841" s="802"/>
      <c r="UCR841" s="802"/>
      <c r="UCS841" s="802"/>
      <c r="UCT841" s="802"/>
      <c r="UCU841" s="802"/>
      <c r="UCV841" s="802"/>
      <c r="UCW841" s="802"/>
      <c r="UCX841" s="802"/>
      <c r="UCY841" s="802"/>
      <c r="UCZ841" s="802"/>
      <c r="UDA841" s="802"/>
      <c r="UDB841" s="802"/>
      <c r="UDC841" s="802"/>
      <c r="UDD841" s="802"/>
      <c r="UDE841" s="802"/>
      <c r="UDF841" s="802"/>
      <c r="UDG841" s="802"/>
      <c r="UDH841" s="802"/>
      <c r="UDI841" s="802"/>
      <c r="UDJ841" s="802"/>
      <c r="UDK841" s="802"/>
      <c r="UDL841" s="802"/>
      <c r="UDM841" s="802"/>
      <c r="UDN841" s="802"/>
      <c r="UDO841" s="802"/>
      <c r="UDP841" s="802"/>
      <c r="UDQ841" s="802"/>
      <c r="UDR841" s="802"/>
      <c r="UDS841" s="802"/>
      <c r="UDT841" s="802"/>
      <c r="UDU841" s="802"/>
      <c r="UDV841" s="802"/>
      <c r="UDW841" s="802"/>
      <c r="UDX841" s="802"/>
      <c r="UDY841" s="802"/>
      <c r="UDZ841" s="802"/>
      <c r="UEA841" s="802"/>
      <c r="UEB841" s="802"/>
      <c r="UEC841" s="802"/>
      <c r="UED841" s="802"/>
      <c r="UEE841" s="802"/>
      <c r="UEF841" s="802"/>
      <c r="UEG841" s="802"/>
      <c r="UEH841" s="802"/>
      <c r="UEI841" s="802"/>
      <c r="UEJ841" s="802"/>
      <c r="UEK841" s="802"/>
      <c r="UEL841" s="802"/>
      <c r="UEM841" s="802"/>
      <c r="UEN841" s="802"/>
      <c r="UEO841" s="802"/>
      <c r="UEP841" s="802"/>
      <c r="UEQ841" s="802"/>
      <c r="UER841" s="802"/>
      <c r="UES841" s="802"/>
      <c r="UET841" s="802"/>
      <c r="UEU841" s="802"/>
      <c r="UEV841" s="802"/>
      <c r="UEW841" s="802"/>
      <c r="UEX841" s="802"/>
      <c r="UEY841" s="802"/>
      <c r="UEZ841" s="802"/>
      <c r="UFA841" s="802"/>
      <c r="UFB841" s="802"/>
      <c r="UFC841" s="802"/>
      <c r="UFD841" s="802"/>
      <c r="UFE841" s="802"/>
      <c r="UFF841" s="802"/>
      <c r="UFG841" s="802"/>
      <c r="UFH841" s="802"/>
      <c r="UFI841" s="802"/>
      <c r="UFJ841" s="802"/>
      <c r="UFK841" s="802"/>
      <c r="UFL841" s="802"/>
      <c r="UFM841" s="802"/>
      <c r="UFN841" s="802"/>
      <c r="UFO841" s="802"/>
      <c r="UFP841" s="802"/>
      <c r="UFQ841" s="802"/>
      <c r="UFR841" s="802"/>
      <c r="UFS841" s="802"/>
      <c r="UFT841" s="802"/>
      <c r="UFU841" s="802"/>
      <c r="UFV841" s="802"/>
      <c r="UFW841" s="802"/>
      <c r="UFX841" s="802"/>
      <c r="UFY841" s="802"/>
      <c r="UFZ841" s="802"/>
      <c r="UGA841" s="802"/>
      <c r="UGB841" s="802"/>
      <c r="UGC841" s="802"/>
      <c r="UGD841" s="802"/>
      <c r="UGE841" s="802"/>
      <c r="UGF841" s="802"/>
      <c r="UGG841" s="802"/>
      <c r="UGH841" s="802"/>
      <c r="UGI841" s="802"/>
      <c r="UGJ841" s="802"/>
      <c r="UGK841" s="802"/>
      <c r="UGL841" s="802"/>
      <c r="UGM841" s="802"/>
      <c r="UGN841" s="802"/>
      <c r="UGO841" s="802"/>
      <c r="UGP841" s="802"/>
      <c r="UGQ841" s="802"/>
      <c r="UGR841" s="802"/>
      <c r="UGS841" s="802"/>
      <c r="UGT841" s="802"/>
      <c r="UGU841" s="802"/>
      <c r="UGV841" s="802"/>
      <c r="UGW841" s="802"/>
      <c r="UGX841" s="802"/>
      <c r="UGY841" s="802"/>
      <c r="UGZ841" s="802"/>
      <c r="UHA841" s="802"/>
      <c r="UHB841" s="802"/>
      <c r="UHC841" s="802"/>
      <c r="UHD841" s="802"/>
      <c r="UHE841" s="802"/>
      <c r="UHF841" s="802"/>
      <c r="UHG841" s="802"/>
      <c r="UHH841" s="802"/>
      <c r="UHI841" s="802"/>
      <c r="UHJ841" s="802"/>
      <c r="UHK841" s="802"/>
      <c r="UHL841" s="802"/>
      <c r="UHM841" s="802"/>
      <c r="UHN841" s="802"/>
      <c r="UHO841" s="802"/>
      <c r="UHP841" s="802"/>
      <c r="UHQ841" s="802"/>
      <c r="UHR841" s="802"/>
      <c r="UHS841" s="802"/>
      <c r="UHT841" s="802"/>
      <c r="UHU841" s="802"/>
      <c r="UHV841" s="802"/>
      <c r="UHW841" s="802"/>
      <c r="UHX841" s="802"/>
      <c r="UHY841" s="802"/>
      <c r="UHZ841" s="802"/>
      <c r="UIA841" s="802"/>
      <c r="UIB841" s="802"/>
      <c r="UIC841" s="802"/>
      <c r="UID841" s="802"/>
      <c r="UIE841" s="802"/>
      <c r="UIF841" s="802"/>
      <c r="UIG841" s="802"/>
      <c r="UIH841" s="802"/>
      <c r="UII841" s="802"/>
      <c r="UIJ841" s="802"/>
      <c r="UIK841" s="802"/>
      <c r="UIL841" s="802"/>
      <c r="UIM841" s="802"/>
      <c r="UIN841" s="802"/>
      <c r="UIO841" s="802"/>
      <c r="UIP841" s="802"/>
      <c r="UIQ841" s="802"/>
      <c r="UIR841" s="802"/>
      <c r="UIS841" s="802"/>
      <c r="UIT841" s="802"/>
      <c r="UIU841" s="802"/>
      <c r="UIV841" s="802"/>
      <c r="UIW841" s="802"/>
      <c r="UIX841" s="802"/>
      <c r="UIY841" s="802"/>
      <c r="UIZ841" s="802"/>
      <c r="UJA841" s="802"/>
      <c r="UJB841" s="802"/>
      <c r="UJC841" s="802"/>
      <c r="UJD841" s="802"/>
      <c r="UJE841" s="802"/>
      <c r="UJF841" s="802"/>
      <c r="UJG841" s="802"/>
      <c r="UJH841" s="802"/>
      <c r="UJI841" s="802"/>
      <c r="UJJ841" s="802"/>
      <c r="UJK841" s="802"/>
      <c r="UJL841" s="802"/>
      <c r="UJM841" s="802"/>
      <c r="UJN841" s="802"/>
      <c r="UJO841" s="802"/>
      <c r="UJP841" s="802"/>
      <c r="UJQ841" s="802"/>
      <c r="UJR841" s="802"/>
      <c r="UJS841" s="802"/>
      <c r="UJT841" s="802"/>
      <c r="UJU841" s="802"/>
      <c r="UJV841" s="802"/>
      <c r="UJW841" s="802"/>
      <c r="UJX841" s="802"/>
      <c r="UJY841" s="802"/>
      <c r="UJZ841" s="802"/>
      <c r="UKA841" s="802"/>
      <c r="UKB841" s="802"/>
      <c r="UKC841" s="802"/>
      <c r="UKD841" s="802"/>
      <c r="UKE841" s="802"/>
      <c r="UKF841" s="802"/>
      <c r="UKG841" s="802"/>
      <c r="UKH841" s="802"/>
      <c r="UKI841" s="802"/>
      <c r="UKJ841" s="802"/>
      <c r="UKK841" s="802"/>
      <c r="UKL841" s="802"/>
      <c r="UKM841" s="802"/>
      <c r="UKN841" s="802"/>
      <c r="UKO841" s="802"/>
      <c r="UKP841" s="802"/>
      <c r="UKQ841" s="802"/>
      <c r="UKR841" s="802"/>
      <c r="UKS841" s="802"/>
      <c r="UKT841" s="802"/>
      <c r="UKU841" s="802"/>
      <c r="UKV841" s="802"/>
      <c r="UKW841" s="802"/>
      <c r="UKX841" s="802"/>
      <c r="UKY841" s="802"/>
      <c r="UKZ841" s="802"/>
      <c r="ULA841" s="802"/>
      <c r="ULB841" s="802"/>
      <c r="ULC841" s="802"/>
      <c r="ULD841" s="802"/>
      <c r="ULE841" s="802"/>
      <c r="ULF841" s="802"/>
      <c r="ULG841" s="802"/>
      <c r="ULH841" s="802"/>
      <c r="ULI841" s="802"/>
      <c r="ULJ841" s="802"/>
      <c r="ULK841" s="802"/>
      <c r="ULL841" s="802"/>
      <c r="ULM841" s="802"/>
      <c r="ULN841" s="802"/>
      <c r="ULO841" s="802"/>
      <c r="ULP841" s="802"/>
      <c r="ULQ841" s="802"/>
      <c r="ULR841" s="802"/>
      <c r="ULS841" s="802"/>
      <c r="ULT841" s="802"/>
      <c r="ULU841" s="802"/>
      <c r="ULV841" s="802"/>
      <c r="ULW841" s="802"/>
      <c r="ULX841" s="802"/>
      <c r="ULY841" s="802"/>
      <c r="ULZ841" s="802"/>
      <c r="UMA841" s="802"/>
      <c r="UMB841" s="802"/>
      <c r="UMC841" s="802"/>
      <c r="UMD841" s="802"/>
      <c r="UME841" s="802"/>
      <c r="UMF841" s="802"/>
      <c r="UMG841" s="802"/>
      <c r="UMH841" s="802"/>
      <c r="UMI841" s="802"/>
      <c r="UMJ841" s="802"/>
      <c r="UMK841" s="802"/>
      <c r="UML841" s="802"/>
      <c r="UMM841" s="802"/>
      <c r="UMN841" s="802"/>
      <c r="UMO841" s="802"/>
      <c r="UMP841" s="802"/>
      <c r="UMQ841" s="802"/>
      <c r="UMR841" s="802"/>
      <c r="UMS841" s="802"/>
      <c r="UMT841" s="802"/>
      <c r="UMU841" s="802"/>
      <c r="UMV841" s="802"/>
      <c r="UMW841" s="802"/>
      <c r="UMX841" s="802"/>
      <c r="UMY841" s="802"/>
      <c r="UMZ841" s="802"/>
      <c r="UNA841" s="802"/>
      <c r="UNB841" s="802"/>
      <c r="UNC841" s="802"/>
      <c r="UND841" s="802"/>
      <c r="UNE841" s="802"/>
      <c r="UNF841" s="802"/>
      <c r="UNG841" s="802"/>
      <c r="UNH841" s="802"/>
      <c r="UNI841" s="802"/>
      <c r="UNJ841" s="802"/>
      <c r="UNK841" s="802"/>
      <c r="UNL841" s="802"/>
      <c r="UNM841" s="802"/>
      <c r="UNN841" s="802"/>
      <c r="UNO841" s="802"/>
      <c r="UNP841" s="802"/>
      <c r="UNQ841" s="802"/>
      <c r="UNR841" s="802"/>
      <c r="UNS841" s="802"/>
      <c r="UNT841" s="802"/>
      <c r="UNU841" s="802"/>
      <c r="UNV841" s="802"/>
      <c r="UNW841" s="802"/>
      <c r="UNX841" s="802"/>
      <c r="UNY841" s="802"/>
      <c r="UNZ841" s="802"/>
      <c r="UOA841" s="802"/>
      <c r="UOB841" s="802"/>
      <c r="UOC841" s="802"/>
      <c r="UOD841" s="802"/>
      <c r="UOE841" s="802"/>
      <c r="UOF841" s="802"/>
      <c r="UOG841" s="802"/>
      <c r="UOH841" s="802"/>
      <c r="UOI841" s="802"/>
      <c r="UOJ841" s="802"/>
      <c r="UOK841" s="802"/>
      <c r="UOL841" s="802"/>
      <c r="UOM841" s="802"/>
      <c r="UON841" s="802"/>
      <c r="UOO841" s="802"/>
      <c r="UOP841" s="802"/>
      <c r="UOQ841" s="802"/>
      <c r="UOR841" s="802"/>
      <c r="UOS841" s="802"/>
      <c r="UOT841" s="802"/>
      <c r="UOU841" s="802"/>
      <c r="UOV841" s="802"/>
      <c r="UOW841" s="802"/>
      <c r="UOX841" s="802"/>
      <c r="UOY841" s="802"/>
      <c r="UOZ841" s="802"/>
      <c r="UPA841" s="802"/>
      <c r="UPB841" s="802"/>
      <c r="UPC841" s="802"/>
      <c r="UPD841" s="802"/>
      <c r="UPE841" s="802"/>
      <c r="UPF841" s="802"/>
      <c r="UPG841" s="802"/>
      <c r="UPH841" s="802"/>
      <c r="UPI841" s="802"/>
      <c r="UPJ841" s="802"/>
      <c r="UPK841" s="802"/>
      <c r="UPL841" s="802"/>
      <c r="UPM841" s="802"/>
      <c r="UPN841" s="802"/>
      <c r="UPO841" s="802"/>
      <c r="UPP841" s="802"/>
      <c r="UPQ841" s="802"/>
      <c r="UPR841" s="802"/>
      <c r="UPS841" s="802"/>
      <c r="UPT841" s="802"/>
      <c r="UPU841" s="802"/>
      <c r="UPV841" s="802"/>
      <c r="UPW841" s="802"/>
      <c r="UPX841" s="802"/>
      <c r="UPY841" s="802"/>
      <c r="UPZ841" s="802"/>
      <c r="UQA841" s="802"/>
      <c r="UQB841" s="802"/>
      <c r="UQC841" s="802"/>
      <c r="UQD841" s="802"/>
      <c r="UQE841" s="802"/>
      <c r="UQF841" s="802"/>
      <c r="UQG841" s="802"/>
      <c r="UQH841" s="802"/>
      <c r="UQI841" s="802"/>
      <c r="UQJ841" s="802"/>
      <c r="UQK841" s="802"/>
      <c r="UQL841" s="802"/>
      <c r="UQM841" s="802"/>
      <c r="UQN841" s="802"/>
      <c r="UQO841" s="802"/>
      <c r="UQP841" s="802"/>
      <c r="UQQ841" s="802"/>
      <c r="UQR841" s="802"/>
      <c r="UQS841" s="802"/>
      <c r="UQT841" s="802"/>
      <c r="UQU841" s="802"/>
      <c r="UQV841" s="802"/>
      <c r="UQW841" s="802"/>
      <c r="UQX841" s="802"/>
      <c r="UQY841" s="802"/>
      <c r="UQZ841" s="802"/>
      <c r="URA841" s="802"/>
      <c r="URB841" s="802"/>
      <c r="URC841" s="802"/>
      <c r="URD841" s="802"/>
      <c r="URE841" s="802"/>
      <c r="URF841" s="802"/>
      <c r="URG841" s="802"/>
      <c r="URH841" s="802"/>
      <c r="URI841" s="802"/>
      <c r="URJ841" s="802"/>
      <c r="URK841" s="802"/>
      <c r="URL841" s="802"/>
      <c r="URM841" s="802"/>
      <c r="URN841" s="802"/>
      <c r="URO841" s="802"/>
      <c r="URP841" s="802"/>
      <c r="URQ841" s="802"/>
      <c r="URR841" s="802"/>
      <c r="URS841" s="802"/>
      <c r="URT841" s="802"/>
      <c r="URU841" s="802"/>
      <c r="URV841" s="802"/>
      <c r="URW841" s="802"/>
      <c r="URX841" s="802"/>
      <c r="URY841" s="802"/>
      <c r="URZ841" s="802"/>
      <c r="USA841" s="802"/>
      <c r="USB841" s="802"/>
      <c r="USC841" s="802"/>
      <c r="USD841" s="802"/>
      <c r="USE841" s="802"/>
      <c r="USF841" s="802"/>
      <c r="USG841" s="802"/>
      <c r="USH841" s="802"/>
      <c r="USI841" s="802"/>
      <c r="USJ841" s="802"/>
      <c r="USK841" s="802"/>
      <c r="USL841" s="802"/>
      <c r="USM841" s="802"/>
      <c r="USN841" s="802"/>
      <c r="USO841" s="802"/>
      <c r="USP841" s="802"/>
      <c r="USQ841" s="802"/>
      <c r="USR841" s="802"/>
      <c r="USS841" s="802"/>
      <c r="UST841" s="802"/>
      <c r="USU841" s="802"/>
      <c r="USV841" s="802"/>
      <c r="USW841" s="802"/>
      <c r="USX841" s="802"/>
      <c r="USY841" s="802"/>
      <c r="USZ841" s="802"/>
      <c r="UTA841" s="802"/>
      <c r="UTB841" s="802"/>
      <c r="UTC841" s="802"/>
      <c r="UTD841" s="802"/>
      <c r="UTE841" s="802"/>
      <c r="UTF841" s="802"/>
      <c r="UTG841" s="802"/>
      <c r="UTH841" s="802"/>
      <c r="UTI841" s="802"/>
      <c r="UTJ841" s="802"/>
      <c r="UTK841" s="802"/>
      <c r="UTL841" s="802"/>
      <c r="UTM841" s="802"/>
      <c r="UTN841" s="802"/>
      <c r="UTO841" s="802"/>
      <c r="UTP841" s="802"/>
      <c r="UTQ841" s="802"/>
      <c r="UTR841" s="802"/>
      <c r="UTS841" s="802"/>
      <c r="UTT841" s="802"/>
      <c r="UTU841" s="802"/>
      <c r="UTV841" s="802"/>
      <c r="UTW841" s="802"/>
      <c r="UTX841" s="802"/>
      <c r="UTY841" s="802"/>
      <c r="UTZ841" s="802"/>
      <c r="UUA841" s="802"/>
      <c r="UUB841" s="802"/>
      <c r="UUC841" s="802"/>
      <c r="UUD841" s="802"/>
      <c r="UUE841" s="802"/>
      <c r="UUF841" s="802"/>
      <c r="UUG841" s="802"/>
      <c r="UUH841" s="802"/>
      <c r="UUI841" s="802"/>
      <c r="UUJ841" s="802"/>
      <c r="UUK841" s="802"/>
      <c r="UUL841" s="802"/>
      <c r="UUM841" s="802"/>
      <c r="UUN841" s="802"/>
      <c r="UUO841" s="802"/>
      <c r="UUP841" s="802"/>
      <c r="UUQ841" s="802"/>
      <c r="UUR841" s="802"/>
      <c r="UUS841" s="802"/>
      <c r="UUT841" s="802"/>
      <c r="UUU841" s="802"/>
      <c r="UUV841" s="802"/>
      <c r="UUW841" s="802"/>
      <c r="UUX841" s="802"/>
      <c r="UUY841" s="802"/>
      <c r="UUZ841" s="802"/>
      <c r="UVA841" s="802"/>
      <c r="UVB841" s="802"/>
      <c r="UVC841" s="802"/>
      <c r="UVD841" s="802"/>
      <c r="UVE841" s="802"/>
      <c r="UVF841" s="802"/>
      <c r="UVG841" s="802"/>
      <c r="UVH841" s="802"/>
      <c r="UVI841" s="802"/>
      <c r="UVJ841" s="802"/>
      <c r="UVK841" s="802"/>
      <c r="UVL841" s="802"/>
      <c r="UVM841" s="802"/>
      <c r="UVN841" s="802"/>
      <c r="UVO841" s="802"/>
      <c r="UVP841" s="802"/>
      <c r="UVQ841" s="802"/>
      <c r="UVR841" s="802"/>
      <c r="UVS841" s="802"/>
      <c r="UVT841" s="802"/>
      <c r="UVU841" s="802"/>
      <c r="UVV841" s="802"/>
      <c r="UVW841" s="802"/>
      <c r="UVX841" s="802"/>
      <c r="UVY841" s="802"/>
      <c r="UVZ841" s="802"/>
      <c r="UWA841" s="802"/>
      <c r="UWB841" s="802"/>
      <c r="UWC841" s="802"/>
      <c r="UWD841" s="802"/>
      <c r="UWE841" s="802"/>
      <c r="UWF841" s="802"/>
      <c r="UWG841" s="802"/>
      <c r="UWH841" s="802"/>
      <c r="UWI841" s="802"/>
      <c r="UWJ841" s="802"/>
      <c r="UWK841" s="802"/>
      <c r="UWL841" s="802"/>
      <c r="UWM841" s="802"/>
      <c r="UWN841" s="802"/>
      <c r="UWO841" s="802"/>
      <c r="UWP841" s="802"/>
      <c r="UWQ841" s="802"/>
      <c r="UWR841" s="802"/>
      <c r="UWS841" s="802"/>
      <c r="UWT841" s="802"/>
      <c r="UWU841" s="802"/>
      <c r="UWV841" s="802"/>
      <c r="UWW841" s="802"/>
      <c r="UWX841" s="802"/>
      <c r="UWY841" s="802"/>
      <c r="UWZ841" s="802"/>
      <c r="UXA841" s="802"/>
      <c r="UXB841" s="802"/>
      <c r="UXC841" s="802"/>
      <c r="UXD841" s="802"/>
      <c r="UXE841" s="802"/>
      <c r="UXF841" s="802"/>
      <c r="UXG841" s="802"/>
      <c r="UXH841" s="802"/>
      <c r="UXI841" s="802"/>
      <c r="UXJ841" s="802"/>
      <c r="UXK841" s="802"/>
      <c r="UXL841" s="802"/>
      <c r="UXM841" s="802"/>
      <c r="UXN841" s="802"/>
      <c r="UXO841" s="802"/>
      <c r="UXP841" s="802"/>
      <c r="UXQ841" s="802"/>
      <c r="UXR841" s="802"/>
      <c r="UXS841" s="802"/>
      <c r="UXT841" s="802"/>
      <c r="UXU841" s="802"/>
      <c r="UXV841" s="802"/>
      <c r="UXW841" s="802"/>
      <c r="UXX841" s="802"/>
      <c r="UXY841" s="802"/>
      <c r="UXZ841" s="802"/>
      <c r="UYA841" s="802"/>
      <c r="UYB841" s="802"/>
      <c r="UYC841" s="802"/>
      <c r="UYD841" s="802"/>
      <c r="UYE841" s="802"/>
      <c r="UYF841" s="802"/>
      <c r="UYG841" s="802"/>
      <c r="UYH841" s="802"/>
      <c r="UYI841" s="802"/>
      <c r="UYJ841" s="802"/>
      <c r="UYK841" s="802"/>
      <c r="UYL841" s="802"/>
      <c r="UYM841" s="802"/>
      <c r="UYN841" s="802"/>
      <c r="UYO841" s="802"/>
      <c r="UYP841" s="802"/>
      <c r="UYQ841" s="802"/>
      <c r="UYR841" s="802"/>
      <c r="UYS841" s="802"/>
      <c r="UYT841" s="802"/>
      <c r="UYU841" s="802"/>
      <c r="UYV841" s="802"/>
      <c r="UYW841" s="802"/>
      <c r="UYX841" s="802"/>
      <c r="UYY841" s="802"/>
      <c r="UYZ841" s="802"/>
      <c r="UZA841" s="802"/>
      <c r="UZB841" s="802"/>
      <c r="UZC841" s="802"/>
      <c r="UZD841" s="802"/>
      <c r="UZE841" s="802"/>
      <c r="UZF841" s="802"/>
      <c r="UZG841" s="802"/>
      <c r="UZH841" s="802"/>
      <c r="UZI841" s="802"/>
      <c r="UZJ841" s="802"/>
      <c r="UZK841" s="802"/>
      <c r="UZL841" s="802"/>
      <c r="UZM841" s="802"/>
      <c r="UZN841" s="802"/>
      <c r="UZO841" s="802"/>
      <c r="UZP841" s="802"/>
      <c r="UZQ841" s="802"/>
      <c r="UZR841" s="802"/>
      <c r="UZS841" s="802"/>
      <c r="UZT841" s="802"/>
      <c r="UZU841" s="802"/>
      <c r="UZV841" s="802"/>
      <c r="UZW841" s="802"/>
      <c r="UZX841" s="802"/>
      <c r="UZY841" s="802"/>
      <c r="UZZ841" s="802"/>
      <c r="VAA841" s="802"/>
      <c r="VAB841" s="802"/>
      <c r="VAC841" s="802"/>
      <c r="VAD841" s="802"/>
      <c r="VAE841" s="802"/>
      <c r="VAF841" s="802"/>
      <c r="VAG841" s="802"/>
      <c r="VAH841" s="802"/>
      <c r="VAI841" s="802"/>
      <c r="VAJ841" s="802"/>
      <c r="VAK841" s="802"/>
      <c r="VAL841" s="802"/>
      <c r="VAM841" s="802"/>
      <c r="VAN841" s="802"/>
      <c r="VAO841" s="802"/>
      <c r="VAP841" s="802"/>
      <c r="VAQ841" s="802"/>
      <c r="VAR841" s="802"/>
      <c r="VAS841" s="802"/>
      <c r="VAT841" s="802"/>
      <c r="VAU841" s="802"/>
      <c r="VAV841" s="802"/>
      <c r="VAW841" s="802"/>
      <c r="VAX841" s="802"/>
      <c r="VAY841" s="802"/>
      <c r="VAZ841" s="802"/>
      <c r="VBA841" s="802"/>
      <c r="VBB841" s="802"/>
      <c r="VBC841" s="802"/>
      <c r="VBD841" s="802"/>
      <c r="VBE841" s="802"/>
      <c r="VBF841" s="802"/>
      <c r="VBG841" s="802"/>
      <c r="VBH841" s="802"/>
      <c r="VBI841" s="802"/>
      <c r="VBJ841" s="802"/>
      <c r="VBK841" s="802"/>
      <c r="VBL841" s="802"/>
      <c r="VBM841" s="802"/>
      <c r="VBN841" s="802"/>
      <c r="VBO841" s="802"/>
      <c r="VBP841" s="802"/>
      <c r="VBQ841" s="802"/>
      <c r="VBR841" s="802"/>
      <c r="VBS841" s="802"/>
      <c r="VBT841" s="802"/>
      <c r="VBU841" s="802"/>
      <c r="VBV841" s="802"/>
      <c r="VBW841" s="802"/>
      <c r="VBX841" s="802"/>
      <c r="VBY841" s="802"/>
      <c r="VBZ841" s="802"/>
      <c r="VCA841" s="802"/>
      <c r="VCB841" s="802"/>
      <c r="VCC841" s="802"/>
      <c r="VCD841" s="802"/>
      <c r="VCE841" s="802"/>
      <c r="VCF841" s="802"/>
      <c r="VCG841" s="802"/>
      <c r="VCH841" s="802"/>
      <c r="VCI841" s="802"/>
      <c r="VCJ841" s="802"/>
      <c r="VCK841" s="802"/>
      <c r="VCL841" s="802"/>
      <c r="VCM841" s="802"/>
      <c r="VCN841" s="802"/>
      <c r="VCO841" s="802"/>
      <c r="VCP841" s="802"/>
      <c r="VCQ841" s="802"/>
      <c r="VCR841" s="802"/>
      <c r="VCS841" s="802"/>
      <c r="VCT841" s="802"/>
      <c r="VCU841" s="802"/>
      <c r="VCV841" s="802"/>
      <c r="VCW841" s="802"/>
      <c r="VCX841" s="802"/>
      <c r="VCY841" s="802"/>
      <c r="VCZ841" s="802"/>
      <c r="VDA841" s="802"/>
      <c r="VDB841" s="802"/>
      <c r="VDC841" s="802"/>
      <c r="VDD841" s="802"/>
      <c r="VDE841" s="802"/>
      <c r="VDF841" s="802"/>
      <c r="VDG841" s="802"/>
      <c r="VDH841" s="802"/>
      <c r="VDI841" s="802"/>
      <c r="VDJ841" s="802"/>
      <c r="VDK841" s="802"/>
      <c r="VDL841" s="802"/>
      <c r="VDM841" s="802"/>
      <c r="VDN841" s="802"/>
      <c r="VDO841" s="802"/>
      <c r="VDP841" s="802"/>
      <c r="VDQ841" s="802"/>
      <c r="VDR841" s="802"/>
      <c r="VDS841" s="802"/>
      <c r="VDT841" s="802"/>
      <c r="VDU841" s="802"/>
      <c r="VDV841" s="802"/>
      <c r="VDW841" s="802"/>
      <c r="VDX841" s="802"/>
      <c r="VDY841" s="802"/>
      <c r="VDZ841" s="802"/>
      <c r="VEA841" s="802"/>
      <c r="VEB841" s="802"/>
      <c r="VEC841" s="802"/>
      <c r="VED841" s="802"/>
      <c r="VEE841" s="802"/>
      <c r="VEF841" s="802"/>
      <c r="VEG841" s="802"/>
      <c r="VEH841" s="802"/>
      <c r="VEI841" s="802"/>
      <c r="VEJ841" s="802"/>
      <c r="VEK841" s="802"/>
      <c r="VEL841" s="802"/>
      <c r="VEM841" s="802"/>
      <c r="VEN841" s="802"/>
      <c r="VEO841" s="802"/>
      <c r="VEP841" s="802"/>
      <c r="VEQ841" s="802"/>
      <c r="VER841" s="802"/>
      <c r="VES841" s="802"/>
      <c r="VET841" s="802"/>
      <c r="VEU841" s="802"/>
      <c r="VEV841" s="802"/>
      <c r="VEW841" s="802"/>
      <c r="VEX841" s="802"/>
      <c r="VEY841" s="802"/>
      <c r="VEZ841" s="802"/>
      <c r="VFA841" s="802"/>
      <c r="VFB841" s="802"/>
      <c r="VFC841" s="802"/>
      <c r="VFD841" s="802"/>
      <c r="VFE841" s="802"/>
      <c r="VFF841" s="802"/>
      <c r="VFG841" s="802"/>
      <c r="VFH841" s="802"/>
      <c r="VFI841" s="802"/>
      <c r="VFJ841" s="802"/>
      <c r="VFK841" s="802"/>
      <c r="VFL841" s="802"/>
      <c r="VFM841" s="802"/>
      <c r="VFN841" s="802"/>
      <c r="VFO841" s="802"/>
      <c r="VFP841" s="802"/>
      <c r="VFQ841" s="802"/>
      <c r="VFR841" s="802"/>
      <c r="VFS841" s="802"/>
      <c r="VFT841" s="802"/>
      <c r="VFU841" s="802"/>
      <c r="VFV841" s="802"/>
      <c r="VFW841" s="802"/>
      <c r="VFX841" s="802"/>
      <c r="VFY841" s="802"/>
      <c r="VFZ841" s="802"/>
      <c r="VGA841" s="802"/>
      <c r="VGB841" s="802"/>
      <c r="VGC841" s="802"/>
      <c r="VGD841" s="802"/>
      <c r="VGE841" s="802"/>
      <c r="VGF841" s="802"/>
      <c r="VGG841" s="802"/>
      <c r="VGH841" s="802"/>
      <c r="VGI841" s="802"/>
      <c r="VGJ841" s="802"/>
      <c r="VGK841" s="802"/>
      <c r="VGL841" s="802"/>
      <c r="VGM841" s="802"/>
      <c r="VGN841" s="802"/>
      <c r="VGO841" s="802"/>
      <c r="VGP841" s="802"/>
      <c r="VGQ841" s="802"/>
      <c r="VGR841" s="802"/>
      <c r="VGS841" s="802"/>
      <c r="VGT841" s="802"/>
      <c r="VGU841" s="802"/>
      <c r="VGV841" s="802"/>
      <c r="VGW841" s="802"/>
      <c r="VGX841" s="802"/>
      <c r="VGY841" s="802"/>
      <c r="VGZ841" s="802"/>
      <c r="VHA841" s="802"/>
      <c r="VHB841" s="802"/>
      <c r="VHC841" s="802"/>
      <c r="VHD841" s="802"/>
      <c r="VHE841" s="802"/>
      <c r="VHF841" s="802"/>
      <c r="VHG841" s="802"/>
      <c r="VHH841" s="802"/>
      <c r="VHI841" s="802"/>
      <c r="VHJ841" s="802"/>
      <c r="VHK841" s="802"/>
      <c r="VHL841" s="802"/>
      <c r="VHM841" s="802"/>
      <c r="VHN841" s="802"/>
      <c r="VHO841" s="802"/>
      <c r="VHP841" s="802"/>
      <c r="VHQ841" s="802"/>
      <c r="VHR841" s="802"/>
      <c r="VHS841" s="802"/>
      <c r="VHT841" s="802"/>
      <c r="VHU841" s="802"/>
      <c r="VHV841" s="802"/>
      <c r="VHW841" s="802"/>
      <c r="VHX841" s="802"/>
      <c r="VHY841" s="802"/>
      <c r="VHZ841" s="802"/>
      <c r="VIA841" s="802"/>
      <c r="VIB841" s="802"/>
      <c r="VIC841" s="802"/>
      <c r="VID841" s="802"/>
      <c r="VIE841" s="802"/>
      <c r="VIF841" s="802"/>
      <c r="VIG841" s="802"/>
      <c r="VIH841" s="802"/>
      <c r="VII841" s="802"/>
      <c r="VIJ841" s="802"/>
      <c r="VIK841" s="802"/>
      <c r="VIL841" s="802"/>
      <c r="VIM841" s="802"/>
      <c r="VIN841" s="802"/>
      <c r="VIO841" s="802"/>
      <c r="VIP841" s="802"/>
      <c r="VIQ841" s="802"/>
      <c r="VIR841" s="802"/>
      <c r="VIS841" s="802"/>
      <c r="VIT841" s="802"/>
      <c r="VIU841" s="802"/>
      <c r="VIV841" s="802"/>
      <c r="VIW841" s="802"/>
      <c r="VIX841" s="802"/>
      <c r="VIY841" s="802"/>
      <c r="VIZ841" s="802"/>
      <c r="VJA841" s="802"/>
      <c r="VJB841" s="802"/>
      <c r="VJC841" s="802"/>
      <c r="VJD841" s="802"/>
      <c r="VJE841" s="802"/>
      <c r="VJF841" s="802"/>
      <c r="VJG841" s="802"/>
      <c r="VJH841" s="802"/>
      <c r="VJI841" s="802"/>
      <c r="VJJ841" s="802"/>
      <c r="VJK841" s="802"/>
      <c r="VJL841" s="802"/>
      <c r="VJM841" s="802"/>
      <c r="VJN841" s="802"/>
      <c r="VJO841" s="802"/>
      <c r="VJP841" s="802"/>
      <c r="VJQ841" s="802"/>
      <c r="VJR841" s="802"/>
      <c r="VJS841" s="802"/>
      <c r="VJT841" s="802"/>
      <c r="VJU841" s="802"/>
      <c r="VJV841" s="802"/>
      <c r="VJW841" s="802"/>
      <c r="VJX841" s="802"/>
      <c r="VJY841" s="802"/>
      <c r="VJZ841" s="802"/>
      <c r="VKA841" s="802"/>
      <c r="VKB841" s="802"/>
      <c r="VKC841" s="802"/>
      <c r="VKD841" s="802"/>
      <c r="VKE841" s="802"/>
      <c r="VKF841" s="802"/>
      <c r="VKG841" s="802"/>
      <c r="VKH841" s="802"/>
      <c r="VKI841" s="802"/>
      <c r="VKJ841" s="802"/>
      <c r="VKK841" s="802"/>
      <c r="VKL841" s="802"/>
      <c r="VKM841" s="802"/>
      <c r="VKN841" s="802"/>
      <c r="VKO841" s="802"/>
      <c r="VKP841" s="802"/>
      <c r="VKQ841" s="802"/>
      <c r="VKR841" s="802"/>
      <c r="VKS841" s="802"/>
      <c r="VKT841" s="802"/>
      <c r="VKU841" s="802"/>
      <c r="VKV841" s="802"/>
      <c r="VKW841" s="802"/>
      <c r="VKX841" s="802"/>
      <c r="VKY841" s="802"/>
      <c r="VKZ841" s="802"/>
      <c r="VLA841" s="802"/>
      <c r="VLB841" s="802"/>
      <c r="VLC841" s="802"/>
      <c r="VLD841" s="802"/>
      <c r="VLE841" s="802"/>
      <c r="VLF841" s="802"/>
      <c r="VLG841" s="802"/>
      <c r="VLH841" s="802"/>
      <c r="VLI841" s="802"/>
      <c r="VLJ841" s="802"/>
      <c r="VLK841" s="802"/>
      <c r="VLL841" s="802"/>
      <c r="VLM841" s="802"/>
      <c r="VLN841" s="802"/>
      <c r="VLO841" s="802"/>
      <c r="VLP841" s="802"/>
      <c r="VLQ841" s="802"/>
      <c r="VLR841" s="802"/>
      <c r="VLS841" s="802"/>
      <c r="VLT841" s="802"/>
      <c r="VLU841" s="802"/>
      <c r="VLV841" s="802"/>
      <c r="VLW841" s="802"/>
      <c r="VLX841" s="802"/>
      <c r="VLY841" s="802"/>
      <c r="VLZ841" s="802"/>
      <c r="VMA841" s="802"/>
      <c r="VMB841" s="802"/>
      <c r="VMC841" s="802"/>
      <c r="VMD841" s="802"/>
      <c r="VME841" s="802"/>
      <c r="VMF841" s="802"/>
      <c r="VMG841" s="802"/>
      <c r="VMH841" s="802"/>
      <c r="VMI841" s="802"/>
      <c r="VMJ841" s="802"/>
      <c r="VMK841" s="802"/>
      <c r="VML841" s="802"/>
      <c r="VMM841" s="802"/>
      <c r="VMN841" s="802"/>
      <c r="VMO841" s="802"/>
      <c r="VMP841" s="802"/>
      <c r="VMQ841" s="802"/>
      <c r="VMR841" s="802"/>
      <c r="VMS841" s="802"/>
      <c r="VMT841" s="802"/>
      <c r="VMU841" s="802"/>
      <c r="VMV841" s="802"/>
      <c r="VMW841" s="802"/>
      <c r="VMX841" s="802"/>
      <c r="VMY841" s="802"/>
      <c r="VMZ841" s="802"/>
      <c r="VNA841" s="802"/>
      <c r="VNB841" s="802"/>
      <c r="VNC841" s="802"/>
      <c r="VND841" s="802"/>
      <c r="VNE841" s="802"/>
      <c r="VNF841" s="802"/>
      <c r="VNG841" s="802"/>
      <c r="VNH841" s="802"/>
      <c r="VNI841" s="802"/>
      <c r="VNJ841" s="802"/>
      <c r="VNK841" s="802"/>
      <c r="VNL841" s="802"/>
      <c r="VNM841" s="802"/>
      <c r="VNN841" s="802"/>
      <c r="VNO841" s="802"/>
      <c r="VNP841" s="802"/>
      <c r="VNQ841" s="802"/>
      <c r="VNR841" s="802"/>
      <c r="VNS841" s="802"/>
      <c r="VNT841" s="802"/>
      <c r="VNU841" s="802"/>
      <c r="VNV841" s="802"/>
      <c r="VNW841" s="802"/>
      <c r="VNX841" s="802"/>
      <c r="VNY841" s="802"/>
      <c r="VNZ841" s="802"/>
      <c r="VOA841" s="802"/>
      <c r="VOB841" s="802"/>
      <c r="VOC841" s="802"/>
      <c r="VOD841" s="802"/>
      <c r="VOE841" s="802"/>
      <c r="VOF841" s="802"/>
      <c r="VOG841" s="802"/>
      <c r="VOH841" s="802"/>
      <c r="VOI841" s="802"/>
      <c r="VOJ841" s="802"/>
      <c r="VOK841" s="802"/>
      <c r="VOL841" s="802"/>
      <c r="VOM841" s="802"/>
      <c r="VON841" s="802"/>
      <c r="VOO841" s="802"/>
      <c r="VOP841" s="802"/>
      <c r="VOQ841" s="802"/>
      <c r="VOR841" s="802"/>
      <c r="VOS841" s="802"/>
      <c r="VOT841" s="802"/>
      <c r="VOU841" s="802"/>
      <c r="VOV841" s="802"/>
      <c r="VOW841" s="802"/>
      <c r="VOX841" s="802"/>
      <c r="VOY841" s="802"/>
      <c r="VOZ841" s="802"/>
      <c r="VPA841" s="802"/>
      <c r="VPB841" s="802"/>
      <c r="VPC841" s="802"/>
      <c r="VPD841" s="802"/>
      <c r="VPE841" s="802"/>
      <c r="VPF841" s="802"/>
      <c r="VPG841" s="802"/>
      <c r="VPH841" s="802"/>
      <c r="VPI841" s="802"/>
      <c r="VPJ841" s="802"/>
      <c r="VPK841" s="802"/>
      <c r="VPL841" s="802"/>
      <c r="VPM841" s="802"/>
      <c r="VPN841" s="802"/>
      <c r="VPO841" s="802"/>
      <c r="VPP841" s="802"/>
      <c r="VPQ841" s="802"/>
      <c r="VPR841" s="802"/>
      <c r="VPS841" s="802"/>
      <c r="VPT841" s="802"/>
      <c r="VPU841" s="802"/>
      <c r="VPV841" s="802"/>
      <c r="VPW841" s="802"/>
      <c r="VPX841" s="802"/>
      <c r="VPY841" s="802"/>
      <c r="VPZ841" s="802"/>
      <c r="VQA841" s="802"/>
      <c r="VQB841" s="802"/>
      <c r="VQC841" s="802"/>
      <c r="VQD841" s="802"/>
      <c r="VQE841" s="802"/>
      <c r="VQF841" s="802"/>
      <c r="VQG841" s="802"/>
      <c r="VQH841" s="802"/>
      <c r="VQI841" s="802"/>
      <c r="VQJ841" s="802"/>
      <c r="VQK841" s="802"/>
      <c r="VQL841" s="802"/>
      <c r="VQM841" s="802"/>
      <c r="VQN841" s="802"/>
      <c r="VQO841" s="802"/>
      <c r="VQP841" s="802"/>
      <c r="VQQ841" s="802"/>
      <c r="VQR841" s="802"/>
      <c r="VQS841" s="802"/>
      <c r="VQT841" s="802"/>
      <c r="VQU841" s="802"/>
      <c r="VQV841" s="802"/>
      <c r="VQW841" s="802"/>
      <c r="VQX841" s="802"/>
      <c r="VQY841" s="802"/>
      <c r="VQZ841" s="802"/>
      <c r="VRA841" s="802"/>
      <c r="VRB841" s="802"/>
      <c r="VRC841" s="802"/>
      <c r="VRD841" s="802"/>
      <c r="VRE841" s="802"/>
      <c r="VRF841" s="802"/>
      <c r="VRG841" s="802"/>
      <c r="VRH841" s="802"/>
      <c r="VRI841" s="802"/>
      <c r="VRJ841" s="802"/>
      <c r="VRK841" s="802"/>
      <c r="VRL841" s="802"/>
      <c r="VRM841" s="802"/>
      <c r="VRN841" s="802"/>
      <c r="VRO841" s="802"/>
      <c r="VRP841" s="802"/>
      <c r="VRQ841" s="802"/>
      <c r="VRR841" s="802"/>
      <c r="VRS841" s="802"/>
      <c r="VRT841" s="802"/>
      <c r="VRU841" s="802"/>
      <c r="VRV841" s="802"/>
      <c r="VRW841" s="802"/>
      <c r="VRX841" s="802"/>
      <c r="VRY841" s="802"/>
      <c r="VRZ841" s="802"/>
      <c r="VSA841" s="802"/>
      <c r="VSB841" s="802"/>
      <c r="VSC841" s="802"/>
      <c r="VSD841" s="802"/>
      <c r="VSE841" s="802"/>
      <c r="VSF841" s="802"/>
      <c r="VSG841" s="802"/>
      <c r="VSH841" s="802"/>
      <c r="VSI841" s="802"/>
      <c r="VSJ841" s="802"/>
      <c r="VSK841" s="802"/>
      <c r="VSL841" s="802"/>
      <c r="VSM841" s="802"/>
      <c r="VSN841" s="802"/>
      <c r="VSO841" s="802"/>
      <c r="VSP841" s="802"/>
      <c r="VSQ841" s="802"/>
      <c r="VSR841" s="802"/>
      <c r="VSS841" s="802"/>
      <c r="VST841" s="802"/>
      <c r="VSU841" s="802"/>
      <c r="VSV841" s="802"/>
      <c r="VSW841" s="802"/>
      <c r="VSX841" s="802"/>
      <c r="VSY841" s="802"/>
      <c r="VSZ841" s="802"/>
      <c r="VTA841" s="802"/>
      <c r="VTB841" s="802"/>
      <c r="VTC841" s="802"/>
      <c r="VTD841" s="802"/>
      <c r="VTE841" s="802"/>
      <c r="VTF841" s="802"/>
      <c r="VTG841" s="802"/>
      <c r="VTH841" s="802"/>
      <c r="VTI841" s="802"/>
      <c r="VTJ841" s="802"/>
      <c r="VTK841" s="802"/>
      <c r="VTL841" s="802"/>
      <c r="VTM841" s="802"/>
      <c r="VTN841" s="802"/>
      <c r="VTO841" s="802"/>
      <c r="VTP841" s="802"/>
      <c r="VTQ841" s="802"/>
      <c r="VTR841" s="802"/>
      <c r="VTS841" s="802"/>
      <c r="VTT841" s="802"/>
      <c r="VTU841" s="802"/>
      <c r="VTV841" s="802"/>
      <c r="VTW841" s="802"/>
      <c r="VTX841" s="802"/>
      <c r="VTY841" s="802"/>
      <c r="VTZ841" s="802"/>
      <c r="VUA841" s="802"/>
      <c r="VUB841" s="802"/>
      <c r="VUC841" s="802"/>
      <c r="VUD841" s="802"/>
      <c r="VUE841" s="802"/>
      <c r="VUF841" s="802"/>
      <c r="VUG841" s="802"/>
      <c r="VUH841" s="802"/>
      <c r="VUI841" s="802"/>
      <c r="VUJ841" s="802"/>
      <c r="VUK841" s="802"/>
      <c r="VUL841" s="802"/>
      <c r="VUM841" s="802"/>
      <c r="VUN841" s="802"/>
      <c r="VUO841" s="802"/>
      <c r="VUP841" s="802"/>
      <c r="VUQ841" s="802"/>
      <c r="VUR841" s="802"/>
      <c r="VUS841" s="802"/>
      <c r="VUT841" s="802"/>
      <c r="VUU841" s="802"/>
      <c r="VUV841" s="802"/>
      <c r="VUW841" s="802"/>
      <c r="VUX841" s="802"/>
      <c r="VUY841" s="802"/>
      <c r="VUZ841" s="802"/>
      <c r="VVA841" s="802"/>
      <c r="VVB841" s="802"/>
      <c r="VVC841" s="802"/>
      <c r="VVD841" s="802"/>
      <c r="VVE841" s="802"/>
      <c r="VVF841" s="802"/>
      <c r="VVG841" s="802"/>
      <c r="VVH841" s="802"/>
      <c r="VVI841" s="802"/>
      <c r="VVJ841" s="802"/>
      <c r="VVK841" s="802"/>
      <c r="VVL841" s="802"/>
      <c r="VVM841" s="802"/>
      <c r="VVN841" s="802"/>
      <c r="VVO841" s="802"/>
      <c r="VVP841" s="802"/>
      <c r="VVQ841" s="802"/>
      <c r="VVR841" s="802"/>
      <c r="VVS841" s="802"/>
      <c r="VVT841" s="802"/>
      <c r="VVU841" s="802"/>
      <c r="VVV841" s="802"/>
      <c r="VVW841" s="802"/>
      <c r="VVX841" s="802"/>
      <c r="VVY841" s="802"/>
      <c r="VVZ841" s="802"/>
      <c r="VWA841" s="802"/>
      <c r="VWB841" s="802"/>
      <c r="VWC841" s="802"/>
      <c r="VWD841" s="802"/>
      <c r="VWE841" s="802"/>
      <c r="VWF841" s="802"/>
      <c r="VWG841" s="802"/>
      <c r="VWH841" s="802"/>
      <c r="VWI841" s="802"/>
      <c r="VWJ841" s="802"/>
      <c r="VWK841" s="802"/>
      <c r="VWL841" s="802"/>
      <c r="VWM841" s="802"/>
      <c r="VWN841" s="802"/>
      <c r="VWO841" s="802"/>
      <c r="VWP841" s="802"/>
      <c r="VWQ841" s="802"/>
      <c r="VWR841" s="802"/>
      <c r="VWS841" s="802"/>
      <c r="VWT841" s="802"/>
      <c r="VWU841" s="802"/>
      <c r="VWV841" s="802"/>
      <c r="VWW841" s="802"/>
      <c r="VWX841" s="802"/>
      <c r="VWY841" s="802"/>
      <c r="VWZ841" s="802"/>
      <c r="VXA841" s="802"/>
      <c r="VXB841" s="802"/>
      <c r="VXC841" s="802"/>
      <c r="VXD841" s="802"/>
      <c r="VXE841" s="802"/>
      <c r="VXF841" s="802"/>
      <c r="VXG841" s="802"/>
      <c r="VXH841" s="802"/>
      <c r="VXI841" s="802"/>
      <c r="VXJ841" s="802"/>
      <c r="VXK841" s="802"/>
      <c r="VXL841" s="802"/>
      <c r="VXM841" s="802"/>
      <c r="VXN841" s="802"/>
      <c r="VXO841" s="802"/>
      <c r="VXP841" s="802"/>
      <c r="VXQ841" s="802"/>
      <c r="VXR841" s="802"/>
      <c r="VXS841" s="802"/>
      <c r="VXT841" s="802"/>
      <c r="VXU841" s="802"/>
      <c r="VXV841" s="802"/>
      <c r="VXW841" s="802"/>
      <c r="VXX841" s="802"/>
      <c r="VXY841" s="802"/>
      <c r="VXZ841" s="802"/>
      <c r="VYA841" s="802"/>
      <c r="VYB841" s="802"/>
      <c r="VYC841" s="802"/>
      <c r="VYD841" s="802"/>
      <c r="VYE841" s="802"/>
      <c r="VYF841" s="802"/>
      <c r="VYG841" s="802"/>
      <c r="VYH841" s="802"/>
      <c r="VYI841" s="802"/>
      <c r="VYJ841" s="802"/>
      <c r="VYK841" s="802"/>
      <c r="VYL841" s="802"/>
      <c r="VYM841" s="802"/>
      <c r="VYN841" s="802"/>
      <c r="VYO841" s="802"/>
      <c r="VYP841" s="802"/>
      <c r="VYQ841" s="802"/>
      <c r="VYR841" s="802"/>
      <c r="VYS841" s="802"/>
      <c r="VYT841" s="802"/>
      <c r="VYU841" s="802"/>
      <c r="VYV841" s="802"/>
      <c r="VYW841" s="802"/>
      <c r="VYX841" s="802"/>
      <c r="VYY841" s="802"/>
      <c r="VYZ841" s="802"/>
      <c r="VZA841" s="802"/>
      <c r="VZB841" s="802"/>
      <c r="VZC841" s="802"/>
      <c r="VZD841" s="802"/>
      <c r="VZE841" s="802"/>
      <c r="VZF841" s="802"/>
      <c r="VZG841" s="802"/>
      <c r="VZH841" s="802"/>
      <c r="VZI841" s="802"/>
      <c r="VZJ841" s="802"/>
      <c r="VZK841" s="802"/>
      <c r="VZL841" s="802"/>
      <c r="VZM841" s="802"/>
      <c r="VZN841" s="802"/>
      <c r="VZO841" s="802"/>
      <c r="VZP841" s="802"/>
      <c r="VZQ841" s="802"/>
      <c r="VZR841" s="802"/>
      <c r="VZS841" s="802"/>
      <c r="VZT841" s="802"/>
      <c r="VZU841" s="802"/>
      <c r="VZV841" s="802"/>
      <c r="VZW841" s="802"/>
      <c r="VZX841" s="802"/>
      <c r="VZY841" s="802"/>
      <c r="VZZ841" s="802"/>
      <c r="WAA841" s="802"/>
      <c r="WAB841" s="802"/>
      <c r="WAC841" s="802"/>
      <c r="WAD841" s="802"/>
      <c r="WAE841" s="802"/>
      <c r="WAF841" s="802"/>
      <c r="WAG841" s="802"/>
      <c r="WAH841" s="802"/>
      <c r="WAI841" s="802"/>
      <c r="WAJ841" s="802"/>
      <c r="WAK841" s="802"/>
      <c r="WAL841" s="802"/>
      <c r="WAM841" s="802"/>
      <c r="WAN841" s="802"/>
      <c r="WAO841" s="802"/>
      <c r="WAP841" s="802"/>
      <c r="WAQ841" s="802"/>
      <c r="WAR841" s="802"/>
      <c r="WAS841" s="802"/>
      <c r="WAT841" s="802"/>
      <c r="WAU841" s="802"/>
      <c r="WAV841" s="802"/>
      <c r="WAW841" s="802"/>
      <c r="WAX841" s="802"/>
      <c r="WAY841" s="802"/>
      <c r="WAZ841" s="802"/>
      <c r="WBA841" s="802"/>
      <c r="WBB841" s="802"/>
      <c r="WBC841" s="802"/>
      <c r="WBD841" s="802"/>
      <c r="WBE841" s="802"/>
      <c r="WBF841" s="802"/>
      <c r="WBG841" s="802"/>
      <c r="WBH841" s="802"/>
      <c r="WBI841" s="802"/>
      <c r="WBJ841" s="802"/>
      <c r="WBK841" s="802"/>
      <c r="WBL841" s="802"/>
      <c r="WBM841" s="802"/>
      <c r="WBN841" s="802"/>
      <c r="WBO841" s="802"/>
      <c r="WBP841" s="802"/>
      <c r="WBQ841" s="802"/>
      <c r="WBR841" s="802"/>
      <c r="WBS841" s="802"/>
      <c r="WBT841" s="802"/>
      <c r="WBU841" s="802"/>
      <c r="WBV841" s="802"/>
      <c r="WBW841" s="802"/>
      <c r="WBX841" s="802"/>
      <c r="WBY841" s="802"/>
      <c r="WBZ841" s="802"/>
      <c r="WCA841" s="802"/>
      <c r="WCB841" s="802"/>
      <c r="WCC841" s="802"/>
      <c r="WCD841" s="802"/>
      <c r="WCE841" s="802"/>
      <c r="WCF841" s="802"/>
      <c r="WCG841" s="802"/>
      <c r="WCH841" s="802"/>
      <c r="WCI841" s="802"/>
      <c r="WCJ841" s="802"/>
      <c r="WCK841" s="802"/>
      <c r="WCL841" s="802"/>
      <c r="WCM841" s="802"/>
      <c r="WCN841" s="802"/>
      <c r="WCO841" s="802"/>
      <c r="WCP841" s="802"/>
      <c r="WCQ841" s="802"/>
      <c r="WCR841" s="802"/>
      <c r="WCS841" s="802"/>
      <c r="WCT841" s="802"/>
      <c r="WCU841" s="802"/>
      <c r="WCV841" s="802"/>
      <c r="WCW841" s="802"/>
      <c r="WCX841" s="802"/>
      <c r="WCY841" s="802"/>
      <c r="WCZ841" s="802"/>
      <c r="WDA841" s="802"/>
      <c r="WDB841" s="802"/>
      <c r="WDC841" s="802"/>
      <c r="WDD841" s="802"/>
      <c r="WDE841" s="802"/>
      <c r="WDF841" s="802"/>
      <c r="WDG841" s="802"/>
      <c r="WDH841" s="802"/>
      <c r="WDI841" s="802"/>
      <c r="WDJ841" s="802"/>
      <c r="WDK841" s="802"/>
      <c r="WDL841" s="802"/>
      <c r="WDM841" s="802"/>
      <c r="WDN841" s="802"/>
      <c r="WDO841" s="802"/>
      <c r="WDP841" s="802"/>
      <c r="WDQ841" s="802"/>
      <c r="WDR841" s="802"/>
      <c r="WDS841" s="802"/>
      <c r="WDT841" s="802"/>
      <c r="WDU841" s="802"/>
      <c r="WDV841" s="802"/>
      <c r="WDW841" s="802"/>
      <c r="WDX841" s="802"/>
      <c r="WDY841" s="802"/>
      <c r="WDZ841" s="802"/>
      <c r="WEA841" s="802"/>
      <c r="WEB841" s="802"/>
      <c r="WEC841" s="802"/>
      <c r="WED841" s="802"/>
      <c r="WEE841" s="802"/>
      <c r="WEF841" s="802"/>
      <c r="WEG841" s="802"/>
      <c r="WEH841" s="802"/>
      <c r="WEI841" s="802"/>
      <c r="WEJ841" s="802"/>
      <c r="WEK841" s="802"/>
      <c r="WEL841" s="802"/>
      <c r="WEM841" s="802"/>
      <c r="WEN841" s="802"/>
      <c r="WEO841" s="802"/>
      <c r="WEP841" s="802"/>
      <c r="WEQ841" s="802"/>
      <c r="WER841" s="802"/>
      <c r="WES841" s="802"/>
      <c r="WET841" s="802"/>
      <c r="WEU841" s="802"/>
      <c r="WEV841" s="802"/>
      <c r="WEW841" s="802"/>
      <c r="WEX841" s="802"/>
      <c r="WEY841" s="802"/>
      <c r="WEZ841" s="802"/>
      <c r="WFA841" s="802"/>
      <c r="WFB841" s="802"/>
      <c r="WFC841" s="802"/>
      <c r="WFD841" s="802"/>
      <c r="WFE841" s="802"/>
      <c r="WFF841" s="802"/>
      <c r="WFG841" s="802"/>
      <c r="WFH841" s="802"/>
      <c r="WFI841" s="802"/>
      <c r="WFJ841" s="802"/>
      <c r="WFK841" s="802"/>
      <c r="WFL841" s="802"/>
      <c r="WFM841" s="802"/>
      <c r="WFN841" s="802"/>
      <c r="WFO841" s="802"/>
      <c r="WFP841" s="802"/>
      <c r="WFQ841" s="802"/>
      <c r="WFR841" s="802"/>
      <c r="WFS841" s="802"/>
      <c r="WFT841" s="802"/>
      <c r="WFU841" s="802"/>
      <c r="WFV841" s="802"/>
      <c r="WFW841" s="802"/>
      <c r="WFX841" s="802"/>
      <c r="WFY841" s="802"/>
      <c r="WFZ841" s="802"/>
      <c r="WGA841" s="802"/>
      <c r="WGB841" s="802"/>
      <c r="WGC841" s="802"/>
      <c r="WGD841" s="802"/>
      <c r="WGE841" s="802"/>
      <c r="WGF841" s="802"/>
      <c r="WGG841" s="802"/>
      <c r="WGH841" s="802"/>
      <c r="WGI841" s="802"/>
      <c r="WGJ841" s="802"/>
      <c r="WGK841" s="802"/>
      <c r="WGL841" s="802"/>
      <c r="WGM841" s="802"/>
      <c r="WGN841" s="802"/>
      <c r="WGO841" s="802"/>
      <c r="WGP841" s="802"/>
      <c r="WGQ841" s="802"/>
      <c r="WGR841" s="802"/>
      <c r="WGS841" s="802"/>
      <c r="WGT841" s="802"/>
      <c r="WGU841" s="802"/>
      <c r="WGV841" s="802"/>
      <c r="WGW841" s="802"/>
      <c r="WGX841" s="802"/>
      <c r="WGY841" s="802"/>
      <c r="WGZ841" s="802"/>
      <c r="WHA841" s="802"/>
      <c r="WHB841" s="802"/>
      <c r="WHC841" s="802"/>
      <c r="WHD841" s="802"/>
      <c r="WHE841" s="802"/>
      <c r="WHF841" s="802"/>
      <c r="WHG841" s="802"/>
      <c r="WHH841" s="802"/>
      <c r="WHI841" s="802"/>
      <c r="WHJ841" s="802"/>
      <c r="WHK841" s="802"/>
      <c r="WHL841" s="802"/>
      <c r="WHM841" s="802"/>
      <c r="WHN841" s="802"/>
      <c r="WHO841" s="802"/>
      <c r="WHP841" s="802"/>
      <c r="WHQ841" s="802"/>
      <c r="WHR841" s="802"/>
      <c r="WHS841" s="802"/>
      <c r="WHT841" s="802"/>
      <c r="WHU841" s="802"/>
      <c r="WHV841" s="802"/>
      <c r="WHW841" s="802"/>
      <c r="WHX841" s="802"/>
      <c r="WHY841" s="802"/>
      <c r="WHZ841" s="802"/>
      <c r="WIA841" s="802"/>
      <c r="WIB841" s="802"/>
      <c r="WIC841" s="802"/>
      <c r="WID841" s="802"/>
      <c r="WIE841" s="802"/>
      <c r="WIF841" s="802"/>
      <c r="WIG841" s="802"/>
      <c r="WIH841" s="802"/>
      <c r="WII841" s="802"/>
      <c r="WIJ841" s="802"/>
      <c r="WIK841" s="802"/>
      <c r="WIL841" s="802"/>
      <c r="WIM841" s="802"/>
      <c r="WIN841" s="802"/>
      <c r="WIO841" s="802"/>
      <c r="WIP841" s="802"/>
      <c r="WIQ841" s="802"/>
      <c r="WIR841" s="802"/>
      <c r="WIS841" s="802"/>
      <c r="WIT841" s="802"/>
      <c r="WIU841" s="802"/>
      <c r="WIV841" s="802"/>
      <c r="WIW841" s="802"/>
      <c r="WIX841" s="802"/>
      <c r="WIY841" s="802"/>
      <c r="WIZ841" s="802"/>
      <c r="WJA841" s="802"/>
      <c r="WJB841" s="802"/>
      <c r="WJC841" s="802"/>
      <c r="WJD841" s="802"/>
      <c r="WJE841" s="802"/>
      <c r="WJF841" s="802"/>
      <c r="WJG841" s="802"/>
      <c r="WJH841" s="802"/>
      <c r="WJI841" s="802"/>
      <c r="WJJ841" s="802"/>
      <c r="WJK841" s="802"/>
      <c r="WJL841" s="802"/>
      <c r="WJM841" s="802"/>
      <c r="WJN841" s="802"/>
      <c r="WJO841" s="802"/>
      <c r="WJP841" s="802"/>
      <c r="WJQ841" s="802"/>
      <c r="WJR841" s="802"/>
      <c r="WJS841" s="802"/>
      <c r="WJT841" s="802"/>
      <c r="WJU841" s="802"/>
      <c r="WJV841" s="802"/>
      <c r="WJW841" s="802"/>
      <c r="WJX841" s="802"/>
      <c r="WJY841" s="802"/>
      <c r="WJZ841" s="802"/>
      <c r="WKA841" s="802"/>
      <c r="WKB841" s="802"/>
      <c r="WKC841" s="802"/>
      <c r="WKD841" s="802"/>
      <c r="WKE841" s="802"/>
      <c r="WKF841" s="802"/>
      <c r="WKG841" s="802"/>
      <c r="WKH841" s="802"/>
      <c r="WKI841" s="802"/>
      <c r="WKJ841" s="802"/>
      <c r="WKK841" s="802"/>
      <c r="WKL841" s="802"/>
      <c r="WKM841" s="802"/>
      <c r="WKN841" s="802"/>
      <c r="WKO841" s="802"/>
      <c r="WKP841" s="802"/>
      <c r="WKQ841" s="802"/>
      <c r="WKR841" s="802"/>
      <c r="WKS841" s="802"/>
      <c r="WKT841" s="802"/>
      <c r="WKU841" s="802"/>
      <c r="WKV841" s="802"/>
      <c r="WKW841" s="802"/>
      <c r="WKX841" s="802"/>
      <c r="WKY841" s="802"/>
      <c r="WKZ841" s="802"/>
      <c r="WLA841" s="802"/>
      <c r="WLB841" s="802"/>
      <c r="WLC841" s="802"/>
      <c r="WLD841" s="802"/>
      <c r="WLE841" s="802"/>
      <c r="WLF841" s="802"/>
      <c r="WLG841" s="802"/>
      <c r="WLH841" s="802"/>
      <c r="WLI841" s="802"/>
      <c r="WLJ841" s="802"/>
      <c r="WLK841" s="802"/>
      <c r="WLL841" s="802"/>
      <c r="WLM841" s="802"/>
      <c r="WLN841" s="802"/>
      <c r="WLO841" s="802"/>
      <c r="WLP841" s="802"/>
      <c r="WLQ841" s="802"/>
      <c r="WLR841" s="802"/>
      <c r="WLS841" s="802"/>
      <c r="WLT841" s="802"/>
      <c r="WLU841" s="802"/>
      <c r="WLV841" s="802"/>
      <c r="WLW841" s="802"/>
      <c r="WLX841" s="802"/>
      <c r="WLY841" s="802"/>
      <c r="WLZ841" s="802"/>
      <c r="WMA841" s="802"/>
      <c r="WMB841" s="802"/>
      <c r="WMC841" s="802"/>
      <c r="WMD841" s="802"/>
      <c r="WME841" s="802"/>
      <c r="WMF841" s="802"/>
      <c r="WMG841" s="802"/>
      <c r="WMH841" s="802"/>
      <c r="WMI841" s="802"/>
      <c r="WMJ841" s="802"/>
      <c r="WMK841" s="802"/>
      <c r="WML841" s="802"/>
      <c r="WMM841" s="802"/>
      <c r="WMN841" s="802"/>
      <c r="WMO841" s="802"/>
      <c r="WMP841" s="802"/>
      <c r="WMQ841" s="802"/>
      <c r="WMR841" s="802"/>
      <c r="WMS841" s="802"/>
      <c r="WMT841" s="802"/>
      <c r="WMU841" s="802"/>
      <c r="WMV841" s="802"/>
      <c r="WMW841" s="802"/>
      <c r="WMX841" s="802"/>
      <c r="WMY841" s="802"/>
      <c r="WMZ841" s="802"/>
      <c r="WNA841" s="802"/>
      <c r="WNB841" s="802"/>
      <c r="WNC841" s="802"/>
      <c r="WND841" s="802"/>
      <c r="WNE841" s="802"/>
      <c r="WNF841" s="802"/>
      <c r="WNG841" s="802"/>
      <c r="WNH841" s="802"/>
      <c r="WNI841" s="802"/>
      <c r="WNJ841" s="802"/>
      <c r="WNK841" s="802"/>
      <c r="WNL841" s="802"/>
      <c r="WNM841" s="802"/>
      <c r="WNN841" s="802"/>
      <c r="WNO841" s="802"/>
      <c r="WNP841" s="802"/>
      <c r="WNQ841" s="802"/>
      <c r="WNR841" s="802"/>
      <c r="WNS841" s="802"/>
      <c r="WNT841" s="802"/>
      <c r="WNU841" s="802"/>
      <c r="WNV841" s="802"/>
      <c r="WNW841" s="802"/>
      <c r="WNX841" s="802"/>
      <c r="WNY841" s="802"/>
      <c r="WNZ841" s="802"/>
      <c r="WOA841" s="802"/>
      <c r="WOB841" s="802"/>
      <c r="WOC841" s="802"/>
      <c r="WOD841" s="802"/>
      <c r="WOE841" s="802"/>
      <c r="WOF841" s="802"/>
      <c r="WOG841" s="802"/>
      <c r="WOH841" s="802"/>
      <c r="WOI841" s="802"/>
      <c r="WOJ841" s="802"/>
      <c r="WOK841" s="802"/>
      <c r="WOL841" s="802"/>
      <c r="WOM841" s="802"/>
      <c r="WON841" s="802"/>
      <c r="WOO841" s="802"/>
      <c r="WOP841" s="802"/>
      <c r="WOQ841" s="802"/>
      <c r="WOR841" s="802"/>
      <c r="WOS841" s="802"/>
      <c r="WOT841" s="802"/>
      <c r="WOU841" s="802"/>
      <c r="WOV841" s="802"/>
      <c r="WOW841" s="802"/>
      <c r="WOX841" s="802"/>
      <c r="WOY841" s="802"/>
      <c r="WOZ841" s="802"/>
      <c r="WPA841" s="802"/>
      <c r="WPB841" s="802"/>
      <c r="WPC841" s="802"/>
      <c r="WPD841" s="802"/>
      <c r="WPE841" s="802"/>
      <c r="WPF841" s="802"/>
      <c r="WPG841" s="802"/>
      <c r="WPH841" s="802"/>
      <c r="WPI841" s="802"/>
      <c r="WPJ841" s="802"/>
      <c r="WPK841" s="802"/>
      <c r="WPL841" s="802"/>
      <c r="WPM841" s="802"/>
      <c r="WPN841" s="802"/>
      <c r="WPO841" s="802"/>
      <c r="WPP841" s="802"/>
      <c r="WPQ841" s="802"/>
      <c r="WPR841" s="802"/>
      <c r="WPS841" s="802"/>
      <c r="WPT841" s="802"/>
      <c r="WPU841" s="802"/>
      <c r="WPV841" s="802"/>
      <c r="WPW841" s="802"/>
      <c r="WPX841" s="802"/>
      <c r="WPY841" s="802"/>
      <c r="WPZ841" s="802"/>
      <c r="WQA841" s="802"/>
      <c r="WQB841" s="802"/>
      <c r="WQC841" s="802"/>
      <c r="WQD841" s="802"/>
      <c r="WQE841" s="802"/>
      <c r="WQF841" s="802"/>
      <c r="WQG841" s="802"/>
      <c r="WQH841" s="802"/>
      <c r="WQI841" s="802"/>
      <c r="WQJ841" s="802"/>
      <c r="WQK841" s="802"/>
      <c r="WQL841" s="802"/>
      <c r="WQM841" s="802"/>
      <c r="WQN841" s="802"/>
      <c r="WQO841" s="802"/>
      <c r="WQP841" s="802"/>
      <c r="WQQ841" s="802"/>
      <c r="WQR841" s="802"/>
      <c r="WQS841" s="802"/>
      <c r="WQT841" s="802"/>
      <c r="WQU841" s="802"/>
      <c r="WQV841" s="802"/>
      <c r="WQW841" s="802"/>
      <c r="WQX841" s="802"/>
      <c r="WQY841" s="802"/>
      <c r="WQZ841" s="802"/>
      <c r="WRA841" s="802"/>
      <c r="WRB841" s="802"/>
      <c r="WRC841" s="802"/>
      <c r="WRD841" s="802"/>
      <c r="WRE841" s="802"/>
      <c r="WRF841" s="802"/>
      <c r="WRG841" s="802"/>
      <c r="WRH841" s="802"/>
      <c r="WRI841" s="802"/>
      <c r="WRJ841" s="802"/>
      <c r="WRK841" s="802"/>
      <c r="WRL841" s="802"/>
      <c r="WRM841" s="802"/>
      <c r="WRN841" s="802"/>
      <c r="WRO841" s="802"/>
      <c r="WRP841" s="802"/>
      <c r="WRQ841" s="802"/>
      <c r="WRR841" s="802"/>
      <c r="WRS841" s="802"/>
      <c r="WRT841" s="802"/>
      <c r="WRU841" s="802"/>
      <c r="WRV841" s="802"/>
      <c r="WRW841" s="802"/>
      <c r="WRX841" s="802"/>
      <c r="WRY841" s="802"/>
      <c r="WRZ841" s="802"/>
      <c r="WSA841" s="802"/>
      <c r="WSB841" s="802"/>
      <c r="WSC841" s="802"/>
      <c r="WSD841" s="802"/>
      <c r="WSE841" s="802"/>
      <c r="WSF841" s="802"/>
      <c r="WSG841" s="802"/>
      <c r="WSH841" s="802"/>
      <c r="WSI841" s="802"/>
      <c r="WSJ841" s="802"/>
      <c r="WSK841" s="802"/>
      <c r="WSL841" s="802"/>
      <c r="WSM841" s="802"/>
      <c r="WSN841" s="802"/>
      <c r="WSO841" s="802"/>
      <c r="WSP841" s="802"/>
      <c r="WSQ841" s="802"/>
      <c r="WSR841" s="802"/>
      <c r="WSS841" s="802"/>
      <c r="WST841" s="802"/>
      <c r="WSU841" s="802"/>
      <c r="WSV841" s="802"/>
      <c r="WSW841" s="802"/>
      <c r="WSX841" s="802"/>
      <c r="WSY841" s="802"/>
      <c r="WSZ841" s="802"/>
      <c r="WTA841" s="802"/>
      <c r="WTB841" s="802"/>
      <c r="WTC841" s="802"/>
      <c r="WTD841" s="802"/>
      <c r="WTE841" s="802"/>
      <c r="WTF841" s="802"/>
      <c r="WTG841" s="802"/>
      <c r="WTH841" s="802"/>
      <c r="WTI841" s="802"/>
      <c r="WTJ841" s="802"/>
      <c r="WTK841" s="802"/>
      <c r="WTL841" s="802"/>
      <c r="WTM841" s="802"/>
      <c r="WTN841" s="802"/>
      <c r="WTO841" s="802"/>
      <c r="WTP841" s="802"/>
      <c r="WTQ841" s="802"/>
      <c r="WTR841" s="802"/>
      <c r="WTS841" s="802"/>
      <c r="WTT841" s="802"/>
      <c r="WTU841" s="802"/>
      <c r="WTV841" s="802"/>
      <c r="WTW841" s="802"/>
      <c r="WTX841" s="802"/>
      <c r="WTY841" s="802"/>
      <c r="WTZ841" s="802"/>
      <c r="WUA841" s="802"/>
      <c r="WUB841" s="802"/>
      <c r="WUC841" s="802"/>
      <c r="WUD841" s="802"/>
      <c r="WUE841" s="802"/>
      <c r="WUF841" s="802"/>
      <c r="WUG841" s="802"/>
      <c r="WUH841" s="802"/>
      <c r="WUI841" s="802"/>
      <c r="WUJ841" s="802"/>
      <c r="WUK841" s="802"/>
      <c r="WUL841" s="802"/>
      <c r="WUM841" s="802"/>
      <c r="WUN841" s="802"/>
      <c r="WUO841" s="802"/>
      <c r="WUP841" s="802"/>
      <c r="WUQ841" s="802"/>
      <c r="WUR841" s="802"/>
      <c r="WUS841" s="802"/>
      <c r="WUT841" s="802"/>
      <c r="WUU841" s="802"/>
      <c r="WUV841" s="802"/>
      <c r="WUW841" s="802"/>
      <c r="WUX841" s="802"/>
      <c r="WUY841" s="802"/>
      <c r="WUZ841" s="802"/>
      <c r="WVA841" s="802"/>
      <c r="WVB841" s="802"/>
      <c r="WVC841" s="802"/>
      <c r="WVD841" s="802"/>
      <c r="WVE841" s="802"/>
      <c r="WVF841" s="802"/>
      <c r="WVG841" s="802"/>
      <c r="WVH841" s="802"/>
      <c r="WVI841" s="802"/>
      <c r="WVJ841" s="802"/>
      <c r="WVK841" s="802"/>
      <c r="WVL841" s="802"/>
      <c r="WVM841" s="802"/>
      <c r="WVN841" s="802"/>
      <c r="WVO841" s="802"/>
      <c r="WVP841" s="802"/>
      <c r="WVQ841" s="802"/>
      <c r="WVR841" s="802"/>
    </row>
  </sheetData>
  <mergeCells count="9">
    <mergeCell ref="I10:I11"/>
    <mergeCell ref="C2:I2"/>
    <mergeCell ref="C3:I3"/>
    <mergeCell ref="C4:I4"/>
    <mergeCell ref="C5:I5"/>
    <mergeCell ref="C10:C11"/>
    <mergeCell ref="D10:D11"/>
    <mergeCell ref="E10:H10"/>
    <mergeCell ref="H7:I8"/>
  </mergeCells>
  <printOptions horizontalCentered="1"/>
  <pageMargins left="0.19685039370078741" right="0" top="0.55118110236220474" bottom="0.35433070866141736" header="0.31496062992125984" footer="0.31496062992125984"/>
  <pageSetup paperSize="258" scale="95" fitToHeight="0" orientation="landscape" r:id="rId1"/>
  <rowBreaks count="1" manualBreakCount="1">
    <brk id="827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817"/>
  <sheetViews>
    <sheetView view="pageBreakPreview" topLeftCell="A807" zoomScale="85" zoomScaleNormal="85" zoomScaleSheetLayoutView="85" workbookViewId="0">
      <selection activeCell="D807" sqref="D1:F1048576"/>
    </sheetView>
  </sheetViews>
  <sheetFormatPr defaultColWidth="8.85546875" defaultRowHeight="15"/>
  <cols>
    <col min="1" max="1" width="3.5703125" style="300" customWidth="1"/>
    <col min="2" max="2" width="8" style="617" customWidth="1"/>
    <col min="3" max="3" width="64.42578125" style="465" customWidth="1"/>
    <col min="4" max="4" width="18.85546875" style="618" customWidth="1"/>
    <col min="5" max="5" width="26.28515625" style="466" customWidth="1"/>
    <col min="6" max="6" width="10.42578125" style="619" customWidth="1"/>
    <col min="7" max="9" width="11.28515625" style="300" customWidth="1"/>
    <col min="10" max="10" width="9.7109375" style="300" customWidth="1"/>
    <col min="11" max="14" width="11.28515625" style="300" customWidth="1"/>
    <col min="15" max="15" width="9.140625" style="300" customWidth="1"/>
    <col min="16" max="16" width="3.42578125" style="300" customWidth="1"/>
    <col min="17" max="256" width="8.85546875" style="300"/>
    <col min="257" max="257" width="3.5703125" style="300" customWidth="1"/>
    <col min="258" max="258" width="8" style="300" customWidth="1"/>
    <col min="259" max="259" width="77.7109375" style="300" customWidth="1"/>
    <col min="260" max="260" width="23.28515625" style="300" customWidth="1"/>
    <col min="261" max="261" width="0" style="300" hidden="1" customWidth="1"/>
    <col min="262" max="262" width="10.42578125" style="300" customWidth="1"/>
    <col min="263" max="270" width="11.28515625" style="300" customWidth="1"/>
    <col min="271" max="271" width="16.5703125" style="300" customWidth="1"/>
    <col min="272" max="272" width="3.42578125" style="300" customWidth="1"/>
    <col min="273" max="512" width="8.85546875" style="300"/>
    <col min="513" max="513" width="3.5703125" style="300" customWidth="1"/>
    <col min="514" max="514" width="8" style="300" customWidth="1"/>
    <col min="515" max="515" width="77.7109375" style="300" customWidth="1"/>
    <col min="516" max="516" width="23.28515625" style="300" customWidth="1"/>
    <col min="517" max="517" width="0" style="300" hidden="1" customWidth="1"/>
    <col min="518" max="518" width="10.42578125" style="300" customWidth="1"/>
    <col min="519" max="526" width="11.28515625" style="300" customWidth="1"/>
    <col min="527" max="527" width="16.5703125" style="300" customWidth="1"/>
    <col min="528" max="528" width="3.42578125" style="300" customWidth="1"/>
    <col min="529" max="768" width="8.85546875" style="300"/>
    <col min="769" max="769" width="3.5703125" style="300" customWidth="1"/>
    <col min="770" max="770" width="8" style="300" customWidth="1"/>
    <col min="771" max="771" width="77.7109375" style="300" customWidth="1"/>
    <col min="772" max="772" width="23.28515625" style="300" customWidth="1"/>
    <col min="773" max="773" width="0" style="300" hidden="1" customWidth="1"/>
    <col min="774" max="774" width="10.42578125" style="300" customWidth="1"/>
    <col min="775" max="782" width="11.28515625" style="300" customWidth="1"/>
    <col min="783" max="783" width="16.5703125" style="300" customWidth="1"/>
    <col min="784" max="784" width="3.42578125" style="300" customWidth="1"/>
    <col min="785" max="1024" width="8.85546875" style="300"/>
    <col min="1025" max="1025" width="3.5703125" style="300" customWidth="1"/>
    <col min="1026" max="1026" width="8" style="300" customWidth="1"/>
    <col min="1027" max="1027" width="77.7109375" style="300" customWidth="1"/>
    <col min="1028" max="1028" width="23.28515625" style="300" customWidth="1"/>
    <col min="1029" max="1029" width="0" style="300" hidden="1" customWidth="1"/>
    <col min="1030" max="1030" width="10.42578125" style="300" customWidth="1"/>
    <col min="1031" max="1038" width="11.28515625" style="300" customWidth="1"/>
    <col min="1039" max="1039" width="16.5703125" style="300" customWidth="1"/>
    <col min="1040" max="1040" width="3.42578125" style="300" customWidth="1"/>
    <col min="1041" max="1280" width="8.85546875" style="300"/>
    <col min="1281" max="1281" width="3.5703125" style="300" customWidth="1"/>
    <col min="1282" max="1282" width="8" style="300" customWidth="1"/>
    <col min="1283" max="1283" width="77.7109375" style="300" customWidth="1"/>
    <col min="1284" max="1284" width="23.28515625" style="300" customWidth="1"/>
    <col min="1285" max="1285" width="0" style="300" hidden="1" customWidth="1"/>
    <col min="1286" max="1286" width="10.42578125" style="300" customWidth="1"/>
    <col min="1287" max="1294" width="11.28515625" style="300" customWidth="1"/>
    <col min="1295" max="1295" width="16.5703125" style="300" customWidth="1"/>
    <col min="1296" max="1296" width="3.42578125" style="300" customWidth="1"/>
    <col min="1297" max="1536" width="8.85546875" style="300"/>
    <col min="1537" max="1537" width="3.5703125" style="300" customWidth="1"/>
    <col min="1538" max="1538" width="8" style="300" customWidth="1"/>
    <col min="1539" max="1539" width="77.7109375" style="300" customWidth="1"/>
    <col min="1540" max="1540" width="23.28515625" style="300" customWidth="1"/>
    <col min="1541" max="1541" width="0" style="300" hidden="1" customWidth="1"/>
    <col min="1542" max="1542" width="10.42578125" style="300" customWidth="1"/>
    <col min="1543" max="1550" width="11.28515625" style="300" customWidth="1"/>
    <col min="1551" max="1551" width="16.5703125" style="300" customWidth="1"/>
    <col min="1552" max="1552" width="3.42578125" style="300" customWidth="1"/>
    <col min="1553" max="1792" width="8.85546875" style="300"/>
    <col min="1793" max="1793" width="3.5703125" style="300" customWidth="1"/>
    <col min="1794" max="1794" width="8" style="300" customWidth="1"/>
    <col min="1795" max="1795" width="77.7109375" style="300" customWidth="1"/>
    <col min="1796" max="1796" width="23.28515625" style="300" customWidth="1"/>
    <col min="1797" max="1797" width="0" style="300" hidden="1" customWidth="1"/>
    <col min="1798" max="1798" width="10.42578125" style="300" customWidth="1"/>
    <col min="1799" max="1806" width="11.28515625" style="300" customWidth="1"/>
    <col min="1807" max="1807" width="16.5703125" style="300" customWidth="1"/>
    <col min="1808" max="1808" width="3.42578125" style="300" customWidth="1"/>
    <col min="1809" max="2048" width="8.85546875" style="300"/>
    <col min="2049" max="2049" width="3.5703125" style="300" customWidth="1"/>
    <col min="2050" max="2050" width="8" style="300" customWidth="1"/>
    <col min="2051" max="2051" width="77.7109375" style="300" customWidth="1"/>
    <col min="2052" max="2052" width="23.28515625" style="300" customWidth="1"/>
    <col min="2053" max="2053" width="0" style="300" hidden="1" customWidth="1"/>
    <col min="2054" max="2054" width="10.42578125" style="300" customWidth="1"/>
    <col min="2055" max="2062" width="11.28515625" style="300" customWidth="1"/>
    <col min="2063" max="2063" width="16.5703125" style="300" customWidth="1"/>
    <col min="2064" max="2064" width="3.42578125" style="300" customWidth="1"/>
    <col min="2065" max="2304" width="8.85546875" style="300"/>
    <col min="2305" max="2305" width="3.5703125" style="300" customWidth="1"/>
    <col min="2306" max="2306" width="8" style="300" customWidth="1"/>
    <col min="2307" max="2307" width="77.7109375" style="300" customWidth="1"/>
    <col min="2308" max="2308" width="23.28515625" style="300" customWidth="1"/>
    <col min="2309" max="2309" width="0" style="300" hidden="1" customWidth="1"/>
    <col min="2310" max="2310" width="10.42578125" style="300" customWidth="1"/>
    <col min="2311" max="2318" width="11.28515625" style="300" customWidth="1"/>
    <col min="2319" max="2319" width="16.5703125" style="300" customWidth="1"/>
    <col min="2320" max="2320" width="3.42578125" style="300" customWidth="1"/>
    <col min="2321" max="2560" width="8.85546875" style="300"/>
    <col min="2561" max="2561" width="3.5703125" style="300" customWidth="1"/>
    <col min="2562" max="2562" width="8" style="300" customWidth="1"/>
    <col min="2563" max="2563" width="77.7109375" style="300" customWidth="1"/>
    <col min="2564" max="2564" width="23.28515625" style="300" customWidth="1"/>
    <col min="2565" max="2565" width="0" style="300" hidden="1" customWidth="1"/>
    <col min="2566" max="2566" width="10.42578125" style="300" customWidth="1"/>
    <col min="2567" max="2574" width="11.28515625" style="300" customWidth="1"/>
    <col min="2575" max="2575" width="16.5703125" style="300" customWidth="1"/>
    <col min="2576" max="2576" width="3.42578125" style="300" customWidth="1"/>
    <col min="2577" max="2816" width="8.85546875" style="300"/>
    <col min="2817" max="2817" width="3.5703125" style="300" customWidth="1"/>
    <col min="2818" max="2818" width="8" style="300" customWidth="1"/>
    <col min="2819" max="2819" width="77.7109375" style="300" customWidth="1"/>
    <col min="2820" max="2820" width="23.28515625" style="300" customWidth="1"/>
    <col min="2821" max="2821" width="0" style="300" hidden="1" customWidth="1"/>
    <col min="2822" max="2822" width="10.42578125" style="300" customWidth="1"/>
    <col min="2823" max="2830" width="11.28515625" style="300" customWidth="1"/>
    <col min="2831" max="2831" width="16.5703125" style="300" customWidth="1"/>
    <col min="2832" max="2832" width="3.42578125" style="300" customWidth="1"/>
    <col min="2833" max="3072" width="8.85546875" style="300"/>
    <col min="3073" max="3073" width="3.5703125" style="300" customWidth="1"/>
    <col min="3074" max="3074" width="8" style="300" customWidth="1"/>
    <col min="3075" max="3075" width="77.7109375" style="300" customWidth="1"/>
    <col min="3076" max="3076" width="23.28515625" style="300" customWidth="1"/>
    <col min="3077" max="3077" width="0" style="300" hidden="1" customWidth="1"/>
    <col min="3078" max="3078" width="10.42578125" style="300" customWidth="1"/>
    <col min="3079" max="3086" width="11.28515625" style="300" customWidth="1"/>
    <col min="3087" max="3087" width="16.5703125" style="300" customWidth="1"/>
    <col min="3088" max="3088" width="3.42578125" style="300" customWidth="1"/>
    <col min="3089" max="3328" width="8.85546875" style="300"/>
    <col min="3329" max="3329" width="3.5703125" style="300" customWidth="1"/>
    <col min="3330" max="3330" width="8" style="300" customWidth="1"/>
    <col min="3331" max="3331" width="77.7109375" style="300" customWidth="1"/>
    <col min="3332" max="3332" width="23.28515625" style="300" customWidth="1"/>
    <col min="3333" max="3333" width="0" style="300" hidden="1" customWidth="1"/>
    <col min="3334" max="3334" width="10.42578125" style="300" customWidth="1"/>
    <col min="3335" max="3342" width="11.28515625" style="300" customWidth="1"/>
    <col min="3343" max="3343" width="16.5703125" style="300" customWidth="1"/>
    <col min="3344" max="3344" width="3.42578125" style="300" customWidth="1"/>
    <col min="3345" max="3584" width="8.85546875" style="300"/>
    <col min="3585" max="3585" width="3.5703125" style="300" customWidth="1"/>
    <col min="3586" max="3586" width="8" style="300" customWidth="1"/>
    <col min="3587" max="3587" width="77.7109375" style="300" customWidth="1"/>
    <col min="3588" max="3588" width="23.28515625" style="300" customWidth="1"/>
    <col min="3589" max="3589" width="0" style="300" hidden="1" customWidth="1"/>
    <col min="3590" max="3590" width="10.42578125" style="300" customWidth="1"/>
    <col min="3591" max="3598" width="11.28515625" style="300" customWidth="1"/>
    <col min="3599" max="3599" width="16.5703125" style="300" customWidth="1"/>
    <col min="3600" max="3600" width="3.42578125" style="300" customWidth="1"/>
    <col min="3601" max="3840" width="8.85546875" style="300"/>
    <col min="3841" max="3841" width="3.5703125" style="300" customWidth="1"/>
    <col min="3842" max="3842" width="8" style="300" customWidth="1"/>
    <col min="3843" max="3843" width="77.7109375" style="300" customWidth="1"/>
    <col min="3844" max="3844" width="23.28515625" style="300" customWidth="1"/>
    <col min="3845" max="3845" width="0" style="300" hidden="1" customWidth="1"/>
    <col min="3846" max="3846" width="10.42578125" style="300" customWidth="1"/>
    <col min="3847" max="3854" width="11.28515625" style="300" customWidth="1"/>
    <col min="3855" max="3855" width="16.5703125" style="300" customWidth="1"/>
    <col min="3856" max="3856" width="3.42578125" style="300" customWidth="1"/>
    <col min="3857" max="4096" width="8.85546875" style="300"/>
    <col min="4097" max="4097" width="3.5703125" style="300" customWidth="1"/>
    <col min="4098" max="4098" width="8" style="300" customWidth="1"/>
    <col min="4099" max="4099" width="77.7109375" style="300" customWidth="1"/>
    <col min="4100" max="4100" width="23.28515625" style="300" customWidth="1"/>
    <col min="4101" max="4101" width="0" style="300" hidden="1" customWidth="1"/>
    <col min="4102" max="4102" width="10.42578125" style="300" customWidth="1"/>
    <col min="4103" max="4110" width="11.28515625" style="300" customWidth="1"/>
    <col min="4111" max="4111" width="16.5703125" style="300" customWidth="1"/>
    <col min="4112" max="4112" width="3.42578125" style="300" customWidth="1"/>
    <col min="4113" max="4352" width="8.85546875" style="300"/>
    <col min="4353" max="4353" width="3.5703125" style="300" customWidth="1"/>
    <col min="4354" max="4354" width="8" style="300" customWidth="1"/>
    <col min="4355" max="4355" width="77.7109375" style="300" customWidth="1"/>
    <col min="4356" max="4356" width="23.28515625" style="300" customWidth="1"/>
    <col min="4357" max="4357" width="0" style="300" hidden="1" customWidth="1"/>
    <col min="4358" max="4358" width="10.42578125" style="300" customWidth="1"/>
    <col min="4359" max="4366" width="11.28515625" style="300" customWidth="1"/>
    <col min="4367" max="4367" width="16.5703125" style="300" customWidth="1"/>
    <col min="4368" max="4368" width="3.42578125" style="300" customWidth="1"/>
    <col min="4369" max="4608" width="8.85546875" style="300"/>
    <col min="4609" max="4609" width="3.5703125" style="300" customWidth="1"/>
    <col min="4610" max="4610" width="8" style="300" customWidth="1"/>
    <col min="4611" max="4611" width="77.7109375" style="300" customWidth="1"/>
    <col min="4612" max="4612" width="23.28515625" style="300" customWidth="1"/>
    <col min="4613" max="4613" width="0" style="300" hidden="1" customWidth="1"/>
    <col min="4614" max="4614" width="10.42578125" style="300" customWidth="1"/>
    <col min="4615" max="4622" width="11.28515625" style="300" customWidth="1"/>
    <col min="4623" max="4623" width="16.5703125" style="300" customWidth="1"/>
    <col min="4624" max="4624" width="3.42578125" style="300" customWidth="1"/>
    <col min="4625" max="4864" width="8.85546875" style="300"/>
    <col min="4865" max="4865" width="3.5703125" style="300" customWidth="1"/>
    <col min="4866" max="4866" width="8" style="300" customWidth="1"/>
    <col min="4867" max="4867" width="77.7109375" style="300" customWidth="1"/>
    <col min="4868" max="4868" width="23.28515625" style="300" customWidth="1"/>
    <col min="4869" max="4869" width="0" style="300" hidden="1" customWidth="1"/>
    <col min="4870" max="4870" width="10.42578125" style="300" customWidth="1"/>
    <col min="4871" max="4878" width="11.28515625" style="300" customWidth="1"/>
    <col min="4879" max="4879" width="16.5703125" style="300" customWidth="1"/>
    <col min="4880" max="4880" width="3.42578125" style="300" customWidth="1"/>
    <col min="4881" max="5120" width="8.85546875" style="300"/>
    <col min="5121" max="5121" width="3.5703125" style="300" customWidth="1"/>
    <col min="5122" max="5122" width="8" style="300" customWidth="1"/>
    <col min="5123" max="5123" width="77.7109375" style="300" customWidth="1"/>
    <col min="5124" max="5124" width="23.28515625" style="300" customWidth="1"/>
    <col min="5125" max="5125" width="0" style="300" hidden="1" customWidth="1"/>
    <col min="5126" max="5126" width="10.42578125" style="300" customWidth="1"/>
    <col min="5127" max="5134" width="11.28515625" style="300" customWidth="1"/>
    <col min="5135" max="5135" width="16.5703125" style="300" customWidth="1"/>
    <col min="5136" max="5136" width="3.42578125" style="300" customWidth="1"/>
    <col min="5137" max="5376" width="8.85546875" style="300"/>
    <col min="5377" max="5377" width="3.5703125" style="300" customWidth="1"/>
    <col min="5378" max="5378" width="8" style="300" customWidth="1"/>
    <col min="5379" max="5379" width="77.7109375" style="300" customWidth="1"/>
    <col min="5380" max="5380" width="23.28515625" style="300" customWidth="1"/>
    <col min="5381" max="5381" width="0" style="300" hidden="1" customWidth="1"/>
    <col min="5382" max="5382" width="10.42578125" style="300" customWidth="1"/>
    <col min="5383" max="5390" width="11.28515625" style="300" customWidth="1"/>
    <col min="5391" max="5391" width="16.5703125" style="300" customWidth="1"/>
    <col min="5392" max="5392" width="3.42578125" style="300" customWidth="1"/>
    <col min="5393" max="5632" width="8.85546875" style="300"/>
    <col min="5633" max="5633" width="3.5703125" style="300" customWidth="1"/>
    <col min="5634" max="5634" width="8" style="300" customWidth="1"/>
    <col min="5635" max="5635" width="77.7109375" style="300" customWidth="1"/>
    <col min="5636" max="5636" width="23.28515625" style="300" customWidth="1"/>
    <col min="5637" max="5637" width="0" style="300" hidden="1" customWidth="1"/>
    <col min="5638" max="5638" width="10.42578125" style="300" customWidth="1"/>
    <col min="5639" max="5646" width="11.28515625" style="300" customWidth="1"/>
    <col min="5647" max="5647" width="16.5703125" style="300" customWidth="1"/>
    <col min="5648" max="5648" width="3.42578125" style="300" customWidth="1"/>
    <col min="5649" max="5888" width="8.85546875" style="300"/>
    <col min="5889" max="5889" width="3.5703125" style="300" customWidth="1"/>
    <col min="5890" max="5890" width="8" style="300" customWidth="1"/>
    <col min="5891" max="5891" width="77.7109375" style="300" customWidth="1"/>
    <col min="5892" max="5892" width="23.28515625" style="300" customWidth="1"/>
    <col min="5893" max="5893" width="0" style="300" hidden="1" customWidth="1"/>
    <col min="5894" max="5894" width="10.42578125" style="300" customWidth="1"/>
    <col min="5895" max="5902" width="11.28515625" style="300" customWidth="1"/>
    <col min="5903" max="5903" width="16.5703125" style="300" customWidth="1"/>
    <col min="5904" max="5904" width="3.42578125" style="300" customWidth="1"/>
    <col min="5905" max="6144" width="8.85546875" style="300"/>
    <col min="6145" max="6145" width="3.5703125" style="300" customWidth="1"/>
    <col min="6146" max="6146" width="8" style="300" customWidth="1"/>
    <col min="6147" max="6147" width="77.7109375" style="300" customWidth="1"/>
    <col min="6148" max="6148" width="23.28515625" style="300" customWidth="1"/>
    <col min="6149" max="6149" width="0" style="300" hidden="1" customWidth="1"/>
    <col min="6150" max="6150" width="10.42578125" style="300" customWidth="1"/>
    <col min="6151" max="6158" width="11.28515625" style="300" customWidth="1"/>
    <col min="6159" max="6159" width="16.5703125" style="300" customWidth="1"/>
    <col min="6160" max="6160" width="3.42578125" style="300" customWidth="1"/>
    <col min="6161" max="6400" width="8.85546875" style="300"/>
    <col min="6401" max="6401" width="3.5703125" style="300" customWidth="1"/>
    <col min="6402" max="6402" width="8" style="300" customWidth="1"/>
    <col min="6403" max="6403" width="77.7109375" style="300" customWidth="1"/>
    <col min="6404" max="6404" width="23.28515625" style="300" customWidth="1"/>
    <col min="6405" max="6405" width="0" style="300" hidden="1" customWidth="1"/>
    <col min="6406" max="6406" width="10.42578125" style="300" customWidth="1"/>
    <col min="6407" max="6414" width="11.28515625" style="300" customWidth="1"/>
    <col min="6415" max="6415" width="16.5703125" style="300" customWidth="1"/>
    <col min="6416" max="6416" width="3.42578125" style="300" customWidth="1"/>
    <col min="6417" max="6656" width="8.85546875" style="300"/>
    <col min="6657" max="6657" width="3.5703125" style="300" customWidth="1"/>
    <col min="6658" max="6658" width="8" style="300" customWidth="1"/>
    <col min="6659" max="6659" width="77.7109375" style="300" customWidth="1"/>
    <col min="6660" max="6660" width="23.28515625" style="300" customWidth="1"/>
    <col min="6661" max="6661" width="0" style="300" hidden="1" customWidth="1"/>
    <col min="6662" max="6662" width="10.42578125" style="300" customWidth="1"/>
    <col min="6663" max="6670" width="11.28515625" style="300" customWidth="1"/>
    <col min="6671" max="6671" width="16.5703125" style="300" customWidth="1"/>
    <col min="6672" max="6672" width="3.42578125" style="300" customWidth="1"/>
    <col min="6673" max="6912" width="8.85546875" style="300"/>
    <col min="6913" max="6913" width="3.5703125" style="300" customWidth="1"/>
    <col min="6914" max="6914" width="8" style="300" customWidth="1"/>
    <col min="6915" max="6915" width="77.7109375" style="300" customWidth="1"/>
    <col min="6916" max="6916" width="23.28515625" style="300" customWidth="1"/>
    <col min="6917" max="6917" width="0" style="300" hidden="1" customWidth="1"/>
    <col min="6918" max="6918" width="10.42578125" style="300" customWidth="1"/>
    <col min="6919" max="6926" width="11.28515625" style="300" customWidth="1"/>
    <col min="6927" max="6927" width="16.5703125" style="300" customWidth="1"/>
    <col min="6928" max="6928" width="3.42578125" style="300" customWidth="1"/>
    <col min="6929" max="7168" width="8.85546875" style="300"/>
    <col min="7169" max="7169" width="3.5703125" style="300" customWidth="1"/>
    <col min="7170" max="7170" width="8" style="300" customWidth="1"/>
    <col min="7171" max="7171" width="77.7109375" style="300" customWidth="1"/>
    <col min="7172" max="7172" width="23.28515625" style="300" customWidth="1"/>
    <col min="7173" max="7173" width="0" style="300" hidden="1" customWidth="1"/>
    <col min="7174" max="7174" width="10.42578125" style="300" customWidth="1"/>
    <col min="7175" max="7182" width="11.28515625" style="300" customWidth="1"/>
    <col min="7183" max="7183" width="16.5703125" style="300" customWidth="1"/>
    <col min="7184" max="7184" width="3.42578125" style="300" customWidth="1"/>
    <col min="7185" max="7424" width="8.85546875" style="300"/>
    <col min="7425" max="7425" width="3.5703125" style="300" customWidth="1"/>
    <col min="7426" max="7426" width="8" style="300" customWidth="1"/>
    <col min="7427" max="7427" width="77.7109375" style="300" customWidth="1"/>
    <col min="7428" max="7428" width="23.28515625" style="300" customWidth="1"/>
    <col min="7429" max="7429" width="0" style="300" hidden="1" customWidth="1"/>
    <col min="7430" max="7430" width="10.42578125" style="300" customWidth="1"/>
    <col min="7431" max="7438" width="11.28515625" style="300" customWidth="1"/>
    <col min="7439" max="7439" width="16.5703125" style="300" customWidth="1"/>
    <col min="7440" max="7440" width="3.42578125" style="300" customWidth="1"/>
    <col min="7441" max="7680" width="8.85546875" style="300"/>
    <col min="7681" max="7681" width="3.5703125" style="300" customWidth="1"/>
    <col min="7682" max="7682" width="8" style="300" customWidth="1"/>
    <col min="7683" max="7683" width="77.7109375" style="300" customWidth="1"/>
    <col min="7684" max="7684" width="23.28515625" style="300" customWidth="1"/>
    <col min="7685" max="7685" width="0" style="300" hidden="1" customWidth="1"/>
    <col min="7686" max="7686" width="10.42578125" style="300" customWidth="1"/>
    <col min="7687" max="7694" width="11.28515625" style="300" customWidth="1"/>
    <col min="7695" max="7695" width="16.5703125" style="300" customWidth="1"/>
    <col min="7696" max="7696" width="3.42578125" style="300" customWidth="1"/>
    <col min="7697" max="7936" width="8.85546875" style="300"/>
    <col min="7937" max="7937" width="3.5703125" style="300" customWidth="1"/>
    <col min="7938" max="7938" width="8" style="300" customWidth="1"/>
    <col min="7939" max="7939" width="77.7109375" style="300" customWidth="1"/>
    <col min="7940" max="7940" width="23.28515625" style="300" customWidth="1"/>
    <col min="7941" max="7941" width="0" style="300" hidden="1" customWidth="1"/>
    <col min="7942" max="7942" width="10.42578125" style="300" customWidth="1"/>
    <col min="7943" max="7950" width="11.28515625" style="300" customWidth="1"/>
    <col min="7951" max="7951" width="16.5703125" style="300" customWidth="1"/>
    <col min="7952" max="7952" width="3.42578125" style="300" customWidth="1"/>
    <col min="7953" max="8192" width="8.85546875" style="300"/>
    <col min="8193" max="8193" width="3.5703125" style="300" customWidth="1"/>
    <col min="8194" max="8194" width="8" style="300" customWidth="1"/>
    <col min="8195" max="8195" width="77.7109375" style="300" customWidth="1"/>
    <col min="8196" max="8196" width="23.28515625" style="300" customWidth="1"/>
    <col min="8197" max="8197" width="0" style="300" hidden="1" customWidth="1"/>
    <col min="8198" max="8198" width="10.42578125" style="300" customWidth="1"/>
    <col min="8199" max="8206" width="11.28515625" style="300" customWidth="1"/>
    <col min="8207" max="8207" width="16.5703125" style="300" customWidth="1"/>
    <col min="8208" max="8208" width="3.42578125" style="300" customWidth="1"/>
    <col min="8209" max="8448" width="8.85546875" style="300"/>
    <col min="8449" max="8449" width="3.5703125" style="300" customWidth="1"/>
    <col min="8450" max="8450" width="8" style="300" customWidth="1"/>
    <col min="8451" max="8451" width="77.7109375" style="300" customWidth="1"/>
    <col min="8452" max="8452" width="23.28515625" style="300" customWidth="1"/>
    <col min="8453" max="8453" width="0" style="300" hidden="1" customWidth="1"/>
    <col min="8454" max="8454" width="10.42578125" style="300" customWidth="1"/>
    <col min="8455" max="8462" width="11.28515625" style="300" customWidth="1"/>
    <col min="8463" max="8463" width="16.5703125" style="300" customWidth="1"/>
    <col min="8464" max="8464" width="3.42578125" style="300" customWidth="1"/>
    <col min="8465" max="8704" width="8.85546875" style="300"/>
    <col min="8705" max="8705" width="3.5703125" style="300" customWidth="1"/>
    <col min="8706" max="8706" width="8" style="300" customWidth="1"/>
    <col min="8707" max="8707" width="77.7109375" style="300" customWidth="1"/>
    <col min="8708" max="8708" width="23.28515625" style="300" customWidth="1"/>
    <col min="8709" max="8709" width="0" style="300" hidden="1" customWidth="1"/>
    <col min="8710" max="8710" width="10.42578125" style="300" customWidth="1"/>
    <col min="8711" max="8718" width="11.28515625" style="300" customWidth="1"/>
    <col min="8719" max="8719" width="16.5703125" style="300" customWidth="1"/>
    <col min="8720" max="8720" width="3.42578125" style="300" customWidth="1"/>
    <col min="8721" max="8960" width="8.85546875" style="300"/>
    <col min="8961" max="8961" width="3.5703125" style="300" customWidth="1"/>
    <col min="8962" max="8962" width="8" style="300" customWidth="1"/>
    <col min="8963" max="8963" width="77.7109375" style="300" customWidth="1"/>
    <col min="8964" max="8964" width="23.28515625" style="300" customWidth="1"/>
    <col min="8965" max="8965" width="0" style="300" hidden="1" customWidth="1"/>
    <col min="8966" max="8966" width="10.42578125" style="300" customWidth="1"/>
    <col min="8967" max="8974" width="11.28515625" style="300" customWidth="1"/>
    <col min="8975" max="8975" width="16.5703125" style="300" customWidth="1"/>
    <col min="8976" max="8976" width="3.42578125" style="300" customWidth="1"/>
    <col min="8977" max="9216" width="8.85546875" style="300"/>
    <col min="9217" max="9217" width="3.5703125" style="300" customWidth="1"/>
    <col min="9218" max="9218" width="8" style="300" customWidth="1"/>
    <col min="9219" max="9219" width="77.7109375" style="300" customWidth="1"/>
    <col min="9220" max="9220" width="23.28515625" style="300" customWidth="1"/>
    <col min="9221" max="9221" width="0" style="300" hidden="1" customWidth="1"/>
    <col min="9222" max="9222" width="10.42578125" style="300" customWidth="1"/>
    <col min="9223" max="9230" width="11.28515625" style="300" customWidth="1"/>
    <col min="9231" max="9231" width="16.5703125" style="300" customWidth="1"/>
    <col min="9232" max="9232" width="3.42578125" style="300" customWidth="1"/>
    <col min="9233" max="9472" width="8.85546875" style="300"/>
    <col min="9473" max="9473" width="3.5703125" style="300" customWidth="1"/>
    <col min="9474" max="9474" width="8" style="300" customWidth="1"/>
    <col min="9475" max="9475" width="77.7109375" style="300" customWidth="1"/>
    <col min="9476" max="9476" width="23.28515625" style="300" customWidth="1"/>
    <col min="9477" max="9477" width="0" style="300" hidden="1" customWidth="1"/>
    <col min="9478" max="9478" width="10.42578125" style="300" customWidth="1"/>
    <col min="9479" max="9486" width="11.28515625" style="300" customWidth="1"/>
    <col min="9487" max="9487" width="16.5703125" style="300" customWidth="1"/>
    <col min="9488" max="9488" width="3.42578125" style="300" customWidth="1"/>
    <col min="9489" max="9728" width="8.85546875" style="300"/>
    <col min="9729" max="9729" width="3.5703125" style="300" customWidth="1"/>
    <col min="9730" max="9730" width="8" style="300" customWidth="1"/>
    <col min="9731" max="9731" width="77.7109375" style="300" customWidth="1"/>
    <col min="9732" max="9732" width="23.28515625" style="300" customWidth="1"/>
    <col min="9733" max="9733" width="0" style="300" hidden="1" customWidth="1"/>
    <col min="9734" max="9734" width="10.42578125" style="300" customWidth="1"/>
    <col min="9735" max="9742" width="11.28515625" style="300" customWidth="1"/>
    <col min="9743" max="9743" width="16.5703125" style="300" customWidth="1"/>
    <col min="9744" max="9744" width="3.42578125" style="300" customWidth="1"/>
    <col min="9745" max="9984" width="8.85546875" style="300"/>
    <col min="9985" max="9985" width="3.5703125" style="300" customWidth="1"/>
    <col min="9986" max="9986" width="8" style="300" customWidth="1"/>
    <col min="9987" max="9987" width="77.7109375" style="300" customWidth="1"/>
    <col min="9988" max="9988" width="23.28515625" style="300" customWidth="1"/>
    <col min="9989" max="9989" width="0" style="300" hidden="1" customWidth="1"/>
    <col min="9990" max="9990" width="10.42578125" style="300" customWidth="1"/>
    <col min="9991" max="9998" width="11.28515625" style="300" customWidth="1"/>
    <col min="9999" max="9999" width="16.5703125" style="300" customWidth="1"/>
    <col min="10000" max="10000" width="3.42578125" style="300" customWidth="1"/>
    <col min="10001" max="10240" width="8.85546875" style="300"/>
    <col min="10241" max="10241" width="3.5703125" style="300" customWidth="1"/>
    <col min="10242" max="10242" width="8" style="300" customWidth="1"/>
    <col min="10243" max="10243" width="77.7109375" style="300" customWidth="1"/>
    <col min="10244" max="10244" width="23.28515625" style="300" customWidth="1"/>
    <col min="10245" max="10245" width="0" style="300" hidden="1" customWidth="1"/>
    <col min="10246" max="10246" width="10.42578125" style="300" customWidth="1"/>
    <col min="10247" max="10254" width="11.28515625" style="300" customWidth="1"/>
    <col min="10255" max="10255" width="16.5703125" style="300" customWidth="1"/>
    <col min="10256" max="10256" width="3.42578125" style="300" customWidth="1"/>
    <col min="10257" max="10496" width="8.85546875" style="300"/>
    <col min="10497" max="10497" width="3.5703125" style="300" customWidth="1"/>
    <col min="10498" max="10498" width="8" style="300" customWidth="1"/>
    <col min="10499" max="10499" width="77.7109375" style="300" customWidth="1"/>
    <col min="10500" max="10500" width="23.28515625" style="300" customWidth="1"/>
    <col min="10501" max="10501" width="0" style="300" hidden="1" customWidth="1"/>
    <col min="10502" max="10502" width="10.42578125" style="300" customWidth="1"/>
    <col min="10503" max="10510" width="11.28515625" style="300" customWidth="1"/>
    <col min="10511" max="10511" width="16.5703125" style="300" customWidth="1"/>
    <col min="10512" max="10512" width="3.42578125" style="300" customWidth="1"/>
    <col min="10513" max="10752" width="8.85546875" style="300"/>
    <col min="10753" max="10753" width="3.5703125" style="300" customWidth="1"/>
    <col min="10754" max="10754" width="8" style="300" customWidth="1"/>
    <col min="10755" max="10755" width="77.7109375" style="300" customWidth="1"/>
    <col min="10756" max="10756" width="23.28515625" style="300" customWidth="1"/>
    <col min="10757" max="10757" width="0" style="300" hidden="1" customWidth="1"/>
    <col min="10758" max="10758" width="10.42578125" style="300" customWidth="1"/>
    <col min="10759" max="10766" width="11.28515625" style="300" customWidth="1"/>
    <col min="10767" max="10767" width="16.5703125" style="300" customWidth="1"/>
    <col min="10768" max="10768" width="3.42578125" style="300" customWidth="1"/>
    <col min="10769" max="11008" width="8.85546875" style="300"/>
    <col min="11009" max="11009" width="3.5703125" style="300" customWidth="1"/>
    <col min="11010" max="11010" width="8" style="300" customWidth="1"/>
    <col min="11011" max="11011" width="77.7109375" style="300" customWidth="1"/>
    <col min="11012" max="11012" width="23.28515625" style="300" customWidth="1"/>
    <col min="11013" max="11013" width="0" style="300" hidden="1" customWidth="1"/>
    <col min="11014" max="11014" width="10.42578125" style="300" customWidth="1"/>
    <col min="11015" max="11022" width="11.28515625" style="300" customWidth="1"/>
    <col min="11023" max="11023" width="16.5703125" style="300" customWidth="1"/>
    <col min="11024" max="11024" width="3.42578125" style="300" customWidth="1"/>
    <col min="11025" max="11264" width="8.85546875" style="300"/>
    <col min="11265" max="11265" width="3.5703125" style="300" customWidth="1"/>
    <col min="11266" max="11266" width="8" style="300" customWidth="1"/>
    <col min="11267" max="11267" width="77.7109375" style="300" customWidth="1"/>
    <col min="11268" max="11268" width="23.28515625" style="300" customWidth="1"/>
    <col min="11269" max="11269" width="0" style="300" hidden="1" customWidth="1"/>
    <col min="11270" max="11270" width="10.42578125" style="300" customWidth="1"/>
    <col min="11271" max="11278" width="11.28515625" style="300" customWidth="1"/>
    <col min="11279" max="11279" width="16.5703125" style="300" customWidth="1"/>
    <col min="11280" max="11280" width="3.42578125" style="300" customWidth="1"/>
    <col min="11281" max="11520" width="8.85546875" style="300"/>
    <col min="11521" max="11521" width="3.5703125" style="300" customWidth="1"/>
    <col min="11522" max="11522" width="8" style="300" customWidth="1"/>
    <col min="11523" max="11523" width="77.7109375" style="300" customWidth="1"/>
    <col min="11524" max="11524" width="23.28515625" style="300" customWidth="1"/>
    <col min="11525" max="11525" width="0" style="300" hidden="1" customWidth="1"/>
    <col min="11526" max="11526" width="10.42578125" style="300" customWidth="1"/>
    <col min="11527" max="11534" width="11.28515625" style="300" customWidth="1"/>
    <col min="11535" max="11535" width="16.5703125" style="300" customWidth="1"/>
    <col min="11536" max="11536" width="3.42578125" style="300" customWidth="1"/>
    <col min="11537" max="11776" width="8.85546875" style="300"/>
    <col min="11777" max="11777" width="3.5703125" style="300" customWidth="1"/>
    <col min="11778" max="11778" width="8" style="300" customWidth="1"/>
    <col min="11779" max="11779" width="77.7109375" style="300" customWidth="1"/>
    <col min="11780" max="11780" width="23.28515625" style="300" customWidth="1"/>
    <col min="11781" max="11781" width="0" style="300" hidden="1" customWidth="1"/>
    <col min="11782" max="11782" width="10.42578125" style="300" customWidth="1"/>
    <col min="11783" max="11790" width="11.28515625" style="300" customWidth="1"/>
    <col min="11791" max="11791" width="16.5703125" style="300" customWidth="1"/>
    <col min="11792" max="11792" width="3.42578125" style="300" customWidth="1"/>
    <col min="11793" max="12032" width="8.85546875" style="300"/>
    <col min="12033" max="12033" width="3.5703125" style="300" customWidth="1"/>
    <col min="12034" max="12034" width="8" style="300" customWidth="1"/>
    <col min="12035" max="12035" width="77.7109375" style="300" customWidth="1"/>
    <col min="12036" max="12036" width="23.28515625" style="300" customWidth="1"/>
    <col min="12037" max="12037" width="0" style="300" hidden="1" customWidth="1"/>
    <col min="12038" max="12038" width="10.42578125" style="300" customWidth="1"/>
    <col min="12039" max="12046" width="11.28515625" style="300" customWidth="1"/>
    <col min="12047" max="12047" width="16.5703125" style="300" customWidth="1"/>
    <col min="12048" max="12048" width="3.42578125" style="300" customWidth="1"/>
    <col min="12049" max="12288" width="8.85546875" style="300"/>
    <col min="12289" max="12289" width="3.5703125" style="300" customWidth="1"/>
    <col min="12290" max="12290" width="8" style="300" customWidth="1"/>
    <col min="12291" max="12291" width="77.7109375" style="300" customWidth="1"/>
    <col min="12292" max="12292" width="23.28515625" style="300" customWidth="1"/>
    <col min="12293" max="12293" width="0" style="300" hidden="1" customWidth="1"/>
    <col min="12294" max="12294" width="10.42578125" style="300" customWidth="1"/>
    <col min="12295" max="12302" width="11.28515625" style="300" customWidth="1"/>
    <col min="12303" max="12303" width="16.5703125" style="300" customWidth="1"/>
    <col min="12304" max="12304" width="3.42578125" style="300" customWidth="1"/>
    <col min="12305" max="12544" width="8.85546875" style="300"/>
    <col min="12545" max="12545" width="3.5703125" style="300" customWidth="1"/>
    <col min="12546" max="12546" width="8" style="300" customWidth="1"/>
    <col min="12547" max="12547" width="77.7109375" style="300" customWidth="1"/>
    <col min="12548" max="12548" width="23.28515625" style="300" customWidth="1"/>
    <col min="12549" max="12549" width="0" style="300" hidden="1" customWidth="1"/>
    <col min="12550" max="12550" width="10.42578125" style="300" customWidth="1"/>
    <col min="12551" max="12558" width="11.28515625" style="300" customWidth="1"/>
    <col min="12559" max="12559" width="16.5703125" style="300" customWidth="1"/>
    <col min="12560" max="12560" width="3.42578125" style="300" customWidth="1"/>
    <col min="12561" max="12800" width="8.85546875" style="300"/>
    <col min="12801" max="12801" width="3.5703125" style="300" customWidth="1"/>
    <col min="12802" max="12802" width="8" style="300" customWidth="1"/>
    <col min="12803" max="12803" width="77.7109375" style="300" customWidth="1"/>
    <col min="12804" max="12804" width="23.28515625" style="300" customWidth="1"/>
    <col min="12805" max="12805" width="0" style="300" hidden="1" customWidth="1"/>
    <col min="12806" max="12806" width="10.42578125" style="300" customWidth="1"/>
    <col min="12807" max="12814" width="11.28515625" style="300" customWidth="1"/>
    <col min="12815" max="12815" width="16.5703125" style="300" customWidth="1"/>
    <col min="12816" max="12816" width="3.42578125" style="300" customWidth="1"/>
    <col min="12817" max="13056" width="8.85546875" style="300"/>
    <col min="13057" max="13057" width="3.5703125" style="300" customWidth="1"/>
    <col min="13058" max="13058" width="8" style="300" customWidth="1"/>
    <col min="13059" max="13059" width="77.7109375" style="300" customWidth="1"/>
    <col min="13060" max="13060" width="23.28515625" style="300" customWidth="1"/>
    <col min="13061" max="13061" width="0" style="300" hidden="1" customWidth="1"/>
    <col min="13062" max="13062" width="10.42578125" style="300" customWidth="1"/>
    <col min="13063" max="13070" width="11.28515625" style="300" customWidth="1"/>
    <col min="13071" max="13071" width="16.5703125" style="300" customWidth="1"/>
    <col min="13072" max="13072" width="3.42578125" style="300" customWidth="1"/>
    <col min="13073" max="13312" width="8.85546875" style="300"/>
    <col min="13313" max="13313" width="3.5703125" style="300" customWidth="1"/>
    <col min="13314" max="13314" width="8" style="300" customWidth="1"/>
    <col min="13315" max="13315" width="77.7109375" style="300" customWidth="1"/>
    <col min="13316" max="13316" width="23.28515625" style="300" customWidth="1"/>
    <col min="13317" max="13317" width="0" style="300" hidden="1" customWidth="1"/>
    <col min="13318" max="13318" width="10.42578125" style="300" customWidth="1"/>
    <col min="13319" max="13326" width="11.28515625" style="300" customWidth="1"/>
    <col min="13327" max="13327" width="16.5703125" style="300" customWidth="1"/>
    <col min="13328" max="13328" width="3.42578125" style="300" customWidth="1"/>
    <col min="13329" max="13568" width="8.85546875" style="300"/>
    <col min="13569" max="13569" width="3.5703125" style="300" customWidth="1"/>
    <col min="13570" max="13570" width="8" style="300" customWidth="1"/>
    <col min="13571" max="13571" width="77.7109375" style="300" customWidth="1"/>
    <col min="13572" max="13572" width="23.28515625" style="300" customWidth="1"/>
    <col min="13573" max="13573" width="0" style="300" hidden="1" customWidth="1"/>
    <col min="13574" max="13574" width="10.42578125" style="300" customWidth="1"/>
    <col min="13575" max="13582" width="11.28515625" style="300" customWidth="1"/>
    <col min="13583" max="13583" width="16.5703125" style="300" customWidth="1"/>
    <col min="13584" max="13584" width="3.42578125" style="300" customWidth="1"/>
    <col min="13585" max="13824" width="8.85546875" style="300"/>
    <col min="13825" max="13825" width="3.5703125" style="300" customWidth="1"/>
    <col min="13826" max="13826" width="8" style="300" customWidth="1"/>
    <col min="13827" max="13827" width="77.7109375" style="300" customWidth="1"/>
    <col min="13828" max="13828" width="23.28515625" style="300" customWidth="1"/>
    <col min="13829" max="13829" width="0" style="300" hidden="1" customWidth="1"/>
    <col min="13830" max="13830" width="10.42578125" style="300" customWidth="1"/>
    <col min="13831" max="13838" width="11.28515625" style="300" customWidth="1"/>
    <col min="13839" max="13839" width="16.5703125" style="300" customWidth="1"/>
    <col min="13840" max="13840" width="3.42578125" style="300" customWidth="1"/>
    <col min="13841" max="14080" width="8.85546875" style="300"/>
    <col min="14081" max="14081" width="3.5703125" style="300" customWidth="1"/>
    <col min="14082" max="14082" width="8" style="300" customWidth="1"/>
    <col min="14083" max="14083" width="77.7109375" style="300" customWidth="1"/>
    <col min="14084" max="14084" width="23.28515625" style="300" customWidth="1"/>
    <col min="14085" max="14085" width="0" style="300" hidden="1" customWidth="1"/>
    <col min="14086" max="14086" width="10.42578125" style="300" customWidth="1"/>
    <col min="14087" max="14094" width="11.28515625" style="300" customWidth="1"/>
    <col min="14095" max="14095" width="16.5703125" style="300" customWidth="1"/>
    <col min="14096" max="14096" width="3.42578125" style="300" customWidth="1"/>
    <col min="14097" max="14336" width="8.85546875" style="300"/>
    <col min="14337" max="14337" width="3.5703125" style="300" customWidth="1"/>
    <col min="14338" max="14338" width="8" style="300" customWidth="1"/>
    <col min="14339" max="14339" width="77.7109375" style="300" customWidth="1"/>
    <col min="14340" max="14340" width="23.28515625" style="300" customWidth="1"/>
    <col min="14341" max="14341" width="0" style="300" hidden="1" customWidth="1"/>
    <col min="14342" max="14342" width="10.42578125" style="300" customWidth="1"/>
    <col min="14343" max="14350" width="11.28515625" style="300" customWidth="1"/>
    <col min="14351" max="14351" width="16.5703125" style="300" customWidth="1"/>
    <col min="14352" max="14352" width="3.42578125" style="300" customWidth="1"/>
    <col min="14353" max="14592" width="8.85546875" style="300"/>
    <col min="14593" max="14593" width="3.5703125" style="300" customWidth="1"/>
    <col min="14594" max="14594" width="8" style="300" customWidth="1"/>
    <col min="14595" max="14595" width="77.7109375" style="300" customWidth="1"/>
    <col min="14596" max="14596" width="23.28515625" style="300" customWidth="1"/>
    <col min="14597" max="14597" width="0" style="300" hidden="1" customWidth="1"/>
    <col min="14598" max="14598" width="10.42578125" style="300" customWidth="1"/>
    <col min="14599" max="14606" width="11.28515625" style="300" customWidth="1"/>
    <col min="14607" max="14607" width="16.5703125" style="300" customWidth="1"/>
    <col min="14608" max="14608" width="3.42578125" style="300" customWidth="1"/>
    <col min="14609" max="14848" width="8.85546875" style="300"/>
    <col min="14849" max="14849" width="3.5703125" style="300" customWidth="1"/>
    <col min="14850" max="14850" width="8" style="300" customWidth="1"/>
    <col min="14851" max="14851" width="77.7109375" style="300" customWidth="1"/>
    <col min="14852" max="14852" width="23.28515625" style="300" customWidth="1"/>
    <col min="14853" max="14853" width="0" style="300" hidden="1" customWidth="1"/>
    <col min="14854" max="14854" width="10.42578125" style="300" customWidth="1"/>
    <col min="14855" max="14862" width="11.28515625" style="300" customWidth="1"/>
    <col min="14863" max="14863" width="16.5703125" style="300" customWidth="1"/>
    <col min="14864" max="14864" width="3.42578125" style="300" customWidth="1"/>
    <col min="14865" max="15104" width="8.85546875" style="300"/>
    <col min="15105" max="15105" width="3.5703125" style="300" customWidth="1"/>
    <col min="15106" max="15106" width="8" style="300" customWidth="1"/>
    <col min="15107" max="15107" width="77.7109375" style="300" customWidth="1"/>
    <col min="15108" max="15108" width="23.28515625" style="300" customWidth="1"/>
    <col min="15109" max="15109" width="0" style="300" hidden="1" customWidth="1"/>
    <col min="15110" max="15110" width="10.42578125" style="300" customWidth="1"/>
    <col min="15111" max="15118" width="11.28515625" style="300" customWidth="1"/>
    <col min="15119" max="15119" width="16.5703125" style="300" customWidth="1"/>
    <col min="15120" max="15120" width="3.42578125" style="300" customWidth="1"/>
    <col min="15121" max="15360" width="8.85546875" style="300"/>
    <col min="15361" max="15361" width="3.5703125" style="300" customWidth="1"/>
    <col min="15362" max="15362" width="8" style="300" customWidth="1"/>
    <col min="15363" max="15363" width="77.7109375" style="300" customWidth="1"/>
    <col min="15364" max="15364" width="23.28515625" style="300" customWidth="1"/>
    <col min="15365" max="15365" width="0" style="300" hidden="1" customWidth="1"/>
    <col min="15366" max="15366" width="10.42578125" style="300" customWidth="1"/>
    <col min="15367" max="15374" width="11.28515625" style="300" customWidth="1"/>
    <col min="15375" max="15375" width="16.5703125" style="300" customWidth="1"/>
    <col min="15376" max="15376" width="3.42578125" style="300" customWidth="1"/>
    <col min="15377" max="15616" width="8.85546875" style="300"/>
    <col min="15617" max="15617" width="3.5703125" style="300" customWidth="1"/>
    <col min="15618" max="15618" width="8" style="300" customWidth="1"/>
    <col min="15619" max="15619" width="77.7109375" style="300" customWidth="1"/>
    <col min="15620" max="15620" width="23.28515625" style="300" customWidth="1"/>
    <col min="15621" max="15621" width="0" style="300" hidden="1" customWidth="1"/>
    <col min="15622" max="15622" width="10.42578125" style="300" customWidth="1"/>
    <col min="15623" max="15630" width="11.28515625" style="300" customWidth="1"/>
    <col min="15631" max="15631" width="16.5703125" style="300" customWidth="1"/>
    <col min="15632" max="15632" width="3.42578125" style="300" customWidth="1"/>
    <col min="15633" max="15872" width="8.85546875" style="300"/>
    <col min="15873" max="15873" width="3.5703125" style="300" customWidth="1"/>
    <col min="15874" max="15874" width="8" style="300" customWidth="1"/>
    <col min="15875" max="15875" width="77.7109375" style="300" customWidth="1"/>
    <col min="15876" max="15876" width="23.28515625" style="300" customWidth="1"/>
    <col min="15877" max="15877" width="0" style="300" hidden="1" customWidth="1"/>
    <col min="15878" max="15878" width="10.42578125" style="300" customWidth="1"/>
    <col min="15879" max="15886" width="11.28515625" style="300" customWidth="1"/>
    <col min="15887" max="15887" width="16.5703125" style="300" customWidth="1"/>
    <col min="15888" max="15888" width="3.42578125" style="300" customWidth="1"/>
    <col min="15889" max="16128" width="8.85546875" style="300"/>
    <col min="16129" max="16129" width="3.5703125" style="300" customWidth="1"/>
    <col min="16130" max="16130" width="8" style="300" customWidth="1"/>
    <col min="16131" max="16131" width="77.7109375" style="300" customWidth="1"/>
    <col min="16132" max="16132" width="23.28515625" style="300" customWidth="1"/>
    <col min="16133" max="16133" width="0" style="300" hidden="1" customWidth="1"/>
    <col min="16134" max="16134" width="10.42578125" style="300" customWidth="1"/>
    <col min="16135" max="16142" width="11.28515625" style="300" customWidth="1"/>
    <col min="16143" max="16143" width="16.5703125" style="300" customWidth="1"/>
    <col min="16144" max="16144" width="3.42578125" style="300" customWidth="1"/>
    <col min="16145" max="16384" width="8.85546875" style="300"/>
  </cols>
  <sheetData>
    <row r="1" spans="1:17">
      <c r="A1" s="282"/>
      <c r="B1" s="468"/>
      <c r="C1" s="469"/>
      <c r="D1" s="470"/>
      <c r="E1" s="470"/>
      <c r="F1" s="291"/>
      <c r="G1" s="282"/>
      <c r="H1" s="282"/>
      <c r="I1" s="282"/>
      <c r="J1" s="282"/>
      <c r="K1" s="282"/>
      <c r="L1" s="282"/>
      <c r="M1" s="1762"/>
      <c r="N1" s="1762"/>
      <c r="O1" s="1762"/>
      <c r="P1" s="282"/>
      <c r="Q1" s="282"/>
    </row>
    <row r="2" spans="1:17">
      <c r="A2" s="282"/>
      <c r="B2" s="1763"/>
      <c r="C2" s="1763"/>
      <c r="D2" s="1763"/>
      <c r="E2" s="1763"/>
      <c r="F2" s="1763"/>
      <c r="G2" s="1763"/>
      <c r="H2" s="1763"/>
      <c r="I2" s="1763"/>
      <c r="J2" s="1763"/>
      <c r="K2" s="1763"/>
      <c r="L2" s="1763"/>
      <c r="M2" s="1763"/>
      <c r="N2" s="1763"/>
      <c r="O2" s="1763"/>
      <c r="P2" s="282"/>
      <c r="Q2" s="282"/>
    </row>
    <row r="3" spans="1:17" ht="15" customHeight="1">
      <c r="A3" s="282"/>
      <c r="B3" s="1746" t="s">
        <v>2589</v>
      </c>
      <c r="C3" s="1746"/>
      <c r="D3" s="1746"/>
      <c r="E3" s="1746"/>
      <c r="F3" s="1746"/>
      <c r="G3" s="1746"/>
      <c r="H3" s="1746"/>
      <c r="I3" s="1746"/>
      <c r="J3" s="1746"/>
      <c r="K3" s="1746"/>
      <c r="L3" s="1746"/>
      <c r="M3" s="1746"/>
      <c r="N3" s="1746"/>
      <c r="O3" s="1746"/>
      <c r="P3" s="282"/>
      <c r="Q3" s="282"/>
    </row>
    <row r="4" spans="1:17" s="465" customFormat="1" ht="21.75" customHeight="1">
      <c r="A4" s="279"/>
      <c r="B4" s="1746" t="s">
        <v>2551</v>
      </c>
      <c r="C4" s="1746"/>
      <c r="D4" s="1746"/>
      <c r="E4" s="1746"/>
      <c r="F4" s="1746"/>
      <c r="G4" s="1746"/>
      <c r="H4" s="1746"/>
      <c r="I4" s="1746"/>
      <c r="J4" s="1746"/>
      <c r="K4" s="1746"/>
      <c r="L4" s="1746"/>
      <c r="M4" s="1746"/>
      <c r="N4" s="1746"/>
      <c r="O4" s="1746"/>
      <c r="P4" s="279"/>
      <c r="Q4" s="279"/>
    </row>
    <row r="5" spans="1:17" ht="15" customHeight="1">
      <c r="A5" s="282"/>
      <c r="B5" s="1746" t="s">
        <v>79</v>
      </c>
      <c r="C5" s="1746"/>
      <c r="D5" s="1746"/>
      <c r="E5" s="1746"/>
      <c r="F5" s="1746"/>
      <c r="G5" s="1746"/>
      <c r="H5" s="1746"/>
      <c r="I5" s="1746"/>
      <c r="J5" s="1746"/>
      <c r="K5" s="1746"/>
      <c r="L5" s="1746"/>
      <c r="M5" s="1746"/>
      <c r="N5" s="1746"/>
      <c r="O5" s="1746"/>
      <c r="P5" s="282"/>
      <c r="Q5" s="282"/>
    </row>
    <row r="6" spans="1:17" ht="15" customHeight="1">
      <c r="A6" s="282"/>
      <c r="B6" s="285"/>
      <c r="C6" s="286"/>
      <c r="D6" s="471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2"/>
      <c r="Q6" s="282"/>
    </row>
    <row r="7" spans="1:17" ht="15" customHeight="1">
      <c r="A7" s="282"/>
      <c r="B7" s="472" t="s">
        <v>3</v>
      </c>
      <c r="C7" s="473"/>
      <c r="D7" s="290"/>
      <c r="E7" s="290"/>
      <c r="F7" s="474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</row>
    <row r="8" spans="1:17" ht="15" customHeight="1">
      <c r="A8" s="282"/>
      <c r="B8" s="1764" t="s">
        <v>4</v>
      </c>
      <c r="C8" s="1764"/>
      <c r="D8" s="290"/>
      <c r="E8" s="292"/>
      <c r="F8" s="475"/>
      <c r="G8" s="1745"/>
      <c r="H8" s="1745"/>
      <c r="I8" s="1745"/>
      <c r="J8" s="1745"/>
      <c r="K8" s="1745"/>
      <c r="L8" s="294"/>
      <c r="M8" s="282"/>
      <c r="N8" s="1765" t="s">
        <v>2590</v>
      </c>
      <c r="O8" s="1765"/>
      <c r="P8" s="282"/>
      <c r="Q8" s="282"/>
    </row>
    <row r="9" spans="1:17" ht="12.95" customHeight="1">
      <c r="A9" s="282"/>
      <c r="B9" s="476"/>
      <c r="C9" s="477"/>
      <c r="D9" s="290"/>
      <c r="E9" s="290"/>
      <c r="F9" s="474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</row>
    <row r="10" spans="1:17" ht="34.5" customHeight="1">
      <c r="A10" s="282"/>
      <c r="B10" s="1747" t="s">
        <v>6</v>
      </c>
      <c r="C10" s="1749" t="s">
        <v>7</v>
      </c>
      <c r="D10" s="1767" t="s">
        <v>8</v>
      </c>
      <c r="E10" s="1767"/>
      <c r="F10" s="1767"/>
      <c r="G10" s="1754" t="s">
        <v>9</v>
      </c>
      <c r="H10" s="1754"/>
      <c r="I10" s="1754"/>
      <c r="J10" s="1754"/>
      <c r="K10" s="1754" t="s">
        <v>10</v>
      </c>
      <c r="L10" s="1754"/>
      <c r="M10" s="1754"/>
      <c r="N10" s="1754"/>
      <c r="O10" s="1741" t="s">
        <v>11</v>
      </c>
    </row>
    <row r="11" spans="1:17" ht="110.25" customHeight="1" thickBot="1">
      <c r="A11" s="282"/>
      <c r="B11" s="1766"/>
      <c r="C11" s="1750"/>
      <c r="D11" s="478" t="s">
        <v>2553</v>
      </c>
      <c r="E11" s="478"/>
      <c r="F11" s="479" t="s">
        <v>2554</v>
      </c>
      <c r="G11" s="479" t="s">
        <v>14</v>
      </c>
      <c r="H11" s="479" t="s">
        <v>87</v>
      </c>
      <c r="I11" s="479" t="s">
        <v>2555</v>
      </c>
      <c r="J11" s="479" t="s">
        <v>2556</v>
      </c>
      <c r="K11" s="479" t="s">
        <v>14</v>
      </c>
      <c r="L11" s="479" t="s">
        <v>2557</v>
      </c>
      <c r="M11" s="479" t="s">
        <v>2558</v>
      </c>
      <c r="N11" s="479" t="s">
        <v>2559</v>
      </c>
      <c r="O11" s="1761"/>
    </row>
    <row r="12" spans="1:17" ht="20.100000000000001" customHeight="1" thickTop="1" thickBot="1">
      <c r="A12" s="282"/>
      <c r="B12" s="480" t="s">
        <v>18</v>
      </c>
      <c r="C12" s="481" t="s">
        <v>19</v>
      </c>
      <c r="D12" s="482" t="s">
        <v>20</v>
      </c>
      <c r="E12" s="483"/>
      <c r="F12" s="484" t="s">
        <v>21</v>
      </c>
      <c r="G12" s="485" t="s">
        <v>22</v>
      </c>
      <c r="H12" s="485" t="s">
        <v>23</v>
      </c>
      <c r="I12" s="485" t="s">
        <v>24</v>
      </c>
      <c r="J12" s="485" t="s">
        <v>25</v>
      </c>
      <c r="K12" s="485" t="s">
        <v>26</v>
      </c>
      <c r="L12" s="485" t="s">
        <v>27</v>
      </c>
      <c r="M12" s="485" t="s">
        <v>28</v>
      </c>
      <c r="N12" s="485" t="s">
        <v>90</v>
      </c>
      <c r="O12" s="485" t="s">
        <v>91</v>
      </c>
    </row>
    <row r="13" spans="1:17" ht="12" customHeight="1" thickTop="1">
      <c r="A13" s="282"/>
      <c r="B13" s="486"/>
      <c r="C13" s="487"/>
      <c r="D13" s="488"/>
      <c r="E13" s="489"/>
      <c r="F13" s="490"/>
      <c r="G13" s="491"/>
      <c r="H13" s="491"/>
      <c r="I13" s="491"/>
      <c r="J13" s="491"/>
      <c r="K13" s="491"/>
      <c r="L13" s="491"/>
      <c r="M13" s="491"/>
      <c r="N13" s="491"/>
      <c r="O13" s="491"/>
    </row>
    <row r="14" spans="1:17" s="314" customFormat="1" ht="21" customHeight="1">
      <c r="A14" s="492"/>
      <c r="B14" s="260" t="s">
        <v>92</v>
      </c>
      <c r="C14" s="150" t="s">
        <v>93</v>
      </c>
      <c r="D14" s="216">
        <f>D15+D92</f>
        <v>78479999993</v>
      </c>
      <c r="E14" s="120">
        <v>389351314600</v>
      </c>
      <c r="F14" s="120">
        <f>+D14/E14*100</f>
        <v>20.156603316885267</v>
      </c>
      <c r="G14" s="120"/>
      <c r="H14" s="120"/>
      <c r="I14" s="121"/>
      <c r="J14" s="121"/>
      <c r="K14" s="121"/>
      <c r="L14" s="121"/>
      <c r="M14" s="121"/>
      <c r="N14" s="121"/>
      <c r="O14" s="121"/>
    </row>
    <row r="15" spans="1:17" ht="21" customHeight="1">
      <c r="A15" s="282"/>
      <c r="B15" s="260"/>
      <c r="C15" s="123" t="s">
        <v>161</v>
      </c>
      <c r="D15" s="493">
        <f>D16+D27+D31+D33+D40+D44+D46+D50+D64+D66+D69+D73+D75+D89+D94+D97+D99</f>
        <v>77869999993</v>
      </c>
      <c r="E15" s="113">
        <v>78479999993</v>
      </c>
      <c r="F15" s="114">
        <f t="shared" ref="F15:F78" si="0">+D15/E15*100</f>
        <v>99.222731906148823</v>
      </c>
      <c r="G15" s="115"/>
      <c r="H15" s="115"/>
      <c r="I15" s="116"/>
      <c r="J15" s="116"/>
      <c r="K15" s="116"/>
      <c r="L15" s="116"/>
      <c r="M15" s="116"/>
      <c r="N15" s="116"/>
      <c r="O15" s="116"/>
    </row>
    <row r="16" spans="1:17" ht="21" customHeight="1">
      <c r="A16" s="282"/>
      <c r="B16" s="260"/>
      <c r="C16" s="123" t="s">
        <v>162</v>
      </c>
      <c r="D16" s="493">
        <f>D17+D18+D19+D20+D21+D22+D23+D24+D25+D26</f>
        <v>7071610255</v>
      </c>
      <c r="E16" s="113">
        <v>78479999993</v>
      </c>
      <c r="F16" s="114">
        <f t="shared" si="0"/>
        <v>9.0107164317415265</v>
      </c>
      <c r="G16" s="115"/>
      <c r="H16" s="115"/>
      <c r="I16" s="116"/>
      <c r="J16" s="116"/>
      <c r="K16" s="116"/>
      <c r="L16" s="116"/>
      <c r="M16" s="116"/>
      <c r="N16" s="116"/>
      <c r="O16" s="116"/>
    </row>
    <row r="17" spans="1:15" ht="21" customHeight="1">
      <c r="A17" s="282"/>
      <c r="B17" s="260"/>
      <c r="C17" s="123" t="s">
        <v>163</v>
      </c>
      <c r="D17" s="493">
        <v>675605600</v>
      </c>
      <c r="E17" s="113">
        <v>78479999993</v>
      </c>
      <c r="F17" s="114">
        <f t="shared" si="0"/>
        <v>0.86086340476587719</v>
      </c>
      <c r="G17" s="115"/>
      <c r="H17" s="115"/>
      <c r="I17" s="116"/>
      <c r="J17" s="116"/>
      <c r="K17" s="116"/>
      <c r="L17" s="116"/>
      <c r="M17" s="116"/>
      <c r="N17" s="116"/>
      <c r="O17" s="116"/>
    </row>
    <row r="18" spans="1:15" ht="35.1" customHeight="1">
      <c r="A18" s="282"/>
      <c r="B18" s="260"/>
      <c r="C18" s="123" t="s">
        <v>164</v>
      </c>
      <c r="D18" s="493">
        <v>163050000</v>
      </c>
      <c r="E18" s="113">
        <v>78479999993</v>
      </c>
      <c r="F18" s="114">
        <f t="shared" si="0"/>
        <v>0.20775993885645158</v>
      </c>
      <c r="G18" s="115"/>
      <c r="H18" s="115"/>
      <c r="I18" s="116"/>
      <c r="J18" s="116"/>
      <c r="K18" s="116"/>
      <c r="L18" s="116"/>
      <c r="M18" s="116"/>
      <c r="N18" s="116"/>
      <c r="O18" s="116"/>
    </row>
    <row r="19" spans="1:15" ht="35.1" customHeight="1">
      <c r="A19" s="282"/>
      <c r="B19" s="260"/>
      <c r="C19" s="123" t="s">
        <v>165</v>
      </c>
      <c r="D19" s="493">
        <v>335900000</v>
      </c>
      <c r="E19" s="113">
        <v>78479999993</v>
      </c>
      <c r="F19" s="114">
        <f t="shared" si="0"/>
        <v>0.42800713561411885</v>
      </c>
      <c r="G19" s="115"/>
      <c r="H19" s="115"/>
      <c r="I19" s="116"/>
      <c r="J19" s="116"/>
      <c r="K19" s="116"/>
      <c r="L19" s="116"/>
      <c r="M19" s="116"/>
      <c r="N19" s="116"/>
      <c r="O19" s="116"/>
    </row>
    <row r="20" spans="1:15" ht="21" customHeight="1">
      <c r="A20" s="282"/>
      <c r="B20" s="260"/>
      <c r="C20" s="123" t="s">
        <v>166</v>
      </c>
      <c r="D20" s="493">
        <v>2769364563</v>
      </c>
      <c r="E20" s="113">
        <v>78479999993</v>
      </c>
      <c r="F20" s="114">
        <f t="shared" si="0"/>
        <v>3.5287519919049606</v>
      </c>
      <c r="G20" s="115"/>
      <c r="H20" s="115"/>
      <c r="I20" s="116"/>
      <c r="J20" s="116"/>
      <c r="K20" s="116"/>
      <c r="L20" s="116"/>
      <c r="M20" s="116"/>
      <c r="N20" s="116"/>
      <c r="O20" s="116"/>
    </row>
    <row r="21" spans="1:15" ht="21" customHeight="1">
      <c r="A21" s="282"/>
      <c r="B21" s="260"/>
      <c r="C21" s="123" t="s">
        <v>167</v>
      </c>
      <c r="D21" s="493">
        <v>371077787</v>
      </c>
      <c r="E21" s="113">
        <v>78479999993</v>
      </c>
      <c r="F21" s="114">
        <f t="shared" si="0"/>
        <v>0.47283102323279586</v>
      </c>
      <c r="G21" s="115"/>
      <c r="H21" s="115"/>
      <c r="I21" s="116"/>
      <c r="J21" s="116"/>
      <c r="K21" s="116"/>
      <c r="L21" s="116"/>
      <c r="M21" s="116"/>
      <c r="N21" s="116"/>
      <c r="O21" s="116"/>
    </row>
    <row r="22" spans="1:15" ht="21" customHeight="1">
      <c r="A22" s="282"/>
      <c r="B22" s="260"/>
      <c r="C22" s="123" t="s">
        <v>168</v>
      </c>
      <c r="D22" s="493">
        <v>380710750</v>
      </c>
      <c r="E22" s="113">
        <v>78479999993</v>
      </c>
      <c r="F22" s="114">
        <f t="shared" si="0"/>
        <v>0.4851054409199253</v>
      </c>
      <c r="G22" s="115"/>
      <c r="H22" s="115"/>
      <c r="I22" s="116"/>
      <c r="J22" s="116"/>
      <c r="K22" s="116"/>
      <c r="L22" s="116"/>
      <c r="M22" s="116"/>
      <c r="N22" s="116"/>
      <c r="O22" s="116"/>
    </row>
    <row r="23" spans="1:15" ht="21" customHeight="1">
      <c r="A23" s="282"/>
      <c r="B23" s="260"/>
      <c r="C23" s="123" t="s">
        <v>169</v>
      </c>
      <c r="D23" s="493">
        <v>297652250</v>
      </c>
      <c r="E23" s="113">
        <v>78479999993</v>
      </c>
      <c r="F23" s="114">
        <f t="shared" si="0"/>
        <v>0.37927147047215726</v>
      </c>
      <c r="G23" s="115"/>
      <c r="H23" s="115"/>
      <c r="I23" s="116"/>
      <c r="J23" s="116"/>
      <c r="K23" s="116"/>
      <c r="L23" s="116"/>
      <c r="M23" s="116"/>
      <c r="N23" s="116"/>
      <c r="O23" s="116"/>
    </row>
    <row r="24" spans="1:15" ht="21" customHeight="1">
      <c r="A24" s="282"/>
      <c r="B24" s="260"/>
      <c r="C24" s="123" t="s">
        <v>170</v>
      </c>
      <c r="D24" s="493">
        <v>91997950</v>
      </c>
      <c r="E24" s="113">
        <v>78479999993</v>
      </c>
      <c r="F24" s="114">
        <f t="shared" si="0"/>
        <v>0.11722470694215817</v>
      </c>
      <c r="G24" s="115"/>
      <c r="H24" s="115"/>
      <c r="I24" s="116"/>
      <c r="J24" s="116"/>
      <c r="K24" s="116"/>
      <c r="L24" s="116"/>
      <c r="M24" s="116"/>
      <c r="N24" s="116"/>
      <c r="O24" s="116"/>
    </row>
    <row r="25" spans="1:15" ht="21" customHeight="1">
      <c r="A25" s="282"/>
      <c r="B25" s="260"/>
      <c r="C25" s="123" t="s">
        <v>171</v>
      </c>
      <c r="D25" s="493">
        <v>132300000</v>
      </c>
      <c r="E25" s="113">
        <v>78479999993</v>
      </c>
      <c r="F25" s="114">
        <f t="shared" si="0"/>
        <v>0.16857798166641241</v>
      </c>
      <c r="G25" s="115"/>
      <c r="H25" s="115"/>
      <c r="I25" s="116"/>
      <c r="J25" s="116"/>
      <c r="K25" s="116"/>
      <c r="L25" s="116"/>
      <c r="M25" s="116"/>
      <c r="N25" s="116"/>
      <c r="O25" s="116"/>
    </row>
    <row r="26" spans="1:15" ht="35.1" customHeight="1">
      <c r="A26" s="282"/>
      <c r="B26" s="260"/>
      <c r="C26" s="123" t="s">
        <v>172</v>
      </c>
      <c r="D26" s="493">
        <v>1853951355</v>
      </c>
      <c r="E26" s="113">
        <v>78479999993</v>
      </c>
      <c r="F26" s="114">
        <f t="shared" si="0"/>
        <v>2.3623233373666697</v>
      </c>
      <c r="G26" s="115"/>
      <c r="H26" s="115"/>
      <c r="I26" s="116"/>
      <c r="J26" s="116"/>
      <c r="K26" s="116"/>
      <c r="L26" s="116"/>
      <c r="M26" s="116"/>
      <c r="N26" s="116"/>
      <c r="O26" s="116"/>
    </row>
    <row r="27" spans="1:15" ht="21" customHeight="1">
      <c r="A27" s="282"/>
      <c r="B27" s="260"/>
      <c r="C27" s="123" t="s">
        <v>173</v>
      </c>
      <c r="D27" s="493">
        <f>D28+D29+D30</f>
        <v>850000000</v>
      </c>
      <c r="E27" s="113">
        <v>78479999993</v>
      </c>
      <c r="F27" s="114">
        <f t="shared" si="0"/>
        <v>1.0830784914319769</v>
      </c>
      <c r="G27" s="115"/>
      <c r="H27" s="115"/>
      <c r="I27" s="116"/>
      <c r="J27" s="116"/>
      <c r="K27" s="116"/>
      <c r="L27" s="116"/>
      <c r="M27" s="116"/>
      <c r="N27" s="116"/>
      <c r="O27" s="116"/>
    </row>
    <row r="28" spans="1:15" ht="21" customHeight="1">
      <c r="A28" s="282"/>
      <c r="B28" s="260"/>
      <c r="C28" s="123" t="s">
        <v>174</v>
      </c>
      <c r="D28" s="493">
        <v>338853500</v>
      </c>
      <c r="E28" s="113">
        <v>78479999993</v>
      </c>
      <c r="F28" s="114">
        <f t="shared" si="0"/>
        <v>0.43177051481934753</v>
      </c>
      <c r="G28" s="115"/>
      <c r="H28" s="115"/>
      <c r="I28" s="116"/>
      <c r="J28" s="116"/>
      <c r="K28" s="116"/>
      <c r="L28" s="116"/>
      <c r="M28" s="116"/>
      <c r="N28" s="116"/>
      <c r="O28" s="116"/>
    </row>
    <row r="29" spans="1:15" ht="21" customHeight="1">
      <c r="A29" s="282"/>
      <c r="B29" s="260"/>
      <c r="C29" s="123" t="s">
        <v>175</v>
      </c>
      <c r="D29" s="493">
        <v>283580000</v>
      </c>
      <c r="E29" s="113">
        <v>78479999993</v>
      </c>
      <c r="F29" s="114">
        <f t="shared" si="0"/>
        <v>0.3613404689415059</v>
      </c>
      <c r="G29" s="115"/>
      <c r="H29" s="115"/>
      <c r="I29" s="116"/>
      <c r="J29" s="116"/>
      <c r="K29" s="116"/>
      <c r="L29" s="116"/>
      <c r="M29" s="116"/>
      <c r="N29" s="116"/>
      <c r="O29" s="116"/>
    </row>
    <row r="30" spans="1:15" ht="21" customHeight="1">
      <c r="A30" s="282"/>
      <c r="B30" s="260"/>
      <c r="C30" s="123" t="s">
        <v>176</v>
      </c>
      <c r="D30" s="493">
        <v>227566500</v>
      </c>
      <c r="E30" s="113">
        <v>78479999993</v>
      </c>
      <c r="F30" s="114">
        <f t="shared" si="0"/>
        <v>0.2899675076711235</v>
      </c>
      <c r="G30" s="115"/>
      <c r="H30" s="115"/>
      <c r="I30" s="116"/>
      <c r="J30" s="116"/>
      <c r="K30" s="116"/>
      <c r="L30" s="116"/>
      <c r="M30" s="116"/>
      <c r="N30" s="116"/>
      <c r="O30" s="116"/>
    </row>
    <row r="31" spans="1:15" ht="21" customHeight="1">
      <c r="A31" s="282"/>
      <c r="B31" s="260"/>
      <c r="C31" s="123" t="s">
        <v>177</v>
      </c>
      <c r="D31" s="493">
        <f>D32</f>
        <v>69200000</v>
      </c>
      <c r="E31" s="113">
        <v>78479999993</v>
      </c>
      <c r="F31" s="114">
        <f t="shared" si="0"/>
        <v>8.817533130246212E-2</v>
      </c>
      <c r="G31" s="115"/>
      <c r="H31" s="115"/>
      <c r="I31" s="116"/>
      <c r="J31" s="116"/>
      <c r="K31" s="116"/>
      <c r="L31" s="116"/>
      <c r="M31" s="116"/>
      <c r="N31" s="116"/>
      <c r="O31" s="116"/>
    </row>
    <row r="32" spans="1:15" ht="21" customHeight="1">
      <c r="A32" s="282"/>
      <c r="B32" s="260"/>
      <c r="C32" s="123" t="s">
        <v>178</v>
      </c>
      <c r="D32" s="493">
        <v>69200000</v>
      </c>
      <c r="E32" s="113">
        <v>78479999993</v>
      </c>
      <c r="F32" s="114">
        <f t="shared" si="0"/>
        <v>8.817533130246212E-2</v>
      </c>
      <c r="G32" s="115"/>
      <c r="H32" s="115"/>
      <c r="I32" s="116"/>
      <c r="J32" s="116"/>
      <c r="K32" s="116"/>
      <c r="L32" s="116"/>
      <c r="M32" s="116"/>
      <c r="N32" s="116"/>
      <c r="O32" s="116"/>
    </row>
    <row r="33" spans="1:15" ht="21" customHeight="1">
      <c r="A33" s="282"/>
      <c r="B33" s="260"/>
      <c r="C33" s="123" t="s">
        <v>179</v>
      </c>
      <c r="D33" s="493">
        <f>D34+D35+D36+D37+D38+D39</f>
        <v>1629127650</v>
      </c>
      <c r="E33" s="113">
        <v>78479999993</v>
      </c>
      <c r="F33" s="114">
        <f t="shared" si="0"/>
        <v>2.0758507264848491</v>
      </c>
      <c r="G33" s="115"/>
      <c r="H33" s="115"/>
      <c r="I33" s="116"/>
      <c r="J33" s="116"/>
      <c r="K33" s="116"/>
      <c r="L33" s="116"/>
      <c r="M33" s="116"/>
      <c r="N33" s="116"/>
      <c r="O33" s="116"/>
    </row>
    <row r="34" spans="1:15" ht="21" customHeight="1">
      <c r="A34" s="282"/>
      <c r="B34" s="260"/>
      <c r="C34" s="123" t="s">
        <v>180</v>
      </c>
      <c r="D34" s="493">
        <v>118050000</v>
      </c>
      <c r="E34" s="113">
        <v>78479999993</v>
      </c>
      <c r="F34" s="114">
        <f t="shared" si="0"/>
        <v>0.15042048931005278</v>
      </c>
      <c r="G34" s="115"/>
      <c r="H34" s="115"/>
      <c r="I34" s="116"/>
      <c r="J34" s="116"/>
      <c r="K34" s="116"/>
      <c r="L34" s="116"/>
      <c r="M34" s="116"/>
      <c r="N34" s="116"/>
      <c r="O34" s="116"/>
    </row>
    <row r="35" spans="1:15" ht="21" customHeight="1">
      <c r="A35" s="282"/>
      <c r="B35" s="260"/>
      <c r="C35" s="123" t="s">
        <v>181</v>
      </c>
      <c r="D35" s="493">
        <v>75600000</v>
      </c>
      <c r="E35" s="113">
        <v>78479999993</v>
      </c>
      <c r="F35" s="114">
        <f t="shared" si="0"/>
        <v>9.6330275237949944E-2</v>
      </c>
      <c r="G35" s="115"/>
      <c r="H35" s="115"/>
      <c r="I35" s="116"/>
      <c r="J35" s="116"/>
      <c r="K35" s="116"/>
      <c r="L35" s="116"/>
      <c r="M35" s="116"/>
      <c r="N35" s="116"/>
      <c r="O35" s="116"/>
    </row>
    <row r="36" spans="1:15" ht="21" customHeight="1">
      <c r="A36" s="282"/>
      <c r="B36" s="260"/>
      <c r="C36" s="123" t="s">
        <v>182</v>
      </c>
      <c r="D36" s="493">
        <v>378432500</v>
      </c>
      <c r="E36" s="113">
        <v>78479999993</v>
      </c>
      <c r="F36" s="114">
        <f t="shared" si="0"/>
        <v>0.48220247201039013</v>
      </c>
      <c r="G36" s="115"/>
      <c r="H36" s="115"/>
      <c r="I36" s="116"/>
      <c r="J36" s="116"/>
      <c r="K36" s="116"/>
      <c r="L36" s="116"/>
      <c r="M36" s="116"/>
      <c r="N36" s="116"/>
      <c r="O36" s="116"/>
    </row>
    <row r="37" spans="1:15" ht="21" customHeight="1">
      <c r="A37" s="282"/>
      <c r="B37" s="260"/>
      <c r="C37" s="123" t="s">
        <v>183</v>
      </c>
      <c r="D37" s="493">
        <v>261000000</v>
      </c>
      <c r="E37" s="113">
        <v>78479999993</v>
      </c>
      <c r="F37" s="114">
        <f t="shared" si="0"/>
        <v>0.33256880736911287</v>
      </c>
      <c r="G37" s="115"/>
      <c r="H37" s="115"/>
      <c r="I37" s="116"/>
      <c r="J37" s="116"/>
      <c r="K37" s="116"/>
      <c r="L37" s="116"/>
      <c r="M37" s="116"/>
      <c r="N37" s="116"/>
      <c r="O37" s="116"/>
    </row>
    <row r="38" spans="1:15" ht="21" customHeight="1">
      <c r="A38" s="282"/>
      <c r="B38" s="260"/>
      <c r="C38" s="123" t="s">
        <v>184</v>
      </c>
      <c r="D38" s="493">
        <v>396376850</v>
      </c>
      <c r="E38" s="113">
        <v>78479999993</v>
      </c>
      <c r="F38" s="114">
        <f t="shared" si="0"/>
        <v>0.50506734204301063</v>
      </c>
      <c r="G38" s="115"/>
      <c r="H38" s="115"/>
      <c r="I38" s="116"/>
      <c r="J38" s="116"/>
      <c r="K38" s="116"/>
      <c r="L38" s="116"/>
      <c r="M38" s="116"/>
      <c r="N38" s="116"/>
      <c r="O38" s="116"/>
    </row>
    <row r="39" spans="1:15" ht="21" customHeight="1">
      <c r="A39" s="282"/>
      <c r="B39" s="260"/>
      <c r="C39" s="123" t="s">
        <v>185</v>
      </c>
      <c r="D39" s="493">
        <v>399668300</v>
      </c>
      <c r="E39" s="113">
        <v>78479999993</v>
      </c>
      <c r="F39" s="114">
        <f t="shared" si="0"/>
        <v>0.50926134051433269</v>
      </c>
      <c r="G39" s="115"/>
      <c r="H39" s="115"/>
      <c r="I39" s="116"/>
      <c r="J39" s="116"/>
      <c r="K39" s="116"/>
      <c r="L39" s="116"/>
      <c r="M39" s="116"/>
      <c r="N39" s="116"/>
      <c r="O39" s="116"/>
    </row>
    <row r="40" spans="1:15" ht="21" customHeight="1">
      <c r="A40" s="282"/>
      <c r="B40" s="260"/>
      <c r="C40" s="123" t="s">
        <v>186</v>
      </c>
      <c r="D40" s="493">
        <f>D41+D42+D43</f>
        <v>1490000000</v>
      </c>
      <c r="E40" s="113">
        <v>78479999993</v>
      </c>
      <c r="F40" s="114">
        <f t="shared" si="0"/>
        <v>1.8985728849807597</v>
      </c>
      <c r="G40" s="115"/>
      <c r="H40" s="115"/>
      <c r="I40" s="116"/>
      <c r="J40" s="116"/>
      <c r="K40" s="116"/>
      <c r="L40" s="116"/>
      <c r="M40" s="116"/>
      <c r="N40" s="116"/>
      <c r="O40" s="116"/>
    </row>
    <row r="41" spans="1:15" ht="21" customHeight="1">
      <c r="A41" s="282"/>
      <c r="B41" s="260"/>
      <c r="C41" s="123" t="s">
        <v>187</v>
      </c>
      <c r="D41" s="493">
        <v>1300000000</v>
      </c>
      <c r="E41" s="113">
        <v>78479999993</v>
      </c>
      <c r="F41" s="114">
        <f t="shared" si="0"/>
        <v>1.6564729868959647</v>
      </c>
      <c r="G41" s="115"/>
      <c r="H41" s="115"/>
      <c r="I41" s="116"/>
      <c r="J41" s="116"/>
      <c r="K41" s="116"/>
      <c r="L41" s="116"/>
      <c r="M41" s="116"/>
      <c r="N41" s="116"/>
      <c r="O41" s="116"/>
    </row>
    <row r="42" spans="1:15" ht="21" customHeight="1">
      <c r="A42" s="282"/>
      <c r="B42" s="260"/>
      <c r="C42" s="123" t="s">
        <v>188</v>
      </c>
      <c r="D42" s="493">
        <v>90000000</v>
      </c>
      <c r="E42" s="113">
        <v>78479999993</v>
      </c>
      <c r="F42" s="114">
        <f t="shared" si="0"/>
        <v>0.11467889909279756</v>
      </c>
      <c r="G42" s="115"/>
      <c r="H42" s="115"/>
      <c r="I42" s="116"/>
      <c r="J42" s="116"/>
      <c r="K42" s="116"/>
      <c r="L42" s="116"/>
      <c r="M42" s="116"/>
      <c r="N42" s="116"/>
      <c r="O42" s="116"/>
    </row>
    <row r="43" spans="1:15" ht="30.75" customHeight="1">
      <c r="A43" s="282"/>
      <c r="B43" s="260"/>
      <c r="C43" s="123" t="s">
        <v>189</v>
      </c>
      <c r="D43" s="493">
        <v>100000000</v>
      </c>
      <c r="E43" s="113">
        <v>78479999993</v>
      </c>
      <c r="F43" s="114">
        <f t="shared" si="0"/>
        <v>0.1274209989919973</v>
      </c>
      <c r="G43" s="115"/>
      <c r="H43" s="115"/>
      <c r="I43" s="116"/>
      <c r="J43" s="116"/>
      <c r="K43" s="116"/>
      <c r="L43" s="116"/>
      <c r="M43" s="116"/>
      <c r="N43" s="116"/>
      <c r="O43" s="116"/>
    </row>
    <row r="44" spans="1:15" ht="21" customHeight="1">
      <c r="A44" s="282"/>
      <c r="B44" s="260"/>
      <c r="C44" s="123" t="s">
        <v>190</v>
      </c>
      <c r="D44" s="493">
        <f>D45</f>
        <v>669236735</v>
      </c>
      <c r="E44" s="113">
        <v>78479999993</v>
      </c>
      <c r="F44" s="114">
        <f t="shared" si="0"/>
        <v>0.85274813335842559</v>
      </c>
      <c r="G44" s="115"/>
      <c r="H44" s="115"/>
      <c r="I44" s="116"/>
      <c r="J44" s="116"/>
      <c r="K44" s="116"/>
      <c r="L44" s="116"/>
      <c r="M44" s="116"/>
      <c r="N44" s="116"/>
      <c r="O44" s="116"/>
    </row>
    <row r="45" spans="1:15" ht="21" customHeight="1">
      <c r="A45" s="282"/>
      <c r="B45" s="260"/>
      <c r="C45" s="123" t="s">
        <v>191</v>
      </c>
      <c r="D45" s="493">
        <v>669236735</v>
      </c>
      <c r="E45" s="113">
        <v>78479999993</v>
      </c>
      <c r="F45" s="114">
        <f t="shared" si="0"/>
        <v>0.85274813335842559</v>
      </c>
      <c r="G45" s="115"/>
      <c r="H45" s="115"/>
      <c r="I45" s="116"/>
      <c r="J45" s="116"/>
      <c r="K45" s="116"/>
      <c r="L45" s="116"/>
      <c r="M45" s="116"/>
      <c r="N45" s="116"/>
      <c r="O45" s="116"/>
    </row>
    <row r="46" spans="1:15" ht="21" customHeight="1">
      <c r="A46" s="282"/>
      <c r="B46" s="260"/>
      <c r="C46" s="123" t="s">
        <v>192</v>
      </c>
      <c r="D46" s="493">
        <f>D47+D48+D49</f>
        <v>1069552535</v>
      </c>
      <c r="E46" s="113">
        <v>78479999993</v>
      </c>
      <c r="F46" s="114">
        <f t="shared" si="0"/>
        <v>1.3628345248412312</v>
      </c>
      <c r="G46" s="115"/>
      <c r="H46" s="115"/>
      <c r="I46" s="116"/>
      <c r="J46" s="116"/>
      <c r="K46" s="116"/>
      <c r="L46" s="116"/>
      <c r="M46" s="116"/>
      <c r="N46" s="116"/>
      <c r="O46" s="116"/>
    </row>
    <row r="47" spans="1:15" ht="35.1" customHeight="1">
      <c r="A47" s="282"/>
      <c r="B47" s="260"/>
      <c r="C47" s="123" t="s">
        <v>193</v>
      </c>
      <c r="D47" s="493">
        <v>511289890</v>
      </c>
      <c r="E47" s="113">
        <v>78479999993</v>
      </c>
      <c r="F47" s="114">
        <f t="shared" si="0"/>
        <v>0.65149068558308398</v>
      </c>
      <c r="G47" s="115"/>
      <c r="H47" s="115"/>
      <c r="I47" s="116"/>
      <c r="J47" s="116"/>
      <c r="K47" s="116"/>
      <c r="L47" s="116"/>
      <c r="M47" s="116"/>
      <c r="N47" s="116"/>
      <c r="O47" s="116"/>
    </row>
    <row r="48" spans="1:15" ht="21" customHeight="1">
      <c r="A48" s="282"/>
      <c r="B48" s="260"/>
      <c r="C48" s="123" t="s">
        <v>194</v>
      </c>
      <c r="D48" s="493">
        <v>148599445</v>
      </c>
      <c r="E48" s="113">
        <v>78479999993</v>
      </c>
      <c r="F48" s="114">
        <f t="shared" si="0"/>
        <v>0.18934689731556356</v>
      </c>
      <c r="G48" s="115"/>
      <c r="H48" s="115"/>
      <c r="I48" s="116"/>
      <c r="J48" s="116"/>
      <c r="K48" s="116"/>
      <c r="L48" s="116"/>
      <c r="M48" s="116"/>
      <c r="N48" s="116"/>
      <c r="O48" s="116"/>
    </row>
    <row r="49" spans="1:15" ht="21" customHeight="1">
      <c r="A49" s="282"/>
      <c r="B49" s="260"/>
      <c r="C49" s="123" t="s">
        <v>195</v>
      </c>
      <c r="D49" s="493">
        <v>409663200</v>
      </c>
      <c r="E49" s="113">
        <v>78479999993</v>
      </c>
      <c r="F49" s="114">
        <f t="shared" si="0"/>
        <v>0.52199694194258384</v>
      </c>
      <c r="G49" s="115"/>
      <c r="H49" s="115"/>
      <c r="I49" s="116"/>
      <c r="J49" s="116"/>
      <c r="K49" s="116"/>
      <c r="L49" s="116"/>
      <c r="M49" s="116"/>
      <c r="N49" s="116"/>
      <c r="O49" s="116"/>
    </row>
    <row r="50" spans="1:15" ht="21" customHeight="1">
      <c r="A50" s="282"/>
      <c r="B50" s="260"/>
      <c r="C50" s="123" t="s">
        <v>196</v>
      </c>
      <c r="D50" s="493">
        <f>D51+D52+D53+D54+D55+D56+D57+D58+D59+D60+D61+D62+D63</f>
        <v>6085733495</v>
      </c>
      <c r="E50" s="113">
        <v>78479999993</v>
      </c>
      <c r="F50" s="114">
        <f t="shared" si="0"/>
        <v>7.7545024153195916</v>
      </c>
      <c r="G50" s="115"/>
      <c r="H50" s="115"/>
      <c r="I50" s="116"/>
      <c r="J50" s="116"/>
      <c r="K50" s="116"/>
      <c r="L50" s="116"/>
      <c r="M50" s="116"/>
      <c r="N50" s="116"/>
      <c r="O50" s="116"/>
    </row>
    <row r="51" spans="1:15" ht="21" customHeight="1">
      <c r="A51" s="282"/>
      <c r="B51" s="260"/>
      <c r="C51" s="123" t="s">
        <v>197</v>
      </c>
      <c r="D51" s="493">
        <v>602400000</v>
      </c>
      <c r="E51" s="113">
        <v>78479999993</v>
      </c>
      <c r="F51" s="114">
        <f t="shared" si="0"/>
        <v>0.76758409792779159</v>
      </c>
      <c r="G51" s="115"/>
      <c r="H51" s="115"/>
      <c r="I51" s="116"/>
      <c r="J51" s="116"/>
      <c r="K51" s="116"/>
      <c r="L51" s="116"/>
      <c r="M51" s="116"/>
      <c r="N51" s="116"/>
      <c r="O51" s="116"/>
    </row>
    <row r="52" spans="1:15" ht="21" customHeight="1">
      <c r="A52" s="282"/>
      <c r="B52" s="260"/>
      <c r="C52" s="123" t="s">
        <v>198</v>
      </c>
      <c r="D52" s="493">
        <v>235700000</v>
      </c>
      <c r="E52" s="113">
        <v>78479999993</v>
      </c>
      <c r="F52" s="114">
        <f t="shared" si="0"/>
        <v>0.3003312946241376</v>
      </c>
      <c r="G52" s="115"/>
      <c r="H52" s="115"/>
      <c r="I52" s="116"/>
      <c r="J52" s="116"/>
      <c r="K52" s="116"/>
      <c r="L52" s="116"/>
      <c r="M52" s="116"/>
      <c r="N52" s="116"/>
      <c r="O52" s="116"/>
    </row>
    <row r="53" spans="1:15" ht="21" customHeight="1">
      <c r="A53" s="282"/>
      <c r="B53" s="260"/>
      <c r="C53" s="123" t="s">
        <v>199</v>
      </c>
      <c r="D53" s="493">
        <v>1735300000</v>
      </c>
      <c r="E53" s="113">
        <v>78479999993</v>
      </c>
      <c r="F53" s="114">
        <f t="shared" si="0"/>
        <v>2.2111365955081288</v>
      </c>
      <c r="G53" s="115"/>
      <c r="H53" s="115"/>
      <c r="I53" s="116"/>
      <c r="J53" s="116"/>
      <c r="K53" s="116"/>
      <c r="L53" s="116"/>
      <c r="M53" s="116"/>
      <c r="N53" s="116"/>
      <c r="O53" s="116"/>
    </row>
    <row r="54" spans="1:15" ht="21" customHeight="1">
      <c r="A54" s="282"/>
      <c r="B54" s="260"/>
      <c r="C54" s="123" t="s">
        <v>200</v>
      </c>
      <c r="D54" s="493">
        <v>252050000</v>
      </c>
      <c r="E54" s="113">
        <v>78479999993</v>
      </c>
      <c r="F54" s="114">
        <f t="shared" si="0"/>
        <v>0.32116462795932915</v>
      </c>
      <c r="G54" s="115"/>
      <c r="H54" s="115"/>
      <c r="I54" s="116"/>
      <c r="J54" s="116"/>
      <c r="K54" s="116"/>
      <c r="L54" s="116"/>
      <c r="M54" s="116"/>
      <c r="N54" s="116"/>
      <c r="O54" s="116"/>
    </row>
    <row r="55" spans="1:15" ht="21" customHeight="1">
      <c r="A55" s="282"/>
      <c r="B55" s="260"/>
      <c r="C55" s="123" t="s">
        <v>201</v>
      </c>
      <c r="D55" s="493">
        <v>256540000</v>
      </c>
      <c r="E55" s="113">
        <v>78479999993</v>
      </c>
      <c r="F55" s="114">
        <f t="shared" si="0"/>
        <v>0.3268858308140698</v>
      </c>
      <c r="G55" s="115"/>
      <c r="H55" s="115"/>
      <c r="I55" s="116"/>
      <c r="J55" s="116"/>
      <c r="K55" s="116"/>
      <c r="L55" s="116"/>
      <c r="M55" s="116"/>
      <c r="N55" s="116"/>
      <c r="O55" s="116"/>
    </row>
    <row r="56" spans="1:15" ht="21" customHeight="1">
      <c r="A56" s="282"/>
      <c r="B56" s="260"/>
      <c r="C56" s="123" t="s">
        <v>202</v>
      </c>
      <c r="D56" s="493">
        <v>518377735</v>
      </c>
      <c r="E56" s="113">
        <v>78479999993</v>
      </c>
      <c r="F56" s="114">
        <f t="shared" si="0"/>
        <v>0.66052208848908833</v>
      </c>
      <c r="G56" s="115"/>
      <c r="H56" s="115"/>
      <c r="I56" s="116"/>
      <c r="J56" s="116"/>
      <c r="K56" s="116"/>
      <c r="L56" s="116"/>
      <c r="M56" s="116"/>
      <c r="N56" s="116"/>
      <c r="O56" s="116"/>
    </row>
    <row r="57" spans="1:15" ht="21" customHeight="1">
      <c r="A57" s="282"/>
      <c r="B57" s="260"/>
      <c r="C57" s="123" t="s">
        <v>203</v>
      </c>
      <c r="D57" s="493">
        <v>160585000</v>
      </c>
      <c r="E57" s="113">
        <v>78479999993</v>
      </c>
      <c r="F57" s="114">
        <f t="shared" si="0"/>
        <v>0.20461901123129886</v>
      </c>
      <c r="G57" s="115"/>
      <c r="H57" s="115"/>
      <c r="I57" s="116"/>
      <c r="J57" s="116"/>
      <c r="K57" s="116"/>
      <c r="L57" s="116"/>
      <c r="M57" s="116"/>
      <c r="N57" s="116"/>
      <c r="O57" s="116"/>
    </row>
    <row r="58" spans="1:15" ht="21" customHeight="1">
      <c r="A58" s="282"/>
      <c r="B58" s="260"/>
      <c r="C58" s="123" t="s">
        <v>204</v>
      </c>
      <c r="D58" s="493">
        <v>468020000</v>
      </c>
      <c r="E58" s="113">
        <v>78479999993</v>
      </c>
      <c r="F58" s="114">
        <f t="shared" si="0"/>
        <v>0.59635575948234576</v>
      </c>
      <c r="G58" s="115"/>
      <c r="H58" s="115"/>
      <c r="I58" s="116"/>
      <c r="J58" s="116"/>
      <c r="K58" s="116"/>
      <c r="L58" s="116"/>
      <c r="M58" s="116"/>
      <c r="N58" s="116"/>
      <c r="O58" s="116"/>
    </row>
    <row r="59" spans="1:15" ht="21" customHeight="1">
      <c r="A59" s="282"/>
      <c r="B59" s="260"/>
      <c r="C59" s="123" t="s">
        <v>205</v>
      </c>
      <c r="D59" s="493">
        <v>709600000</v>
      </c>
      <c r="E59" s="113">
        <v>78479999993</v>
      </c>
      <c r="F59" s="114">
        <f t="shared" si="0"/>
        <v>0.90417940884721282</v>
      </c>
      <c r="G59" s="115"/>
      <c r="H59" s="115"/>
      <c r="I59" s="116"/>
      <c r="J59" s="116"/>
      <c r="K59" s="116"/>
      <c r="L59" s="116"/>
      <c r="M59" s="116"/>
      <c r="N59" s="116"/>
      <c r="O59" s="116"/>
    </row>
    <row r="60" spans="1:15" ht="21" customHeight="1">
      <c r="A60" s="282"/>
      <c r="B60" s="260"/>
      <c r="C60" s="123" t="s">
        <v>206</v>
      </c>
      <c r="D60" s="493">
        <v>448200000</v>
      </c>
      <c r="E60" s="113">
        <v>78479999993</v>
      </c>
      <c r="F60" s="114">
        <f t="shared" si="0"/>
        <v>0.57110091748213188</v>
      </c>
      <c r="G60" s="115"/>
      <c r="H60" s="115"/>
      <c r="I60" s="116"/>
      <c r="J60" s="116"/>
      <c r="K60" s="116"/>
      <c r="L60" s="116"/>
      <c r="M60" s="116"/>
      <c r="N60" s="116"/>
      <c r="O60" s="116"/>
    </row>
    <row r="61" spans="1:15" ht="35.1" customHeight="1">
      <c r="A61" s="282"/>
      <c r="B61" s="260"/>
      <c r="C61" s="123" t="s">
        <v>207</v>
      </c>
      <c r="D61" s="493">
        <v>267502000</v>
      </c>
      <c r="E61" s="113">
        <v>78479999993</v>
      </c>
      <c r="F61" s="114">
        <f t="shared" si="0"/>
        <v>0.34085372072357256</v>
      </c>
      <c r="G61" s="115"/>
      <c r="H61" s="115"/>
      <c r="I61" s="116"/>
      <c r="J61" s="116"/>
      <c r="K61" s="116"/>
      <c r="L61" s="116"/>
      <c r="M61" s="116"/>
      <c r="N61" s="116"/>
      <c r="O61" s="116"/>
    </row>
    <row r="62" spans="1:15" ht="21" customHeight="1">
      <c r="A62" s="282"/>
      <c r="B62" s="260"/>
      <c r="C62" s="123" t="s">
        <v>208</v>
      </c>
      <c r="D62" s="493">
        <v>199533760</v>
      </c>
      <c r="E62" s="113">
        <v>78479999993</v>
      </c>
      <c r="F62" s="114">
        <f t="shared" si="0"/>
        <v>0.2542479103182943</v>
      </c>
      <c r="G62" s="115"/>
      <c r="H62" s="115"/>
      <c r="I62" s="116"/>
      <c r="J62" s="116"/>
      <c r="K62" s="116"/>
      <c r="L62" s="116"/>
      <c r="M62" s="116"/>
      <c r="N62" s="116"/>
      <c r="O62" s="116"/>
    </row>
    <row r="63" spans="1:15" ht="21" customHeight="1">
      <c r="A63" s="282"/>
      <c r="B63" s="260"/>
      <c r="C63" s="123" t="s">
        <v>209</v>
      </c>
      <c r="D63" s="493">
        <v>231925000</v>
      </c>
      <c r="E63" s="113">
        <v>78479999993</v>
      </c>
      <c r="F63" s="114">
        <f t="shared" si="0"/>
        <v>0.29552115191218969</v>
      </c>
      <c r="G63" s="115"/>
      <c r="H63" s="115"/>
      <c r="I63" s="116"/>
      <c r="J63" s="116"/>
      <c r="K63" s="116"/>
      <c r="L63" s="116"/>
      <c r="M63" s="116"/>
      <c r="N63" s="116"/>
      <c r="O63" s="116"/>
    </row>
    <row r="64" spans="1:15" ht="21" customHeight="1">
      <c r="A64" s="282"/>
      <c r="B64" s="260"/>
      <c r="C64" s="123" t="s">
        <v>210</v>
      </c>
      <c r="D64" s="493">
        <f>D65</f>
        <v>301556680</v>
      </c>
      <c r="E64" s="113">
        <v>78479999993</v>
      </c>
      <c r="F64" s="114">
        <f t="shared" si="0"/>
        <v>0.38424653418310045</v>
      </c>
      <c r="G64" s="115"/>
      <c r="H64" s="115"/>
      <c r="I64" s="116"/>
      <c r="J64" s="116"/>
      <c r="K64" s="116"/>
      <c r="L64" s="116"/>
      <c r="M64" s="116"/>
      <c r="N64" s="116"/>
      <c r="O64" s="116"/>
    </row>
    <row r="65" spans="1:15" ht="21" customHeight="1">
      <c r="A65" s="282"/>
      <c r="B65" s="260"/>
      <c r="C65" s="123" t="s">
        <v>211</v>
      </c>
      <c r="D65" s="493">
        <v>301556680</v>
      </c>
      <c r="E65" s="113">
        <v>78479999993</v>
      </c>
      <c r="F65" s="114">
        <f t="shared" si="0"/>
        <v>0.38424653418310045</v>
      </c>
      <c r="G65" s="115"/>
      <c r="H65" s="115"/>
      <c r="I65" s="116"/>
      <c r="J65" s="116"/>
      <c r="K65" s="116"/>
      <c r="L65" s="116"/>
      <c r="M65" s="116"/>
      <c r="N65" s="116"/>
      <c r="O65" s="116"/>
    </row>
    <row r="66" spans="1:15" ht="21" customHeight="1">
      <c r="A66" s="282"/>
      <c r="B66" s="260"/>
      <c r="C66" s="123" t="s">
        <v>212</v>
      </c>
      <c r="D66" s="493">
        <f>D67+D68</f>
        <v>667081320</v>
      </c>
      <c r="E66" s="113">
        <v>78479999993</v>
      </c>
      <c r="F66" s="114">
        <f t="shared" si="0"/>
        <v>0.85000168203300219</v>
      </c>
      <c r="G66" s="115"/>
      <c r="H66" s="115"/>
      <c r="I66" s="116"/>
      <c r="J66" s="116"/>
      <c r="K66" s="116"/>
      <c r="L66" s="116"/>
      <c r="M66" s="116"/>
      <c r="N66" s="116"/>
      <c r="O66" s="116"/>
    </row>
    <row r="67" spans="1:15" ht="35.1" customHeight="1">
      <c r="A67" s="282"/>
      <c r="B67" s="260"/>
      <c r="C67" s="123" t="s">
        <v>213</v>
      </c>
      <c r="D67" s="493">
        <v>294813690</v>
      </c>
      <c r="E67" s="113">
        <v>78479999993</v>
      </c>
      <c r="F67" s="114">
        <f t="shared" si="0"/>
        <v>0.37565454896317002</v>
      </c>
      <c r="G67" s="115"/>
      <c r="H67" s="115"/>
      <c r="I67" s="116"/>
      <c r="J67" s="116"/>
      <c r="K67" s="116"/>
      <c r="L67" s="116"/>
      <c r="M67" s="116"/>
      <c r="N67" s="116"/>
      <c r="O67" s="116"/>
    </row>
    <row r="68" spans="1:15" ht="35.1" customHeight="1">
      <c r="A68" s="282"/>
      <c r="B68" s="260"/>
      <c r="C68" s="123" t="s">
        <v>214</v>
      </c>
      <c r="D68" s="493">
        <v>372267630</v>
      </c>
      <c r="E68" s="113">
        <v>78479999993</v>
      </c>
      <c r="F68" s="114">
        <f t="shared" si="0"/>
        <v>0.47434713306983223</v>
      </c>
      <c r="G68" s="115"/>
      <c r="H68" s="115"/>
      <c r="I68" s="116"/>
      <c r="J68" s="116"/>
      <c r="K68" s="116"/>
      <c r="L68" s="116"/>
      <c r="M68" s="116"/>
      <c r="N68" s="116"/>
      <c r="O68" s="116"/>
    </row>
    <row r="69" spans="1:15" ht="21" customHeight="1">
      <c r="A69" s="282"/>
      <c r="B69" s="260"/>
      <c r="C69" s="123" t="s">
        <v>215</v>
      </c>
      <c r="D69" s="493">
        <f>D70+D71+D72</f>
        <v>3400006029</v>
      </c>
      <c r="E69" s="113">
        <v>78479999993</v>
      </c>
      <c r="F69" s="114">
        <f t="shared" si="0"/>
        <v>4.3323216479399376</v>
      </c>
      <c r="G69" s="115"/>
      <c r="H69" s="115"/>
      <c r="I69" s="116"/>
      <c r="J69" s="116"/>
      <c r="K69" s="116"/>
      <c r="L69" s="116"/>
      <c r="M69" s="116"/>
      <c r="N69" s="116"/>
      <c r="O69" s="116"/>
    </row>
    <row r="70" spans="1:15" ht="21" customHeight="1">
      <c r="A70" s="282"/>
      <c r="B70" s="260"/>
      <c r="C70" s="123" t="s">
        <v>216</v>
      </c>
      <c r="D70" s="493">
        <v>300002617</v>
      </c>
      <c r="E70" s="113">
        <v>78479999993</v>
      </c>
      <c r="F70" s="114">
        <f t="shared" si="0"/>
        <v>0.38226633158353551</v>
      </c>
      <c r="G70" s="115"/>
      <c r="H70" s="115"/>
      <c r="I70" s="116"/>
      <c r="J70" s="116"/>
      <c r="K70" s="116"/>
      <c r="L70" s="116"/>
      <c r="M70" s="116"/>
      <c r="N70" s="116"/>
      <c r="O70" s="116"/>
    </row>
    <row r="71" spans="1:15" ht="21" customHeight="1">
      <c r="A71" s="282"/>
      <c r="B71" s="260"/>
      <c r="C71" s="123" t="s">
        <v>217</v>
      </c>
      <c r="D71" s="493">
        <v>835983600</v>
      </c>
      <c r="E71" s="113">
        <v>78479999993</v>
      </c>
      <c r="F71" s="114">
        <f t="shared" si="0"/>
        <v>1.0652186545292626</v>
      </c>
      <c r="G71" s="115"/>
      <c r="H71" s="115"/>
      <c r="I71" s="116"/>
      <c r="J71" s="116"/>
      <c r="K71" s="116"/>
      <c r="L71" s="116"/>
      <c r="M71" s="116"/>
      <c r="N71" s="116"/>
      <c r="O71" s="116"/>
    </row>
    <row r="72" spans="1:15" ht="21" customHeight="1">
      <c r="A72" s="282"/>
      <c r="B72" s="260"/>
      <c r="C72" s="123" t="s">
        <v>218</v>
      </c>
      <c r="D72" s="493">
        <v>2264019812</v>
      </c>
      <c r="E72" s="113">
        <v>78479999993</v>
      </c>
      <c r="F72" s="114">
        <f t="shared" si="0"/>
        <v>2.8848366618271388</v>
      </c>
      <c r="G72" s="115"/>
      <c r="H72" s="115"/>
      <c r="I72" s="116"/>
      <c r="J72" s="116"/>
      <c r="K72" s="116"/>
      <c r="L72" s="116"/>
      <c r="M72" s="116"/>
      <c r="N72" s="116"/>
      <c r="O72" s="116"/>
    </row>
    <row r="73" spans="1:15" ht="21" customHeight="1">
      <c r="A73" s="282"/>
      <c r="B73" s="260"/>
      <c r="C73" s="123" t="s">
        <v>219</v>
      </c>
      <c r="D73" s="493">
        <f>D74</f>
        <v>439099370</v>
      </c>
      <c r="E73" s="113">
        <v>78479999993</v>
      </c>
      <c r="F73" s="114">
        <f t="shared" si="0"/>
        <v>0.55950480382156642</v>
      </c>
      <c r="G73" s="115"/>
      <c r="H73" s="115"/>
      <c r="I73" s="116"/>
      <c r="J73" s="116"/>
      <c r="K73" s="116"/>
      <c r="L73" s="116"/>
      <c r="M73" s="116"/>
      <c r="N73" s="116"/>
      <c r="O73" s="116"/>
    </row>
    <row r="74" spans="1:15" ht="21" customHeight="1">
      <c r="A74" s="282"/>
      <c r="B74" s="260"/>
      <c r="C74" s="123" t="s">
        <v>220</v>
      </c>
      <c r="D74" s="493">
        <v>439099370</v>
      </c>
      <c r="E74" s="113">
        <v>78479999993</v>
      </c>
      <c r="F74" s="114">
        <f t="shared" si="0"/>
        <v>0.55950480382156642</v>
      </c>
      <c r="G74" s="115"/>
      <c r="H74" s="115"/>
      <c r="I74" s="116"/>
      <c r="J74" s="116"/>
      <c r="K74" s="116"/>
      <c r="L74" s="116"/>
      <c r="M74" s="116"/>
      <c r="N74" s="116"/>
      <c r="O74" s="116"/>
    </row>
    <row r="75" spans="1:15" ht="21" customHeight="1">
      <c r="A75" s="282"/>
      <c r="B75" s="260"/>
      <c r="C75" s="123" t="s">
        <v>221</v>
      </c>
      <c r="D75" s="493">
        <f>D76+D77+D78+D79+D80+D81+D82+D83+D84+D85+D86+D87+D88</f>
        <v>35624767723</v>
      </c>
      <c r="E75" s="113">
        <v>78479999993</v>
      </c>
      <c r="F75" s="114">
        <f t="shared" si="0"/>
        <v>45.393434921225207</v>
      </c>
      <c r="G75" s="115"/>
      <c r="H75" s="115"/>
      <c r="I75" s="116"/>
      <c r="J75" s="116"/>
      <c r="K75" s="116"/>
      <c r="L75" s="116"/>
      <c r="M75" s="116"/>
      <c r="N75" s="116"/>
      <c r="O75" s="116"/>
    </row>
    <row r="76" spans="1:15" ht="21" customHeight="1">
      <c r="A76" s="282"/>
      <c r="B76" s="260"/>
      <c r="C76" s="123" t="s">
        <v>222</v>
      </c>
      <c r="D76" s="493">
        <v>10919385787</v>
      </c>
      <c r="E76" s="113">
        <v>78479999993</v>
      </c>
      <c r="F76" s="114">
        <f t="shared" si="0"/>
        <v>13.913590453585565</v>
      </c>
      <c r="G76" s="115"/>
      <c r="H76" s="115"/>
      <c r="I76" s="116"/>
      <c r="J76" s="116"/>
      <c r="K76" s="116"/>
      <c r="L76" s="116"/>
      <c r="M76" s="116"/>
      <c r="N76" s="116"/>
      <c r="O76" s="116"/>
    </row>
    <row r="77" spans="1:15" ht="21" customHeight="1">
      <c r="A77" s="282"/>
      <c r="B77" s="260"/>
      <c r="C77" s="123" t="s">
        <v>223</v>
      </c>
      <c r="D77" s="493">
        <v>328607560</v>
      </c>
      <c r="E77" s="113">
        <v>78479999993</v>
      </c>
      <c r="F77" s="114">
        <f t="shared" si="0"/>
        <v>0.41871503571522684</v>
      </c>
      <c r="G77" s="115"/>
      <c r="H77" s="115"/>
      <c r="I77" s="116"/>
      <c r="J77" s="116"/>
      <c r="K77" s="116"/>
      <c r="L77" s="116"/>
      <c r="M77" s="116"/>
      <c r="N77" s="116"/>
      <c r="O77" s="116"/>
    </row>
    <row r="78" spans="1:15" ht="21" customHeight="1">
      <c r="A78" s="282"/>
      <c r="B78" s="260"/>
      <c r="C78" s="123" t="s">
        <v>224</v>
      </c>
      <c r="D78" s="493">
        <v>2049190201</v>
      </c>
      <c r="E78" s="113">
        <v>78479999993</v>
      </c>
      <c r="F78" s="114">
        <f t="shared" si="0"/>
        <v>2.6110986253603174</v>
      </c>
      <c r="G78" s="115"/>
      <c r="H78" s="115"/>
      <c r="I78" s="116"/>
      <c r="J78" s="116"/>
      <c r="K78" s="116"/>
      <c r="L78" s="116"/>
      <c r="M78" s="116"/>
      <c r="N78" s="116"/>
      <c r="O78" s="116"/>
    </row>
    <row r="79" spans="1:15" ht="21" customHeight="1">
      <c r="A79" s="282"/>
      <c r="B79" s="260"/>
      <c r="C79" s="123" t="s">
        <v>225</v>
      </c>
      <c r="D79" s="493">
        <v>1661681625</v>
      </c>
      <c r="E79" s="113">
        <v>78479999993</v>
      </c>
      <c r="F79" s="114">
        <f t="shared" ref="F79:F102" si="1">+D79/E79*100</f>
        <v>2.1173313266414544</v>
      </c>
      <c r="G79" s="115"/>
      <c r="H79" s="115"/>
      <c r="I79" s="116"/>
      <c r="J79" s="116"/>
      <c r="K79" s="116"/>
      <c r="L79" s="116"/>
      <c r="M79" s="116"/>
      <c r="N79" s="116"/>
      <c r="O79" s="116"/>
    </row>
    <row r="80" spans="1:15" ht="21" customHeight="1">
      <c r="A80" s="282"/>
      <c r="B80" s="260"/>
      <c r="C80" s="123" t="s">
        <v>226</v>
      </c>
      <c r="D80" s="493">
        <v>374000000</v>
      </c>
      <c r="E80" s="113">
        <v>78479999993</v>
      </c>
      <c r="F80" s="114">
        <f t="shared" si="1"/>
        <v>0.47655453623006983</v>
      </c>
      <c r="G80" s="115"/>
      <c r="H80" s="115"/>
      <c r="I80" s="116"/>
      <c r="J80" s="116"/>
      <c r="K80" s="116"/>
      <c r="L80" s="116"/>
      <c r="M80" s="116"/>
      <c r="N80" s="116"/>
      <c r="O80" s="116"/>
    </row>
    <row r="81" spans="1:15" ht="35.1" customHeight="1">
      <c r="A81" s="282"/>
      <c r="B81" s="260"/>
      <c r="C81" s="123" t="s">
        <v>227</v>
      </c>
      <c r="D81" s="493">
        <v>400050520</v>
      </c>
      <c r="E81" s="113">
        <v>78479999993</v>
      </c>
      <c r="F81" s="114">
        <f t="shared" si="1"/>
        <v>0.50974836905667986</v>
      </c>
      <c r="G81" s="115"/>
      <c r="H81" s="115"/>
      <c r="I81" s="116"/>
      <c r="J81" s="116"/>
      <c r="K81" s="116"/>
      <c r="L81" s="116"/>
      <c r="M81" s="116"/>
      <c r="N81" s="116"/>
      <c r="O81" s="116"/>
    </row>
    <row r="82" spans="1:15" ht="21" customHeight="1">
      <c r="A82" s="282"/>
      <c r="B82" s="260"/>
      <c r="C82" s="123" t="s">
        <v>228</v>
      </c>
      <c r="D82" s="493">
        <v>311171340</v>
      </c>
      <c r="E82" s="113">
        <v>78479999993</v>
      </c>
      <c r="F82" s="114">
        <f t="shared" si="1"/>
        <v>0.39649763000478444</v>
      </c>
      <c r="G82" s="115"/>
      <c r="H82" s="115"/>
      <c r="I82" s="116"/>
      <c r="J82" s="116"/>
      <c r="K82" s="116"/>
      <c r="L82" s="116"/>
      <c r="M82" s="116"/>
      <c r="N82" s="116"/>
      <c r="O82" s="116"/>
    </row>
    <row r="83" spans="1:15" ht="35.1" customHeight="1">
      <c r="A83" s="282"/>
      <c r="B83" s="260"/>
      <c r="C83" s="123" t="s">
        <v>229</v>
      </c>
      <c r="D83" s="493">
        <v>9051250000</v>
      </c>
      <c r="E83" s="113">
        <v>78479999993</v>
      </c>
      <c r="F83" s="114">
        <f t="shared" si="1"/>
        <v>11.533193171263155</v>
      </c>
      <c r="G83" s="115"/>
      <c r="H83" s="115"/>
      <c r="I83" s="116"/>
      <c r="J83" s="116"/>
      <c r="K83" s="116"/>
      <c r="L83" s="116"/>
      <c r="M83" s="116"/>
      <c r="N83" s="116"/>
      <c r="O83" s="116"/>
    </row>
    <row r="84" spans="1:15" ht="21" customHeight="1">
      <c r="A84" s="282"/>
      <c r="B84" s="260"/>
      <c r="C84" s="123" t="s">
        <v>230</v>
      </c>
      <c r="D84" s="493">
        <v>5895467855</v>
      </c>
      <c r="E84" s="113">
        <v>78479999993</v>
      </c>
      <c r="F84" s="114">
        <f t="shared" si="1"/>
        <v>7.5120640360930748</v>
      </c>
      <c r="G84" s="115"/>
      <c r="H84" s="115"/>
      <c r="I84" s="116"/>
      <c r="J84" s="116"/>
      <c r="K84" s="116"/>
      <c r="L84" s="116"/>
      <c r="M84" s="116"/>
      <c r="N84" s="116"/>
      <c r="O84" s="116"/>
    </row>
    <row r="85" spans="1:15" ht="21" customHeight="1">
      <c r="A85" s="282"/>
      <c r="B85" s="260"/>
      <c r="C85" s="123" t="s">
        <v>231</v>
      </c>
      <c r="D85" s="493">
        <v>3318361000</v>
      </c>
      <c r="E85" s="113">
        <v>78479999993</v>
      </c>
      <c r="F85" s="114">
        <f t="shared" si="1"/>
        <v>4.228288736360831</v>
      </c>
      <c r="G85" s="115"/>
      <c r="H85" s="115"/>
      <c r="I85" s="116"/>
      <c r="J85" s="116"/>
      <c r="K85" s="116"/>
      <c r="L85" s="116"/>
      <c r="M85" s="116"/>
      <c r="N85" s="116"/>
      <c r="O85" s="116"/>
    </row>
    <row r="86" spans="1:15" ht="21" customHeight="1">
      <c r="A86" s="282"/>
      <c r="B86" s="260"/>
      <c r="C86" s="123" t="s">
        <v>232</v>
      </c>
      <c r="D86" s="493">
        <v>1036478060</v>
      </c>
      <c r="E86" s="113">
        <v>78479999993</v>
      </c>
      <c r="F86" s="114">
        <f t="shared" si="1"/>
        <v>1.3206906983848732</v>
      </c>
      <c r="G86" s="115"/>
      <c r="H86" s="115"/>
      <c r="I86" s="116"/>
      <c r="J86" s="116"/>
      <c r="K86" s="116"/>
      <c r="L86" s="116"/>
      <c r="M86" s="116"/>
      <c r="N86" s="116"/>
      <c r="O86" s="116"/>
    </row>
    <row r="87" spans="1:15" ht="35.1" customHeight="1">
      <c r="A87" s="282"/>
      <c r="B87" s="260"/>
      <c r="C87" s="123" t="s">
        <v>233</v>
      </c>
      <c r="D87" s="493">
        <v>234123775</v>
      </c>
      <c r="E87" s="113">
        <v>78479999993</v>
      </c>
      <c r="F87" s="114">
        <f t="shared" si="1"/>
        <v>0.298322852982776</v>
      </c>
      <c r="G87" s="115"/>
      <c r="H87" s="115"/>
      <c r="I87" s="116"/>
      <c r="J87" s="116"/>
      <c r="K87" s="116"/>
      <c r="L87" s="116"/>
      <c r="M87" s="116"/>
      <c r="N87" s="116"/>
      <c r="O87" s="116"/>
    </row>
    <row r="88" spans="1:15" ht="21" customHeight="1">
      <c r="A88" s="282"/>
      <c r="B88" s="260"/>
      <c r="C88" s="123" t="s">
        <v>234</v>
      </c>
      <c r="D88" s="493">
        <v>45000000</v>
      </c>
      <c r="E88" s="113">
        <v>78479999993</v>
      </c>
      <c r="F88" s="114">
        <f t="shared" si="1"/>
        <v>5.7339449546398781E-2</v>
      </c>
      <c r="G88" s="115"/>
      <c r="H88" s="115"/>
      <c r="I88" s="116"/>
      <c r="J88" s="116"/>
      <c r="K88" s="116"/>
      <c r="L88" s="116"/>
      <c r="M88" s="116"/>
      <c r="N88" s="116"/>
      <c r="O88" s="116"/>
    </row>
    <row r="89" spans="1:15" ht="21" customHeight="1">
      <c r="A89" s="282"/>
      <c r="B89" s="260"/>
      <c r="C89" s="123" t="s">
        <v>235</v>
      </c>
      <c r="D89" s="493">
        <f>D90+D91+D92+D93</f>
        <v>15983021000</v>
      </c>
      <c r="E89" s="113">
        <v>78479999993</v>
      </c>
      <c r="F89" s="114">
        <f t="shared" si="1"/>
        <v>20.365725027300716</v>
      </c>
      <c r="G89" s="115"/>
      <c r="H89" s="115"/>
      <c r="I89" s="116"/>
      <c r="J89" s="116"/>
      <c r="K89" s="116"/>
      <c r="L89" s="116"/>
      <c r="M89" s="116"/>
      <c r="N89" s="116"/>
      <c r="O89" s="116"/>
    </row>
    <row r="90" spans="1:15" ht="21" customHeight="1">
      <c r="A90" s="282"/>
      <c r="B90" s="260"/>
      <c r="C90" s="123" t="s">
        <v>236</v>
      </c>
      <c r="D90" s="493">
        <v>8750000000</v>
      </c>
      <c r="E90" s="113">
        <v>78479999993</v>
      </c>
      <c r="F90" s="114">
        <f t="shared" si="1"/>
        <v>11.149337411799763</v>
      </c>
      <c r="G90" s="115"/>
      <c r="H90" s="115"/>
      <c r="I90" s="116"/>
      <c r="J90" s="116"/>
      <c r="K90" s="116"/>
      <c r="L90" s="116"/>
      <c r="M90" s="116"/>
      <c r="N90" s="116"/>
      <c r="O90" s="116"/>
    </row>
    <row r="91" spans="1:15" ht="21" customHeight="1">
      <c r="A91" s="282"/>
      <c r="B91" s="260"/>
      <c r="C91" s="123" t="s">
        <v>237</v>
      </c>
      <c r="D91" s="493">
        <v>5747398500</v>
      </c>
      <c r="E91" s="113">
        <v>78479999993</v>
      </c>
      <c r="F91" s="114">
        <f t="shared" si="1"/>
        <v>7.3233925847510681</v>
      </c>
      <c r="G91" s="115"/>
      <c r="H91" s="115"/>
      <c r="I91" s="116"/>
      <c r="J91" s="116"/>
      <c r="K91" s="116"/>
      <c r="L91" s="116"/>
      <c r="M91" s="116"/>
      <c r="N91" s="116"/>
      <c r="O91" s="116"/>
    </row>
    <row r="92" spans="1:15" ht="21" customHeight="1">
      <c r="A92" s="282"/>
      <c r="B92" s="260"/>
      <c r="C92" s="123" t="s">
        <v>238</v>
      </c>
      <c r="D92" s="493">
        <v>610000000</v>
      </c>
      <c r="E92" s="113">
        <v>78479999993</v>
      </c>
      <c r="F92" s="114">
        <f t="shared" si="1"/>
        <v>0.77726809385118345</v>
      </c>
      <c r="G92" s="115"/>
      <c r="H92" s="115"/>
      <c r="I92" s="116"/>
      <c r="J92" s="116"/>
      <c r="K92" s="116"/>
      <c r="L92" s="116"/>
      <c r="M92" s="116"/>
      <c r="N92" s="116"/>
      <c r="O92" s="116"/>
    </row>
    <row r="93" spans="1:15" ht="21" customHeight="1">
      <c r="A93" s="282"/>
      <c r="B93" s="260"/>
      <c r="C93" s="123" t="s">
        <v>239</v>
      </c>
      <c r="D93" s="493">
        <v>875622500</v>
      </c>
      <c r="E93" s="113">
        <v>78479999993</v>
      </c>
      <c r="F93" s="114">
        <f t="shared" si="1"/>
        <v>1.1157269368987013</v>
      </c>
      <c r="G93" s="115"/>
      <c r="H93" s="115"/>
      <c r="I93" s="116"/>
      <c r="J93" s="116"/>
      <c r="K93" s="116"/>
      <c r="L93" s="116"/>
      <c r="M93" s="116"/>
      <c r="N93" s="116"/>
      <c r="O93" s="116"/>
    </row>
    <row r="94" spans="1:15" ht="21" customHeight="1">
      <c r="A94" s="282"/>
      <c r="B94" s="260"/>
      <c r="C94" s="123" t="s">
        <v>240</v>
      </c>
      <c r="D94" s="493">
        <f>D95+D96</f>
        <v>1193499996</v>
      </c>
      <c r="E94" s="113">
        <v>78479999993</v>
      </c>
      <c r="F94" s="114">
        <f t="shared" si="1"/>
        <v>1.5207696178726475</v>
      </c>
      <c r="G94" s="115"/>
      <c r="H94" s="115"/>
      <c r="I94" s="116"/>
      <c r="J94" s="116"/>
      <c r="K94" s="116"/>
      <c r="L94" s="116"/>
      <c r="M94" s="116"/>
      <c r="N94" s="116"/>
      <c r="O94" s="116"/>
    </row>
    <row r="95" spans="1:15" ht="21" customHeight="1">
      <c r="A95" s="282"/>
      <c r="B95" s="260"/>
      <c r="C95" s="123" t="s">
        <v>241</v>
      </c>
      <c r="D95" s="493">
        <v>672476161</v>
      </c>
      <c r="E95" s="113">
        <v>78479999993</v>
      </c>
      <c r="F95" s="114">
        <f t="shared" si="1"/>
        <v>0.85687584232923208</v>
      </c>
      <c r="G95" s="115"/>
      <c r="H95" s="115"/>
      <c r="I95" s="116"/>
      <c r="J95" s="116"/>
      <c r="K95" s="116"/>
      <c r="L95" s="116"/>
      <c r="M95" s="116"/>
      <c r="N95" s="116"/>
      <c r="O95" s="116"/>
    </row>
    <row r="96" spans="1:15" ht="21" customHeight="1">
      <c r="A96" s="282"/>
      <c r="B96" s="260"/>
      <c r="C96" s="123" t="s">
        <v>242</v>
      </c>
      <c r="D96" s="493">
        <v>521023835</v>
      </c>
      <c r="E96" s="113">
        <v>78479999993</v>
      </c>
      <c r="F96" s="114">
        <f t="shared" si="1"/>
        <v>0.66389377554341567</v>
      </c>
      <c r="G96" s="115"/>
      <c r="H96" s="115"/>
      <c r="I96" s="116"/>
      <c r="J96" s="116"/>
      <c r="K96" s="116"/>
      <c r="L96" s="116"/>
      <c r="M96" s="116"/>
      <c r="N96" s="116"/>
      <c r="O96" s="116"/>
    </row>
    <row r="97" spans="1:17" ht="21" customHeight="1">
      <c r="A97" s="282"/>
      <c r="B97" s="260"/>
      <c r="C97" s="123" t="s">
        <v>243</v>
      </c>
      <c r="D97" s="493">
        <f>D98</f>
        <v>460600000</v>
      </c>
      <c r="E97" s="113">
        <v>78479999993</v>
      </c>
      <c r="F97" s="114">
        <f t="shared" si="1"/>
        <v>0.58690112135713957</v>
      </c>
      <c r="G97" s="115"/>
      <c r="H97" s="115"/>
      <c r="I97" s="116"/>
      <c r="J97" s="116"/>
      <c r="K97" s="116"/>
      <c r="L97" s="116"/>
      <c r="M97" s="116"/>
      <c r="N97" s="116"/>
      <c r="O97" s="116"/>
    </row>
    <row r="98" spans="1:17" ht="21" customHeight="1">
      <c r="A98" s="282"/>
      <c r="B98" s="260"/>
      <c r="C98" s="123" t="s">
        <v>244</v>
      </c>
      <c r="D98" s="493">
        <v>460600000</v>
      </c>
      <c r="E98" s="113">
        <v>78479999993</v>
      </c>
      <c r="F98" s="114">
        <f t="shared" si="1"/>
        <v>0.58690112135713957</v>
      </c>
      <c r="G98" s="115"/>
      <c r="H98" s="115"/>
      <c r="I98" s="116"/>
      <c r="J98" s="116"/>
      <c r="K98" s="116"/>
      <c r="L98" s="116"/>
      <c r="M98" s="116"/>
      <c r="N98" s="116"/>
      <c r="O98" s="116"/>
    </row>
    <row r="99" spans="1:17" ht="21" customHeight="1">
      <c r="A99" s="282"/>
      <c r="B99" s="260"/>
      <c r="C99" s="123" t="s">
        <v>245</v>
      </c>
      <c r="D99" s="493">
        <f>D100+D101+D102</f>
        <v>865907205</v>
      </c>
      <c r="E99" s="113">
        <v>78479999993</v>
      </c>
      <c r="F99" s="114">
        <f t="shared" si="1"/>
        <v>1.1033476109546818</v>
      </c>
      <c r="G99" s="115"/>
      <c r="H99" s="115"/>
      <c r="I99" s="116"/>
      <c r="J99" s="116"/>
      <c r="K99" s="116"/>
      <c r="L99" s="116"/>
      <c r="M99" s="116"/>
      <c r="N99" s="116"/>
      <c r="O99" s="116"/>
    </row>
    <row r="100" spans="1:17" ht="21" customHeight="1">
      <c r="A100" s="282"/>
      <c r="B100" s="260"/>
      <c r="C100" s="123" t="s">
        <v>246</v>
      </c>
      <c r="D100" s="493">
        <v>328753500</v>
      </c>
      <c r="E100" s="113">
        <v>78479999993</v>
      </c>
      <c r="F100" s="114">
        <f t="shared" si="1"/>
        <v>0.41890099392115582</v>
      </c>
      <c r="G100" s="115"/>
      <c r="H100" s="115"/>
      <c r="I100" s="116"/>
      <c r="J100" s="116"/>
      <c r="K100" s="116"/>
      <c r="L100" s="116"/>
      <c r="M100" s="116"/>
      <c r="N100" s="116"/>
      <c r="O100" s="116"/>
    </row>
    <row r="101" spans="1:17" ht="21" customHeight="1">
      <c r="A101" s="282"/>
      <c r="B101" s="260"/>
      <c r="C101" s="123" t="s">
        <v>247</v>
      </c>
      <c r="D101" s="493">
        <v>281678905</v>
      </c>
      <c r="E101" s="113">
        <v>78479999993</v>
      </c>
      <c r="F101" s="114">
        <f t="shared" si="1"/>
        <v>0.35891807470071901</v>
      </c>
      <c r="G101" s="115"/>
      <c r="H101" s="115"/>
      <c r="I101" s="116"/>
      <c r="J101" s="116"/>
      <c r="K101" s="116"/>
      <c r="L101" s="116"/>
      <c r="M101" s="116"/>
      <c r="N101" s="116"/>
      <c r="O101" s="116"/>
    </row>
    <row r="102" spans="1:17" ht="35.1" customHeight="1">
      <c r="A102" s="282"/>
      <c r="B102" s="260"/>
      <c r="C102" s="123" t="s">
        <v>248</v>
      </c>
      <c r="D102" s="493">
        <v>255474800</v>
      </c>
      <c r="E102" s="113">
        <v>78479999993</v>
      </c>
      <c r="F102" s="114">
        <f t="shared" si="1"/>
        <v>0.32552854233280704</v>
      </c>
      <c r="G102" s="115"/>
      <c r="H102" s="115"/>
      <c r="I102" s="116"/>
      <c r="J102" s="116"/>
      <c r="K102" s="116"/>
      <c r="L102" s="116"/>
      <c r="M102" s="116"/>
      <c r="N102" s="116"/>
      <c r="O102" s="116"/>
    </row>
    <row r="103" spans="1:17" ht="21" customHeight="1">
      <c r="A103" s="282"/>
      <c r="B103" s="260"/>
      <c r="C103" s="124"/>
      <c r="D103" s="494"/>
      <c r="E103" s="120"/>
      <c r="F103" s="115"/>
      <c r="G103" s="115"/>
      <c r="H103" s="115"/>
      <c r="I103" s="116"/>
      <c r="J103" s="116"/>
      <c r="K103" s="116"/>
      <c r="L103" s="116"/>
      <c r="M103" s="116"/>
      <c r="N103" s="116"/>
      <c r="O103" s="116"/>
    </row>
    <row r="104" spans="1:17" s="314" customFormat="1" ht="21" customHeight="1">
      <c r="A104" s="492"/>
      <c r="B104" s="260" t="s">
        <v>383</v>
      </c>
      <c r="C104" s="150" t="s">
        <v>2560</v>
      </c>
      <c r="D104" s="216">
        <f>+D105+D126+D162+D179+D214+D254+D290+D323+D346+D359+D381+D403+D412+D433+D462+D469+D506+D522+D529+D561+D578+D603+D624+D643+D657+D675+D687+D717+D734</f>
        <v>318538215325.66998</v>
      </c>
      <c r="E104" s="120">
        <v>1557405258400.0002</v>
      </c>
      <c r="F104" s="120">
        <f>D104/D817*100</f>
        <v>36.035397313080338</v>
      </c>
      <c r="G104" s="120"/>
      <c r="H104" s="120"/>
      <c r="I104" s="121"/>
      <c r="J104" s="121"/>
      <c r="K104" s="121"/>
      <c r="L104" s="121"/>
      <c r="M104" s="121"/>
      <c r="N104" s="121"/>
      <c r="O104" s="121"/>
    </row>
    <row r="105" spans="1:17" s="498" customFormat="1" ht="21" customHeight="1">
      <c r="A105" s="300"/>
      <c r="B105" s="110" t="s">
        <v>385</v>
      </c>
      <c r="C105" s="495" t="s">
        <v>2591</v>
      </c>
      <c r="D105" s="496">
        <f>+D106+D122</f>
        <v>15377020800</v>
      </c>
      <c r="E105" s="125">
        <v>48495887123.160004</v>
      </c>
      <c r="F105" s="497">
        <f>D105/E105*100</f>
        <v>31.707886404776069</v>
      </c>
      <c r="G105" s="115"/>
      <c r="H105" s="115"/>
      <c r="I105" s="115"/>
      <c r="J105" s="115"/>
      <c r="K105" s="115"/>
      <c r="L105" s="115"/>
      <c r="M105" s="115"/>
      <c r="N105" s="115"/>
      <c r="O105" s="116"/>
      <c r="P105" s="300"/>
      <c r="Q105" s="300"/>
    </row>
    <row r="106" spans="1:17" s="498" customFormat="1" ht="21" customHeight="1">
      <c r="A106" s="300"/>
      <c r="B106" s="260"/>
      <c r="C106" s="111" t="s">
        <v>161</v>
      </c>
      <c r="D106" s="499">
        <f>SUM(D107+D111+D113+D117+D120)</f>
        <v>10377020800</v>
      </c>
      <c r="E106" s="125">
        <v>15377020800</v>
      </c>
      <c r="F106" s="127">
        <f t="shared" ref="F106:F124" si="2">+D106/E106*100</f>
        <v>67.483948516217126</v>
      </c>
      <c r="G106" s="116"/>
      <c r="H106" s="116"/>
      <c r="I106" s="116"/>
      <c r="J106" s="116"/>
      <c r="K106" s="116"/>
      <c r="L106" s="116"/>
      <c r="M106" s="116"/>
      <c r="N106" s="116"/>
      <c r="O106" s="116"/>
      <c r="P106" s="300"/>
      <c r="Q106" s="300"/>
    </row>
    <row r="107" spans="1:17" s="498" customFormat="1" ht="21" customHeight="1">
      <c r="A107" s="300"/>
      <c r="B107" s="260"/>
      <c r="C107" s="123" t="s">
        <v>173</v>
      </c>
      <c r="D107" s="499">
        <f>SUM(D108:D110)</f>
        <v>4630355000</v>
      </c>
      <c r="E107" s="125">
        <v>15377020800</v>
      </c>
      <c r="F107" s="127">
        <f t="shared" si="2"/>
        <v>30.112172313638279</v>
      </c>
      <c r="G107" s="116"/>
      <c r="H107" s="116"/>
      <c r="I107" s="116"/>
      <c r="J107" s="116"/>
      <c r="K107" s="116"/>
      <c r="L107" s="116"/>
      <c r="M107" s="116"/>
      <c r="N107" s="116"/>
      <c r="O107" s="116"/>
      <c r="P107" s="300"/>
      <c r="Q107" s="300"/>
    </row>
    <row r="108" spans="1:17" s="498" customFormat="1" ht="21" customHeight="1">
      <c r="A108" s="300"/>
      <c r="B108" s="260"/>
      <c r="C108" s="57" t="s">
        <v>414</v>
      </c>
      <c r="D108" s="499">
        <v>233200000</v>
      </c>
      <c r="E108" s="125">
        <v>15377020800</v>
      </c>
      <c r="F108" s="127">
        <f t="shared" si="2"/>
        <v>1.5165486412036329</v>
      </c>
      <c r="G108" s="116"/>
      <c r="H108" s="116"/>
      <c r="I108" s="116"/>
      <c r="J108" s="116"/>
      <c r="K108" s="116"/>
      <c r="L108" s="116"/>
      <c r="M108" s="116"/>
      <c r="N108" s="116"/>
      <c r="O108" s="116"/>
      <c r="P108" s="300"/>
      <c r="Q108" s="300"/>
    </row>
    <row r="109" spans="1:17" s="498" customFormat="1" ht="21" customHeight="1">
      <c r="A109" s="300"/>
      <c r="B109" s="260"/>
      <c r="C109" s="57" t="s">
        <v>415</v>
      </c>
      <c r="D109" s="499">
        <v>2107455000</v>
      </c>
      <c r="E109" s="125">
        <v>15377020800</v>
      </c>
      <c r="F109" s="127">
        <f t="shared" si="2"/>
        <v>13.705223055951125</v>
      </c>
      <c r="G109" s="116"/>
      <c r="H109" s="116"/>
      <c r="I109" s="116"/>
      <c r="J109" s="116"/>
      <c r="K109" s="116"/>
      <c r="L109" s="116"/>
      <c r="M109" s="116"/>
      <c r="N109" s="116"/>
      <c r="O109" s="116"/>
      <c r="P109" s="300"/>
      <c r="Q109" s="300"/>
    </row>
    <row r="110" spans="1:17" s="498" customFormat="1" ht="21" customHeight="1">
      <c r="A110" s="300"/>
      <c r="B110" s="260"/>
      <c r="C110" s="57" t="s">
        <v>416</v>
      </c>
      <c r="D110" s="499">
        <v>2289700000</v>
      </c>
      <c r="E110" s="125">
        <v>15377020800</v>
      </c>
      <c r="F110" s="127">
        <f t="shared" si="2"/>
        <v>14.890400616483527</v>
      </c>
      <c r="G110" s="116"/>
      <c r="H110" s="116"/>
      <c r="I110" s="116"/>
      <c r="J110" s="116"/>
      <c r="K110" s="116"/>
      <c r="L110" s="116"/>
      <c r="M110" s="116"/>
      <c r="N110" s="116"/>
      <c r="O110" s="116"/>
      <c r="P110" s="300"/>
      <c r="Q110" s="300"/>
    </row>
    <row r="111" spans="1:17" s="498" customFormat="1" ht="21" customHeight="1">
      <c r="A111" s="300"/>
      <c r="B111" s="260"/>
      <c r="C111" s="123" t="s">
        <v>190</v>
      </c>
      <c r="D111" s="499">
        <f>SUM(D112)</f>
        <v>1856250000</v>
      </c>
      <c r="E111" s="125">
        <v>15377020800</v>
      </c>
      <c r="F111" s="127">
        <f t="shared" si="2"/>
        <v>12.071584113354389</v>
      </c>
      <c r="G111" s="116"/>
      <c r="H111" s="116"/>
      <c r="I111" s="116"/>
      <c r="J111" s="116"/>
      <c r="K111" s="116"/>
      <c r="L111" s="116"/>
      <c r="M111" s="116"/>
      <c r="N111" s="116"/>
      <c r="O111" s="116"/>
      <c r="P111" s="300"/>
      <c r="Q111" s="300"/>
    </row>
    <row r="112" spans="1:17" s="498" customFormat="1" ht="21" customHeight="1">
      <c r="A112" s="300"/>
      <c r="B112" s="260"/>
      <c r="C112" s="57" t="s">
        <v>417</v>
      </c>
      <c r="D112" s="499">
        <v>1856250000</v>
      </c>
      <c r="E112" s="125">
        <v>15377020800</v>
      </c>
      <c r="F112" s="127">
        <f t="shared" si="2"/>
        <v>12.071584113354389</v>
      </c>
      <c r="G112" s="116"/>
      <c r="H112" s="116"/>
      <c r="I112" s="116"/>
      <c r="J112" s="116"/>
      <c r="K112" s="116"/>
      <c r="L112" s="116"/>
      <c r="M112" s="116"/>
      <c r="N112" s="116"/>
      <c r="O112" s="116"/>
      <c r="P112" s="300"/>
      <c r="Q112" s="300"/>
    </row>
    <row r="113" spans="1:17" s="498" customFormat="1" ht="21" customHeight="1">
      <c r="A113" s="300"/>
      <c r="B113" s="260"/>
      <c r="C113" s="123" t="s">
        <v>196</v>
      </c>
      <c r="D113" s="499">
        <f>SUM(D114:D116)</f>
        <v>940760400</v>
      </c>
      <c r="E113" s="125">
        <v>15377020800</v>
      </c>
      <c r="F113" s="127">
        <f t="shared" si="2"/>
        <v>6.1179627200608326</v>
      </c>
      <c r="G113" s="116"/>
      <c r="H113" s="116"/>
      <c r="I113" s="116"/>
      <c r="J113" s="116"/>
      <c r="K113" s="116"/>
      <c r="L113" s="116"/>
      <c r="M113" s="116"/>
      <c r="N113" s="116"/>
      <c r="O113" s="116"/>
      <c r="P113" s="300"/>
      <c r="Q113" s="300"/>
    </row>
    <row r="114" spans="1:17" s="498" customFormat="1" ht="35.1" customHeight="1">
      <c r="A114" s="300"/>
      <c r="B114" s="260"/>
      <c r="C114" s="57" t="s">
        <v>418</v>
      </c>
      <c r="D114" s="499">
        <v>482000000</v>
      </c>
      <c r="E114" s="125">
        <v>15377020800</v>
      </c>
      <c r="F114" s="127">
        <f t="shared" si="2"/>
        <v>3.1345473630366683</v>
      </c>
      <c r="G114" s="116"/>
      <c r="H114" s="116"/>
      <c r="I114" s="116"/>
      <c r="J114" s="116"/>
      <c r="K114" s="116"/>
      <c r="L114" s="116"/>
      <c r="M114" s="116"/>
      <c r="N114" s="116"/>
      <c r="O114" s="116"/>
      <c r="P114" s="300"/>
      <c r="Q114" s="300"/>
    </row>
    <row r="115" spans="1:17" s="498" customFormat="1" ht="21" customHeight="1">
      <c r="A115" s="300"/>
      <c r="B115" s="260"/>
      <c r="C115" s="57" t="s">
        <v>419</v>
      </c>
      <c r="D115" s="499">
        <v>201260400</v>
      </c>
      <c r="E115" s="125">
        <v>15377020800</v>
      </c>
      <c r="F115" s="127">
        <f t="shared" si="2"/>
        <v>1.3088387056093467</v>
      </c>
      <c r="G115" s="116"/>
      <c r="H115" s="116"/>
      <c r="I115" s="116"/>
      <c r="J115" s="116"/>
      <c r="K115" s="116"/>
      <c r="L115" s="116"/>
      <c r="M115" s="116"/>
      <c r="N115" s="116"/>
      <c r="O115" s="116"/>
      <c r="P115" s="300"/>
      <c r="Q115" s="300"/>
    </row>
    <row r="116" spans="1:17" s="498" customFormat="1" ht="21" customHeight="1">
      <c r="A116" s="300"/>
      <c r="B116" s="260"/>
      <c r="C116" s="57" t="s">
        <v>420</v>
      </c>
      <c r="D116" s="499">
        <v>257500000</v>
      </c>
      <c r="E116" s="125">
        <v>15377020800</v>
      </c>
      <c r="F116" s="127">
        <f t="shared" si="2"/>
        <v>1.6745766514148177</v>
      </c>
      <c r="G116" s="116"/>
      <c r="H116" s="116"/>
      <c r="I116" s="116"/>
      <c r="J116" s="116"/>
      <c r="K116" s="116"/>
      <c r="L116" s="116"/>
      <c r="M116" s="116"/>
      <c r="N116" s="116"/>
      <c r="O116" s="116"/>
      <c r="P116" s="300"/>
      <c r="Q116" s="300"/>
    </row>
    <row r="117" spans="1:17" s="498" customFormat="1" ht="35.1" customHeight="1">
      <c r="A117" s="300"/>
      <c r="B117" s="260"/>
      <c r="C117" s="123" t="s">
        <v>421</v>
      </c>
      <c r="D117" s="499">
        <f>SUM(D118:D119)</f>
        <v>1249655400</v>
      </c>
      <c r="E117" s="125">
        <v>15377020800</v>
      </c>
      <c r="F117" s="127">
        <f t="shared" si="2"/>
        <v>8.1267718646774547</v>
      </c>
      <c r="G117" s="116"/>
      <c r="H117" s="116"/>
      <c r="I117" s="116"/>
      <c r="J117" s="116"/>
      <c r="K117" s="116"/>
      <c r="L117" s="116"/>
      <c r="M117" s="116"/>
      <c r="N117" s="116"/>
      <c r="O117" s="116"/>
      <c r="P117" s="300"/>
      <c r="Q117" s="300"/>
    </row>
    <row r="118" spans="1:17" s="498" customFormat="1" ht="21" customHeight="1">
      <c r="A118" s="300"/>
      <c r="B118" s="260"/>
      <c r="C118" s="57" t="s">
        <v>422</v>
      </c>
      <c r="D118" s="499">
        <v>295205400</v>
      </c>
      <c r="E118" s="125">
        <v>15377020800</v>
      </c>
      <c r="F118" s="127">
        <f t="shared" si="2"/>
        <v>1.9197827969381429</v>
      </c>
      <c r="G118" s="116"/>
      <c r="H118" s="116"/>
      <c r="I118" s="116"/>
      <c r="J118" s="116"/>
      <c r="K118" s="116"/>
      <c r="L118" s="116"/>
      <c r="M118" s="116"/>
      <c r="N118" s="116"/>
      <c r="O118" s="116"/>
      <c r="P118" s="300"/>
      <c r="Q118" s="300"/>
    </row>
    <row r="119" spans="1:17" s="498" customFormat="1" ht="21" customHeight="1">
      <c r="A119" s="300"/>
      <c r="B119" s="260"/>
      <c r="C119" s="57" t="s">
        <v>423</v>
      </c>
      <c r="D119" s="499">
        <v>954450000</v>
      </c>
      <c r="E119" s="125">
        <v>15377020800</v>
      </c>
      <c r="F119" s="127">
        <f t="shared" si="2"/>
        <v>6.206989067739312</v>
      </c>
      <c r="G119" s="116"/>
      <c r="H119" s="116"/>
      <c r="I119" s="116"/>
      <c r="J119" s="116"/>
      <c r="K119" s="116"/>
      <c r="L119" s="116"/>
      <c r="M119" s="116"/>
      <c r="N119" s="116"/>
      <c r="O119" s="116"/>
      <c r="P119" s="300"/>
      <c r="Q119" s="300"/>
    </row>
    <row r="120" spans="1:17" s="498" customFormat="1" ht="21" customHeight="1">
      <c r="A120" s="300"/>
      <c r="B120" s="260"/>
      <c r="C120" s="123" t="s">
        <v>212</v>
      </c>
      <c r="D120" s="499">
        <f>SUM(D121)</f>
        <v>1700000000</v>
      </c>
      <c r="E120" s="125">
        <v>15377020800</v>
      </c>
      <c r="F120" s="127">
        <f t="shared" si="2"/>
        <v>11.055457504486174</v>
      </c>
      <c r="G120" s="116"/>
      <c r="H120" s="116"/>
      <c r="I120" s="116"/>
      <c r="J120" s="116"/>
      <c r="K120" s="116"/>
      <c r="L120" s="116"/>
      <c r="M120" s="116"/>
      <c r="N120" s="116"/>
      <c r="O120" s="116"/>
      <c r="P120" s="300"/>
      <c r="Q120" s="300"/>
    </row>
    <row r="121" spans="1:17" s="498" customFormat="1" ht="21" customHeight="1">
      <c r="A121" s="300"/>
      <c r="B121" s="260"/>
      <c r="C121" s="57" t="s">
        <v>424</v>
      </c>
      <c r="D121" s="499">
        <v>1700000000</v>
      </c>
      <c r="E121" s="125">
        <v>15377020800</v>
      </c>
      <c r="F121" s="127">
        <f t="shared" si="2"/>
        <v>11.055457504486174</v>
      </c>
      <c r="G121" s="116"/>
      <c r="H121" s="116"/>
      <c r="I121" s="116"/>
      <c r="J121" s="116"/>
      <c r="K121" s="116"/>
      <c r="L121" s="116"/>
      <c r="M121" s="116"/>
      <c r="N121" s="116"/>
      <c r="O121" s="116"/>
      <c r="P121" s="300"/>
      <c r="Q121" s="300"/>
    </row>
    <row r="122" spans="1:17" s="498" customFormat="1" ht="21" customHeight="1">
      <c r="A122" s="300"/>
      <c r="B122" s="260"/>
      <c r="C122" s="111" t="s">
        <v>425</v>
      </c>
      <c r="D122" s="499">
        <f>SUM(D123)</f>
        <v>5000000000</v>
      </c>
      <c r="E122" s="125">
        <v>15377020800</v>
      </c>
      <c r="F122" s="127">
        <f t="shared" si="2"/>
        <v>32.516051483782867</v>
      </c>
      <c r="G122" s="116"/>
      <c r="H122" s="116"/>
      <c r="I122" s="116"/>
      <c r="J122" s="116"/>
      <c r="K122" s="116"/>
      <c r="L122" s="116"/>
      <c r="M122" s="116"/>
      <c r="N122" s="116"/>
      <c r="O122" s="116"/>
      <c r="P122" s="300"/>
      <c r="Q122" s="300"/>
    </row>
    <row r="123" spans="1:17" s="498" customFormat="1" ht="21" customHeight="1">
      <c r="A123" s="300"/>
      <c r="B123" s="260"/>
      <c r="C123" s="123" t="s">
        <v>426</v>
      </c>
      <c r="D123" s="499">
        <f>SUM(D124)</f>
        <v>5000000000</v>
      </c>
      <c r="E123" s="125">
        <v>15377020800</v>
      </c>
      <c r="F123" s="127">
        <f t="shared" si="2"/>
        <v>32.516051483782867</v>
      </c>
      <c r="G123" s="116"/>
      <c r="H123" s="116"/>
      <c r="I123" s="116"/>
      <c r="J123" s="116"/>
      <c r="K123" s="116"/>
      <c r="L123" s="116"/>
      <c r="M123" s="116"/>
      <c r="N123" s="116"/>
      <c r="O123" s="116"/>
      <c r="P123" s="300"/>
      <c r="Q123" s="300"/>
    </row>
    <row r="124" spans="1:17" s="498" customFormat="1" ht="21" customHeight="1">
      <c r="A124" s="300"/>
      <c r="B124" s="260"/>
      <c r="C124" s="57" t="s">
        <v>427</v>
      </c>
      <c r="D124" s="499">
        <v>5000000000</v>
      </c>
      <c r="E124" s="125">
        <v>15377020800</v>
      </c>
      <c r="F124" s="127">
        <f t="shared" si="2"/>
        <v>32.516051483782867</v>
      </c>
      <c r="G124" s="116"/>
      <c r="H124" s="116"/>
      <c r="I124" s="116"/>
      <c r="J124" s="116"/>
      <c r="K124" s="116"/>
      <c r="L124" s="116"/>
      <c r="M124" s="116"/>
      <c r="N124" s="116"/>
      <c r="O124" s="116"/>
      <c r="P124" s="300"/>
      <c r="Q124" s="300"/>
    </row>
    <row r="125" spans="1:17" ht="21" customHeight="1">
      <c r="B125" s="260"/>
      <c r="C125" s="123"/>
      <c r="D125" s="500"/>
      <c r="E125" s="137"/>
      <c r="F125" s="115"/>
      <c r="G125" s="116"/>
      <c r="H125" s="116"/>
      <c r="I125" s="116"/>
      <c r="J125" s="116"/>
      <c r="K125" s="116"/>
      <c r="L125" s="116"/>
      <c r="M125" s="116"/>
      <c r="N125" s="116"/>
      <c r="O125" s="116"/>
    </row>
    <row r="126" spans="1:17" s="498" customFormat="1" ht="21" customHeight="1">
      <c r="A126" s="300"/>
      <c r="B126" s="110" t="s">
        <v>441</v>
      </c>
      <c r="C126" s="336" t="s">
        <v>2592</v>
      </c>
      <c r="D126" s="501">
        <f>+D127+D146+D151+D156</f>
        <v>25239607507.91</v>
      </c>
      <c r="E126" s="129">
        <v>51356987511.629997</v>
      </c>
      <c r="F126" s="497">
        <f>D126/D817*100</f>
        <v>2.8552909535324034</v>
      </c>
      <c r="G126" s="116"/>
      <c r="H126" s="116"/>
      <c r="I126" s="116"/>
      <c r="J126" s="116"/>
      <c r="K126" s="116"/>
      <c r="L126" s="116"/>
      <c r="M126" s="116"/>
      <c r="N126" s="116"/>
      <c r="O126" s="116"/>
      <c r="P126" s="300"/>
      <c r="Q126" s="300"/>
    </row>
    <row r="127" spans="1:17" s="498" customFormat="1" ht="21" customHeight="1">
      <c r="A127" s="300"/>
      <c r="B127" s="260"/>
      <c r="C127" s="150" t="s">
        <v>65</v>
      </c>
      <c r="D127" s="502">
        <f>D128+D130+D133+D135+D138+D140+D142</f>
        <v>10166088511.91</v>
      </c>
      <c r="E127" s="137">
        <v>25239607508</v>
      </c>
      <c r="F127" s="497">
        <f>+D127/E127*100</f>
        <v>40.278314584280814</v>
      </c>
      <c r="G127" s="116"/>
      <c r="H127" s="116"/>
      <c r="I127" s="116"/>
      <c r="J127" s="116"/>
      <c r="K127" s="116"/>
      <c r="L127" s="116"/>
      <c r="M127" s="116"/>
      <c r="N127" s="116"/>
      <c r="O127" s="116"/>
      <c r="P127" s="300"/>
      <c r="Q127" s="300"/>
    </row>
    <row r="128" spans="1:17" s="498" customFormat="1" ht="21" customHeight="1">
      <c r="A128" s="300"/>
      <c r="B128" s="260"/>
      <c r="C128" s="503" t="s">
        <v>475</v>
      </c>
      <c r="D128" s="258">
        <v>100000000</v>
      </c>
      <c r="E128" s="137">
        <v>25239607508</v>
      </c>
      <c r="F128" s="497">
        <f t="shared" ref="F128:F160" si="3">+D128/E128*100</f>
        <v>0.39620267457924524</v>
      </c>
      <c r="G128" s="116"/>
      <c r="H128" s="116"/>
      <c r="I128" s="116"/>
      <c r="J128" s="116"/>
      <c r="K128" s="116"/>
      <c r="L128" s="116"/>
      <c r="M128" s="116"/>
      <c r="N128" s="116"/>
      <c r="O128" s="116"/>
      <c r="P128" s="300"/>
      <c r="Q128" s="300"/>
    </row>
    <row r="129" spans="1:17" s="498" customFormat="1" ht="21" customHeight="1">
      <c r="A129" s="300"/>
      <c r="B129" s="260"/>
      <c r="C129" s="504" t="s">
        <v>476</v>
      </c>
      <c r="D129" s="259">
        <v>100000000</v>
      </c>
      <c r="E129" s="137">
        <v>25239607508</v>
      </c>
      <c r="F129" s="497">
        <f t="shared" si="3"/>
        <v>0.39620267457924524</v>
      </c>
      <c r="G129" s="116"/>
      <c r="H129" s="116"/>
      <c r="I129" s="116"/>
      <c r="J129" s="116"/>
      <c r="K129" s="116"/>
      <c r="L129" s="116"/>
      <c r="M129" s="116"/>
      <c r="N129" s="116"/>
      <c r="O129" s="116"/>
      <c r="P129" s="300"/>
      <c r="Q129" s="300"/>
    </row>
    <row r="130" spans="1:17" s="498" customFormat="1" ht="21" customHeight="1">
      <c r="A130" s="300"/>
      <c r="B130" s="260"/>
      <c r="C130" s="503" t="s">
        <v>162</v>
      </c>
      <c r="D130" s="258">
        <v>3286865455</v>
      </c>
      <c r="E130" s="137">
        <v>25239607508</v>
      </c>
      <c r="F130" s="497">
        <f t="shared" si="3"/>
        <v>13.022648842531279</v>
      </c>
      <c r="G130" s="116"/>
      <c r="H130" s="116"/>
      <c r="I130" s="116"/>
      <c r="J130" s="116"/>
      <c r="K130" s="116"/>
      <c r="L130" s="116"/>
      <c r="M130" s="116"/>
      <c r="N130" s="116"/>
      <c r="O130" s="116"/>
      <c r="P130" s="300"/>
      <c r="Q130" s="300"/>
    </row>
    <row r="131" spans="1:17" s="498" customFormat="1" ht="21" customHeight="1">
      <c r="A131" s="300"/>
      <c r="B131" s="260"/>
      <c r="C131" s="504" t="s">
        <v>477</v>
      </c>
      <c r="D131" s="259">
        <v>300000000</v>
      </c>
      <c r="E131" s="137">
        <v>25239607508</v>
      </c>
      <c r="F131" s="497">
        <f t="shared" si="3"/>
        <v>1.1886080237377359</v>
      </c>
      <c r="G131" s="116"/>
      <c r="H131" s="116"/>
      <c r="I131" s="116"/>
      <c r="J131" s="116"/>
      <c r="K131" s="116"/>
      <c r="L131" s="116"/>
      <c r="M131" s="116"/>
      <c r="N131" s="116"/>
      <c r="O131" s="116"/>
      <c r="P131" s="300"/>
      <c r="Q131" s="300"/>
    </row>
    <row r="132" spans="1:17" s="498" customFormat="1" ht="21" customHeight="1">
      <c r="A132" s="300"/>
      <c r="B132" s="260"/>
      <c r="C132" s="504" t="s">
        <v>478</v>
      </c>
      <c r="D132" s="259">
        <v>2986865455</v>
      </c>
      <c r="E132" s="137">
        <v>25239607508</v>
      </c>
      <c r="F132" s="497">
        <f t="shared" si="3"/>
        <v>11.834040818793543</v>
      </c>
      <c r="G132" s="116"/>
      <c r="H132" s="116"/>
      <c r="I132" s="116"/>
      <c r="J132" s="116"/>
      <c r="K132" s="116"/>
      <c r="L132" s="116"/>
      <c r="M132" s="116"/>
      <c r="N132" s="116"/>
      <c r="O132" s="116"/>
      <c r="P132" s="300"/>
      <c r="Q132" s="300"/>
    </row>
    <row r="133" spans="1:17" s="498" customFormat="1" ht="21" customHeight="1">
      <c r="A133" s="300"/>
      <c r="B133" s="260"/>
      <c r="C133" s="503" t="s">
        <v>173</v>
      </c>
      <c r="D133" s="258">
        <v>1500000000</v>
      </c>
      <c r="E133" s="137">
        <v>25239607508</v>
      </c>
      <c r="F133" s="497">
        <f t="shared" si="3"/>
        <v>5.9430401186886792</v>
      </c>
      <c r="G133" s="116"/>
      <c r="H133" s="116"/>
      <c r="I133" s="116"/>
      <c r="J133" s="116"/>
      <c r="K133" s="116"/>
      <c r="L133" s="116"/>
      <c r="M133" s="116"/>
      <c r="N133" s="116"/>
      <c r="O133" s="116"/>
      <c r="P133" s="300"/>
      <c r="Q133" s="300"/>
    </row>
    <row r="134" spans="1:17" s="498" customFormat="1" ht="35.1" customHeight="1">
      <c r="A134" s="300"/>
      <c r="B134" s="260"/>
      <c r="C134" s="504" t="s">
        <v>479</v>
      </c>
      <c r="D134" s="259">
        <v>1500000000</v>
      </c>
      <c r="E134" s="137">
        <v>25239607508</v>
      </c>
      <c r="F134" s="497">
        <f t="shared" si="3"/>
        <v>5.9430401186886792</v>
      </c>
      <c r="G134" s="116"/>
      <c r="H134" s="116"/>
      <c r="I134" s="116"/>
      <c r="J134" s="116"/>
      <c r="K134" s="116"/>
      <c r="L134" s="116"/>
      <c r="M134" s="116"/>
      <c r="N134" s="116"/>
      <c r="O134" s="116"/>
      <c r="P134" s="300"/>
      <c r="Q134" s="300"/>
    </row>
    <row r="135" spans="1:17" s="498" customFormat="1" ht="21" customHeight="1">
      <c r="A135" s="300"/>
      <c r="B135" s="260"/>
      <c r="C135" s="503" t="s">
        <v>186</v>
      </c>
      <c r="D135" s="258">
        <v>110000000</v>
      </c>
      <c r="E135" s="137">
        <v>25239607508</v>
      </c>
      <c r="F135" s="497">
        <f t="shared" si="3"/>
        <v>0.43582294203716981</v>
      </c>
      <c r="G135" s="116"/>
      <c r="H135" s="116"/>
      <c r="I135" s="116"/>
      <c r="J135" s="116"/>
      <c r="K135" s="116"/>
      <c r="L135" s="116"/>
      <c r="M135" s="116"/>
      <c r="N135" s="116"/>
      <c r="O135" s="116"/>
      <c r="P135" s="300"/>
      <c r="Q135" s="300"/>
    </row>
    <row r="136" spans="1:17" s="498" customFormat="1" ht="21" customHeight="1">
      <c r="A136" s="300"/>
      <c r="B136" s="260"/>
      <c r="C136" s="504" t="s">
        <v>480</v>
      </c>
      <c r="D136" s="259">
        <v>60000000</v>
      </c>
      <c r="E136" s="137">
        <v>25239607508</v>
      </c>
      <c r="F136" s="497">
        <f t="shared" si="3"/>
        <v>0.23772160474754717</v>
      </c>
      <c r="G136" s="116"/>
      <c r="H136" s="116"/>
      <c r="I136" s="116"/>
      <c r="J136" s="116"/>
      <c r="K136" s="116"/>
      <c r="L136" s="116"/>
      <c r="M136" s="116"/>
      <c r="N136" s="116"/>
      <c r="O136" s="116"/>
      <c r="P136" s="300"/>
      <c r="Q136" s="300"/>
    </row>
    <row r="137" spans="1:17" s="498" customFormat="1" ht="21" customHeight="1">
      <c r="A137" s="300"/>
      <c r="B137" s="260"/>
      <c r="C137" s="504" t="s">
        <v>481</v>
      </c>
      <c r="D137" s="259">
        <v>50000000</v>
      </c>
      <c r="E137" s="137">
        <v>25239607508</v>
      </c>
      <c r="F137" s="497">
        <f t="shared" si="3"/>
        <v>0.19810133728962262</v>
      </c>
      <c r="G137" s="116"/>
      <c r="H137" s="116"/>
      <c r="I137" s="116"/>
      <c r="J137" s="116"/>
      <c r="K137" s="116"/>
      <c r="L137" s="116"/>
      <c r="M137" s="116"/>
      <c r="N137" s="116"/>
      <c r="O137" s="116"/>
      <c r="P137" s="300"/>
      <c r="Q137" s="300"/>
    </row>
    <row r="138" spans="1:17" s="498" customFormat="1" ht="21" customHeight="1">
      <c r="A138" s="300"/>
      <c r="B138" s="260"/>
      <c r="C138" s="503" t="s">
        <v>190</v>
      </c>
      <c r="D138" s="258">
        <v>310000000</v>
      </c>
      <c r="E138" s="137">
        <v>25239607508</v>
      </c>
      <c r="F138" s="497">
        <f t="shared" si="3"/>
        <v>1.2282282911956603</v>
      </c>
      <c r="G138" s="116"/>
      <c r="H138" s="116"/>
      <c r="I138" s="116"/>
      <c r="J138" s="116"/>
      <c r="K138" s="116"/>
      <c r="L138" s="116"/>
      <c r="M138" s="116"/>
      <c r="N138" s="116"/>
      <c r="O138" s="116"/>
      <c r="P138" s="300"/>
      <c r="Q138" s="300"/>
    </row>
    <row r="139" spans="1:17" s="498" customFormat="1" ht="21" customHeight="1">
      <c r="A139" s="300"/>
      <c r="B139" s="260"/>
      <c r="C139" s="504" t="s">
        <v>482</v>
      </c>
      <c r="D139" s="259">
        <v>310000000</v>
      </c>
      <c r="E139" s="137">
        <v>25239607508</v>
      </c>
      <c r="F139" s="497">
        <f t="shared" si="3"/>
        <v>1.2282282911956603</v>
      </c>
      <c r="G139" s="116"/>
      <c r="H139" s="116"/>
      <c r="I139" s="116"/>
      <c r="J139" s="116"/>
      <c r="K139" s="116"/>
      <c r="L139" s="116"/>
      <c r="M139" s="116"/>
      <c r="N139" s="116"/>
      <c r="O139" s="116"/>
      <c r="P139" s="300"/>
      <c r="Q139" s="300"/>
    </row>
    <row r="140" spans="1:17" s="498" customFormat="1" ht="21" customHeight="1">
      <c r="A140" s="300"/>
      <c r="B140" s="260"/>
      <c r="C140" s="503" t="s">
        <v>483</v>
      </c>
      <c r="D140" s="258">
        <v>150000000</v>
      </c>
      <c r="E140" s="137">
        <v>25239607508</v>
      </c>
      <c r="F140" s="497">
        <f t="shared" si="3"/>
        <v>0.59430401186886794</v>
      </c>
      <c r="G140" s="116"/>
      <c r="H140" s="116"/>
      <c r="I140" s="116"/>
      <c r="J140" s="116"/>
      <c r="K140" s="116"/>
      <c r="L140" s="116"/>
      <c r="M140" s="116"/>
      <c r="N140" s="116"/>
      <c r="O140" s="116"/>
      <c r="P140" s="300"/>
      <c r="Q140" s="300"/>
    </row>
    <row r="141" spans="1:17" s="498" customFormat="1" ht="21" customHeight="1">
      <c r="A141" s="300"/>
      <c r="B141" s="260"/>
      <c r="C141" s="504" t="s">
        <v>484</v>
      </c>
      <c r="D141" s="259">
        <v>150000000</v>
      </c>
      <c r="E141" s="137">
        <v>25239607508</v>
      </c>
      <c r="F141" s="497">
        <f t="shared" si="3"/>
        <v>0.59430401186886794</v>
      </c>
      <c r="G141" s="116"/>
      <c r="H141" s="116"/>
      <c r="I141" s="116"/>
      <c r="J141" s="116"/>
      <c r="K141" s="116"/>
      <c r="L141" s="116"/>
      <c r="M141" s="116"/>
      <c r="N141" s="116"/>
      <c r="O141" s="116"/>
      <c r="P141" s="300"/>
      <c r="Q141" s="300"/>
    </row>
    <row r="142" spans="1:17" s="498" customFormat="1" ht="35.1" customHeight="1">
      <c r="A142" s="300"/>
      <c r="B142" s="260"/>
      <c r="C142" s="503" t="s">
        <v>485</v>
      </c>
      <c r="D142" s="258">
        <v>4709223056.9099998</v>
      </c>
      <c r="E142" s="137">
        <v>25239607508</v>
      </c>
      <c r="F142" s="497">
        <f t="shared" si="3"/>
        <v>18.658067703379913</v>
      </c>
      <c r="G142" s="116"/>
      <c r="H142" s="116"/>
      <c r="I142" s="116"/>
      <c r="J142" s="116"/>
      <c r="K142" s="116"/>
      <c r="L142" s="116"/>
      <c r="M142" s="116"/>
      <c r="N142" s="116"/>
      <c r="O142" s="116"/>
      <c r="P142" s="300"/>
      <c r="Q142" s="300"/>
    </row>
    <row r="143" spans="1:17" s="498" customFormat="1" ht="21" customHeight="1">
      <c r="A143" s="300"/>
      <c r="B143" s="260"/>
      <c r="C143" s="504" t="s">
        <v>486</v>
      </c>
      <c r="D143" s="259">
        <v>4203589528.9099998</v>
      </c>
      <c r="E143" s="137">
        <v>25239607508</v>
      </c>
      <c r="F143" s="497">
        <f t="shared" si="3"/>
        <v>16.654734141874517</v>
      </c>
      <c r="G143" s="116"/>
      <c r="H143" s="116"/>
      <c r="I143" s="116"/>
      <c r="J143" s="116"/>
      <c r="K143" s="116"/>
      <c r="L143" s="116"/>
      <c r="M143" s="116"/>
      <c r="N143" s="116"/>
      <c r="O143" s="116"/>
      <c r="P143" s="300"/>
      <c r="Q143" s="300"/>
    </row>
    <row r="144" spans="1:17" s="498" customFormat="1" ht="21" customHeight="1">
      <c r="A144" s="300"/>
      <c r="B144" s="260"/>
      <c r="C144" s="504" t="s">
        <v>487</v>
      </c>
      <c r="D144" s="259">
        <v>505633528</v>
      </c>
      <c r="E144" s="137">
        <v>25239607508</v>
      </c>
      <c r="F144" s="497">
        <f t="shared" si="3"/>
        <v>2.0033335615053973</v>
      </c>
      <c r="G144" s="116"/>
      <c r="H144" s="116"/>
      <c r="I144" s="116"/>
      <c r="J144" s="116"/>
      <c r="K144" s="116"/>
      <c r="L144" s="116"/>
      <c r="M144" s="116"/>
      <c r="N144" s="116"/>
      <c r="O144" s="116"/>
      <c r="P144" s="300"/>
      <c r="Q144" s="300"/>
    </row>
    <row r="145" spans="1:17" s="498" customFormat="1" ht="21" customHeight="1">
      <c r="A145" s="300"/>
      <c r="B145" s="260"/>
      <c r="C145" s="504"/>
      <c r="D145" s="259"/>
      <c r="E145" s="137"/>
      <c r="F145" s="497"/>
      <c r="G145" s="116"/>
      <c r="H145" s="116"/>
      <c r="I145" s="116"/>
      <c r="J145" s="116"/>
      <c r="K145" s="116"/>
      <c r="L145" s="116"/>
      <c r="M145" s="116"/>
      <c r="N145" s="116"/>
      <c r="O145" s="116"/>
      <c r="P145" s="300"/>
      <c r="Q145" s="300"/>
    </row>
    <row r="146" spans="1:17" s="498" customFormat="1" ht="21" customHeight="1">
      <c r="A146" s="300"/>
      <c r="B146" s="260"/>
      <c r="C146" s="503" t="s">
        <v>521</v>
      </c>
      <c r="D146" s="258">
        <f>D147</f>
        <v>75000000</v>
      </c>
      <c r="E146" s="137">
        <v>25239607508</v>
      </c>
      <c r="F146" s="497">
        <f t="shared" si="3"/>
        <v>0.29715200593443397</v>
      </c>
      <c r="G146" s="116"/>
      <c r="H146" s="116"/>
      <c r="I146" s="116"/>
      <c r="J146" s="116"/>
      <c r="K146" s="116"/>
      <c r="L146" s="116"/>
      <c r="M146" s="116"/>
      <c r="N146" s="116"/>
      <c r="O146" s="116"/>
      <c r="P146" s="300"/>
      <c r="Q146" s="300"/>
    </row>
    <row r="147" spans="1:17" s="498" customFormat="1" ht="35.1" customHeight="1">
      <c r="A147" s="300"/>
      <c r="B147" s="260"/>
      <c r="C147" s="503" t="s">
        <v>522</v>
      </c>
      <c r="D147" s="258">
        <v>75000000</v>
      </c>
      <c r="E147" s="137">
        <v>25239607508</v>
      </c>
      <c r="F147" s="497">
        <f t="shared" si="3"/>
        <v>0.29715200593443397</v>
      </c>
      <c r="G147" s="116"/>
      <c r="H147" s="116"/>
      <c r="I147" s="116"/>
      <c r="J147" s="116"/>
      <c r="K147" s="116"/>
      <c r="L147" s="116"/>
      <c r="M147" s="116"/>
      <c r="N147" s="116"/>
      <c r="O147" s="116"/>
      <c r="P147" s="300"/>
      <c r="Q147" s="300"/>
    </row>
    <row r="148" spans="1:17" s="498" customFormat="1" ht="35.1" customHeight="1">
      <c r="A148" s="300"/>
      <c r="B148" s="260"/>
      <c r="C148" s="503" t="s">
        <v>257</v>
      </c>
      <c r="D148" s="258">
        <f>D149</f>
        <v>75000000</v>
      </c>
      <c r="E148" s="137">
        <v>25239607508</v>
      </c>
      <c r="F148" s="497">
        <f t="shared" si="3"/>
        <v>0.29715200593443397</v>
      </c>
      <c r="G148" s="116"/>
      <c r="H148" s="116"/>
      <c r="I148" s="116"/>
      <c r="J148" s="116"/>
      <c r="K148" s="116"/>
      <c r="L148" s="116"/>
      <c r="M148" s="116"/>
      <c r="N148" s="116"/>
      <c r="O148" s="116"/>
      <c r="P148" s="300"/>
      <c r="Q148" s="300"/>
    </row>
    <row r="149" spans="1:17" s="498" customFormat="1" ht="35.1" customHeight="1">
      <c r="A149" s="300"/>
      <c r="B149" s="260"/>
      <c r="C149" s="504" t="s">
        <v>523</v>
      </c>
      <c r="D149" s="259">
        <v>75000000</v>
      </c>
      <c r="E149" s="137">
        <v>25239607508</v>
      </c>
      <c r="F149" s="497">
        <f t="shared" si="3"/>
        <v>0.29715200593443397</v>
      </c>
      <c r="G149" s="116"/>
      <c r="H149" s="116"/>
      <c r="I149" s="116"/>
      <c r="J149" s="116"/>
      <c r="K149" s="116"/>
      <c r="L149" s="116"/>
      <c r="M149" s="116"/>
      <c r="N149" s="116"/>
      <c r="O149" s="116"/>
      <c r="P149" s="300"/>
      <c r="Q149" s="300"/>
    </row>
    <row r="150" spans="1:17" s="498" customFormat="1" ht="21" customHeight="1">
      <c r="A150" s="300"/>
      <c r="B150" s="260"/>
      <c r="C150" s="504"/>
      <c r="D150" s="259"/>
      <c r="E150" s="137"/>
      <c r="F150" s="497"/>
      <c r="G150" s="116"/>
      <c r="H150" s="116"/>
      <c r="I150" s="116"/>
      <c r="J150" s="116"/>
      <c r="K150" s="116"/>
      <c r="L150" s="116"/>
      <c r="M150" s="116"/>
      <c r="N150" s="116"/>
      <c r="O150" s="116"/>
      <c r="P150" s="300"/>
      <c r="Q150" s="300"/>
    </row>
    <row r="151" spans="1:17" s="498" customFormat="1" ht="21" customHeight="1">
      <c r="A151" s="300"/>
      <c r="B151" s="260"/>
      <c r="C151" s="503" t="s">
        <v>572</v>
      </c>
      <c r="D151" s="258">
        <v>948518996</v>
      </c>
      <c r="E151" s="137">
        <v>25239607508</v>
      </c>
      <c r="F151" s="497">
        <f t="shared" si="3"/>
        <v>3.7580576310442044</v>
      </c>
      <c r="G151" s="116"/>
      <c r="H151" s="116"/>
      <c r="I151" s="116"/>
      <c r="J151" s="116"/>
      <c r="K151" s="116"/>
      <c r="L151" s="116"/>
      <c r="M151" s="116"/>
      <c r="N151" s="116"/>
      <c r="O151" s="116"/>
      <c r="P151" s="300"/>
      <c r="Q151" s="300"/>
    </row>
    <row r="152" spans="1:17" s="498" customFormat="1" ht="21" customHeight="1">
      <c r="A152" s="300"/>
      <c r="B152" s="260"/>
      <c r="C152" s="503" t="s">
        <v>573</v>
      </c>
      <c r="D152" s="258">
        <v>948518996</v>
      </c>
      <c r="E152" s="137">
        <v>25239607508</v>
      </c>
      <c r="F152" s="497">
        <f t="shared" si="3"/>
        <v>3.7580576310442044</v>
      </c>
      <c r="G152" s="116"/>
      <c r="H152" s="116"/>
      <c r="I152" s="116"/>
      <c r="J152" s="116"/>
      <c r="K152" s="116"/>
      <c r="L152" s="116"/>
      <c r="M152" s="116"/>
      <c r="N152" s="116"/>
      <c r="O152" s="116"/>
      <c r="P152" s="300"/>
      <c r="Q152" s="300"/>
    </row>
    <row r="153" spans="1:17" s="498" customFormat="1" ht="21" customHeight="1">
      <c r="A153" s="300"/>
      <c r="B153" s="260"/>
      <c r="C153" s="504" t="s">
        <v>574</v>
      </c>
      <c r="D153" s="259">
        <v>468518996</v>
      </c>
      <c r="E153" s="137">
        <v>25239607508</v>
      </c>
      <c r="F153" s="497">
        <f t="shared" si="3"/>
        <v>1.8562847930638271</v>
      </c>
      <c r="G153" s="116"/>
      <c r="H153" s="116"/>
      <c r="I153" s="116"/>
      <c r="J153" s="116"/>
      <c r="K153" s="116"/>
      <c r="L153" s="116"/>
      <c r="M153" s="116"/>
      <c r="N153" s="116"/>
      <c r="O153" s="116"/>
      <c r="P153" s="300"/>
      <c r="Q153" s="300"/>
    </row>
    <row r="154" spans="1:17" s="498" customFormat="1" ht="21" customHeight="1">
      <c r="A154" s="300"/>
      <c r="B154" s="260"/>
      <c r="C154" s="504" t="s">
        <v>575</v>
      </c>
      <c r="D154" s="259">
        <v>468518996</v>
      </c>
      <c r="E154" s="137">
        <v>25239607508</v>
      </c>
      <c r="F154" s="497">
        <f t="shared" si="3"/>
        <v>1.8562847930638271</v>
      </c>
      <c r="G154" s="116"/>
      <c r="H154" s="116"/>
      <c r="I154" s="116"/>
      <c r="J154" s="116"/>
      <c r="K154" s="116"/>
      <c r="L154" s="116"/>
      <c r="M154" s="116"/>
      <c r="N154" s="116"/>
      <c r="O154" s="116"/>
      <c r="P154" s="300"/>
      <c r="Q154" s="300"/>
    </row>
    <row r="155" spans="1:17" s="498" customFormat="1" ht="21" customHeight="1">
      <c r="A155" s="300"/>
      <c r="B155" s="260"/>
      <c r="C155" s="504"/>
      <c r="D155" s="259"/>
      <c r="E155" s="137"/>
      <c r="F155" s="497"/>
      <c r="G155" s="116"/>
      <c r="H155" s="116"/>
      <c r="I155" s="116"/>
      <c r="J155" s="116"/>
      <c r="K155" s="116"/>
      <c r="L155" s="116"/>
      <c r="M155" s="116"/>
      <c r="N155" s="116"/>
      <c r="O155" s="116"/>
      <c r="P155" s="300"/>
      <c r="Q155" s="300"/>
    </row>
    <row r="156" spans="1:17" s="498" customFormat="1" ht="35.1" customHeight="1">
      <c r="A156" s="300"/>
      <c r="B156" s="260"/>
      <c r="C156" s="503" t="s">
        <v>562</v>
      </c>
      <c r="D156" s="258">
        <v>14050000000</v>
      </c>
      <c r="E156" s="137">
        <v>25239607508</v>
      </c>
      <c r="F156" s="497">
        <f t="shared" si="3"/>
        <v>55.666475778383962</v>
      </c>
      <c r="G156" s="116"/>
      <c r="H156" s="116"/>
      <c r="I156" s="116"/>
      <c r="J156" s="116"/>
      <c r="K156" s="116"/>
      <c r="L156" s="116"/>
      <c r="M156" s="116"/>
      <c r="N156" s="116"/>
      <c r="O156" s="116"/>
      <c r="P156" s="300"/>
      <c r="Q156" s="300"/>
    </row>
    <row r="157" spans="1:17" s="498" customFormat="1" ht="21" customHeight="1">
      <c r="A157" s="300"/>
      <c r="B157" s="260"/>
      <c r="C157" s="503" t="s">
        <v>563</v>
      </c>
      <c r="D157" s="258">
        <v>13800000000</v>
      </c>
      <c r="E157" s="137">
        <v>25239607508</v>
      </c>
      <c r="F157" s="497">
        <f t="shared" si="3"/>
        <v>54.675969091935848</v>
      </c>
      <c r="G157" s="116"/>
      <c r="H157" s="116"/>
      <c r="I157" s="116"/>
      <c r="J157" s="116"/>
      <c r="K157" s="116"/>
      <c r="L157" s="116"/>
      <c r="M157" s="116"/>
      <c r="N157" s="116"/>
      <c r="O157" s="116"/>
      <c r="P157" s="300"/>
      <c r="Q157" s="300"/>
    </row>
    <row r="158" spans="1:17" s="498" customFormat="1" ht="21" customHeight="1">
      <c r="A158" s="300"/>
      <c r="B158" s="260"/>
      <c r="C158" s="504" t="s">
        <v>564</v>
      </c>
      <c r="D158" s="259">
        <v>13800000000</v>
      </c>
      <c r="E158" s="137">
        <v>25239607508</v>
      </c>
      <c r="F158" s="497">
        <f t="shared" si="3"/>
        <v>54.675969091935848</v>
      </c>
      <c r="G158" s="116"/>
      <c r="H158" s="116"/>
      <c r="I158" s="116"/>
      <c r="J158" s="116"/>
      <c r="K158" s="116"/>
      <c r="L158" s="116"/>
      <c r="M158" s="116"/>
      <c r="N158" s="116"/>
      <c r="O158" s="116"/>
      <c r="P158" s="300"/>
      <c r="Q158" s="300"/>
    </row>
    <row r="159" spans="1:17" s="498" customFormat="1" ht="21" customHeight="1">
      <c r="A159" s="300"/>
      <c r="B159" s="260"/>
      <c r="C159" s="504" t="s">
        <v>564</v>
      </c>
      <c r="D159" s="259">
        <v>13800000000</v>
      </c>
      <c r="E159" s="137">
        <v>25239607508</v>
      </c>
      <c r="F159" s="497">
        <f t="shared" si="3"/>
        <v>54.675969091935848</v>
      </c>
      <c r="G159" s="116"/>
      <c r="H159" s="116"/>
      <c r="I159" s="116"/>
      <c r="J159" s="116"/>
      <c r="K159" s="116"/>
      <c r="L159" s="116"/>
      <c r="M159" s="116"/>
      <c r="N159" s="116"/>
      <c r="O159" s="116"/>
      <c r="P159" s="300"/>
      <c r="Q159" s="300"/>
    </row>
    <row r="160" spans="1:17" s="498" customFormat="1" ht="21" customHeight="1">
      <c r="A160" s="300"/>
      <c r="B160" s="260"/>
      <c r="C160" s="504" t="s">
        <v>569</v>
      </c>
      <c r="D160" s="259">
        <v>4500000000</v>
      </c>
      <c r="E160" s="137">
        <v>25239607508</v>
      </c>
      <c r="F160" s="497">
        <f t="shared" si="3"/>
        <v>17.829120356066039</v>
      </c>
      <c r="G160" s="116"/>
      <c r="H160" s="116"/>
      <c r="I160" s="116"/>
      <c r="J160" s="116"/>
      <c r="K160" s="116"/>
      <c r="L160" s="116"/>
      <c r="M160" s="116"/>
      <c r="N160" s="116"/>
      <c r="O160" s="116"/>
      <c r="P160" s="300"/>
      <c r="Q160" s="300"/>
    </row>
    <row r="161" spans="1:17" ht="21" customHeight="1">
      <c r="B161" s="260"/>
      <c r="C161" s="123"/>
      <c r="D161" s="500"/>
      <c r="E161" s="137"/>
      <c r="F161" s="115"/>
      <c r="G161" s="116"/>
      <c r="H161" s="116"/>
      <c r="I161" s="116"/>
      <c r="J161" s="116"/>
      <c r="K161" s="116"/>
      <c r="L161" s="116"/>
      <c r="M161" s="116"/>
      <c r="N161" s="116"/>
      <c r="O161" s="116"/>
    </row>
    <row r="162" spans="1:17" s="498" customFormat="1" ht="21" customHeight="1">
      <c r="A162" s="300"/>
      <c r="B162" s="110" t="s">
        <v>586</v>
      </c>
      <c r="C162" s="336" t="s">
        <v>2564</v>
      </c>
      <c r="D162" s="501">
        <f>+D163+D173</f>
        <v>7710246373.3899994</v>
      </c>
      <c r="E162" s="361">
        <v>46073463891.389999</v>
      </c>
      <c r="F162" s="505">
        <f>+D162/E162*100</f>
        <v>16.734679188796257</v>
      </c>
      <c r="G162" s="116"/>
      <c r="H162" s="116"/>
      <c r="I162" s="116"/>
      <c r="J162" s="116"/>
      <c r="K162" s="116"/>
      <c r="L162" s="116"/>
      <c r="M162" s="116"/>
      <c r="N162" s="116"/>
      <c r="O162" s="116"/>
      <c r="P162" s="300"/>
      <c r="Q162" s="300"/>
    </row>
    <row r="163" spans="1:17" s="498" customFormat="1" ht="21" customHeight="1">
      <c r="A163" s="300"/>
      <c r="B163" s="110"/>
      <c r="C163" s="111" t="s">
        <v>65</v>
      </c>
      <c r="D163" s="506">
        <f>+D164+D169</f>
        <v>6210246373.3899994</v>
      </c>
      <c r="E163" s="113">
        <v>7710246373.3899994</v>
      </c>
      <c r="F163" s="126">
        <f t="shared" ref="F163:F177" si="4">+D163/E163*100</f>
        <v>80.545368755311415</v>
      </c>
      <c r="G163" s="116"/>
      <c r="H163" s="116"/>
      <c r="I163" s="116"/>
      <c r="J163" s="116"/>
      <c r="K163" s="116"/>
      <c r="L163" s="116"/>
      <c r="M163" s="116"/>
      <c r="N163" s="116"/>
      <c r="O163" s="116"/>
      <c r="P163" s="300"/>
      <c r="Q163" s="300"/>
    </row>
    <row r="164" spans="1:17" s="498" customFormat="1" ht="21" customHeight="1">
      <c r="A164" s="300"/>
      <c r="B164" s="110"/>
      <c r="C164" s="111" t="s">
        <v>597</v>
      </c>
      <c r="D164" s="506">
        <f>+D165+D166+D167+D168</f>
        <v>5852815650.3899994</v>
      </c>
      <c r="E164" s="113">
        <v>7710246373.3899994</v>
      </c>
      <c r="F164" s="126">
        <f t="shared" si="4"/>
        <v>75.909580147653116</v>
      </c>
      <c r="G164" s="116"/>
      <c r="H164" s="116"/>
      <c r="I164" s="116"/>
      <c r="J164" s="116"/>
      <c r="K164" s="116"/>
      <c r="L164" s="116"/>
      <c r="M164" s="116"/>
      <c r="N164" s="116"/>
      <c r="O164" s="116"/>
      <c r="P164" s="300"/>
      <c r="Q164" s="300"/>
    </row>
    <row r="165" spans="1:17" s="498" customFormat="1" ht="35.1" customHeight="1">
      <c r="A165" s="300"/>
      <c r="B165" s="110"/>
      <c r="C165" s="123" t="s">
        <v>598</v>
      </c>
      <c r="D165" s="507">
        <v>275000000</v>
      </c>
      <c r="E165" s="113">
        <v>7710246373.3899994</v>
      </c>
      <c r="F165" s="126">
        <f t="shared" si="4"/>
        <v>3.5666823948595758</v>
      </c>
      <c r="G165" s="116"/>
      <c r="H165" s="116"/>
      <c r="I165" s="116"/>
      <c r="J165" s="116"/>
      <c r="K165" s="116"/>
      <c r="L165" s="116"/>
      <c r="M165" s="116"/>
      <c r="N165" s="116"/>
      <c r="O165" s="116"/>
      <c r="P165" s="300"/>
      <c r="Q165" s="300"/>
    </row>
    <row r="166" spans="1:17" s="498" customFormat="1" ht="21" customHeight="1">
      <c r="A166" s="300"/>
      <c r="B166" s="110"/>
      <c r="C166" s="123" t="s">
        <v>599</v>
      </c>
      <c r="D166" s="508">
        <v>470815650.38999999</v>
      </c>
      <c r="E166" s="113">
        <v>7710246373.3899994</v>
      </c>
      <c r="F166" s="126">
        <f t="shared" si="4"/>
        <v>6.1063632417104508</v>
      </c>
      <c r="G166" s="116"/>
      <c r="H166" s="116"/>
      <c r="I166" s="116"/>
      <c r="J166" s="116"/>
      <c r="K166" s="116"/>
      <c r="L166" s="116"/>
      <c r="M166" s="116"/>
      <c r="N166" s="116"/>
      <c r="O166" s="116"/>
      <c r="P166" s="300"/>
      <c r="Q166" s="300"/>
    </row>
    <row r="167" spans="1:17" s="498" customFormat="1" ht="21" customHeight="1">
      <c r="A167" s="300"/>
      <c r="B167" s="110"/>
      <c r="C167" s="123" t="s">
        <v>600</v>
      </c>
      <c r="D167" s="507">
        <v>1327000000</v>
      </c>
      <c r="E167" s="113">
        <v>7710246373.3899994</v>
      </c>
      <c r="F167" s="126">
        <f t="shared" si="4"/>
        <v>17.210863774467843</v>
      </c>
      <c r="G167" s="116"/>
      <c r="H167" s="116"/>
      <c r="I167" s="116"/>
      <c r="J167" s="116"/>
      <c r="K167" s="116"/>
      <c r="L167" s="116"/>
      <c r="M167" s="116"/>
      <c r="N167" s="116"/>
      <c r="O167" s="116"/>
      <c r="P167" s="300"/>
      <c r="Q167" s="300"/>
    </row>
    <row r="168" spans="1:17" s="498" customFormat="1" ht="21" customHeight="1">
      <c r="A168" s="300"/>
      <c r="B168" s="110"/>
      <c r="C168" s="123" t="s">
        <v>601</v>
      </c>
      <c r="D168" s="507">
        <v>3780000000</v>
      </c>
      <c r="E168" s="113">
        <v>7710246373.3899994</v>
      </c>
      <c r="F168" s="126">
        <f t="shared" si="4"/>
        <v>49.025670736615254</v>
      </c>
      <c r="G168" s="116"/>
      <c r="H168" s="116"/>
      <c r="I168" s="116"/>
      <c r="J168" s="116"/>
      <c r="K168" s="116"/>
      <c r="L168" s="116"/>
      <c r="M168" s="116"/>
      <c r="N168" s="116"/>
      <c r="O168" s="116"/>
      <c r="P168" s="300"/>
      <c r="Q168" s="300"/>
    </row>
    <row r="169" spans="1:17" s="498" customFormat="1" ht="21" customHeight="1">
      <c r="A169" s="300"/>
      <c r="B169" s="509"/>
      <c r="C169" s="111" t="s">
        <v>602</v>
      </c>
      <c r="D169" s="510">
        <f>+D170+D171</f>
        <v>357430723</v>
      </c>
      <c r="E169" s="113">
        <v>7710246373.3899994</v>
      </c>
      <c r="F169" s="126">
        <f t="shared" si="4"/>
        <v>4.6357886076582897</v>
      </c>
      <c r="G169" s="116"/>
      <c r="H169" s="116"/>
      <c r="I169" s="116"/>
      <c r="J169" s="116"/>
      <c r="K169" s="116"/>
      <c r="L169" s="116"/>
      <c r="M169" s="116"/>
      <c r="N169" s="116"/>
      <c r="O169" s="116"/>
      <c r="P169" s="300"/>
      <c r="Q169" s="300"/>
    </row>
    <row r="170" spans="1:17" s="498" customFormat="1" ht="21" customHeight="1">
      <c r="A170" s="300"/>
      <c r="B170" s="110"/>
      <c r="C170" s="123" t="s">
        <v>603</v>
      </c>
      <c r="D170" s="507">
        <v>60000000</v>
      </c>
      <c r="E170" s="113">
        <v>7710246373.3899994</v>
      </c>
      <c r="F170" s="126">
        <f t="shared" si="4"/>
        <v>0.77818524978754378</v>
      </c>
      <c r="G170" s="116"/>
      <c r="H170" s="116"/>
      <c r="I170" s="116"/>
      <c r="J170" s="116"/>
      <c r="K170" s="116"/>
      <c r="L170" s="116"/>
      <c r="M170" s="116"/>
      <c r="N170" s="116"/>
      <c r="O170" s="116"/>
      <c r="P170" s="300"/>
      <c r="Q170" s="300"/>
    </row>
    <row r="171" spans="1:17" s="498" customFormat="1" ht="21" customHeight="1">
      <c r="A171" s="300"/>
      <c r="B171" s="110"/>
      <c r="C171" s="123" t="s">
        <v>604</v>
      </c>
      <c r="D171" s="507">
        <v>297430723</v>
      </c>
      <c r="E171" s="113">
        <v>7710246373.3899994</v>
      </c>
      <c r="F171" s="126">
        <f t="shared" si="4"/>
        <v>3.8576033578707452</v>
      </c>
      <c r="G171" s="116"/>
      <c r="H171" s="116"/>
      <c r="I171" s="116"/>
      <c r="J171" s="116"/>
      <c r="K171" s="116"/>
      <c r="L171" s="116"/>
      <c r="M171" s="116"/>
      <c r="N171" s="116"/>
      <c r="O171" s="116"/>
      <c r="P171" s="300"/>
      <c r="Q171" s="300"/>
    </row>
    <row r="172" spans="1:17" s="498" customFormat="1" ht="21" customHeight="1">
      <c r="A172" s="300"/>
      <c r="B172" s="110"/>
      <c r="C172" s="123"/>
      <c r="D172" s="507"/>
      <c r="E172" s="113"/>
      <c r="F172" s="126"/>
      <c r="G172" s="116"/>
      <c r="H172" s="116"/>
      <c r="I172" s="116"/>
      <c r="J172" s="116"/>
      <c r="K172" s="116"/>
      <c r="L172" s="116"/>
      <c r="M172" s="116"/>
      <c r="N172" s="116"/>
      <c r="O172" s="116"/>
      <c r="P172" s="300"/>
      <c r="Q172" s="300"/>
    </row>
    <row r="173" spans="1:17" s="498" customFormat="1" ht="21" customHeight="1">
      <c r="A173" s="300"/>
      <c r="B173" s="110"/>
      <c r="C173" s="111" t="s">
        <v>605</v>
      </c>
      <c r="D173" s="510">
        <f>+D174+D176</f>
        <v>1500000000</v>
      </c>
      <c r="E173" s="113">
        <v>7710246373.3899994</v>
      </c>
      <c r="F173" s="126">
        <f t="shared" si="4"/>
        <v>19.454631244688596</v>
      </c>
      <c r="G173" s="116"/>
      <c r="H173" s="116"/>
      <c r="I173" s="116"/>
      <c r="J173" s="116"/>
      <c r="K173" s="116"/>
      <c r="L173" s="116"/>
      <c r="M173" s="116"/>
      <c r="N173" s="116"/>
      <c r="O173" s="116"/>
      <c r="P173" s="300"/>
      <c r="Q173" s="300"/>
    </row>
    <row r="174" spans="1:17" s="498" customFormat="1" ht="21" customHeight="1">
      <c r="A174" s="300"/>
      <c r="B174" s="110"/>
      <c r="C174" s="111" t="s">
        <v>606</v>
      </c>
      <c r="D174" s="510">
        <f>+D175</f>
        <v>500000000</v>
      </c>
      <c r="E174" s="113">
        <v>7710246373.3899994</v>
      </c>
      <c r="F174" s="126">
        <f t="shared" si="4"/>
        <v>6.4848770815628649</v>
      </c>
      <c r="G174" s="116"/>
      <c r="H174" s="116"/>
      <c r="I174" s="116"/>
      <c r="J174" s="116"/>
      <c r="K174" s="116"/>
      <c r="L174" s="116"/>
      <c r="M174" s="116"/>
      <c r="N174" s="116"/>
      <c r="O174" s="116"/>
      <c r="P174" s="300"/>
      <c r="Q174" s="300"/>
    </row>
    <row r="175" spans="1:17" s="498" customFormat="1" ht="21" customHeight="1">
      <c r="A175" s="300"/>
      <c r="B175" s="110"/>
      <c r="C175" s="123" t="s">
        <v>607</v>
      </c>
      <c r="D175" s="507">
        <v>500000000</v>
      </c>
      <c r="E175" s="113">
        <v>7710246373.3899994</v>
      </c>
      <c r="F175" s="126">
        <f t="shared" si="4"/>
        <v>6.4848770815628649</v>
      </c>
      <c r="G175" s="116"/>
      <c r="H175" s="116"/>
      <c r="I175" s="116"/>
      <c r="J175" s="116"/>
      <c r="K175" s="116"/>
      <c r="L175" s="116"/>
      <c r="M175" s="116"/>
      <c r="N175" s="116"/>
      <c r="O175" s="116"/>
      <c r="P175" s="300"/>
      <c r="Q175" s="300"/>
    </row>
    <row r="176" spans="1:17" s="498" customFormat="1" ht="46.5" customHeight="1">
      <c r="A176" s="300"/>
      <c r="B176" s="110"/>
      <c r="C176" s="111" t="s">
        <v>608</v>
      </c>
      <c r="D176" s="258">
        <f>+D177</f>
        <v>1000000000</v>
      </c>
      <c r="E176" s="113">
        <v>7710246373.3899994</v>
      </c>
      <c r="F176" s="126">
        <f t="shared" si="4"/>
        <v>12.96975416312573</v>
      </c>
      <c r="G176" s="116"/>
      <c r="H176" s="116"/>
      <c r="I176" s="116"/>
      <c r="J176" s="116"/>
      <c r="K176" s="116"/>
      <c r="L176" s="116"/>
      <c r="M176" s="116"/>
      <c r="N176" s="116"/>
      <c r="O176" s="116"/>
      <c r="P176" s="300"/>
      <c r="Q176" s="300"/>
    </row>
    <row r="177" spans="1:17" s="498" customFormat="1" ht="21" customHeight="1">
      <c r="A177" s="300"/>
      <c r="B177" s="110"/>
      <c r="C177" s="123" t="s">
        <v>609</v>
      </c>
      <c r="D177" s="507">
        <v>1000000000</v>
      </c>
      <c r="E177" s="113">
        <v>7710246373.3899994</v>
      </c>
      <c r="F177" s="126">
        <f t="shared" si="4"/>
        <v>12.96975416312573</v>
      </c>
      <c r="G177" s="116"/>
      <c r="H177" s="116"/>
      <c r="I177" s="116"/>
      <c r="J177" s="116"/>
      <c r="K177" s="116"/>
      <c r="L177" s="116"/>
      <c r="M177" s="116"/>
      <c r="N177" s="116"/>
      <c r="O177" s="116"/>
      <c r="P177" s="300"/>
      <c r="Q177" s="300"/>
    </row>
    <row r="178" spans="1:17" ht="21" customHeight="1">
      <c r="B178" s="260"/>
      <c r="C178" s="123"/>
      <c r="D178" s="500"/>
      <c r="E178" s="137"/>
      <c r="F178" s="511"/>
      <c r="G178" s="116"/>
      <c r="H178" s="116"/>
      <c r="I178" s="116"/>
      <c r="J178" s="116"/>
      <c r="K178" s="116"/>
      <c r="L178" s="116"/>
      <c r="M178" s="116"/>
      <c r="N178" s="116"/>
      <c r="O178" s="116"/>
    </row>
    <row r="179" spans="1:17" s="498" customFormat="1" ht="21" customHeight="1">
      <c r="A179" s="300"/>
      <c r="B179" s="110" t="s">
        <v>659</v>
      </c>
      <c r="C179" s="512" t="s">
        <v>2565</v>
      </c>
      <c r="D179" s="513">
        <f>+D180+D199+D203</f>
        <v>6863545986.4400005</v>
      </c>
      <c r="E179" s="350">
        <f>+A.2!E19</f>
        <v>45756973242.93</v>
      </c>
      <c r="F179" s="505">
        <f>+D179/E179*100</f>
        <v>15.000000000001092</v>
      </c>
      <c r="G179" s="116"/>
      <c r="H179" s="116"/>
      <c r="I179" s="116"/>
      <c r="J179" s="116"/>
      <c r="K179" s="116"/>
      <c r="L179" s="116"/>
      <c r="M179" s="116"/>
      <c r="N179" s="116"/>
      <c r="O179" s="116"/>
      <c r="P179" s="300"/>
      <c r="Q179" s="300"/>
    </row>
    <row r="180" spans="1:17" s="498" customFormat="1" ht="21" customHeight="1">
      <c r="A180" s="300"/>
      <c r="B180" s="260"/>
      <c r="C180" s="111" t="s">
        <v>161</v>
      </c>
      <c r="D180" s="138">
        <v>2000000000</v>
      </c>
      <c r="E180" s="350">
        <v>6863545986</v>
      </c>
      <c r="F180" s="505">
        <f t="shared" ref="F180:F212" si="5">+D180/E180*100</f>
        <v>29.139456544467308</v>
      </c>
      <c r="G180" s="116"/>
      <c r="H180" s="116"/>
      <c r="I180" s="116"/>
      <c r="J180" s="116"/>
      <c r="K180" s="116"/>
      <c r="L180" s="116"/>
      <c r="M180" s="116"/>
      <c r="N180" s="116"/>
      <c r="O180" s="116"/>
      <c r="P180" s="300"/>
      <c r="Q180" s="300"/>
    </row>
    <row r="181" spans="1:17" s="498" customFormat="1" ht="21" customHeight="1">
      <c r="A181" s="300"/>
      <c r="B181" s="260"/>
      <c r="C181" s="111" t="s">
        <v>672</v>
      </c>
      <c r="D181" s="138">
        <f>D182</f>
        <v>88000000</v>
      </c>
      <c r="E181" s="350">
        <v>6863545987</v>
      </c>
      <c r="F181" s="505">
        <f t="shared" si="5"/>
        <v>1.2821360877697576</v>
      </c>
      <c r="G181" s="116"/>
      <c r="H181" s="116"/>
      <c r="I181" s="116"/>
      <c r="J181" s="116"/>
      <c r="K181" s="116"/>
      <c r="L181" s="116"/>
      <c r="M181" s="116"/>
      <c r="N181" s="116"/>
      <c r="O181" s="116"/>
      <c r="P181" s="300"/>
      <c r="Q181" s="300"/>
    </row>
    <row r="182" spans="1:17" s="498" customFormat="1" ht="35.1" customHeight="1">
      <c r="A182" s="300"/>
      <c r="B182" s="260"/>
      <c r="C182" s="123" t="s">
        <v>673</v>
      </c>
      <c r="D182" s="514">
        <v>88000000</v>
      </c>
      <c r="E182" s="350">
        <v>6863545988</v>
      </c>
      <c r="F182" s="505">
        <f t="shared" si="5"/>
        <v>1.2821360875829539</v>
      </c>
      <c r="G182" s="116"/>
      <c r="H182" s="116"/>
      <c r="I182" s="116"/>
      <c r="J182" s="116"/>
      <c r="K182" s="116"/>
      <c r="L182" s="116"/>
      <c r="M182" s="116"/>
      <c r="N182" s="116"/>
      <c r="O182" s="116"/>
      <c r="P182" s="300"/>
      <c r="Q182" s="300"/>
    </row>
    <row r="183" spans="1:17" s="498" customFormat="1" ht="21" customHeight="1">
      <c r="A183" s="300"/>
      <c r="B183" s="260"/>
      <c r="C183" s="111" t="s">
        <v>674</v>
      </c>
      <c r="D183" s="138">
        <f>D184+D185</f>
        <v>200000000</v>
      </c>
      <c r="E183" s="350">
        <v>6863545989</v>
      </c>
      <c r="F183" s="505">
        <f t="shared" si="5"/>
        <v>2.9139456531730685</v>
      </c>
      <c r="G183" s="116"/>
      <c r="H183" s="116"/>
      <c r="I183" s="116"/>
      <c r="J183" s="116"/>
      <c r="K183" s="116"/>
      <c r="L183" s="116"/>
      <c r="M183" s="116"/>
      <c r="N183" s="116"/>
      <c r="O183" s="116"/>
      <c r="P183" s="300"/>
      <c r="Q183" s="300"/>
    </row>
    <row r="184" spans="1:17" s="498" customFormat="1" ht="21" customHeight="1">
      <c r="A184" s="300"/>
      <c r="B184" s="260"/>
      <c r="C184" s="123" t="s">
        <v>675</v>
      </c>
      <c r="D184" s="514">
        <v>180350000</v>
      </c>
      <c r="E184" s="350">
        <v>6863545990</v>
      </c>
      <c r="F184" s="505">
        <f t="shared" si="5"/>
        <v>2.6276504923659729</v>
      </c>
      <c r="G184" s="116"/>
      <c r="H184" s="116"/>
      <c r="I184" s="116"/>
      <c r="J184" s="116"/>
      <c r="K184" s="116"/>
      <c r="L184" s="116"/>
      <c r="M184" s="116"/>
      <c r="N184" s="116"/>
      <c r="O184" s="116"/>
      <c r="P184" s="300"/>
      <c r="Q184" s="300"/>
    </row>
    <row r="185" spans="1:17" s="498" customFormat="1" ht="21" customHeight="1">
      <c r="A185" s="300"/>
      <c r="B185" s="260"/>
      <c r="C185" s="123" t="s">
        <v>676</v>
      </c>
      <c r="D185" s="514">
        <v>19650000</v>
      </c>
      <c r="E185" s="350">
        <v>6863545991</v>
      </c>
      <c r="F185" s="505">
        <f t="shared" si="5"/>
        <v>0.28629516034082914</v>
      </c>
      <c r="G185" s="116"/>
      <c r="H185" s="116"/>
      <c r="I185" s="116"/>
      <c r="J185" s="116"/>
      <c r="K185" s="116"/>
      <c r="L185" s="116"/>
      <c r="M185" s="116"/>
      <c r="N185" s="116"/>
      <c r="O185" s="116"/>
      <c r="P185" s="300"/>
      <c r="Q185" s="300"/>
    </row>
    <row r="186" spans="1:17" s="498" customFormat="1" ht="21" customHeight="1">
      <c r="A186" s="300"/>
      <c r="B186" s="260"/>
      <c r="C186" s="111" t="s">
        <v>606</v>
      </c>
      <c r="D186" s="138">
        <f>SUM(D187:D189)</f>
        <v>800000000</v>
      </c>
      <c r="E186" s="350">
        <v>6863545992</v>
      </c>
      <c r="F186" s="505">
        <f t="shared" si="5"/>
        <v>11.655782607597628</v>
      </c>
      <c r="G186" s="116"/>
      <c r="H186" s="116"/>
      <c r="I186" s="116"/>
      <c r="J186" s="116"/>
      <c r="K186" s="116"/>
      <c r="L186" s="116"/>
      <c r="M186" s="116"/>
      <c r="N186" s="116"/>
      <c r="O186" s="116"/>
      <c r="P186" s="300"/>
      <c r="Q186" s="300"/>
    </row>
    <row r="187" spans="1:17" s="498" customFormat="1" ht="35.1" customHeight="1">
      <c r="A187" s="300"/>
      <c r="B187" s="260"/>
      <c r="C187" s="123" t="s">
        <v>677</v>
      </c>
      <c r="D187" s="514">
        <v>455720000</v>
      </c>
      <c r="E187" s="350">
        <v>6863545993</v>
      </c>
      <c r="F187" s="505">
        <f t="shared" si="5"/>
        <v>6.6397165614505997</v>
      </c>
      <c r="G187" s="116"/>
      <c r="H187" s="116"/>
      <c r="I187" s="116"/>
      <c r="J187" s="116"/>
      <c r="K187" s="116"/>
      <c r="L187" s="116"/>
      <c r="M187" s="116"/>
      <c r="N187" s="116"/>
      <c r="O187" s="116"/>
      <c r="P187" s="300"/>
      <c r="Q187" s="300"/>
    </row>
    <row r="188" spans="1:17" s="498" customFormat="1" ht="21" customHeight="1">
      <c r="A188" s="300"/>
      <c r="B188" s="260"/>
      <c r="C188" s="123" t="s">
        <v>2030</v>
      </c>
      <c r="D188" s="514">
        <v>312480000</v>
      </c>
      <c r="E188" s="350">
        <v>6863545994</v>
      </c>
      <c r="F188" s="505">
        <f t="shared" si="5"/>
        <v>4.5527486852009869</v>
      </c>
      <c r="G188" s="116"/>
      <c r="H188" s="116"/>
      <c r="I188" s="116"/>
      <c r="J188" s="116"/>
      <c r="K188" s="116"/>
      <c r="L188" s="116"/>
      <c r="M188" s="116"/>
      <c r="N188" s="116"/>
      <c r="O188" s="116"/>
      <c r="P188" s="300"/>
      <c r="Q188" s="300"/>
    </row>
    <row r="189" spans="1:17" s="498" customFormat="1" ht="21" customHeight="1">
      <c r="A189" s="300"/>
      <c r="B189" s="260"/>
      <c r="C189" s="123" t="s">
        <v>678</v>
      </c>
      <c r="D189" s="514">
        <v>31800000</v>
      </c>
      <c r="E189" s="350">
        <v>6863545995</v>
      </c>
      <c r="F189" s="505">
        <f t="shared" si="5"/>
        <v>0.4633173584494934</v>
      </c>
      <c r="G189" s="116"/>
      <c r="H189" s="116"/>
      <c r="I189" s="116"/>
      <c r="J189" s="116"/>
      <c r="K189" s="116"/>
      <c r="L189" s="116"/>
      <c r="M189" s="116"/>
      <c r="N189" s="116"/>
      <c r="O189" s="116"/>
      <c r="P189" s="300"/>
      <c r="Q189" s="300"/>
    </row>
    <row r="190" spans="1:17" s="498" customFormat="1" ht="21" customHeight="1">
      <c r="A190" s="300"/>
      <c r="B190" s="260"/>
      <c r="C190" s="111" t="s">
        <v>597</v>
      </c>
      <c r="D190" s="138">
        <f>SUM(D191:D194)</f>
        <v>805250000</v>
      </c>
      <c r="E190" s="350">
        <v>6863545996</v>
      </c>
      <c r="F190" s="505">
        <f t="shared" si="5"/>
        <v>11.732273674122546</v>
      </c>
      <c r="G190" s="116"/>
      <c r="H190" s="116"/>
      <c r="I190" s="116"/>
      <c r="J190" s="116"/>
      <c r="K190" s="116"/>
      <c r="L190" s="116"/>
      <c r="M190" s="116"/>
      <c r="N190" s="116"/>
      <c r="O190" s="116"/>
      <c r="P190" s="300"/>
      <c r="Q190" s="300"/>
    </row>
    <row r="191" spans="1:17" s="498" customFormat="1" ht="21" customHeight="1">
      <c r="A191" s="300"/>
      <c r="B191" s="260"/>
      <c r="C191" s="123" t="s">
        <v>679</v>
      </c>
      <c r="D191" s="514">
        <v>340000000</v>
      </c>
      <c r="E191" s="350">
        <v>6863545997</v>
      </c>
      <c r="F191" s="505">
        <f t="shared" si="5"/>
        <v>4.9537076046202824</v>
      </c>
      <c r="G191" s="116"/>
      <c r="H191" s="116"/>
      <c r="I191" s="116"/>
      <c r="J191" s="116"/>
      <c r="K191" s="116"/>
      <c r="L191" s="116"/>
      <c r="M191" s="116"/>
      <c r="N191" s="116"/>
      <c r="O191" s="116"/>
      <c r="P191" s="300"/>
      <c r="Q191" s="300"/>
    </row>
    <row r="192" spans="1:17" s="498" customFormat="1" ht="35.1" customHeight="1">
      <c r="A192" s="300"/>
      <c r="B192" s="260"/>
      <c r="C192" s="123" t="s">
        <v>680</v>
      </c>
      <c r="D192" s="514">
        <v>45250000</v>
      </c>
      <c r="E192" s="350">
        <v>6863545998</v>
      </c>
      <c r="F192" s="505">
        <f t="shared" si="5"/>
        <v>0.65928020316590874</v>
      </c>
      <c r="G192" s="116"/>
      <c r="H192" s="116"/>
      <c r="I192" s="116"/>
      <c r="J192" s="116"/>
      <c r="K192" s="116"/>
      <c r="L192" s="116"/>
      <c r="M192" s="116"/>
      <c r="N192" s="116"/>
      <c r="O192" s="116"/>
      <c r="P192" s="300"/>
      <c r="Q192" s="300"/>
    </row>
    <row r="193" spans="1:17" s="498" customFormat="1" ht="35.1" customHeight="1">
      <c r="A193" s="300"/>
      <c r="B193" s="260"/>
      <c r="C193" s="123" t="s">
        <v>681</v>
      </c>
      <c r="D193" s="514">
        <v>220000000</v>
      </c>
      <c r="E193" s="350">
        <v>6863545999</v>
      </c>
      <c r="F193" s="505">
        <f t="shared" si="5"/>
        <v>3.205340213820282</v>
      </c>
      <c r="G193" s="116"/>
      <c r="H193" s="116"/>
      <c r="I193" s="116"/>
      <c r="J193" s="116"/>
      <c r="K193" s="116"/>
      <c r="L193" s="116"/>
      <c r="M193" s="116"/>
      <c r="N193" s="116"/>
      <c r="O193" s="116"/>
      <c r="P193" s="300"/>
      <c r="Q193" s="300"/>
    </row>
    <row r="194" spans="1:17" s="498" customFormat="1" ht="21" customHeight="1">
      <c r="A194" s="300"/>
      <c r="B194" s="260"/>
      <c r="C194" s="123" t="s">
        <v>682</v>
      </c>
      <c r="D194" s="514">
        <v>200000000</v>
      </c>
      <c r="E194" s="350">
        <v>6863546000</v>
      </c>
      <c r="F194" s="505">
        <f t="shared" si="5"/>
        <v>2.9139456485029749</v>
      </c>
      <c r="G194" s="116"/>
      <c r="H194" s="116"/>
      <c r="I194" s="116"/>
      <c r="J194" s="116"/>
      <c r="K194" s="116"/>
      <c r="L194" s="116"/>
      <c r="M194" s="116"/>
      <c r="N194" s="116"/>
      <c r="O194" s="116"/>
      <c r="P194" s="300"/>
      <c r="Q194" s="300"/>
    </row>
    <row r="195" spans="1:17" s="498" customFormat="1" ht="21" customHeight="1">
      <c r="A195" s="300"/>
      <c r="B195" s="260"/>
      <c r="C195" s="111" t="s">
        <v>683</v>
      </c>
      <c r="D195" s="138">
        <f>SUM(D196:D197)</f>
        <v>106750000</v>
      </c>
      <c r="E195" s="350">
        <v>6863546001</v>
      </c>
      <c r="F195" s="505">
        <f t="shared" si="5"/>
        <v>1.5553184896618573</v>
      </c>
      <c r="G195" s="116"/>
      <c r="H195" s="116"/>
      <c r="I195" s="116"/>
      <c r="J195" s="116"/>
      <c r="K195" s="116"/>
      <c r="L195" s="116"/>
      <c r="M195" s="116"/>
      <c r="N195" s="116"/>
      <c r="O195" s="116"/>
      <c r="P195" s="300"/>
      <c r="Q195" s="300"/>
    </row>
    <row r="196" spans="1:17" s="498" customFormat="1" ht="21" customHeight="1">
      <c r="A196" s="300"/>
      <c r="B196" s="260"/>
      <c r="C196" s="123" t="s">
        <v>684</v>
      </c>
      <c r="D196" s="514">
        <v>56250000</v>
      </c>
      <c r="E196" s="350">
        <v>6863546002</v>
      </c>
      <c r="F196" s="505">
        <f t="shared" si="5"/>
        <v>0.81954721340265002</v>
      </c>
      <c r="G196" s="116"/>
      <c r="H196" s="116"/>
      <c r="I196" s="116"/>
      <c r="J196" s="116"/>
      <c r="K196" s="116"/>
      <c r="L196" s="116"/>
      <c r="M196" s="116"/>
      <c r="N196" s="116"/>
      <c r="O196" s="116"/>
      <c r="P196" s="300"/>
      <c r="Q196" s="300"/>
    </row>
    <row r="197" spans="1:17" s="498" customFormat="1" ht="21" customHeight="1">
      <c r="A197" s="300"/>
      <c r="B197" s="260"/>
      <c r="C197" s="123" t="s">
        <v>685</v>
      </c>
      <c r="D197" s="514">
        <v>50500000</v>
      </c>
      <c r="E197" s="350">
        <v>6863546003</v>
      </c>
      <c r="F197" s="505">
        <f t="shared" si="5"/>
        <v>0.73577127592540148</v>
      </c>
      <c r="G197" s="116"/>
      <c r="H197" s="116"/>
      <c r="I197" s="116"/>
      <c r="J197" s="116"/>
      <c r="K197" s="116"/>
      <c r="L197" s="116"/>
      <c r="M197" s="116"/>
      <c r="N197" s="116"/>
      <c r="O197" s="116"/>
      <c r="P197" s="300"/>
      <c r="Q197" s="300"/>
    </row>
    <row r="198" spans="1:17" s="498" customFormat="1" ht="21" customHeight="1">
      <c r="A198" s="300"/>
      <c r="B198" s="260"/>
      <c r="C198" s="123"/>
      <c r="D198" s="514"/>
      <c r="E198" s="350"/>
      <c r="F198" s="505"/>
      <c r="G198" s="116"/>
      <c r="H198" s="116"/>
      <c r="I198" s="116"/>
      <c r="J198" s="116"/>
      <c r="K198" s="116"/>
      <c r="L198" s="116"/>
      <c r="M198" s="116"/>
      <c r="N198" s="116"/>
      <c r="O198" s="116"/>
      <c r="P198" s="300"/>
      <c r="Q198" s="300"/>
    </row>
    <row r="199" spans="1:17" s="498" customFormat="1" ht="21" customHeight="1">
      <c r="A199" s="300"/>
      <c r="B199" s="260"/>
      <c r="C199" s="111" t="s">
        <v>425</v>
      </c>
      <c r="D199" s="138">
        <f>D200</f>
        <v>3000000000</v>
      </c>
      <c r="E199" s="350">
        <v>6863546005</v>
      </c>
      <c r="F199" s="505">
        <f t="shared" si="5"/>
        <v>43.70918469570308</v>
      </c>
      <c r="G199" s="116"/>
      <c r="H199" s="116"/>
      <c r="I199" s="116"/>
      <c r="J199" s="116"/>
      <c r="K199" s="116"/>
      <c r="L199" s="116"/>
      <c r="M199" s="116"/>
      <c r="N199" s="116"/>
      <c r="O199" s="116"/>
      <c r="P199" s="300"/>
      <c r="Q199" s="300"/>
    </row>
    <row r="200" spans="1:17" s="498" customFormat="1" ht="53.25" customHeight="1">
      <c r="A200" s="300"/>
      <c r="B200" s="260"/>
      <c r="C200" s="111" t="s">
        <v>686</v>
      </c>
      <c r="D200" s="138">
        <f>D201</f>
        <v>3000000000</v>
      </c>
      <c r="E200" s="350">
        <v>6863546006</v>
      </c>
      <c r="F200" s="505">
        <f t="shared" si="5"/>
        <v>43.709184689334769</v>
      </c>
      <c r="G200" s="116"/>
      <c r="H200" s="116"/>
      <c r="I200" s="116"/>
      <c r="J200" s="116"/>
      <c r="K200" s="116"/>
      <c r="L200" s="116"/>
      <c r="M200" s="116"/>
      <c r="N200" s="116"/>
      <c r="O200" s="116"/>
      <c r="P200" s="300"/>
      <c r="Q200" s="300"/>
    </row>
    <row r="201" spans="1:17" s="498" customFormat="1" ht="21" customHeight="1">
      <c r="A201" s="300"/>
      <c r="B201" s="260"/>
      <c r="C201" s="123" t="s">
        <v>687</v>
      </c>
      <c r="D201" s="514">
        <v>3000000000</v>
      </c>
      <c r="E201" s="350">
        <v>6863546007</v>
      </c>
      <c r="F201" s="505">
        <f t="shared" si="5"/>
        <v>43.709184682966459</v>
      </c>
      <c r="G201" s="116"/>
      <c r="H201" s="116"/>
      <c r="I201" s="116"/>
      <c r="J201" s="116"/>
      <c r="K201" s="116"/>
      <c r="L201" s="116"/>
      <c r="M201" s="116"/>
      <c r="N201" s="116"/>
      <c r="O201" s="116"/>
      <c r="P201" s="300"/>
      <c r="Q201" s="300"/>
    </row>
    <row r="202" spans="1:17" s="498" customFormat="1" ht="21" customHeight="1">
      <c r="A202" s="300"/>
      <c r="B202" s="260"/>
      <c r="C202" s="123"/>
      <c r="D202" s="514"/>
      <c r="E202" s="350"/>
      <c r="F202" s="505"/>
      <c r="G202" s="116"/>
      <c r="H202" s="116"/>
      <c r="I202" s="116"/>
      <c r="J202" s="116"/>
      <c r="K202" s="116"/>
      <c r="L202" s="116"/>
      <c r="M202" s="116"/>
      <c r="N202" s="116"/>
      <c r="O202" s="116"/>
      <c r="P202" s="300"/>
      <c r="Q202" s="300"/>
    </row>
    <row r="203" spans="1:17" s="498" customFormat="1" ht="21" customHeight="1">
      <c r="A203" s="300"/>
      <c r="B203" s="260"/>
      <c r="C203" s="111" t="s">
        <v>688</v>
      </c>
      <c r="D203" s="138">
        <f>D204+D206+D208+D211</f>
        <v>1863545986.4400001</v>
      </c>
      <c r="E203" s="350">
        <v>6863546009</v>
      </c>
      <c r="F203" s="505">
        <f t="shared" si="5"/>
        <v>27.1513585542572</v>
      </c>
      <c r="G203" s="116"/>
      <c r="H203" s="116"/>
      <c r="I203" s="116"/>
      <c r="J203" s="116"/>
      <c r="K203" s="116"/>
      <c r="L203" s="116"/>
      <c r="M203" s="116"/>
      <c r="N203" s="116"/>
      <c r="O203" s="116"/>
      <c r="P203" s="300"/>
      <c r="Q203" s="300"/>
    </row>
    <row r="204" spans="1:17" s="498" customFormat="1" ht="21" customHeight="1">
      <c r="A204" s="300"/>
      <c r="B204" s="260"/>
      <c r="C204" s="111" t="s">
        <v>689</v>
      </c>
      <c r="D204" s="515">
        <f>D205</f>
        <v>219640400</v>
      </c>
      <c r="E204" s="350">
        <v>6863546010</v>
      </c>
      <c r="F204" s="505">
        <f t="shared" si="5"/>
        <v>3.2001009344148041</v>
      </c>
      <c r="G204" s="116"/>
      <c r="H204" s="116"/>
      <c r="I204" s="116"/>
      <c r="J204" s="116"/>
      <c r="K204" s="116"/>
      <c r="L204" s="116"/>
      <c r="M204" s="116"/>
      <c r="N204" s="116"/>
      <c r="O204" s="116"/>
      <c r="P204" s="300"/>
      <c r="Q204" s="300"/>
    </row>
    <row r="205" spans="1:17" s="498" customFormat="1" ht="21" customHeight="1">
      <c r="A205" s="300"/>
      <c r="B205" s="260"/>
      <c r="C205" s="123" t="s">
        <v>690</v>
      </c>
      <c r="D205" s="516">
        <v>219640400</v>
      </c>
      <c r="E205" s="350">
        <v>6863546011</v>
      </c>
      <c r="F205" s="505">
        <f t="shared" si="5"/>
        <v>3.2001009339485584</v>
      </c>
      <c r="G205" s="116"/>
      <c r="H205" s="116"/>
      <c r="I205" s="116"/>
      <c r="J205" s="116"/>
      <c r="K205" s="116"/>
      <c r="L205" s="116"/>
      <c r="M205" s="116"/>
      <c r="N205" s="116"/>
      <c r="O205" s="116"/>
      <c r="P205" s="300"/>
      <c r="Q205" s="300"/>
    </row>
    <row r="206" spans="1:17" s="498" customFormat="1" ht="21" customHeight="1">
      <c r="A206" s="300"/>
      <c r="B206" s="260"/>
      <c r="C206" s="111" t="s">
        <v>597</v>
      </c>
      <c r="D206" s="138">
        <f>D207</f>
        <v>333600900</v>
      </c>
      <c r="E206" s="350">
        <v>6863546012</v>
      </c>
      <c r="F206" s="505">
        <f t="shared" si="5"/>
        <v>4.8604744459604854</v>
      </c>
      <c r="G206" s="116"/>
      <c r="H206" s="116"/>
      <c r="I206" s="116"/>
      <c r="J206" s="116"/>
      <c r="K206" s="116"/>
      <c r="L206" s="116"/>
      <c r="M206" s="116"/>
      <c r="N206" s="116"/>
      <c r="O206" s="116"/>
      <c r="P206" s="300"/>
      <c r="Q206" s="300"/>
    </row>
    <row r="207" spans="1:17" s="498" customFormat="1" ht="35.1" customHeight="1">
      <c r="A207" s="300"/>
      <c r="B207" s="260"/>
      <c r="C207" s="123" t="s">
        <v>691</v>
      </c>
      <c r="D207" s="514">
        <v>333600900</v>
      </c>
      <c r="E207" s="350">
        <v>6863546013</v>
      </c>
      <c r="F207" s="505">
        <f t="shared" si="5"/>
        <v>4.8604744452523274</v>
      </c>
      <c r="G207" s="116"/>
      <c r="H207" s="116"/>
      <c r="I207" s="116"/>
      <c r="J207" s="116"/>
      <c r="K207" s="116"/>
      <c r="L207" s="116"/>
      <c r="M207" s="116"/>
      <c r="N207" s="116"/>
      <c r="O207" s="116"/>
      <c r="P207" s="300"/>
      <c r="Q207" s="300"/>
    </row>
    <row r="208" spans="1:17" s="498" customFormat="1" ht="21" customHeight="1">
      <c r="A208" s="300"/>
      <c r="B208" s="260"/>
      <c r="C208" s="111" t="s">
        <v>692</v>
      </c>
      <c r="D208" s="138">
        <f>SUM(D209:D210)</f>
        <v>939957186.44000006</v>
      </c>
      <c r="E208" s="350">
        <v>6863546014</v>
      </c>
      <c r="F208" s="505">
        <f t="shared" si="5"/>
        <v>13.694920738095309</v>
      </c>
      <c r="G208" s="116"/>
      <c r="H208" s="116"/>
      <c r="I208" s="116"/>
      <c r="J208" s="116"/>
      <c r="K208" s="116"/>
      <c r="L208" s="116"/>
      <c r="M208" s="116"/>
      <c r="N208" s="116"/>
      <c r="O208" s="116"/>
      <c r="P208" s="300"/>
      <c r="Q208" s="300"/>
    </row>
    <row r="209" spans="1:17" s="498" customFormat="1" ht="35.1" customHeight="1">
      <c r="A209" s="300"/>
      <c r="B209" s="260"/>
      <c r="C209" s="123" t="s">
        <v>693</v>
      </c>
      <c r="D209" s="514">
        <v>537250000</v>
      </c>
      <c r="E209" s="350">
        <v>6863546015</v>
      </c>
      <c r="F209" s="505">
        <f t="shared" si="5"/>
        <v>7.8275864811842455</v>
      </c>
      <c r="G209" s="116"/>
      <c r="H209" s="116"/>
      <c r="I209" s="116"/>
      <c r="J209" s="116"/>
      <c r="K209" s="116"/>
      <c r="L209" s="116"/>
      <c r="M209" s="116"/>
      <c r="N209" s="116"/>
      <c r="O209" s="116"/>
      <c r="P209" s="300"/>
      <c r="Q209" s="300"/>
    </row>
    <row r="210" spans="1:17" s="498" customFormat="1" ht="21" customHeight="1">
      <c r="A210" s="300"/>
      <c r="B210" s="260"/>
      <c r="C210" s="123" t="s">
        <v>694</v>
      </c>
      <c r="D210" s="514">
        <v>402707186.44</v>
      </c>
      <c r="E210" s="350">
        <v>6863546016</v>
      </c>
      <c r="F210" s="505">
        <f t="shared" si="5"/>
        <v>5.8673342540608973</v>
      </c>
      <c r="G210" s="116"/>
      <c r="H210" s="116"/>
      <c r="I210" s="116"/>
      <c r="J210" s="116"/>
      <c r="K210" s="116"/>
      <c r="L210" s="116"/>
      <c r="M210" s="116"/>
      <c r="N210" s="116"/>
      <c r="O210" s="116"/>
      <c r="P210" s="300"/>
      <c r="Q210" s="300"/>
    </row>
    <row r="211" spans="1:17" s="498" customFormat="1" ht="21" customHeight="1">
      <c r="A211" s="300"/>
      <c r="B211" s="260"/>
      <c r="C211" s="111" t="s">
        <v>695</v>
      </c>
      <c r="D211" s="138">
        <f>D212</f>
        <v>370347500</v>
      </c>
      <c r="E211" s="350">
        <v>6863546017</v>
      </c>
      <c r="F211" s="505">
        <f t="shared" si="5"/>
        <v>5.3958624169300151</v>
      </c>
      <c r="G211" s="116"/>
      <c r="H211" s="116"/>
      <c r="I211" s="116"/>
      <c r="J211" s="116"/>
      <c r="K211" s="116"/>
      <c r="L211" s="116"/>
      <c r="M211" s="116"/>
      <c r="N211" s="116"/>
      <c r="O211" s="116"/>
      <c r="P211" s="300"/>
      <c r="Q211" s="300"/>
    </row>
    <row r="212" spans="1:17" s="498" customFormat="1" ht="21" customHeight="1">
      <c r="A212" s="300"/>
      <c r="B212" s="260"/>
      <c r="C212" s="123" t="s">
        <v>696</v>
      </c>
      <c r="D212" s="514">
        <v>370347500</v>
      </c>
      <c r="E212" s="350">
        <v>6863546018</v>
      </c>
      <c r="F212" s="505">
        <f t="shared" si="5"/>
        <v>5.3958624161438529</v>
      </c>
      <c r="G212" s="116"/>
      <c r="H212" s="116"/>
      <c r="I212" s="116"/>
      <c r="J212" s="116"/>
      <c r="K212" s="116"/>
      <c r="L212" s="116"/>
      <c r="M212" s="116"/>
      <c r="N212" s="116"/>
      <c r="O212" s="116"/>
      <c r="P212" s="300"/>
      <c r="Q212" s="300"/>
    </row>
    <row r="213" spans="1:17" ht="21" customHeight="1">
      <c r="B213" s="260"/>
      <c r="C213" s="123"/>
      <c r="D213" s="500"/>
      <c r="E213" s="137"/>
      <c r="F213" s="511"/>
      <c r="G213" s="116"/>
      <c r="H213" s="116"/>
      <c r="I213" s="116"/>
      <c r="J213" s="116"/>
      <c r="K213" s="116"/>
      <c r="L213" s="116"/>
      <c r="M213" s="116"/>
      <c r="N213" s="116"/>
      <c r="O213" s="116"/>
    </row>
    <row r="214" spans="1:17" s="498" customFormat="1" ht="21" customHeight="1">
      <c r="A214" s="300"/>
      <c r="B214" s="110" t="s">
        <v>765</v>
      </c>
      <c r="C214" s="150" t="s">
        <v>2566</v>
      </c>
      <c r="D214" s="501">
        <f>+D215+D242</f>
        <v>12500000000</v>
      </c>
      <c r="E214" s="113">
        <v>45992775230.57</v>
      </c>
      <c r="F214" s="505">
        <f>+D214/E214*100</f>
        <v>27.17818165426041</v>
      </c>
      <c r="G214" s="116"/>
      <c r="H214" s="116"/>
      <c r="I214" s="116"/>
      <c r="J214" s="116"/>
      <c r="K214" s="116"/>
      <c r="L214" s="116"/>
      <c r="M214" s="116"/>
      <c r="N214" s="116"/>
      <c r="O214" s="116"/>
      <c r="P214" s="300"/>
      <c r="Q214" s="300"/>
    </row>
    <row r="215" spans="1:17" s="498" customFormat="1" ht="21" customHeight="1">
      <c r="A215" s="300"/>
      <c r="B215" s="110"/>
      <c r="C215" s="111" t="s">
        <v>65</v>
      </c>
      <c r="D215" s="517">
        <f>+D216+D219+D223+D225+D227+D229+D237+D239</f>
        <v>7500000000</v>
      </c>
      <c r="E215" s="113">
        <v>12500000000</v>
      </c>
      <c r="F215" s="505">
        <f>+D215/E215*100</f>
        <v>60</v>
      </c>
      <c r="G215" s="120"/>
      <c r="H215" s="116"/>
      <c r="I215" s="116"/>
      <c r="J215" s="116"/>
      <c r="K215" s="116"/>
      <c r="L215" s="116"/>
      <c r="M215" s="116"/>
      <c r="N215" s="116"/>
      <c r="O215" s="116"/>
      <c r="P215" s="300"/>
      <c r="Q215" s="300"/>
    </row>
    <row r="216" spans="1:17" s="498" customFormat="1" ht="21" customHeight="1">
      <c r="A216" s="300"/>
      <c r="B216" s="110"/>
      <c r="C216" s="111" t="s">
        <v>162</v>
      </c>
      <c r="D216" s="518">
        <f>+D217+D218</f>
        <v>1550000000</v>
      </c>
      <c r="E216" s="113">
        <v>12500000000</v>
      </c>
      <c r="F216" s="505">
        <f t="shared" ref="F216:F252" si="6">+D216/E216*100</f>
        <v>12.4</v>
      </c>
      <c r="G216" s="120"/>
      <c r="H216" s="116"/>
      <c r="I216" s="116"/>
      <c r="J216" s="116"/>
      <c r="K216" s="116"/>
      <c r="L216" s="116"/>
      <c r="M216" s="116"/>
      <c r="N216" s="116"/>
      <c r="O216" s="116"/>
      <c r="P216" s="300"/>
      <c r="Q216" s="300"/>
    </row>
    <row r="217" spans="1:17" s="498" customFormat="1" ht="21" customHeight="1">
      <c r="A217" s="300"/>
      <c r="B217" s="110"/>
      <c r="C217" s="123" t="s">
        <v>2593</v>
      </c>
      <c r="D217" s="519">
        <v>350000000</v>
      </c>
      <c r="E217" s="113">
        <v>12500000000</v>
      </c>
      <c r="F217" s="505">
        <f t="shared" si="6"/>
        <v>2.8000000000000003</v>
      </c>
      <c r="G217" s="120"/>
      <c r="H217" s="116"/>
      <c r="I217" s="116"/>
      <c r="J217" s="116"/>
      <c r="K217" s="116"/>
      <c r="L217" s="116"/>
      <c r="M217" s="116"/>
      <c r="N217" s="116"/>
      <c r="O217" s="116"/>
      <c r="P217" s="300"/>
      <c r="Q217" s="300"/>
    </row>
    <row r="218" spans="1:17" s="498" customFormat="1" ht="21" customHeight="1">
      <c r="A218" s="300"/>
      <c r="B218" s="110"/>
      <c r="C218" s="123" t="s">
        <v>1222</v>
      </c>
      <c r="D218" s="519">
        <v>1200000000</v>
      </c>
      <c r="E218" s="113">
        <v>12500000000</v>
      </c>
      <c r="F218" s="505">
        <f t="shared" si="6"/>
        <v>9.6</v>
      </c>
      <c r="G218" s="120"/>
      <c r="H218" s="116"/>
      <c r="I218" s="116"/>
      <c r="J218" s="116"/>
      <c r="K218" s="116"/>
      <c r="L218" s="116"/>
      <c r="M218" s="116"/>
      <c r="N218" s="116"/>
      <c r="O218" s="116"/>
      <c r="P218" s="300"/>
      <c r="Q218" s="300"/>
    </row>
    <row r="219" spans="1:17" s="498" customFormat="1" ht="21" customHeight="1">
      <c r="A219" s="300"/>
      <c r="B219" s="110"/>
      <c r="C219" s="111" t="s">
        <v>173</v>
      </c>
      <c r="D219" s="518">
        <f>+D220+D221+D222</f>
        <v>4539150000</v>
      </c>
      <c r="E219" s="113">
        <v>12500000000</v>
      </c>
      <c r="F219" s="505">
        <f t="shared" si="6"/>
        <v>36.313200000000002</v>
      </c>
      <c r="G219" s="120"/>
      <c r="H219" s="116"/>
      <c r="I219" s="116"/>
      <c r="J219" s="116"/>
      <c r="K219" s="116"/>
      <c r="L219" s="116"/>
      <c r="M219" s="116"/>
      <c r="N219" s="116"/>
      <c r="O219" s="116"/>
      <c r="P219" s="300"/>
      <c r="Q219" s="300"/>
    </row>
    <row r="220" spans="1:17" s="498" customFormat="1" ht="21" customHeight="1">
      <c r="A220" s="300"/>
      <c r="B220" s="110"/>
      <c r="C220" s="123" t="s">
        <v>2594</v>
      </c>
      <c r="D220" s="519">
        <v>200000000</v>
      </c>
      <c r="E220" s="113">
        <v>12500000000</v>
      </c>
      <c r="F220" s="505">
        <f t="shared" si="6"/>
        <v>1.6</v>
      </c>
      <c r="G220" s="120"/>
      <c r="H220" s="116"/>
      <c r="I220" s="116"/>
      <c r="J220" s="116"/>
      <c r="K220" s="116"/>
      <c r="L220" s="116"/>
      <c r="M220" s="116"/>
      <c r="N220" s="116"/>
      <c r="O220" s="116"/>
      <c r="P220" s="300"/>
      <c r="Q220" s="300"/>
    </row>
    <row r="221" spans="1:17" s="498" customFormat="1" ht="21" customHeight="1">
      <c r="A221" s="300"/>
      <c r="B221" s="110"/>
      <c r="C221" s="123" t="s">
        <v>2595</v>
      </c>
      <c r="D221" s="519">
        <v>150000000</v>
      </c>
      <c r="E221" s="113">
        <v>12500000000</v>
      </c>
      <c r="F221" s="505">
        <f t="shared" si="6"/>
        <v>1.2</v>
      </c>
      <c r="G221" s="120"/>
      <c r="H221" s="116"/>
      <c r="I221" s="116"/>
      <c r="J221" s="116"/>
      <c r="K221" s="116"/>
      <c r="L221" s="116"/>
      <c r="M221" s="116"/>
      <c r="N221" s="116"/>
      <c r="O221" s="116"/>
      <c r="P221" s="300"/>
      <c r="Q221" s="300"/>
    </row>
    <row r="222" spans="1:17" s="498" customFormat="1" ht="21" customHeight="1">
      <c r="A222" s="300"/>
      <c r="B222" s="110"/>
      <c r="C222" s="123" t="s">
        <v>2596</v>
      </c>
      <c r="D222" s="519">
        <v>4189150000</v>
      </c>
      <c r="E222" s="113">
        <v>12500000000</v>
      </c>
      <c r="F222" s="505">
        <f t="shared" si="6"/>
        <v>33.513199999999998</v>
      </c>
      <c r="G222" s="120"/>
      <c r="H222" s="116"/>
      <c r="I222" s="116"/>
      <c r="J222" s="116"/>
      <c r="K222" s="116"/>
      <c r="L222" s="116"/>
      <c r="M222" s="116"/>
      <c r="N222" s="116"/>
      <c r="O222" s="116"/>
      <c r="P222" s="300"/>
      <c r="Q222" s="300"/>
    </row>
    <row r="223" spans="1:17" s="498" customFormat="1" ht="21" customHeight="1">
      <c r="A223" s="300"/>
      <c r="B223" s="110"/>
      <c r="C223" s="111" t="s">
        <v>177</v>
      </c>
      <c r="D223" s="518">
        <f>+D224</f>
        <v>150000000</v>
      </c>
      <c r="E223" s="113">
        <v>12500000000</v>
      </c>
      <c r="F223" s="505">
        <f t="shared" si="6"/>
        <v>1.2</v>
      </c>
      <c r="G223" s="120"/>
      <c r="H223" s="116"/>
      <c r="I223" s="116"/>
      <c r="J223" s="116"/>
      <c r="K223" s="116"/>
      <c r="L223" s="116"/>
      <c r="M223" s="116"/>
      <c r="N223" s="116"/>
      <c r="O223" s="116"/>
      <c r="P223" s="300"/>
      <c r="Q223" s="300"/>
    </row>
    <row r="224" spans="1:17" s="498" customFormat="1" ht="35.1" customHeight="1">
      <c r="A224" s="300"/>
      <c r="B224" s="110"/>
      <c r="C224" s="123" t="s">
        <v>2597</v>
      </c>
      <c r="D224" s="519">
        <v>150000000</v>
      </c>
      <c r="E224" s="113">
        <v>12500000000</v>
      </c>
      <c r="F224" s="505">
        <f t="shared" si="6"/>
        <v>1.2</v>
      </c>
      <c r="G224" s="120"/>
      <c r="H224" s="116"/>
      <c r="I224" s="116"/>
      <c r="J224" s="116"/>
      <c r="K224" s="116"/>
      <c r="L224" s="116"/>
      <c r="M224" s="116"/>
      <c r="N224" s="116"/>
      <c r="O224" s="116"/>
      <c r="P224" s="300"/>
      <c r="Q224" s="300"/>
    </row>
    <row r="225" spans="1:17" s="498" customFormat="1" ht="21" customHeight="1">
      <c r="A225" s="300"/>
      <c r="B225" s="110"/>
      <c r="C225" s="111" t="s">
        <v>179</v>
      </c>
      <c r="D225" s="518">
        <f>+D226</f>
        <v>100000000</v>
      </c>
      <c r="E225" s="113">
        <v>12500000000</v>
      </c>
      <c r="F225" s="505">
        <f t="shared" si="6"/>
        <v>0.8</v>
      </c>
      <c r="G225" s="120"/>
      <c r="H225" s="116"/>
      <c r="I225" s="116"/>
      <c r="J225" s="116"/>
      <c r="K225" s="116"/>
      <c r="L225" s="116"/>
      <c r="M225" s="116"/>
      <c r="N225" s="116"/>
      <c r="O225" s="116"/>
      <c r="P225" s="300"/>
      <c r="Q225" s="300"/>
    </row>
    <row r="226" spans="1:17" s="498" customFormat="1" ht="35.1" customHeight="1">
      <c r="A226" s="300"/>
      <c r="B226" s="110"/>
      <c r="C226" s="123" t="s">
        <v>2598</v>
      </c>
      <c r="D226" s="519">
        <v>100000000</v>
      </c>
      <c r="E226" s="113">
        <v>12500000000</v>
      </c>
      <c r="F226" s="505">
        <f t="shared" si="6"/>
        <v>0.8</v>
      </c>
      <c r="G226" s="120"/>
      <c r="H226" s="116"/>
      <c r="I226" s="116"/>
      <c r="J226" s="116"/>
      <c r="K226" s="116"/>
      <c r="L226" s="116"/>
      <c r="M226" s="116"/>
      <c r="N226" s="116"/>
      <c r="O226" s="116"/>
      <c r="P226" s="300"/>
      <c r="Q226" s="300"/>
    </row>
    <row r="227" spans="1:17" s="498" customFormat="1" ht="21" customHeight="1">
      <c r="A227" s="300"/>
      <c r="B227" s="110"/>
      <c r="C227" s="111" t="s">
        <v>190</v>
      </c>
      <c r="D227" s="518">
        <f>+D228</f>
        <v>200000000</v>
      </c>
      <c r="E227" s="113">
        <v>12500000000</v>
      </c>
      <c r="F227" s="505">
        <f t="shared" si="6"/>
        <v>1.6</v>
      </c>
      <c r="G227" s="120"/>
      <c r="H227" s="116"/>
      <c r="I227" s="116"/>
      <c r="J227" s="116"/>
      <c r="K227" s="116"/>
      <c r="L227" s="116"/>
      <c r="M227" s="116"/>
      <c r="N227" s="116"/>
      <c r="O227" s="116"/>
      <c r="P227" s="300"/>
      <c r="Q227" s="300"/>
    </row>
    <row r="228" spans="1:17" s="498" customFormat="1" ht="35.1" customHeight="1">
      <c r="A228" s="300"/>
      <c r="B228" s="110"/>
      <c r="C228" s="123" t="s">
        <v>2599</v>
      </c>
      <c r="D228" s="519">
        <v>200000000</v>
      </c>
      <c r="E228" s="113">
        <v>12500000000</v>
      </c>
      <c r="F228" s="505">
        <f t="shared" si="6"/>
        <v>1.6</v>
      </c>
      <c r="G228" s="120"/>
      <c r="H228" s="116"/>
      <c r="I228" s="116"/>
      <c r="J228" s="116"/>
      <c r="K228" s="116"/>
      <c r="L228" s="116"/>
      <c r="M228" s="116"/>
      <c r="N228" s="116"/>
      <c r="O228" s="116"/>
      <c r="P228" s="300"/>
      <c r="Q228" s="300"/>
    </row>
    <row r="229" spans="1:17" s="498" customFormat="1" ht="21" customHeight="1">
      <c r="A229" s="300"/>
      <c r="B229" s="110"/>
      <c r="C229" s="111" t="s">
        <v>196</v>
      </c>
      <c r="D229" s="518">
        <f>+D230+D231+D232+D233+D234+D235+D236</f>
        <v>553850000</v>
      </c>
      <c r="E229" s="113">
        <v>12500000000</v>
      </c>
      <c r="F229" s="505">
        <f t="shared" si="6"/>
        <v>4.4307999999999996</v>
      </c>
      <c r="G229" s="120"/>
      <c r="H229" s="116"/>
      <c r="I229" s="116"/>
      <c r="J229" s="116"/>
      <c r="K229" s="116"/>
      <c r="L229" s="116"/>
      <c r="M229" s="116"/>
      <c r="N229" s="116"/>
      <c r="O229" s="116"/>
      <c r="P229" s="300"/>
      <c r="Q229" s="300"/>
    </row>
    <row r="230" spans="1:17" s="498" customFormat="1" ht="21" customHeight="1">
      <c r="A230" s="300"/>
      <c r="B230" s="110"/>
      <c r="C230" s="123" t="s">
        <v>2600</v>
      </c>
      <c r="D230" s="519">
        <v>60000000</v>
      </c>
      <c r="E230" s="113">
        <v>12500000000</v>
      </c>
      <c r="F230" s="505">
        <f t="shared" si="6"/>
        <v>0.48</v>
      </c>
      <c r="G230" s="120"/>
      <c r="H230" s="116"/>
      <c r="I230" s="116"/>
      <c r="J230" s="116"/>
      <c r="K230" s="116"/>
      <c r="L230" s="116"/>
      <c r="M230" s="116"/>
      <c r="N230" s="116"/>
      <c r="O230" s="116"/>
      <c r="P230" s="300"/>
      <c r="Q230" s="300"/>
    </row>
    <row r="231" spans="1:17" s="498" customFormat="1" ht="21" customHeight="1">
      <c r="A231" s="300"/>
      <c r="B231" s="110"/>
      <c r="C231" s="123" t="s">
        <v>2601</v>
      </c>
      <c r="D231" s="519">
        <v>28850000</v>
      </c>
      <c r="E231" s="113">
        <v>12500000000</v>
      </c>
      <c r="F231" s="505">
        <f t="shared" si="6"/>
        <v>0.23080000000000001</v>
      </c>
      <c r="G231" s="120"/>
      <c r="H231" s="116"/>
      <c r="I231" s="116"/>
      <c r="J231" s="116"/>
      <c r="K231" s="116"/>
      <c r="L231" s="116"/>
      <c r="M231" s="116"/>
      <c r="N231" s="116"/>
      <c r="O231" s="116"/>
      <c r="P231" s="300"/>
      <c r="Q231" s="300"/>
    </row>
    <row r="232" spans="1:17" s="498" customFormat="1" ht="21" customHeight="1">
      <c r="A232" s="300"/>
      <c r="B232" s="110"/>
      <c r="C232" s="123" t="s">
        <v>948</v>
      </c>
      <c r="D232" s="519">
        <v>100000000</v>
      </c>
      <c r="E232" s="113">
        <v>12500000000</v>
      </c>
      <c r="F232" s="505">
        <f t="shared" si="6"/>
        <v>0.8</v>
      </c>
      <c r="G232" s="120"/>
      <c r="H232" s="116"/>
      <c r="I232" s="116"/>
      <c r="J232" s="116"/>
      <c r="K232" s="116"/>
      <c r="L232" s="116"/>
      <c r="M232" s="116"/>
      <c r="N232" s="116"/>
      <c r="O232" s="116"/>
      <c r="P232" s="300"/>
      <c r="Q232" s="300"/>
    </row>
    <row r="233" spans="1:17" s="498" customFormat="1" ht="35.1" customHeight="1">
      <c r="A233" s="300"/>
      <c r="B233" s="110"/>
      <c r="C233" s="123" t="s">
        <v>2602</v>
      </c>
      <c r="D233" s="519">
        <v>100000000</v>
      </c>
      <c r="E233" s="113">
        <v>12500000000</v>
      </c>
      <c r="F233" s="505">
        <f t="shared" si="6"/>
        <v>0.8</v>
      </c>
      <c r="G233" s="120"/>
      <c r="H233" s="116"/>
      <c r="I233" s="116"/>
      <c r="J233" s="116"/>
      <c r="K233" s="116"/>
      <c r="L233" s="116"/>
      <c r="M233" s="116"/>
      <c r="N233" s="116"/>
      <c r="O233" s="116"/>
      <c r="P233" s="300"/>
      <c r="Q233" s="300"/>
    </row>
    <row r="234" spans="1:17" s="498" customFormat="1" ht="21" customHeight="1">
      <c r="A234" s="300"/>
      <c r="B234" s="110"/>
      <c r="C234" s="123" t="s">
        <v>2603</v>
      </c>
      <c r="D234" s="519">
        <v>125000000</v>
      </c>
      <c r="E234" s="113">
        <v>12500000000</v>
      </c>
      <c r="F234" s="505">
        <f t="shared" si="6"/>
        <v>1</v>
      </c>
      <c r="G234" s="120"/>
      <c r="H234" s="116"/>
      <c r="I234" s="116"/>
      <c r="J234" s="116"/>
      <c r="K234" s="116"/>
      <c r="L234" s="116"/>
      <c r="M234" s="116"/>
      <c r="N234" s="116"/>
      <c r="O234" s="116"/>
      <c r="P234" s="300"/>
      <c r="Q234" s="300"/>
    </row>
    <row r="235" spans="1:17" s="498" customFormat="1" ht="21" customHeight="1">
      <c r="A235" s="300"/>
      <c r="B235" s="110"/>
      <c r="C235" s="123" t="s">
        <v>2604</v>
      </c>
      <c r="D235" s="519">
        <v>70000000</v>
      </c>
      <c r="E235" s="113">
        <v>12500000000</v>
      </c>
      <c r="F235" s="505">
        <f t="shared" si="6"/>
        <v>0.55999999999999994</v>
      </c>
      <c r="G235" s="120"/>
      <c r="H235" s="116"/>
      <c r="I235" s="116"/>
      <c r="J235" s="116"/>
      <c r="K235" s="116"/>
      <c r="L235" s="116"/>
      <c r="M235" s="116"/>
      <c r="N235" s="116"/>
      <c r="O235" s="116"/>
      <c r="P235" s="300"/>
      <c r="Q235" s="300"/>
    </row>
    <row r="236" spans="1:17" s="498" customFormat="1" ht="21" customHeight="1">
      <c r="A236" s="300"/>
      <c r="B236" s="110"/>
      <c r="C236" s="123" t="s">
        <v>1227</v>
      </c>
      <c r="D236" s="519">
        <v>70000000</v>
      </c>
      <c r="E236" s="113">
        <v>12500000000</v>
      </c>
      <c r="F236" s="505">
        <f t="shared" si="6"/>
        <v>0.55999999999999994</v>
      </c>
      <c r="G236" s="120"/>
      <c r="H236" s="116"/>
      <c r="I236" s="116"/>
      <c r="J236" s="116"/>
      <c r="K236" s="116"/>
      <c r="L236" s="116"/>
      <c r="M236" s="116"/>
      <c r="N236" s="116"/>
      <c r="O236" s="116"/>
      <c r="P236" s="300"/>
      <c r="Q236" s="300"/>
    </row>
    <row r="237" spans="1:17" s="498" customFormat="1" ht="21" customHeight="1">
      <c r="A237" s="300"/>
      <c r="B237" s="110"/>
      <c r="C237" s="111" t="s">
        <v>2390</v>
      </c>
      <c r="D237" s="518">
        <f>+D238</f>
        <v>200000000</v>
      </c>
      <c r="E237" s="113">
        <v>12500000000</v>
      </c>
      <c r="F237" s="505">
        <f t="shared" si="6"/>
        <v>1.6</v>
      </c>
      <c r="G237" s="120"/>
      <c r="H237" s="116"/>
      <c r="I237" s="116"/>
      <c r="J237" s="116"/>
      <c r="K237" s="116"/>
      <c r="L237" s="116"/>
      <c r="M237" s="116"/>
      <c r="N237" s="116"/>
      <c r="O237" s="116"/>
      <c r="P237" s="300"/>
      <c r="Q237" s="300"/>
    </row>
    <row r="238" spans="1:17" s="498" customFormat="1" ht="21" customHeight="1">
      <c r="A238" s="300"/>
      <c r="B238" s="110"/>
      <c r="C238" s="123" t="s">
        <v>2605</v>
      </c>
      <c r="D238" s="519">
        <v>200000000</v>
      </c>
      <c r="E238" s="113">
        <v>12500000000</v>
      </c>
      <c r="F238" s="505">
        <f t="shared" si="6"/>
        <v>1.6</v>
      </c>
      <c r="G238" s="120"/>
      <c r="H238" s="116"/>
      <c r="I238" s="116"/>
      <c r="J238" s="116"/>
      <c r="K238" s="116"/>
      <c r="L238" s="116"/>
      <c r="M238" s="116"/>
      <c r="N238" s="116"/>
      <c r="O238" s="116"/>
      <c r="P238" s="300"/>
      <c r="Q238" s="300"/>
    </row>
    <row r="239" spans="1:17" s="498" customFormat="1" ht="21" customHeight="1">
      <c r="A239" s="300"/>
      <c r="B239" s="110"/>
      <c r="C239" s="111" t="s">
        <v>212</v>
      </c>
      <c r="D239" s="518">
        <f>+D240</f>
        <v>207000000</v>
      </c>
      <c r="E239" s="113">
        <v>12500000000</v>
      </c>
      <c r="F239" s="505">
        <f t="shared" si="6"/>
        <v>1.6559999999999999</v>
      </c>
      <c r="G239" s="120"/>
      <c r="H239" s="116"/>
      <c r="I239" s="116"/>
      <c r="J239" s="116"/>
      <c r="K239" s="116"/>
      <c r="L239" s="116"/>
      <c r="M239" s="116"/>
      <c r="N239" s="116"/>
      <c r="O239" s="116"/>
      <c r="P239" s="300"/>
      <c r="Q239" s="300"/>
    </row>
    <row r="240" spans="1:17" s="498" customFormat="1" ht="35.1" customHeight="1">
      <c r="A240" s="300"/>
      <c r="B240" s="110"/>
      <c r="C240" s="123" t="s">
        <v>2606</v>
      </c>
      <c r="D240" s="519">
        <v>207000000</v>
      </c>
      <c r="E240" s="113">
        <v>12500000000</v>
      </c>
      <c r="F240" s="505">
        <f t="shared" si="6"/>
        <v>1.6559999999999999</v>
      </c>
      <c r="G240" s="120"/>
      <c r="H240" s="116"/>
      <c r="I240" s="116"/>
      <c r="J240" s="116"/>
      <c r="K240" s="116"/>
      <c r="L240" s="116"/>
      <c r="M240" s="116"/>
      <c r="N240" s="116"/>
      <c r="O240" s="116"/>
      <c r="P240" s="300"/>
      <c r="Q240" s="300"/>
    </row>
    <row r="241" spans="1:17" s="498" customFormat="1" ht="21" customHeight="1">
      <c r="A241" s="300"/>
      <c r="B241" s="110"/>
      <c r="C241" s="123"/>
      <c r="D241" s="519"/>
      <c r="E241" s="113"/>
      <c r="F241" s="505"/>
      <c r="G241" s="120"/>
      <c r="H241" s="116"/>
      <c r="I241" s="116"/>
      <c r="J241" s="116"/>
      <c r="K241" s="116"/>
      <c r="L241" s="116"/>
      <c r="M241" s="116"/>
      <c r="N241" s="116"/>
      <c r="O241" s="116"/>
      <c r="P241" s="300"/>
      <c r="Q241" s="300"/>
    </row>
    <row r="242" spans="1:17" s="498" customFormat="1" ht="21" customHeight="1">
      <c r="A242" s="300"/>
      <c r="B242" s="110"/>
      <c r="C242" s="111" t="s">
        <v>2607</v>
      </c>
      <c r="D242" s="517">
        <f>+D243+D245+D248</f>
        <v>5000000000</v>
      </c>
      <c r="E242" s="113">
        <v>12500000000</v>
      </c>
      <c r="F242" s="505">
        <f t="shared" si="6"/>
        <v>40</v>
      </c>
      <c r="G242" s="120"/>
      <c r="H242" s="116"/>
      <c r="I242" s="116"/>
      <c r="J242" s="116"/>
      <c r="K242" s="116"/>
      <c r="L242" s="116"/>
      <c r="M242" s="116"/>
      <c r="N242" s="116"/>
      <c r="O242" s="116"/>
      <c r="P242" s="300"/>
      <c r="Q242" s="300"/>
    </row>
    <row r="243" spans="1:17" s="498" customFormat="1" ht="21" customHeight="1">
      <c r="A243" s="300"/>
      <c r="B243" s="110"/>
      <c r="C243" s="111" t="s">
        <v>173</v>
      </c>
      <c r="D243" s="518">
        <f>+D244</f>
        <v>200000000</v>
      </c>
      <c r="E243" s="113">
        <v>12500000000</v>
      </c>
      <c r="F243" s="505">
        <f t="shared" si="6"/>
        <v>1.6</v>
      </c>
      <c r="G243" s="120"/>
      <c r="H243" s="116"/>
      <c r="I243" s="116"/>
      <c r="J243" s="116"/>
      <c r="K243" s="116"/>
      <c r="L243" s="116"/>
      <c r="M243" s="116"/>
      <c r="N243" s="116"/>
      <c r="O243" s="116"/>
      <c r="P243" s="300"/>
      <c r="Q243" s="300"/>
    </row>
    <row r="244" spans="1:17" s="498" customFormat="1" ht="21" customHeight="1">
      <c r="A244" s="300"/>
      <c r="B244" s="110"/>
      <c r="C244" s="123" t="s">
        <v>2608</v>
      </c>
      <c r="D244" s="519">
        <v>200000000</v>
      </c>
      <c r="E244" s="113">
        <v>12500000000</v>
      </c>
      <c r="F244" s="505">
        <f t="shared" si="6"/>
        <v>1.6</v>
      </c>
      <c r="G244" s="120"/>
      <c r="H244" s="116"/>
      <c r="I244" s="116"/>
      <c r="J244" s="116"/>
      <c r="K244" s="116"/>
      <c r="L244" s="116"/>
      <c r="M244" s="116"/>
      <c r="N244" s="116"/>
      <c r="O244" s="116"/>
      <c r="P244" s="300"/>
      <c r="Q244" s="300"/>
    </row>
    <row r="245" spans="1:17" s="498" customFormat="1" ht="21" customHeight="1">
      <c r="A245" s="300"/>
      <c r="B245" s="110"/>
      <c r="C245" s="111" t="s">
        <v>196</v>
      </c>
      <c r="D245" s="518">
        <f>+D246+D247</f>
        <v>250000000</v>
      </c>
      <c r="E245" s="113">
        <v>12500000000</v>
      </c>
      <c r="F245" s="505">
        <f t="shared" si="6"/>
        <v>2</v>
      </c>
      <c r="G245" s="120"/>
      <c r="H245" s="116"/>
      <c r="I245" s="116"/>
      <c r="J245" s="116"/>
      <c r="K245" s="116"/>
      <c r="L245" s="116"/>
      <c r="M245" s="116"/>
      <c r="N245" s="116"/>
      <c r="O245" s="116"/>
      <c r="P245" s="300"/>
      <c r="Q245" s="300"/>
    </row>
    <row r="246" spans="1:17" s="498" customFormat="1" ht="21" customHeight="1">
      <c r="A246" s="300"/>
      <c r="B246" s="110"/>
      <c r="C246" s="123" t="s">
        <v>2604</v>
      </c>
      <c r="D246" s="519">
        <v>150000000</v>
      </c>
      <c r="E246" s="113">
        <v>12500000000</v>
      </c>
      <c r="F246" s="505">
        <f t="shared" si="6"/>
        <v>1.2</v>
      </c>
      <c r="G246" s="120"/>
      <c r="H246" s="116"/>
      <c r="I246" s="116"/>
      <c r="J246" s="116"/>
      <c r="K246" s="116"/>
      <c r="L246" s="116"/>
      <c r="M246" s="116"/>
      <c r="N246" s="116"/>
      <c r="O246" s="116"/>
      <c r="P246" s="300"/>
      <c r="Q246" s="300"/>
    </row>
    <row r="247" spans="1:17" s="498" customFormat="1" ht="21" customHeight="1">
      <c r="A247" s="300"/>
      <c r="B247" s="110"/>
      <c r="C247" s="123" t="s">
        <v>1227</v>
      </c>
      <c r="D247" s="519">
        <v>100000000</v>
      </c>
      <c r="E247" s="113">
        <v>12500000000</v>
      </c>
      <c r="F247" s="505">
        <f t="shared" si="6"/>
        <v>0.8</v>
      </c>
      <c r="G247" s="120"/>
      <c r="H247" s="116"/>
      <c r="I247" s="116"/>
      <c r="J247" s="116"/>
      <c r="K247" s="116"/>
      <c r="L247" s="116"/>
      <c r="M247" s="116"/>
      <c r="N247" s="116"/>
      <c r="O247" s="116"/>
      <c r="P247" s="300"/>
      <c r="Q247" s="300"/>
    </row>
    <row r="248" spans="1:17" s="498" customFormat="1" ht="35.1" customHeight="1">
      <c r="A248" s="300"/>
      <c r="B248" s="110"/>
      <c r="C248" s="111" t="s">
        <v>1793</v>
      </c>
      <c r="D248" s="518">
        <f>+D249+D250+D251+D252</f>
        <v>4550000000</v>
      </c>
      <c r="E248" s="113">
        <v>12500000000</v>
      </c>
      <c r="F248" s="505">
        <f t="shared" si="6"/>
        <v>36.4</v>
      </c>
      <c r="G248" s="120"/>
      <c r="H248" s="116"/>
      <c r="I248" s="116"/>
      <c r="J248" s="116"/>
      <c r="K248" s="116"/>
      <c r="L248" s="116"/>
      <c r="M248" s="116"/>
      <c r="N248" s="116"/>
      <c r="O248" s="116"/>
      <c r="P248" s="300"/>
      <c r="Q248" s="300"/>
    </row>
    <row r="249" spans="1:17" s="498" customFormat="1" ht="21" customHeight="1">
      <c r="A249" s="300"/>
      <c r="B249" s="110"/>
      <c r="C249" s="123" t="s">
        <v>2609</v>
      </c>
      <c r="D249" s="519">
        <v>500000000</v>
      </c>
      <c r="E249" s="113">
        <v>12500000000</v>
      </c>
      <c r="F249" s="505">
        <f t="shared" si="6"/>
        <v>4</v>
      </c>
      <c r="G249" s="120"/>
      <c r="H249" s="116"/>
      <c r="I249" s="116"/>
      <c r="J249" s="116"/>
      <c r="K249" s="116"/>
      <c r="L249" s="116"/>
      <c r="M249" s="116"/>
      <c r="N249" s="116"/>
      <c r="O249" s="116"/>
      <c r="P249" s="300"/>
      <c r="Q249" s="300"/>
    </row>
    <row r="250" spans="1:17" s="498" customFormat="1" ht="21" customHeight="1">
      <c r="A250" s="300"/>
      <c r="B250" s="110"/>
      <c r="C250" s="123" t="s">
        <v>2610</v>
      </c>
      <c r="D250" s="519">
        <v>2050000000</v>
      </c>
      <c r="E250" s="113">
        <v>12500000000</v>
      </c>
      <c r="F250" s="505">
        <f t="shared" si="6"/>
        <v>16.400000000000002</v>
      </c>
      <c r="G250" s="120"/>
      <c r="H250" s="116"/>
      <c r="I250" s="116"/>
      <c r="J250" s="116"/>
      <c r="K250" s="116"/>
      <c r="L250" s="116"/>
      <c r="M250" s="116"/>
      <c r="N250" s="116"/>
      <c r="O250" s="116"/>
      <c r="P250" s="300"/>
      <c r="Q250" s="300"/>
    </row>
    <row r="251" spans="1:17" s="498" customFormat="1" ht="21" customHeight="1">
      <c r="A251" s="300"/>
      <c r="B251" s="110"/>
      <c r="C251" s="123" t="s">
        <v>2611</v>
      </c>
      <c r="D251" s="519">
        <v>500000000</v>
      </c>
      <c r="E251" s="113">
        <v>12500000000</v>
      </c>
      <c r="F251" s="505">
        <f t="shared" si="6"/>
        <v>4</v>
      </c>
      <c r="G251" s="120"/>
      <c r="H251" s="116"/>
      <c r="I251" s="116"/>
      <c r="J251" s="116"/>
      <c r="K251" s="116"/>
      <c r="L251" s="116"/>
      <c r="M251" s="116"/>
      <c r="N251" s="116"/>
      <c r="O251" s="116"/>
      <c r="P251" s="300"/>
      <c r="Q251" s="300"/>
    </row>
    <row r="252" spans="1:17" s="498" customFormat="1" ht="21" customHeight="1">
      <c r="A252" s="300"/>
      <c r="B252" s="110"/>
      <c r="C252" s="123" t="s">
        <v>2612</v>
      </c>
      <c r="D252" s="519">
        <v>1500000000</v>
      </c>
      <c r="E252" s="113">
        <v>12500000000</v>
      </c>
      <c r="F252" s="505">
        <f t="shared" si="6"/>
        <v>12</v>
      </c>
      <c r="G252" s="120"/>
      <c r="H252" s="116"/>
      <c r="I252" s="116"/>
      <c r="J252" s="116"/>
      <c r="K252" s="116"/>
      <c r="L252" s="116"/>
      <c r="M252" s="116"/>
      <c r="N252" s="116"/>
      <c r="O252" s="116"/>
      <c r="P252" s="300"/>
      <c r="Q252" s="300"/>
    </row>
    <row r="253" spans="1:17" ht="35.1" customHeight="1">
      <c r="B253" s="110"/>
      <c r="C253" s="111"/>
      <c r="D253" s="520"/>
      <c r="E253" s="361"/>
      <c r="F253" s="505"/>
      <c r="G253" s="116"/>
      <c r="H253" s="116"/>
      <c r="I253" s="116"/>
      <c r="J253" s="116"/>
      <c r="K253" s="116"/>
      <c r="L253" s="116"/>
      <c r="M253" s="116"/>
      <c r="N253" s="116"/>
      <c r="O253" s="116"/>
    </row>
    <row r="254" spans="1:17" s="522" customFormat="1" ht="21" customHeight="1">
      <c r="A254" s="314"/>
      <c r="B254" s="110" t="s">
        <v>844</v>
      </c>
      <c r="C254" s="150" t="s">
        <v>2567</v>
      </c>
      <c r="D254" s="521">
        <f>+D255+D285</f>
        <v>11000000000</v>
      </c>
      <c r="E254" s="134">
        <v>45992775230.57</v>
      </c>
      <c r="F254" s="505">
        <f>+D254/E254*100</f>
        <v>23.916799855749158</v>
      </c>
      <c r="G254" s="121"/>
      <c r="H254" s="121"/>
      <c r="I254" s="121"/>
      <c r="J254" s="121"/>
      <c r="K254" s="121"/>
      <c r="L254" s="121"/>
      <c r="M254" s="121"/>
      <c r="N254" s="121"/>
      <c r="O254" s="121"/>
      <c r="P254" s="314"/>
      <c r="Q254" s="314"/>
    </row>
    <row r="255" spans="1:17" s="498" customFormat="1" ht="21" customHeight="1">
      <c r="A255" s="300"/>
      <c r="B255" s="260"/>
      <c r="C255" s="111" t="s">
        <v>161</v>
      </c>
      <c r="D255" s="145">
        <f>+D256+D258+D266+D268+D271+D278+D280+D282</f>
        <v>7000000000</v>
      </c>
      <c r="E255" s="134">
        <v>12500000000</v>
      </c>
      <c r="F255" s="505">
        <f>+D255/E255*100</f>
        <v>56.000000000000007</v>
      </c>
      <c r="G255" s="116"/>
      <c r="H255" s="116"/>
      <c r="I255" s="116"/>
      <c r="J255" s="116"/>
      <c r="K255" s="116"/>
      <c r="L255" s="116"/>
      <c r="M255" s="116"/>
      <c r="N255" s="116"/>
      <c r="O255" s="116"/>
      <c r="P255" s="300"/>
      <c r="Q255" s="300"/>
    </row>
    <row r="256" spans="1:17" s="498" customFormat="1" ht="21" customHeight="1">
      <c r="A256" s="300"/>
      <c r="B256" s="260"/>
      <c r="C256" s="111" t="s">
        <v>162</v>
      </c>
      <c r="D256" s="145">
        <f>+D257</f>
        <v>1517000000</v>
      </c>
      <c r="E256" s="134">
        <v>12500000000</v>
      </c>
      <c r="F256" s="505">
        <f t="shared" ref="F256:F287" si="7">+D256/E256*100</f>
        <v>12.135999999999999</v>
      </c>
      <c r="G256" s="116"/>
      <c r="H256" s="116"/>
      <c r="I256" s="116"/>
      <c r="J256" s="116"/>
      <c r="K256" s="116"/>
      <c r="L256" s="116"/>
      <c r="M256" s="116"/>
      <c r="N256" s="116"/>
      <c r="O256" s="116"/>
      <c r="P256" s="300"/>
      <c r="Q256" s="300"/>
    </row>
    <row r="257" spans="1:17" s="498" customFormat="1" ht="35.1" customHeight="1">
      <c r="A257" s="300"/>
      <c r="B257" s="260"/>
      <c r="C257" s="123" t="s">
        <v>859</v>
      </c>
      <c r="D257" s="58">
        <v>1517000000</v>
      </c>
      <c r="E257" s="134">
        <v>12500000000</v>
      </c>
      <c r="F257" s="505">
        <f t="shared" si="7"/>
        <v>12.135999999999999</v>
      </c>
      <c r="G257" s="116"/>
      <c r="H257" s="116"/>
      <c r="I257" s="116"/>
      <c r="J257" s="116"/>
      <c r="K257" s="116"/>
      <c r="L257" s="116"/>
      <c r="M257" s="116"/>
      <c r="N257" s="116"/>
      <c r="O257" s="116"/>
      <c r="P257" s="300"/>
      <c r="Q257" s="300"/>
    </row>
    <row r="258" spans="1:17" s="498" customFormat="1" ht="21" customHeight="1">
      <c r="A258" s="300"/>
      <c r="B258" s="260"/>
      <c r="C258" s="111" t="s">
        <v>173</v>
      </c>
      <c r="D258" s="145">
        <f>SUM(D259:D265)</f>
        <v>3015215000</v>
      </c>
      <c r="E258" s="134">
        <v>12500000000</v>
      </c>
      <c r="F258" s="505">
        <f t="shared" si="7"/>
        <v>24.12172</v>
      </c>
      <c r="G258" s="116"/>
      <c r="H258" s="116"/>
      <c r="I258" s="116"/>
      <c r="J258" s="116"/>
      <c r="K258" s="116"/>
      <c r="L258" s="116"/>
      <c r="M258" s="116"/>
      <c r="N258" s="116"/>
      <c r="O258" s="116"/>
      <c r="P258" s="300"/>
      <c r="Q258" s="300"/>
    </row>
    <row r="259" spans="1:17" s="498" customFormat="1" ht="21" customHeight="1">
      <c r="A259" s="300"/>
      <c r="B259" s="260"/>
      <c r="C259" s="123" t="s">
        <v>860</v>
      </c>
      <c r="D259" s="58">
        <v>335335000</v>
      </c>
      <c r="E259" s="134">
        <v>12500000000</v>
      </c>
      <c r="F259" s="505">
        <f t="shared" si="7"/>
        <v>2.68268</v>
      </c>
      <c r="G259" s="116"/>
      <c r="H259" s="116"/>
      <c r="I259" s="116"/>
      <c r="J259" s="116"/>
      <c r="K259" s="116"/>
      <c r="L259" s="116"/>
      <c r="M259" s="116"/>
      <c r="N259" s="116"/>
      <c r="O259" s="116"/>
      <c r="P259" s="300"/>
      <c r="Q259" s="300"/>
    </row>
    <row r="260" spans="1:17" s="498" customFormat="1" ht="21" customHeight="1">
      <c r="A260" s="300"/>
      <c r="B260" s="260"/>
      <c r="C260" s="123" t="s">
        <v>861</v>
      </c>
      <c r="D260" s="58">
        <v>100000000</v>
      </c>
      <c r="E260" s="134">
        <v>12500000000</v>
      </c>
      <c r="F260" s="505">
        <f t="shared" si="7"/>
        <v>0.8</v>
      </c>
      <c r="G260" s="116"/>
      <c r="H260" s="116"/>
      <c r="I260" s="116"/>
      <c r="J260" s="116"/>
      <c r="K260" s="116"/>
      <c r="L260" s="116"/>
      <c r="M260" s="116"/>
      <c r="N260" s="116"/>
      <c r="O260" s="116"/>
      <c r="P260" s="300"/>
      <c r="Q260" s="300"/>
    </row>
    <row r="261" spans="1:17" s="498" customFormat="1" ht="21" customHeight="1">
      <c r="A261" s="300"/>
      <c r="B261" s="260"/>
      <c r="C261" s="123" t="s">
        <v>414</v>
      </c>
      <c r="D261" s="58">
        <v>88430000</v>
      </c>
      <c r="E261" s="134">
        <v>12500000000</v>
      </c>
      <c r="F261" s="505">
        <f t="shared" si="7"/>
        <v>0.70743999999999996</v>
      </c>
      <c r="G261" s="116"/>
      <c r="H261" s="116"/>
      <c r="I261" s="116"/>
      <c r="J261" s="116"/>
      <c r="K261" s="116"/>
      <c r="L261" s="116"/>
      <c r="M261" s="116"/>
      <c r="N261" s="116"/>
      <c r="O261" s="116"/>
      <c r="P261" s="300"/>
      <c r="Q261" s="300"/>
    </row>
    <row r="262" spans="1:17" s="498" customFormat="1" ht="21" customHeight="1">
      <c r="A262" s="300"/>
      <c r="B262" s="260"/>
      <c r="C262" s="123" t="s">
        <v>862</v>
      </c>
      <c r="D262" s="58">
        <v>121150000</v>
      </c>
      <c r="E262" s="134">
        <v>12500000000</v>
      </c>
      <c r="F262" s="505">
        <f t="shared" si="7"/>
        <v>0.96919999999999995</v>
      </c>
      <c r="G262" s="116"/>
      <c r="H262" s="116"/>
      <c r="I262" s="116"/>
      <c r="J262" s="116"/>
      <c r="K262" s="116"/>
      <c r="L262" s="116"/>
      <c r="M262" s="116"/>
      <c r="N262" s="116"/>
      <c r="O262" s="116"/>
      <c r="P262" s="300"/>
      <c r="Q262" s="300"/>
    </row>
    <row r="263" spans="1:17" s="498" customFormat="1" ht="21" customHeight="1">
      <c r="A263" s="300"/>
      <c r="B263" s="260"/>
      <c r="C263" s="123" t="s">
        <v>863</v>
      </c>
      <c r="D263" s="58">
        <v>89900000</v>
      </c>
      <c r="E263" s="134">
        <v>12500000000</v>
      </c>
      <c r="F263" s="505">
        <f t="shared" si="7"/>
        <v>0.71919999999999995</v>
      </c>
      <c r="G263" s="116"/>
      <c r="H263" s="116"/>
      <c r="I263" s="116"/>
      <c r="J263" s="116"/>
      <c r="K263" s="116"/>
      <c r="L263" s="116"/>
      <c r="M263" s="116"/>
      <c r="N263" s="116"/>
      <c r="O263" s="116"/>
      <c r="P263" s="300"/>
      <c r="Q263" s="300"/>
    </row>
    <row r="264" spans="1:17" s="498" customFormat="1" ht="21" customHeight="1">
      <c r="A264" s="300"/>
      <c r="B264" s="260"/>
      <c r="C264" s="123" t="s">
        <v>864</v>
      </c>
      <c r="D264" s="58">
        <v>2000000000</v>
      </c>
      <c r="E264" s="134">
        <v>12500000000</v>
      </c>
      <c r="F264" s="505">
        <f t="shared" si="7"/>
        <v>16</v>
      </c>
      <c r="G264" s="116"/>
      <c r="H264" s="116"/>
      <c r="I264" s="116"/>
      <c r="J264" s="116"/>
      <c r="K264" s="116"/>
      <c r="L264" s="116"/>
      <c r="M264" s="116"/>
      <c r="N264" s="116"/>
      <c r="O264" s="116"/>
      <c r="P264" s="300"/>
      <c r="Q264" s="300"/>
    </row>
    <row r="265" spans="1:17" s="498" customFormat="1" ht="21" customHeight="1">
      <c r="A265" s="300"/>
      <c r="B265" s="260"/>
      <c r="C265" s="123" t="s">
        <v>865</v>
      </c>
      <c r="D265" s="58">
        <v>280400000</v>
      </c>
      <c r="E265" s="134">
        <v>12500000000</v>
      </c>
      <c r="F265" s="505">
        <f t="shared" si="7"/>
        <v>2.2431999999999999</v>
      </c>
      <c r="G265" s="116"/>
      <c r="H265" s="116"/>
      <c r="I265" s="116"/>
      <c r="J265" s="116"/>
      <c r="K265" s="116"/>
      <c r="L265" s="116"/>
      <c r="M265" s="116"/>
      <c r="N265" s="116"/>
      <c r="O265" s="116"/>
      <c r="P265" s="300"/>
      <c r="Q265" s="300"/>
    </row>
    <row r="266" spans="1:17" s="498" customFormat="1" ht="35.1" customHeight="1">
      <c r="A266" s="300"/>
      <c r="B266" s="260"/>
      <c r="C266" s="111" t="s">
        <v>186</v>
      </c>
      <c r="D266" s="145">
        <f>+D267</f>
        <v>319000000</v>
      </c>
      <c r="E266" s="134">
        <v>12500000000</v>
      </c>
      <c r="F266" s="505">
        <f t="shared" si="7"/>
        <v>2.552</v>
      </c>
      <c r="G266" s="116"/>
      <c r="H266" s="116"/>
      <c r="I266" s="116"/>
      <c r="J266" s="116"/>
      <c r="K266" s="116"/>
      <c r="L266" s="116"/>
      <c r="M266" s="116"/>
      <c r="N266" s="116"/>
      <c r="O266" s="116"/>
      <c r="P266" s="300"/>
      <c r="Q266" s="300"/>
    </row>
    <row r="267" spans="1:17" s="498" customFormat="1" ht="21" customHeight="1">
      <c r="A267" s="300"/>
      <c r="B267" s="260"/>
      <c r="C267" s="123" t="s">
        <v>187</v>
      </c>
      <c r="D267" s="58">
        <v>319000000</v>
      </c>
      <c r="E267" s="134">
        <v>12500000000</v>
      </c>
      <c r="F267" s="505">
        <f t="shared" si="7"/>
        <v>2.552</v>
      </c>
      <c r="G267" s="116"/>
      <c r="H267" s="116"/>
      <c r="I267" s="116"/>
      <c r="J267" s="116"/>
      <c r="K267" s="116"/>
      <c r="L267" s="116"/>
      <c r="M267" s="116"/>
      <c r="N267" s="116"/>
      <c r="O267" s="116"/>
      <c r="P267" s="300"/>
      <c r="Q267" s="300"/>
    </row>
    <row r="268" spans="1:17" s="498" customFormat="1" ht="21" customHeight="1">
      <c r="A268" s="300"/>
      <c r="B268" s="260"/>
      <c r="C268" s="111" t="s">
        <v>190</v>
      </c>
      <c r="D268" s="145">
        <f>SUM(D269:D270)</f>
        <v>382825000</v>
      </c>
      <c r="E268" s="134">
        <v>12500000000</v>
      </c>
      <c r="F268" s="505">
        <f t="shared" si="7"/>
        <v>3.0626000000000002</v>
      </c>
      <c r="G268" s="116"/>
      <c r="H268" s="116"/>
      <c r="I268" s="116"/>
      <c r="J268" s="116"/>
      <c r="K268" s="116"/>
      <c r="L268" s="116"/>
      <c r="M268" s="116"/>
      <c r="N268" s="116"/>
      <c r="O268" s="116"/>
      <c r="P268" s="300"/>
      <c r="Q268" s="300"/>
    </row>
    <row r="269" spans="1:17" s="498" customFormat="1" ht="21" customHeight="1">
      <c r="A269" s="300"/>
      <c r="B269" s="260"/>
      <c r="C269" s="123" t="s">
        <v>866</v>
      </c>
      <c r="D269" s="58">
        <v>211400000</v>
      </c>
      <c r="E269" s="134">
        <v>12500000000</v>
      </c>
      <c r="F269" s="505">
        <f t="shared" si="7"/>
        <v>1.6912</v>
      </c>
      <c r="G269" s="116"/>
      <c r="H269" s="116"/>
      <c r="I269" s="116"/>
      <c r="J269" s="116"/>
      <c r="K269" s="116"/>
      <c r="L269" s="116"/>
      <c r="M269" s="116"/>
      <c r="N269" s="116"/>
      <c r="O269" s="116"/>
      <c r="P269" s="300"/>
      <c r="Q269" s="300"/>
    </row>
    <row r="270" spans="1:17" s="498" customFormat="1" ht="35.1" customHeight="1">
      <c r="A270" s="300"/>
      <c r="B270" s="260"/>
      <c r="C270" s="123" t="s">
        <v>867</v>
      </c>
      <c r="D270" s="58">
        <v>171425000</v>
      </c>
      <c r="E270" s="134">
        <v>12500000000</v>
      </c>
      <c r="F270" s="505">
        <f t="shared" si="7"/>
        <v>1.3714</v>
      </c>
      <c r="G270" s="116"/>
      <c r="H270" s="116"/>
      <c r="I270" s="116"/>
      <c r="J270" s="116"/>
      <c r="K270" s="116"/>
      <c r="L270" s="116"/>
      <c r="M270" s="116"/>
      <c r="N270" s="116"/>
      <c r="O270" s="116"/>
      <c r="P270" s="300"/>
      <c r="Q270" s="300"/>
    </row>
    <row r="271" spans="1:17" s="498" customFormat="1" ht="35.1" customHeight="1">
      <c r="A271" s="300"/>
      <c r="B271" s="260"/>
      <c r="C271" s="111" t="s">
        <v>196</v>
      </c>
      <c r="D271" s="145">
        <f>SUM(D272:D277)</f>
        <v>555985000</v>
      </c>
      <c r="E271" s="134">
        <v>12500000000</v>
      </c>
      <c r="F271" s="505">
        <f t="shared" si="7"/>
        <v>4.4478799999999996</v>
      </c>
      <c r="G271" s="116"/>
      <c r="H271" s="116"/>
      <c r="I271" s="116"/>
      <c r="J271" s="116"/>
      <c r="K271" s="116"/>
      <c r="L271" s="116"/>
      <c r="M271" s="116"/>
      <c r="N271" s="116"/>
      <c r="O271" s="116"/>
      <c r="P271" s="300"/>
      <c r="Q271" s="300"/>
    </row>
    <row r="272" spans="1:17" s="498" customFormat="1" ht="21" customHeight="1">
      <c r="A272" s="300"/>
      <c r="B272" s="260"/>
      <c r="C272" s="123" t="s">
        <v>868</v>
      </c>
      <c r="D272" s="58">
        <v>117500000</v>
      </c>
      <c r="E272" s="134">
        <v>12500000000</v>
      </c>
      <c r="F272" s="505">
        <f t="shared" si="7"/>
        <v>0.94000000000000006</v>
      </c>
      <c r="G272" s="116"/>
      <c r="H272" s="116"/>
      <c r="I272" s="116"/>
      <c r="J272" s="116"/>
      <c r="K272" s="116"/>
      <c r="L272" s="116"/>
      <c r="M272" s="116"/>
      <c r="N272" s="116"/>
      <c r="O272" s="116"/>
      <c r="P272" s="300"/>
      <c r="Q272" s="300"/>
    </row>
    <row r="273" spans="1:17" s="498" customFormat="1" ht="35.1" customHeight="1">
      <c r="A273" s="300"/>
      <c r="B273" s="260"/>
      <c r="C273" s="123" t="s">
        <v>869</v>
      </c>
      <c r="D273" s="58">
        <v>76129000</v>
      </c>
      <c r="E273" s="134">
        <v>12500000000</v>
      </c>
      <c r="F273" s="505">
        <f t="shared" si="7"/>
        <v>0.60903200000000002</v>
      </c>
      <c r="G273" s="116"/>
      <c r="H273" s="116"/>
      <c r="I273" s="116"/>
      <c r="J273" s="116"/>
      <c r="K273" s="116"/>
      <c r="L273" s="116"/>
      <c r="M273" s="116"/>
      <c r="N273" s="116"/>
      <c r="O273" s="116"/>
      <c r="P273" s="300"/>
      <c r="Q273" s="300"/>
    </row>
    <row r="274" spans="1:17" s="498" customFormat="1" ht="21" customHeight="1">
      <c r="A274" s="300"/>
      <c r="B274" s="260"/>
      <c r="C274" s="123" t="s">
        <v>870</v>
      </c>
      <c r="D274" s="58">
        <v>139803000</v>
      </c>
      <c r="E274" s="134">
        <v>12500000000</v>
      </c>
      <c r="F274" s="505">
        <f t="shared" si="7"/>
        <v>1.1184240000000001</v>
      </c>
      <c r="G274" s="116"/>
      <c r="H274" s="116"/>
      <c r="I274" s="116"/>
      <c r="J274" s="116"/>
      <c r="K274" s="116"/>
      <c r="L274" s="116"/>
      <c r="M274" s="116"/>
      <c r="N274" s="116"/>
      <c r="O274" s="116"/>
      <c r="P274" s="300"/>
      <c r="Q274" s="300"/>
    </row>
    <row r="275" spans="1:17" s="498" customFormat="1" ht="21" customHeight="1">
      <c r="A275" s="300"/>
      <c r="B275" s="260"/>
      <c r="C275" s="123" t="s">
        <v>871</v>
      </c>
      <c r="D275" s="58">
        <v>77718000</v>
      </c>
      <c r="E275" s="134">
        <v>12500000000</v>
      </c>
      <c r="F275" s="505">
        <f t="shared" si="7"/>
        <v>0.62174400000000007</v>
      </c>
      <c r="G275" s="116"/>
      <c r="H275" s="116"/>
      <c r="I275" s="116"/>
      <c r="J275" s="116"/>
      <c r="K275" s="116"/>
      <c r="L275" s="116"/>
      <c r="M275" s="116"/>
      <c r="N275" s="116"/>
      <c r="O275" s="116"/>
      <c r="P275" s="300"/>
      <c r="Q275" s="300"/>
    </row>
    <row r="276" spans="1:17" s="498" customFormat="1" ht="21" customHeight="1">
      <c r="A276" s="300"/>
      <c r="B276" s="260"/>
      <c r="C276" s="123" t="s">
        <v>872</v>
      </c>
      <c r="D276" s="58">
        <v>89840000</v>
      </c>
      <c r="E276" s="134"/>
      <c r="F276" s="505"/>
      <c r="G276" s="116"/>
      <c r="H276" s="116"/>
      <c r="I276" s="116"/>
      <c r="J276" s="116"/>
      <c r="K276" s="116"/>
      <c r="L276" s="116"/>
      <c r="M276" s="116"/>
      <c r="N276" s="116"/>
      <c r="O276" s="116"/>
      <c r="P276" s="300"/>
      <c r="Q276" s="300"/>
    </row>
    <row r="277" spans="1:17" s="498" customFormat="1" ht="21" customHeight="1">
      <c r="A277" s="300"/>
      <c r="B277" s="260"/>
      <c r="C277" s="123" t="s">
        <v>873</v>
      </c>
      <c r="D277" s="58">
        <v>54995000</v>
      </c>
      <c r="E277" s="134">
        <v>12500000000</v>
      </c>
      <c r="F277" s="505">
        <f t="shared" si="7"/>
        <v>0.43996000000000002</v>
      </c>
      <c r="G277" s="116"/>
      <c r="H277" s="116"/>
      <c r="I277" s="116"/>
      <c r="J277" s="116"/>
      <c r="K277" s="116"/>
      <c r="L277" s="116"/>
      <c r="M277" s="116"/>
      <c r="N277" s="116"/>
      <c r="O277" s="116"/>
      <c r="P277" s="300"/>
      <c r="Q277" s="300"/>
    </row>
    <row r="278" spans="1:17" s="498" customFormat="1" ht="21" customHeight="1">
      <c r="A278" s="300"/>
      <c r="B278" s="260"/>
      <c r="C278" s="111" t="s">
        <v>874</v>
      </c>
      <c r="D278" s="145">
        <f>+D279</f>
        <v>500000000</v>
      </c>
      <c r="E278" s="134">
        <v>12500000000</v>
      </c>
      <c r="F278" s="505">
        <f t="shared" si="7"/>
        <v>4</v>
      </c>
      <c r="G278" s="116"/>
      <c r="H278" s="116"/>
      <c r="I278" s="116"/>
      <c r="J278" s="116"/>
      <c r="K278" s="116"/>
      <c r="L278" s="116"/>
      <c r="M278" s="116"/>
      <c r="N278" s="116"/>
      <c r="O278" s="116"/>
      <c r="P278" s="300"/>
      <c r="Q278" s="300"/>
    </row>
    <row r="279" spans="1:17" s="498" customFormat="1" ht="35.1" customHeight="1">
      <c r="A279" s="300"/>
      <c r="B279" s="260"/>
      <c r="C279" s="123" t="s">
        <v>875</v>
      </c>
      <c r="D279" s="58">
        <v>500000000</v>
      </c>
      <c r="E279" s="134">
        <v>12500000000</v>
      </c>
      <c r="F279" s="505">
        <f t="shared" si="7"/>
        <v>4</v>
      </c>
      <c r="G279" s="116"/>
      <c r="H279" s="116"/>
      <c r="I279" s="116"/>
      <c r="J279" s="116"/>
      <c r="K279" s="116"/>
      <c r="L279" s="116"/>
      <c r="M279" s="116"/>
      <c r="N279" s="116"/>
      <c r="O279" s="116"/>
      <c r="P279" s="300"/>
      <c r="Q279" s="300"/>
    </row>
    <row r="280" spans="1:17" s="498" customFormat="1" ht="21" customHeight="1">
      <c r="A280" s="300"/>
      <c r="B280" s="260"/>
      <c r="C280" s="111" t="s">
        <v>212</v>
      </c>
      <c r="D280" s="145">
        <f>+D281</f>
        <v>209975000</v>
      </c>
      <c r="E280" s="134">
        <v>12500000000</v>
      </c>
      <c r="F280" s="505">
        <f t="shared" si="7"/>
        <v>1.6798</v>
      </c>
      <c r="G280" s="116"/>
      <c r="H280" s="116"/>
      <c r="I280" s="116"/>
      <c r="J280" s="116"/>
      <c r="K280" s="116"/>
      <c r="L280" s="116"/>
      <c r="M280" s="116"/>
      <c r="N280" s="116"/>
      <c r="O280" s="116"/>
      <c r="P280" s="300"/>
      <c r="Q280" s="300"/>
    </row>
    <row r="281" spans="1:17" s="498" customFormat="1" ht="21" customHeight="1">
      <c r="A281" s="300"/>
      <c r="B281" s="260"/>
      <c r="C281" s="123" t="s">
        <v>876</v>
      </c>
      <c r="D281" s="58">
        <v>209975000</v>
      </c>
      <c r="E281" s="134">
        <v>12500000000</v>
      </c>
      <c r="F281" s="505">
        <f t="shared" si="7"/>
        <v>1.6798</v>
      </c>
      <c r="G281" s="116"/>
      <c r="H281" s="116"/>
      <c r="I281" s="116"/>
      <c r="J281" s="116"/>
      <c r="K281" s="116"/>
      <c r="L281" s="116"/>
      <c r="M281" s="116"/>
      <c r="N281" s="116"/>
      <c r="O281" s="116"/>
      <c r="P281" s="300"/>
      <c r="Q281" s="300"/>
    </row>
    <row r="282" spans="1:17" s="498" customFormat="1" ht="21" customHeight="1">
      <c r="A282" s="300"/>
      <c r="B282" s="260"/>
      <c r="C282" s="111" t="s">
        <v>877</v>
      </c>
      <c r="D282" s="145">
        <f>+D283</f>
        <v>500000000</v>
      </c>
      <c r="E282" s="134">
        <v>12500000000</v>
      </c>
      <c r="F282" s="505">
        <f t="shared" si="7"/>
        <v>4</v>
      </c>
      <c r="G282" s="116"/>
      <c r="H282" s="116"/>
      <c r="I282" s="116"/>
      <c r="J282" s="116"/>
      <c r="K282" s="116"/>
      <c r="L282" s="116"/>
      <c r="M282" s="116"/>
      <c r="N282" s="116"/>
      <c r="O282" s="116"/>
      <c r="P282" s="300"/>
      <c r="Q282" s="300"/>
    </row>
    <row r="283" spans="1:17" s="498" customFormat="1" ht="49.5" customHeight="1">
      <c r="A283" s="300"/>
      <c r="B283" s="260"/>
      <c r="C283" s="123" t="s">
        <v>878</v>
      </c>
      <c r="D283" s="58">
        <v>500000000</v>
      </c>
      <c r="E283" s="134">
        <v>12500000000</v>
      </c>
      <c r="F283" s="505">
        <f t="shared" si="7"/>
        <v>4</v>
      </c>
      <c r="G283" s="116"/>
      <c r="H283" s="116"/>
      <c r="I283" s="116"/>
      <c r="J283" s="116"/>
      <c r="K283" s="116"/>
      <c r="L283" s="116"/>
      <c r="M283" s="116"/>
      <c r="N283" s="116"/>
      <c r="O283" s="116"/>
      <c r="P283" s="300"/>
      <c r="Q283" s="300"/>
    </row>
    <row r="284" spans="1:17" s="498" customFormat="1" ht="21" customHeight="1">
      <c r="A284" s="300"/>
      <c r="B284" s="260"/>
      <c r="C284" s="123"/>
      <c r="D284" s="58"/>
      <c r="E284" s="134">
        <v>12500000000</v>
      </c>
      <c r="F284" s="505">
        <f t="shared" si="7"/>
        <v>0</v>
      </c>
      <c r="G284" s="116"/>
      <c r="H284" s="116"/>
      <c r="I284" s="116"/>
      <c r="J284" s="116"/>
      <c r="K284" s="116"/>
      <c r="L284" s="116"/>
      <c r="M284" s="116"/>
      <c r="N284" s="116"/>
      <c r="O284" s="116"/>
      <c r="P284" s="300"/>
      <c r="Q284" s="300"/>
    </row>
    <row r="285" spans="1:17" s="498" customFormat="1" ht="21" customHeight="1">
      <c r="A285" s="300"/>
      <c r="B285" s="260"/>
      <c r="C285" s="111" t="s">
        <v>425</v>
      </c>
      <c r="D285" s="145">
        <f>+D286</f>
        <v>4000000000</v>
      </c>
      <c r="E285" s="134">
        <v>12500000000</v>
      </c>
      <c r="F285" s="505">
        <f t="shared" si="7"/>
        <v>32</v>
      </c>
      <c r="G285" s="116"/>
      <c r="H285" s="116"/>
      <c r="I285" s="116"/>
      <c r="J285" s="116"/>
      <c r="K285" s="116"/>
      <c r="L285" s="116"/>
      <c r="M285" s="116"/>
      <c r="N285" s="116"/>
      <c r="O285" s="116"/>
      <c r="P285" s="300"/>
      <c r="Q285" s="300"/>
    </row>
    <row r="286" spans="1:17" s="498" customFormat="1" ht="21" customHeight="1">
      <c r="A286" s="300"/>
      <c r="B286" s="260"/>
      <c r="C286" s="111" t="s">
        <v>162</v>
      </c>
      <c r="D286" s="145">
        <f>+D287</f>
        <v>4000000000</v>
      </c>
      <c r="E286" s="134">
        <v>12500000000</v>
      </c>
      <c r="F286" s="505">
        <f t="shared" si="7"/>
        <v>32</v>
      </c>
      <c r="G286" s="116"/>
      <c r="H286" s="116"/>
      <c r="I286" s="116"/>
      <c r="J286" s="116"/>
      <c r="K286" s="116"/>
      <c r="L286" s="116"/>
      <c r="M286" s="116"/>
      <c r="N286" s="116"/>
      <c r="O286" s="116"/>
      <c r="P286" s="300"/>
      <c r="Q286" s="300"/>
    </row>
    <row r="287" spans="1:17" s="498" customFormat="1" ht="21" customHeight="1">
      <c r="A287" s="300"/>
      <c r="B287" s="260"/>
      <c r="C287" s="123" t="s">
        <v>859</v>
      </c>
      <c r="D287" s="58">
        <v>4000000000</v>
      </c>
      <c r="E287" s="134">
        <v>12500000000</v>
      </c>
      <c r="F287" s="505">
        <f t="shared" si="7"/>
        <v>32</v>
      </c>
      <c r="G287" s="116"/>
      <c r="H287" s="116"/>
      <c r="I287" s="116"/>
      <c r="J287" s="116"/>
      <c r="K287" s="116"/>
      <c r="L287" s="116"/>
      <c r="M287" s="116"/>
      <c r="N287" s="116"/>
      <c r="O287" s="116"/>
      <c r="P287" s="300"/>
      <c r="Q287" s="300"/>
    </row>
    <row r="288" spans="1:17" ht="21" customHeight="1">
      <c r="B288" s="260"/>
      <c r="C288" s="123"/>
      <c r="D288" s="500"/>
      <c r="E288" s="137"/>
      <c r="F288" s="511"/>
      <c r="G288" s="116"/>
      <c r="H288" s="116"/>
      <c r="I288" s="116"/>
      <c r="J288" s="116"/>
      <c r="K288" s="116"/>
      <c r="L288" s="116"/>
      <c r="M288" s="116"/>
      <c r="N288" s="116"/>
      <c r="O288" s="116"/>
    </row>
    <row r="289" spans="1:17" ht="21" customHeight="1">
      <c r="B289" s="260"/>
      <c r="C289" s="123"/>
      <c r="D289" s="500"/>
      <c r="E289" s="137"/>
      <c r="F289" s="511"/>
      <c r="G289" s="116"/>
      <c r="H289" s="116"/>
      <c r="I289" s="116"/>
      <c r="J289" s="116"/>
      <c r="K289" s="116"/>
      <c r="L289" s="116"/>
      <c r="M289" s="116"/>
      <c r="N289" s="116"/>
      <c r="O289" s="116"/>
    </row>
    <row r="290" spans="1:17" s="522" customFormat="1" ht="21" customHeight="1">
      <c r="A290" s="314"/>
      <c r="B290" s="260">
        <v>7</v>
      </c>
      <c r="C290" s="219" t="s">
        <v>2613</v>
      </c>
      <c r="D290" s="523">
        <f>D291+D313+D319</f>
        <v>12114914400</v>
      </c>
      <c r="E290" s="147">
        <v>64189783336.760002</v>
      </c>
      <c r="F290" s="524">
        <f>+D290/E290*100</f>
        <v>18.873586683477818</v>
      </c>
      <c r="G290" s="121"/>
      <c r="H290" s="121"/>
      <c r="I290" s="121"/>
      <c r="J290" s="121"/>
      <c r="K290" s="121"/>
      <c r="L290" s="121"/>
      <c r="M290" s="121"/>
      <c r="N290" s="121"/>
      <c r="O290" s="121"/>
      <c r="P290" s="314"/>
      <c r="Q290" s="314"/>
    </row>
    <row r="291" spans="1:17" s="522" customFormat="1" ht="21" customHeight="1">
      <c r="A291" s="314"/>
      <c r="B291" s="260"/>
      <c r="C291" s="148" t="s">
        <v>161</v>
      </c>
      <c r="D291" s="523">
        <f>D292+D294+D296+D298+D304+D306+D308+D310</f>
        <v>5971714400</v>
      </c>
      <c r="E291" s="234">
        <v>12114914400</v>
      </c>
      <c r="F291" s="524">
        <f>+D291/E291*100</f>
        <v>49.292254182167397</v>
      </c>
      <c r="G291" s="121"/>
      <c r="H291" s="121"/>
      <c r="I291" s="121"/>
      <c r="J291" s="121"/>
      <c r="K291" s="121"/>
      <c r="L291" s="121"/>
      <c r="M291" s="121"/>
      <c r="N291" s="121"/>
      <c r="O291" s="121"/>
      <c r="P291" s="314"/>
      <c r="Q291" s="314"/>
    </row>
    <row r="292" spans="1:17" s="498" customFormat="1" ht="21" customHeight="1">
      <c r="A292" s="300"/>
      <c r="B292" s="260"/>
      <c r="C292" s="111" t="s">
        <v>162</v>
      </c>
      <c r="D292" s="523">
        <f>D293</f>
        <v>150000000</v>
      </c>
      <c r="E292" s="137">
        <v>12114914400</v>
      </c>
      <c r="F292" s="511">
        <f t="shared" ref="F292:F321" si="8">+D292/E292*100</f>
        <v>1.2381432922051847</v>
      </c>
      <c r="G292" s="116"/>
      <c r="H292" s="116"/>
      <c r="I292" s="116"/>
      <c r="J292" s="116"/>
      <c r="K292" s="116"/>
      <c r="L292" s="116"/>
      <c r="M292" s="116"/>
      <c r="N292" s="116"/>
      <c r="O292" s="116"/>
      <c r="P292" s="300"/>
      <c r="Q292" s="300"/>
    </row>
    <row r="293" spans="1:17" s="498" customFormat="1" ht="21" customHeight="1">
      <c r="A293" s="300"/>
      <c r="B293" s="260"/>
      <c r="C293" s="123" t="s">
        <v>944</v>
      </c>
      <c r="D293" s="525">
        <v>150000000</v>
      </c>
      <c r="E293" s="137">
        <v>12114914400</v>
      </c>
      <c r="F293" s="511">
        <f t="shared" si="8"/>
        <v>1.2381432922051847</v>
      </c>
      <c r="G293" s="116"/>
      <c r="H293" s="116"/>
      <c r="I293" s="116"/>
      <c r="J293" s="116"/>
      <c r="K293" s="116"/>
      <c r="L293" s="116"/>
      <c r="M293" s="116"/>
      <c r="N293" s="116"/>
      <c r="O293" s="116"/>
      <c r="P293" s="300"/>
      <c r="Q293" s="300"/>
    </row>
    <row r="294" spans="1:17" s="498" customFormat="1" ht="21" customHeight="1">
      <c r="A294" s="300"/>
      <c r="B294" s="260"/>
      <c r="C294" s="111" t="s">
        <v>945</v>
      </c>
      <c r="D294" s="523">
        <f>D295</f>
        <v>1918386400</v>
      </c>
      <c r="E294" s="137">
        <v>12114914400</v>
      </c>
      <c r="F294" s="511">
        <f t="shared" si="8"/>
        <v>15.834915020117682</v>
      </c>
      <c r="G294" s="116"/>
      <c r="H294" s="116"/>
      <c r="I294" s="116"/>
      <c r="J294" s="116"/>
      <c r="K294" s="116"/>
      <c r="L294" s="116"/>
      <c r="M294" s="116"/>
      <c r="N294" s="116"/>
      <c r="O294" s="116"/>
      <c r="P294" s="300"/>
      <c r="Q294" s="300"/>
    </row>
    <row r="295" spans="1:17" s="498" customFormat="1" ht="35.1" customHeight="1">
      <c r="A295" s="300"/>
      <c r="B295" s="260"/>
      <c r="C295" s="123" t="s">
        <v>946</v>
      </c>
      <c r="D295" s="525">
        <v>1918386400</v>
      </c>
      <c r="E295" s="137">
        <v>12114914400</v>
      </c>
      <c r="F295" s="511">
        <f t="shared" si="8"/>
        <v>15.834915020117682</v>
      </c>
      <c r="G295" s="116"/>
      <c r="H295" s="116"/>
      <c r="I295" s="116"/>
      <c r="J295" s="116"/>
      <c r="K295" s="116"/>
      <c r="L295" s="116"/>
      <c r="M295" s="116"/>
      <c r="N295" s="116"/>
      <c r="O295" s="116"/>
      <c r="P295" s="300"/>
      <c r="Q295" s="300"/>
    </row>
    <row r="296" spans="1:17" s="498" customFormat="1" ht="21" customHeight="1">
      <c r="A296" s="300"/>
      <c r="B296" s="260"/>
      <c r="C296" s="111" t="s">
        <v>190</v>
      </c>
      <c r="D296" s="523">
        <f>D297</f>
        <v>249997000</v>
      </c>
      <c r="E296" s="137">
        <v>12114914400</v>
      </c>
      <c r="F296" s="511">
        <f t="shared" si="8"/>
        <v>2.0635473908094637</v>
      </c>
      <c r="G296" s="116"/>
      <c r="H296" s="116"/>
      <c r="I296" s="116"/>
      <c r="J296" s="116"/>
      <c r="K296" s="116"/>
      <c r="L296" s="116"/>
      <c r="M296" s="116"/>
      <c r="N296" s="116"/>
      <c r="O296" s="116"/>
      <c r="P296" s="300"/>
      <c r="Q296" s="300"/>
    </row>
    <row r="297" spans="1:17" s="498" customFormat="1" ht="35.1" customHeight="1">
      <c r="A297" s="300"/>
      <c r="B297" s="260"/>
      <c r="C297" s="123" t="s">
        <v>947</v>
      </c>
      <c r="D297" s="525">
        <v>249997000</v>
      </c>
      <c r="E297" s="137">
        <v>12114914400</v>
      </c>
      <c r="F297" s="511">
        <f t="shared" si="8"/>
        <v>2.0635473908094637</v>
      </c>
      <c r="G297" s="116"/>
      <c r="H297" s="116"/>
      <c r="I297" s="116"/>
      <c r="J297" s="116"/>
      <c r="K297" s="116"/>
      <c r="L297" s="116"/>
      <c r="M297" s="116"/>
      <c r="N297" s="116"/>
      <c r="O297" s="116"/>
      <c r="P297" s="300"/>
      <c r="Q297" s="300"/>
    </row>
    <row r="298" spans="1:17" s="498" customFormat="1" ht="21" customHeight="1">
      <c r="A298" s="300"/>
      <c r="B298" s="260"/>
      <c r="C298" s="111" t="s">
        <v>196</v>
      </c>
      <c r="D298" s="523">
        <f>SUM(D299:D303)</f>
        <v>1398207500</v>
      </c>
      <c r="E298" s="137">
        <v>12114914400</v>
      </c>
      <c r="F298" s="511">
        <f t="shared" si="8"/>
        <v>11.541208248239872</v>
      </c>
      <c r="G298" s="116"/>
      <c r="H298" s="116"/>
      <c r="I298" s="116"/>
      <c r="J298" s="116"/>
      <c r="K298" s="116"/>
      <c r="L298" s="116"/>
      <c r="M298" s="116"/>
      <c r="N298" s="116"/>
      <c r="O298" s="116"/>
      <c r="P298" s="300"/>
      <c r="Q298" s="300"/>
    </row>
    <row r="299" spans="1:17" s="498" customFormat="1" ht="21" customHeight="1">
      <c r="A299" s="300"/>
      <c r="B299" s="260"/>
      <c r="C299" s="123" t="s">
        <v>948</v>
      </c>
      <c r="D299" s="525">
        <v>236400000</v>
      </c>
      <c r="E299" s="137">
        <v>12114914400</v>
      </c>
      <c r="F299" s="511">
        <f t="shared" si="8"/>
        <v>1.9513138285153713</v>
      </c>
      <c r="G299" s="116"/>
      <c r="H299" s="116"/>
      <c r="I299" s="116"/>
      <c r="J299" s="116"/>
      <c r="K299" s="116"/>
      <c r="L299" s="116"/>
      <c r="M299" s="116"/>
      <c r="N299" s="116"/>
      <c r="O299" s="116"/>
      <c r="P299" s="300"/>
      <c r="Q299" s="300"/>
    </row>
    <row r="300" spans="1:17" s="498" customFormat="1" ht="35.1" customHeight="1">
      <c r="A300" s="300"/>
      <c r="B300" s="260"/>
      <c r="C300" s="123" t="s">
        <v>949</v>
      </c>
      <c r="D300" s="525">
        <v>80000000</v>
      </c>
      <c r="E300" s="137">
        <v>12114914400</v>
      </c>
      <c r="F300" s="511">
        <f t="shared" si="8"/>
        <v>0.66034308917609852</v>
      </c>
      <c r="G300" s="116"/>
      <c r="H300" s="116"/>
      <c r="I300" s="116"/>
      <c r="J300" s="116"/>
      <c r="K300" s="116"/>
      <c r="L300" s="116"/>
      <c r="M300" s="116"/>
      <c r="N300" s="116"/>
      <c r="O300" s="116"/>
      <c r="P300" s="300"/>
      <c r="Q300" s="300"/>
    </row>
    <row r="301" spans="1:17" s="498" customFormat="1" ht="21" customHeight="1">
      <c r="A301" s="300"/>
      <c r="B301" s="260"/>
      <c r="C301" s="123" t="s">
        <v>950</v>
      </c>
      <c r="D301" s="525">
        <v>421807500</v>
      </c>
      <c r="E301" s="137">
        <v>12114914400</v>
      </c>
      <c r="F301" s="511">
        <f t="shared" si="8"/>
        <v>3.4817208448455901</v>
      </c>
      <c r="G301" s="116"/>
      <c r="H301" s="116"/>
      <c r="I301" s="116"/>
      <c r="J301" s="116"/>
      <c r="K301" s="116"/>
      <c r="L301" s="116"/>
      <c r="M301" s="116"/>
      <c r="N301" s="116"/>
      <c r="O301" s="116"/>
      <c r="P301" s="300"/>
      <c r="Q301" s="300"/>
    </row>
    <row r="302" spans="1:17" s="498" customFormat="1" ht="21" customHeight="1">
      <c r="A302" s="300"/>
      <c r="B302" s="260"/>
      <c r="C302" s="123" t="s">
        <v>951</v>
      </c>
      <c r="D302" s="525">
        <v>580000000</v>
      </c>
      <c r="E302" s="137">
        <v>12114914400</v>
      </c>
      <c r="F302" s="511">
        <f t="shared" si="8"/>
        <v>4.7874873965267142</v>
      </c>
      <c r="G302" s="116"/>
      <c r="H302" s="116"/>
      <c r="I302" s="116"/>
      <c r="J302" s="116"/>
      <c r="K302" s="116"/>
      <c r="L302" s="116"/>
      <c r="M302" s="116"/>
      <c r="N302" s="116"/>
      <c r="O302" s="116"/>
      <c r="P302" s="300"/>
      <c r="Q302" s="300"/>
    </row>
    <row r="303" spans="1:17" s="498" customFormat="1" ht="35.1" customHeight="1">
      <c r="A303" s="300"/>
      <c r="B303" s="260"/>
      <c r="C303" s="123" t="s">
        <v>952</v>
      </c>
      <c r="D303" s="525">
        <v>80000000</v>
      </c>
      <c r="E303" s="137">
        <v>12114914400</v>
      </c>
      <c r="F303" s="511">
        <f t="shared" si="8"/>
        <v>0.66034308917609852</v>
      </c>
      <c r="G303" s="116"/>
      <c r="H303" s="116"/>
      <c r="I303" s="116"/>
      <c r="J303" s="116"/>
      <c r="K303" s="116"/>
      <c r="L303" s="116"/>
      <c r="M303" s="116"/>
      <c r="N303" s="116"/>
      <c r="O303" s="116"/>
      <c r="P303" s="300"/>
      <c r="Q303" s="300"/>
    </row>
    <row r="304" spans="1:17" s="498" customFormat="1" ht="21" customHeight="1">
      <c r="A304" s="300"/>
      <c r="B304" s="260"/>
      <c r="C304" s="111" t="s">
        <v>953</v>
      </c>
      <c r="D304" s="523">
        <f>D305</f>
        <v>104106500</v>
      </c>
      <c r="E304" s="137">
        <v>12114914400</v>
      </c>
      <c r="F304" s="511">
        <f t="shared" si="8"/>
        <v>0.85932509766639376</v>
      </c>
      <c r="G304" s="116"/>
      <c r="H304" s="116"/>
      <c r="I304" s="116"/>
      <c r="J304" s="116"/>
      <c r="K304" s="116"/>
      <c r="L304" s="116"/>
      <c r="M304" s="116"/>
      <c r="N304" s="116"/>
      <c r="O304" s="116"/>
      <c r="P304" s="300"/>
      <c r="Q304" s="300"/>
    </row>
    <row r="305" spans="1:17" s="498" customFormat="1" ht="35.1" customHeight="1">
      <c r="A305" s="300"/>
      <c r="B305" s="260"/>
      <c r="C305" s="123" t="s">
        <v>954</v>
      </c>
      <c r="D305" s="525">
        <v>104106500</v>
      </c>
      <c r="E305" s="137">
        <v>12114914400</v>
      </c>
      <c r="F305" s="511">
        <f t="shared" si="8"/>
        <v>0.85932509766639376</v>
      </c>
      <c r="G305" s="116"/>
      <c r="H305" s="116"/>
      <c r="I305" s="116"/>
      <c r="J305" s="116"/>
      <c r="K305" s="116"/>
      <c r="L305" s="116"/>
      <c r="M305" s="116"/>
      <c r="N305" s="116"/>
      <c r="O305" s="116"/>
      <c r="P305" s="300"/>
      <c r="Q305" s="300"/>
    </row>
    <row r="306" spans="1:17" s="498" customFormat="1" ht="21" customHeight="1">
      <c r="A306" s="300"/>
      <c r="B306" s="260"/>
      <c r="C306" s="111" t="s">
        <v>955</v>
      </c>
      <c r="D306" s="523">
        <f>D307</f>
        <v>1134000000</v>
      </c>
      <c r="E306" s="137">
        <v>12114914400</v>
      </c>
      <c r="F306" s="511">
        <f t="shared" si="8"/>
        <v>9.3603632890711967</v>
      </c>
      <c r="G306" s="116"/>
      <c r="H306" s="116"/>
      <c r="I306" s="116"/>
      <c r="J306" s="116"/>
      <c r="K306" s="116"/>
      <c r="L306" s="116"/>
      <c r="M306" s="116"/>
      <c r="N306" s="116"/>
      <c r="O306" s="116"/>
      <c r="P306" s="300"/>
      <c r="Q306" s="300"/>
    </row>
    <row r="307" spans="1:17" s="498" customFormat="1" ht="21" customHeight="1">
      <c r="A307" s="300"/>
      <c r="B307" s="260"/>
      <c r="C307" s="123" t="s">
        <v>956</v>
      </c>
      <c r="D307" s="525">
        <v>1134000000</v>
      </c>
      <c r="E307" s="137">
        <v>12114914400</v>
      </c>
      <c r="F307" s="511">
        <f t="shared" si="8"/>
        <v>9.3603632890711967</v>
      </c>
      <c r="G307" s="116"/>
      <c r="H307" s="116"/>
      <c r="I307" s="116"/>
      <c r="J307" s="116"/>
      <c r="K307" s="116"/>
      <c r="L307" s="116"/>
      <c r="M307" s="116"/>
      <c r="N307" s="116"/>
      <c r="O307" s="116"/>
      <c r="P307" s="300"/>
      <c r="Q307" s="300"/>
    </row>
    <row r="308" spans="1:17" s="498" customFormat="1" ht="21" customHeight="1">
      <c r="A308" s="300"/>
      <c r="B308" s="260"/>
      <c r="C308" s="111" t="s">
        <v>877</v>
      </c>
      <c r="D308" s="523">
        <f>D309</f>
        <v>356117000</v>
      </c>
      <c r="E308" s="137">
        <v>12114914400</v>
      </c>
      <c r="F308" s="511">
        <f t="shared" si="8"/>
        <v>2.9394924986015583</v>
      </c>
      <c r="G308" s="116"/>
      <c r="H308" s="116"/>
      <c r="I308" s="116"/>
      <c r="J308" s="116"/>
      <c r="K308" s="116"/>
      <c r="L308" s="116"/>
      <c r="M308" s="116"/>
      <c r="N308" s="116"/>
      <c r="O308" s="116"/>
      <c r="P308" s="300"/>
      <c r="Q308" s="300"/>
    </row>
    <row r="309" spans="1:17" s="498" customFormat="1" ht="21" customHeight="1">
      <c r="A309" s="300"/>
      <c r="B309" s="260"/>
      <c r="C309" s="123" t="s">
        <v>957</v>
      </c>
      <c r="D309" s="525">
        <v>356117000</v>
      </c>
      <c r="E309" s="137">
        <v>12114914400</v>
      </c>
      <c r="F309" s="511">
        <f t="shared" si="8"/>
        <v>2.9394924986015583</v>
      </c>
      <c r="G309" s="116"/>
      <c r="H309" s="116"/>
      <c r="I309" s="116"/>
      <c r="J309" s="116"/>
      <c r="K309" s="116"/>
      <c r="L309" s="116"/>
      <c r="M309" s="116"/>
      <c r="N309" s="116"/>
      <c r="O309" s="116"/>
      <c r="P309" s="300"/>
      <c r="Q309" s="300"/>
    </row>
    <row r="310" spans="1:17" s="498" customFormat="1" ht="21" customHeight="1">
      <c r="A310" s="300"/>
      <c r="B310" s="260"/>
      <c r="C310" s="111" t="s">
        <v>221</v>
      </c>
      <c r="D310" s="523">
        <f>D311</f>
        <v>660900000</v>
      </c>
      <c r="E310" s="137">
        <v>12114914400</v>
      </c>
      <c r="F310" s="511">
        <f t="shared" si="8"/>
        <v>5.4552593454560441</v>
      </c>
      <c r="G310" s="116"/>
      <c r="H310" s="116"/>
      <c r="I310" s="116"/>
      <c r="J310" s="116"/>
      <c r="K310" s="116"/>
      <c r="L310" s="116"/>
      <c r="M310" s="116"/>
      <c r="N310" s="116"/>
      <c r="O310" s="116"/>
      <c r="P310" s="300"/>
      <c r="Q310" s="300"/>
    </row>
    <row r="311" spans="1:17" s="498" customFormat="1" ht="35.1" customHeight="1">
      <c r="A311" s="300"/>
      <c r="B311" s="260"/>
      <c r="C311" s="123" t="s">
        <v>958</v>
      </c>
      <c r="D311" s="525">
        <v>660900000</v>
      </c>
      <c r="E311" s="137">
        <v>12114914400</v>
      </c>
      <c r="F311" s="511">
        <f t="shared" si="8"/>
        <v>5.4552593454560441</v>
      </c>
      <c r="G311" s="116"/>
      <c r="H311" s="116"/>
      <c r="I311" s="116"/>
      <c r="J311" s="116"/>
      <c r="K311" s="116"/>
      <c r="L311" s="116"/>
      <c r="M311" s="116"/>
      <c r="N311" s="116"/>
      <c r="O311" s="116"/>
      <c r="P311" s="300"/>
      <c r="Q311" s="300"/>
    </row>
    <row r="312" spans="1:17" s="498" customFormat="1" ht="21" customHeight="1">
      <c r="A312" s="300"/>
      <c r="B312" s="260"/>
      <c r="C312" s="123"/>
      <c r="D312" s="525"/>
      <c r="E312" s="137"/>
      <c r="F312" s="511"/>
      <c r="G312" s="116"/>
      <c r="H312" s="116"/>
      <c r="I312" s="116"/>
      <c r="J312" s="116"/>
      <c r="K312" s="116"/>
      <c r="L312" s="116"/>
      <c r="M312" s="116"/>
      <c r="N312" s="116"/>
      <c r="O312" s="116"/>
      <c r="P312" s="300"/>
      <c r="Q312" s="300"/>
    </row>
    <row r="313" spans="1:17" s="498" customFormat="1" ht="21" customHeight="1">
      <c r="A313" s="300"/>
      <c r="B313" s="260"/>
      <c r="C313" s="148" t="s">
        <v>959</v>
      </c>
      <c r="D313" s="523">
        <f>D314+D316</f>
        <v>6000000000</v>
      </c>
      <c r="E313" s="137">
        <v>12114914400</v>
      </c>
      <c r="F313" s="511">
        <f t="shared" si="8"/>
        <v>49.525731688207387</v>
      </c>
      <c r="G313" s="116"/>
      <c r="H313" s="116"/>
      <c r="I313" s="116"/>
      <c r="J313" s="116"/>
      <c r="K313" s="116"/>
      <c r="L313" s="116"/>
      <c r="M313" s="116"/>
      <c r="N313" s="116"/>
      <c r="O313" s="116"/>
      <c r="P313" s="300"/>
      <c r="Q313" s="300"/>
    </row>
    <row r="314" spans="1:17" s="498" customFormat="1" ht="21" customHeight="1">
      <c r="A314" s="300"/>
      <c r="B314" s="260"/>
      <c r="C314" s="111" t="s">
        <v>162</v>
      </c>
      <c r="D314" s="523">
        <f>D315</f>
        <v>2100000000</v>
      </c>
      <c r="E314" s="137">
        <v>12114914400</v>
      </c>
      <c r="F314" s="511">
        <f t="shared" si="8"/>
        <v>17.334006090872585</v>
      </c>
      <c r="G314" s="116"/>
      <c r="H314" s="116"/>
      <c r="I314" s="116"/>
      <c r="J314" s="116"/>
      <c r="K314" s="116"/>
      <c r="L314" s="116"/>
      <c r="M314" s="116"/>
      <c r="N314" s="116"/>
      <c r="O314" s="116"/>
      <c r="P314" s="300"/>
      <c r="Q314" s="300"/>
    </row>
    <row r="315" spans="1:17" s="498" customFormat="1" ht="21" customHeight="1">
      <c r="A315" s="300"/>
      <c r="B315" s="260"/>
      <c r="C315" s="123" t="s">
        <v>960</v>
      </c>
      <c r="D315" s="525">
        <v>2100000000</v>
      </c>
      <c r="E315" s="137">
        <v>12114914400</v>
      </c>
      <c r="F315" s="511">
        <f t="shared" si="8"/>
        <v>17.334006090872585</v>
      </c>
      <c r="G315" s="116"/>
      <c r="H315" s="116"/>
      <c r="I315" s="116"/>
      <c r="J315" s="116"/>
      <c r="K315" s="116"/>
      <c r="L315" s="116"/>
      <c r="M315" s="116"/>
      <c r="N315" s="116"/>
      <c r="O315" s="116"/>
      <c r="P315" s="300"/>
      <c r="Q315" s="300"/>
    </row>
    <row r="316" spans="1:17" s="498" customFormat="1" ht="21" customHeight="1">
      <c r="A316" s="300"/>
      <c r="B316" s="260"/>
      <c r="C316" s="111" t="s">
        <v>877</v>
      </c>
      <c r="D316" s="523">
        <f>D317</f>
        <v>3900000000</v>
      </c>
      <c r="E316" s="137">
        <v>12114914400</v>
      </c>
      <c r="F316" s="511">
        <f t="shared" si="8"/>
        <v>32.191725597334802</v>
      </c>
      <c r="G316" s="116"/>
      <c r="H316" s="116"/>
      <c r="I316" s="116"/>
      <c r="J316" s="116"/>
      <c r="K316" s="116"/>
      <c r="L316" s="116"/>
      <c r="M316" s="116"/>
      <c r="N316" s="116"/>
      <c r="O316" s="116"/>
      <c r="P316" s="300"/>
      <c r="Q316" s="300"/>
    </row>
    <row r="317" spans="1:17" s="498" customFormat="1" ht="21" customHeight="1">
      <c r="A317" s="300"/>
      <c r="B317" s="260"/>
      <c r="C317" s="123" t="s">
        <v>961</v>
      </c>
      <c r="D317" s="525">
        <v>3900000000</v>
      </c>
      <c r="E317" s="137">
        <v>12114914400</v>
      </c>
      <c r="F317" s="511">
        <f t="shared" si="8"/>
        <v>32.191725597334802</v>
      </c>
      <c r="G317" s="116"/>
      <c r="H317" s="116"/>
      <c r="I317" s="116"/>
      <c r="J317" s="116"/>
      <c r="K317" s="116"/>
      <c r="L317" s="116"/>
      <c r="M317" s="116"/>
      <c r="N317" s="116"/>
      <c r="O317" s="116"/>
      <c r="P317" s="300"/>
      <c r="Q317" s="300"/>
    </row>
    <row r="318" spans="1:17" s="498" customFormat="1" ht="21" customHeight="1">
      <c r="A318" s="300"/>
      <c r="B318" s="260"/>
      <c r="C318" s="123"/>
      <c r="D318" s="525"/>
      <c r="E318" s="137"/>
      <c r="F318" s="511"/>
      <c r="G318" s="116"/>
      <c r="H318" s="116"/>
      <c r="I318" s="116"/>
      <c r="J318" s="116"/>
      <c r="K318" s="116"/>
      <c r="L318" s="116"/>
      <c r="M318" s="116"/>
      <c r="N318" s="116"/>
      <c r="O318" s="116"/>
      <c r="P318" s="300"/>
      <c r="Q318" s="300"/>
    </row>
    <row r="319" spans="1:17" s="498" customFormat="1" ht="21" customHeight="1">
      <c r="A319" s="300"/>
      <c r="B319" s="260"/>
      <c r="C319" s="148" t="s">
        <v>972</v>
      </c>
      <c r="D319" s="523">
        <f>D320</f>
        <v>143200000</v>
      </c>
      <c r="E319" s="137">
        <v>12114914400</v>
      </c>
      <c r="F319" s="511">
        <f t="shared" si="8"/>
        <v>1.1820141296252162</v>
      </c>
      <c r="G319" s="116"/>
      <c r="H319" s="116"/>
      <c r="I319" s="116"/>
      <c r="J319" s="116"/>
      <c r="K319" s="116"/>
      <c r="L319" s="116"/>
      <c r="M319" s="116"/>
      <c r="N319" s="116"/>
      <c r="O319" s="116"/>
      <c r="P319" s="300"/>
      <c r="Q319" s="300"/>
    </row>
    <row r="320" spans="1:17" s="498" customFormat="1" ht="21" customHeight="1">
      <c r="A320" s="300"/>
      <c r="B320" s="260"/>
      <c r="C320" s="150" t="s">
        <v>973</v>
      </c>
      <c r="D320" s="523">
        <f>D321</f>
        <v>143200000</v>
      </c>
      <c r="E320" s="137">
        <v>12114914400</v>
      </c>
      <c r="F320" s="511">
        <f t="shared" si="8"/>
        <v>1.1820141296252162</v>
      </c>
      <c r="G320" s="116"/>
      <c r="H320" s="116"/>
      <c r="I320" s="116"/>
      <c r="J320" s="116"/>
      <c r="K320" s="116"/>
      <c r="L320" s="116"/>
      <c r="M320" s="116"/>
      <c r="N320" s="116"/>
      <c r="O320" s="116"/>
      <c r="P320" s="300"/>
      <c r="Q320" s="300"/>
    </row>
    <row r="321" spans="1:17" s="498" customFormat="1" ht="35.1" customHeight="1">
      <c r="A321" s="300"/>
      <c r="B321" s="260"/>
      <c r="C321" s="123" t="s">
        <v>974</v>
      </c>
      <c r="D321" s="525">
        <v>143200000</v>
      </c>
      <c r="E321" s="137">
        <v>12114914400</v>
      </c>
      <c r="F321" s="511">
        <f t="shared" si="8"/>
        <v>1.1820141296252162</v>
      </c>
      <c r="G321" s="116"/>
      <c r="H321" s="116"/>
      <c r="I321" s="116"/>
      <c r="J321" s="116"/>
      <c r="K321" s="116"/>
      <c r="L321" s="116"/>
      <c r="M321" s="116"/>
      <c r="N321" s="116"/>
      <c r="O321" s="116"/>
      <c r="P321" s="300"/>
      <c r="Q321" s="300"/>
    </row>
    <row r="322" spans="1:17" ht="21" customHeight="1">
      <c r="B322" s="260"/>
      <c r="C322" s="123"/>
      <c r="D322" s="500"/>
      <c r="E322" s="137"/>
      <c r="F322" s="511"/>
      <c r="G322" s="116"/>
      <c r="H322" s="116"/>
      <c r="I322" s="116"/>
      <c r="J322" s="116"/>
      <c r="K322" s="116"/>
      <c r="L322" s="116"/>
      <c r="M322" s="116"/>
      <c r="N322" s="116"/>
      <c r="O322" s="116"/>
    </row>
    <row r="323" spans="1:17" s="498" customFormat="1" ht="21" customHeight="1">
      <c r="A323" s="300"/>
      <c r="B323" s="110" t="s">
        <v>1080</v>
      </c>
      <c r="C323" s="165" t="s">
        <v>2569</v>
      </c>
      <c r="D323" s="526">
        <f>D324</f>
        <v>15188479741</v>
      </c>
      <c r="E323" s="361">
        <v>64622624148.520004</v>
      </c>
      <c r="F323" s="505">
        <f>+D323/E323*100</f>
        <v>23.503347227269554</v>
      </c>
      <c r="G323" s="116"/>
      <c r="H323" s="116"/>
      <c r="I323" s="116"/>
      <c r="J323" s="116"/>
      <c r="K323" s="116"/>
      <c r="L323" s="116"/>
      <c r="M323" s="116"/>
      <c r="N323" s="116"/>
      <c r="O323" s="116"/>
      <c r="P323" s="300"/>
      <c r="Q323" s="300"/>
    </row>
    <row r="324" spans="1:17" s="498" customFormat="1" ht="21" customHeight="1">
      <c r="A324" s="300"/>
      <c r="B324" s="110"/>
      <c r="C324" s="150" t="s">
        <v>65</v>
      </c>
      <c r="D324" s="527">
        <f>+D325+D327+D331+D334+D339+D342</f>
        <v>15188479741</v>
      </c>
      <c r="E324" s="134">
        <v>64622624148.520004</v>
      </c>
      <c r="F324" s="126">
        <f t="shared" ref="F324:F344" si="9">+D324/E324*100</f>
        <v>23.503347227269554</v>
      </c>
      <c r="G324" s="116"/>
      <c r="H324" s="116"/>
      <c r="I324" s="116"/>
      <c r="J324" s="116"/>
      <c r="K324" s="116"/>
      <c r="L324" s="116"/>
      <c r="M324" s="116"/>
      <c r="N324" s="116"/>
      <c r="O324" s="116"/>
      <c r="P324" s="300"/>
      <c r="Q324" s="300"/>
    </row>
    <row r="325" spans="1:17" s="498" customFormat="1" ht="21" customHeight="1">
      <c r="A325" s="300"/>
      <c r="B325" s="110"/>
      <c r="C325" s="151" t="s">
        <v>606</v>
      </c>
      <c r="D325" s="155">
        <v>1000000000</v>
      </c>
      <c r="E325" s="134">
        <v>64622624148.520004</v>
      </c>
      <c r="F325" s="126">
        <f t="shared" si="9"/>
        <v>1.5474456711967215</v>
      </c>
      <c r="G325" s="116"/>
      <c r="H325" s="116"/>
      <c r="I325" s="116"/>
      <c r="J325" s="116"/>
      <c r="K325" s="116"/>
      <c r="L325" s="116"/>
      <c r="M325" s="116"/>
      <c r="N325" s="116"/>
      <c r="O325" s="116"/>
      <c r="P325" s="300"/>
      <c r="Q325" s="300"/>
    </row>
    <row r="326" spans="1:17" s="498" customFormat="1" ht="21" customHeight="1">
      <c r="A326" s="300"/>
      <c r="B326" s="110"/>
      <c r="C326" s="153" t="s">
        <v>1104</v>
      </c>
      <c r="D326" s="156">
        <v>1000000000</v>
      </c>
      <c r="E326" s="134">
        <v>64622624148.520004</v>
      </c>
      <c r="F326" s="126">
        <f t="shared" si="9"/>
        <v>1.5474456711967215</v>
      </c>
      <c r="G326" s="116"/>
      <c r="H326" s="116"/>
      <c r="I326" s="116"/>
      <c r="J326" s="116"/>
      <c r="K326" s="116"/>
      <c r="L326" s="116"/>
      <c r="M326" s="116"/>
      <c r="N326" s="116"/>
      <c r="O326" s="116"/>
      <c r="P326" s="300"/>
      <c r="Q326" s="300"/>
    </row>
    <row r="327" spans="1:17" s="498" customFormat="1" ht="21" customHeight="1">
      <c r="A327" s="300"/>
      <c r="B327" s="110"/>
      <c r="C327" s="151" t="s">
        <v>173</v>
      </c>
      <c r="D327" s="155">
        <v>643205890</v>
      </c>
      <c r="E327" s="134">
        <v>64622624148.520004</v>
      </c>
      <c r="F327" s="126">
        <f t="shared" si="9"/>
        <v>0.9953261701687347</v>
      </c>
      <c r="G327" s="116"/>
      <c r="H327" s="116"/>
      <c r="I327" s="116"/>
      <c r="J327" s="116"/>
      <c r="K327" s="116"/>
      <c r="L327" s="116"/>
      <c r="M327" s="116"/>
      <c r="N327" s="116"/>
      <c r="O327" s="116"/>
      <c r="P327" s="300"/>
      <c r="Q327" s="300"/>
    </row>
    <row r="328" spans="1:17" s="498" customFormat="1" ht="35.1" customHeight="1">
      <c r="A328" s="300"/>
      <c r="B328" s="110"/>
      <c r="C328" s="153" t="s">
        <v>1105</v>
      </c>
      <c r="D328" s="156">
        <v>187980890</v>
      </c>
      <c r="E328" s="134">
        <v>64622624148.520004</v>
      </c>
      <c r="F328" s="126">
        <f t="shared" si="9"/>
        <v>0.29089021449820707</v>
      </c>
      <c r="G328" s="116"/>
      <c r="H328" s="116"/>
      <c r="I328" s="116"/>
      <c r="J328" s="116"/>
      <c r="K328" s="116"/>
      <c r="L328" s="116"/>
      <c r="M328" s="116"/>
      <c r="N328" s="116"/>
      <c r="O328" s="116"/>
      <c r="P328" s="300"/>
      <c r="Q328" s="300"/>
    </row>
    <row r="329" spans="1:17" s="498" customFormat="1" ht="35.1" customHeight="1">
      <c r="A329" s="300"/>
      <c r="B329" s="110"/>
      <c r="C329" s="153" t="s">
        <v>1106</v>
      </c>
      <c r="D329" s="156">
        <v>31350000</v>
      </c>
      <c r="E329" s="134">
        <v>64622624148.520004</v>
      </c>
      <c r="F329" s="126">
        <f t="shared" si="9"/>
        <v>4.8512421792017216E-2</v>
      </c>
      <c r="G329" s="116"/>
      <c r="H329" s="116"/>
      <c r="I329" s="116"/>
      <c r="J329" s="116"/>
      <c r="K329" s="116"/>
      <c r="L329" s="116"/>
      <c r="M329" s="116"/>
      <c r="N329" s="116"/>
      <c r="O329" s="116"/>
      <c r="P329" s="300"/>
      <c r="Q329" s="300"/>
    </row>
    <row r="330" spans="1:17" s="498" customFormat="1" ht="21" customHeight="1">
      <c r="A330" s="300"/>
      <c r="B330" s="110"/>
      <c r="C330" s="153" t="s">
        <v>1107</v>
      </c>
      <c r="D330" s="156">
        <v>423875000</v>
      </c>
      <c r="E330" s="134">
        <v>64622624148.520004</v>
      </c>
      <c r="F330" s="126">
        <f t="shared" si="9"/>
        <v>0.65592353387851032</v>
      </c>
      <c r="G330" s="116"/>
      <c r="H330" s="116"/>
      <c r="I330" s="116"/>
      <c r="J330" s="116"/>
      <c r="K330" s="116"/>
      <c r="L330" s="116"/>
      <c r="M330" s="116"/>
      <c r="N330" s="116"/>
      <c r="O330" s="116"/>
      <c r="P330" s="300"/>
      <c r="Q330" s="300"/>
    </row>
    <row r="331" spans="1:17" s="498" customFormat="1" ht="21" customHeight="1">
      <c r="A331" s="300"/>
      <c r="B331" s="110"/>
      <c r="C331" s="151" t="s">
        <v>683</v>
      </c>
      <c r="D331" s="155">
        <v>1761655380</v>
      </c>
      <c r="E331" s="134">
        <v>64622624148.520004</v>
      </c>
      <c r="F331" s="126">
        <f t="shared" si="9"/>
        <v>2.7260659919214154</v>
      </c>
      <c r="G331" s="116"/>
      <c r="H331" s="116"/>
      <c r="I331" s="116"/>
      <c r="J331" s="116"/>
      <c r="K331" s="116"/>
      <c r="L331" s="116"/>
      <c r="M331" s="116"/>
      <c r="N331" s="116"/>
      <c r="O331" s="116"/>
      <c r="P331" s="300"/>
      <c r="Q331" s="300"/>
    </row>
    <row r="332" spans="1:17" s="498" customFormat="1" ht="35.1" customHeight="1">
      <c r="A332" s="300"/>
      <c r="B332" s="110"/>
      <c r="C332" s="153" t="s">
        <v>1108</v>
      </c>
      <c r="D332" s="156">
        <v>1236655380</v>
      </c>
      <c r="E332" s="134">
        <v>64622624148.520004</v>
      </c>
      <c r="F332" s="126">
        <f t="shared" si="9"/>
        <v>1.9136570145431366</v>
      </c>
      <c r="G332" s="116"/>
      <c r="H332" s="116"/>
      <c r="I332" s="116"/>
      <c r="J332" s="116"/>
      <c r="K332" s="116"/>
      <c r="L332" s="116"/>
      <c r="M332" s="116"/>
      <c r="N332" s="116"/>
      <c r="O332" s="116"/>
      <c r="P332" s="300"/>
      <c r="Q332" s="300"/>
    </row>
    <row r="333" spans="1:17" s="498" customFormat="1" ht="21" customHeight="1">
      <c r="A333" s="300"/>
      <c r="B333" s="110"/>
      <c r="C333" s="153" t="s">
        <v>1109</v>
      </c>
      <c r="D333" s="528">
        <v>525000000</v>
      </c>
      <c r="E333" s="134">
        <v>64622624148.520004</v>
      </c>
      <c r="F333" s="126">
        <f t="shared" si="9"/>
        <v>0.81240897737827866</v>
      </c>
      <c r="G333" s="116"/>
      <c r="H333" s="116"/>
      <c r="I333" s="116"/>
      <c r="J333" s="116"/>
      <c r="K333" s="116"/>
      <c r="L333" s="116"/>
      <c r="M333" s="116"/>
      <c r="N333" s="116"/>
      <c r="O333" s="116"/>
      <c r="P333" s="300"/>
      <c r="Q333" s="300"/>
    </row>
    <row r="334" spans="1:17" s="498" customFormat="1" ht="21" customHeight="1">
      <c r="A334" s="300"/>
      <c r="B334" s="110"/>
      <c r="C334" s="151" t="s">
        <v>602</v>
      </c>
      <c r="D334" s="155">
        <v>2671821670</v>
      </c>
      <c r="E334" s="134">
        <v>64622624148.520004</v>
      </c>
      <c r="F334" s="126">
        <f t="shared" si="9"/>
        <v>4.1344988774510956</v>
      </c>
      <c r="G334" s="116"/>
      <c r="H334" s="116"/>
      <c r="I334" s="116"/>
      <c r="J334" s="116"/>
      <c r="K334" s="116"/>
      <c r="L334" s="116"/>
      <c r="M334" s="116"/>
      <c r="N334" s="116"/>
      <c r="O334" s="116"/>
      <c r="P334" s="300"/>
      <c r="Q334" s="300"/>
    </row>
    <row r="335" spans="1:17" s="498" customFormat="1" ht="21" customHeight="1">
      <c r="A335" s="300"/>
      <c r="B335" s="110"/>
      <c r="C335" s="153" t="s">
        <v>1110</v>
      </c>
      <c r="D335" s="156">
        <v>220555000</v>
      </c>
      <c r="E335" s="134">
        <v>64622624148.520004</v>
      </c>
      <c r="F335" s="126">
        <f t="shared" si="9"/>
        <v>0.34129688001079289</v>
      </c>
      <c r="G335" s="116"/>
      <c r="H335" s="116"/>
      <c r="I335" s="116"/>
      <c r="J335" s="116"/>
      <c r="K335" s="116"/>
      <c r="L335" s="116"/>
      <c r="M335" s="116"/>
      <c r="N335" s="116"/>
      <c r="O335" s="116"/>
      <c r="P335" s="300"/>
      <c r="Q335" s="300"/>
    </row>
    <row r="336" spans="1:17" s="498" customFormat="1" ht="35.1" customHeight="1">
      <c r="A336" s="300"/>
      <c r="B336" s="110"/>
      <c r="C336" s="153" t="s">
        <v>1111</v>
      </c>
      <c r="D336" s="156">
        <v>1300720000</v>
      </c>
      <c r="E336" s="134">
        <v>64622624148.520004</v>
      </c>
      <c r="F336" s="126">
        <f t="shared" si="9"/>
        <v>2.0127935334389995</v>
      </c>
      <c r="G336" s="116"/>
      <c r="H336" s="116"/>
      <c r="I336" s="116"/>
      <c r="J336" s="116"/>
      <c r="K336" s="116"/>
      <c r="L336" s="116"/>
      <c r="M336" s="116"/>
      <c r="N336" s="116"/>
      <c r="O336" s="116"/>
      <c r="P336" s="300"/>
      <c r="Q336" s="300"/>
    </row>
    <row r="337" spans="1:17" s="498" customFormat="1" ht="21" customHeight="1">
      <c r="A337" s="300"/>
      <c r="B337" s="110"/>
      <c r="C337" s="153" t="s">
        <v>1112</v>
      </c>
      <c r="D337" s="156">
        <v>272120000</v>
      </c>
      <c r="E337" s="134">
        <v>64622624148.520004</v>
      </c>
      <c r="F337" s="126">
        <f t="shared" si="9"/>
        <v>0.42109091604605187</v>
      </c>
      <c r="G337" s="116"/>
      <c r="H337" s="116"/>
      <c r="I337" s="116"/>
      <c r="J337" s="116"/>
      <c r="K337" s="116"/>
      <c r="L337" s="116"/>
      <c r="M337" s="116"/>
      <c r="N337" s="116"/>
      <c r="O337" s="116"/>
      <c r="P337" s="300"/>
      <c r="Q337" s="300"/>
    </row>
    <row r="338" spans="1:17" s="498" customFormat="1" ht="35.1" customHeight="1">
      <c r="A338" s="300"/>
      <c r="B338" s="110"/>
      <c r="C338" s="153" t="s">
        <v>1113</v>
      </c>
      <c r="D338" s="156">
        <v>878426670</v>
      </c>
      <c r="E338" s="134">
        <v>64622624148.520004</v>
      </c>
      <c r="F338" s="126">
        <f t="shared" si="9"/>
        <v>1.3593175479552511</v>
      </c>
      <c r="G338" s="116"/>
      <c r="H338" s="116"/>
      <c r="I338" s="116"/>
      <c r="J338" s="116"/>
      <c r="K338" s="116"/>
      <c r="L338" s="116"/>
      <c r="M338" s="116"/>
      <c r="N338" s="116"/>
      <c r="O338" s="116"/>
      <c r="P338" s="300"/>
      <c r="Q338" s="300"/>
    </row>
    <row r="339" spans="1:17" s="498" customFormat="1" ht="48.75" customHeight="1">
      <c r="A339" s="300"/>
      <c r="B339" s="110"/>
      <c r="C339" s="151" t="s">
        <v>686</v>
      </c>
      <c r="D339" s="155">
        <v>6218650938</v>
      </c>
      <c r="E339" s="134">
        <v>64622624148.520004</v>
      </c>
      <c r="F339" s="126">
        <f t="shared" si="9"/>
        <v>9.6230244746915314</v>
      </c>
      <c r="G339" s="116"/>
      <c r="H339" s="116"/>
      <c r="I339" s="116"/>
      <c r="J339" s="116"/>
      <c r="K339" s="116"/>
      <c r="L339" s="116"/>
      <c r="M339" s="116"/>
      <c r="N339" s="116"/>
      <c r="O339" s="116"/>
      <c r="P339" s="300"/>
      <c r="Q339" s="300"/>
    </row>
    <row r="340" spans="1:17" s="498" customFormat="1" ht="21" customHeight="1">
      <c r="A340" s="300"/>
      <c r="B340" s="110"/>
      <c r="C340" s="153" t="s">
        <v>1114</v>
      </c>
      <c r="D340" s="156">
        <v>5343383487</v>
      </c>
      <c r="E340" s="134">
        <v>64622624148.520004</v>
      </c>
      <c r="F340" s="126">
        <f t="shared" si="9"/>
        <v>8.2685956465021935</v>
      </c>
      <c r="G340" s="116"/>
      <c r="H340" s="116"/>
      <c r="I340" s="116"/>
      <c r="J340" s="116"/>
      <c r="K340" s="116"/>
      <c r="L340" s="116"/>
      <c r="M340" s="116"/>
      <c r="N340" s="116"/>
      <c r="O340" s="116"/>
      <c r="P340" s="300"/>
      <c r="Q340" s="300"/>
    </row>
    <row r="341" spans="1:17" s="498" customFormat="1" ht="21" customHeight="1">
      <c r="A341" s="300"/>
      <c r="B341" s="110"/>
      <c r="C341" s="153" t="s">
        <v>1115</v>
      </c>
      <c r="D341" s="156">
        <v>875267451</v>
      </c>
      <c r="E341" s="134">
        <v>64622624148.520004</v>
      </c>
      <c r="F341" s="126">
        <f t="shared" si="9"/>
        <v>1.3544288281893384</v>
      </c>
      <c r="G341" s="116"/>
      <c r="H341" s="116"/>
      <c r="I341" s="116"/>
      <c r="J341" s="116"/>
      <c r="K341" s="116"/>
      <c r="L341" s="116"/>
      <c r="M341" s="116"/>
      <c r="N341" s="116"/>
      <c r="O341" s="116"/>
      <c r="P341" s="300"/>
      <c r="Q341" s="300"/>
    </row>
    <row r="342" spans="1:17" s="498" customFormat="1" ht="21" customHeight="1">
      <c r="A342" s="300"/>
      <c r="B342" s="110"/>
      <c r="C342" s="151" t="s">
        <v>1116</v>
      </c>
      <c r="D342" s="155">
        <v>2893145863</v>
      </c>
      <c r="E342" s="134">
        <v>64622624148.520004</v>
      </c>
      <c r="F342" s="126">
        <f t="shared" si="9"/>
        <v>4.4769860418400533</v>
      </c>
      <c r="G342" s="116"/>
      <c r="H342" s="116"/>
      <c r="I342" s="116"/>
      <c r="J342" s="116"/>
      <c r="K342" s="116"/>
      <c r="L342" s="116"/>
      <c r="M342" s="116"/>
      <c r="N342" s="116"/>
      <c r="O342" s="116"/>
      <c r="P342" s="300"/>
      <c r="Q342" s="300"/>
    </row>
    <row r="343" spans="1:17" s="498" customFormat="1" ht="21" customHeight="1">
      <c r="A343" s="300"/>
      <c r="B343" s="110"/>
      <c r="C343" s="153" t="s">
        <v>1117</v>
      </c>
      <c r="D343" s="156">
        <v>1425645863</v>
      </c>
      <c r="E343" s="134">
        <v>64622624148.520004</v>
      </c>
      <c r="F343" s="126">
        <f t="shared" si="9"/>
        <v>2.206109519358864</v>
      </c>
      <c r="G343" s="116"/>
      <c r="H343" s="116"/>
      <c r="I343" s="116"/>
      <c r="J343" s="116"/>
      <c r="K343" s="116"/>
      <c r="L343" s="116"/>
      <c r="M343" s="116"/>
      <c r="N343" s="116"/>
      <c r="O343" s="116"/>
      <c r="P343" s="300"/>
      <c r="Q343" s="300"/>
    </row>
    <row r="344" spans="1:17" s="498" customFormat="1" ht="35.1" customHeight="1">
      <c r="A344" s="300"/>
      <c r="B344" s="110"/>
      <c r="C344" s="153" t="s">
        <v>1118</v>
      </c>
      <c r="D344" s="156">
        <v>1467500000</v>
      </c>
      <c r="E344" s="134">
        <v>64622624148.520004</v>
      </c>
      <c r="F344" s="126">
        <f t="shared" si="9"/>
        <v>2.2708765224811889</v>
      </c>
      <c r="G344" s="116"/>
      <c r="H344" s="116"/>
      <c r="I344" s="116"/>
      <c r="J344" s="116"/>
      <c r="K344" s="116"/>
      <c r="L344" s="116"/>
      <c r="M344" s="116"/>
      <c r="N344" s="116"/>
      <c r="O344" s="116"/>
      <c r="P344" s="300"/>
      <c r="Q344" s="300"/>
    </row>
    <row r="345" spans="1:17" ht="21" customHeight="1">
      <c r="B345" s="110"/>
      <c r="C345" s="153"/>
      <c r="D345" s="529"/>
      <c r="E345" s="361"/>
      <c r="F345" s="530"/>
      <c r="G345" s="116"/>
      <c r="H345" s="116"/>
      <c r="I345" s="116"/>
      <c r="J345" s="116"/>
      <c r="K345" s="116"/>
      <c r="L345" s="116"/>
      <c r="M345" s="116"/>
      <c r="N345" s="116"/>
      <c r="O345" s="116"/>
    </row>
    <row r="346" spans="1:17" s="498" customFormat="1" ht="21" customHeight="1">
      <c r="A346" s="300"/>
      <c r="B346" s="110" t="s">
        <v>1163</v>
      </c>
      <c r="C346" s="150" t="s">
        <v>1164</v>
      </c>
      <c r="D346" s="501">
        <f>+D347+D353</f>
        <v>5496475121.7200003</v>
      </c>
      <c r="E346" s="134">
        <v>31309836558.849998</v>
      </c>
      <c r="F346" s="505">
        <f>+D346/E346*100</f>
        <v>17.555106400472006</v>
      </c>
      <c r="G346" s="116"/>
      <c r="H346" s="116"/>
      <c r="I346" s="116"/>
      <c r="J346" s="116"/>
      <c r="K346" s="116"/>
      <c r="L346" s="116"/>
      <c r="M346" s="116"/>
      <c r="N346" s="116"/>
      <c r="O346" s="116"/>
      <c r="P346" s="300"/>
      <c r="Q346" s="300"/>
    </row>
    <row r="347" spans="1:17" s="498" customFormat="1" ht="21" customHeight="1">
      <c r="A347" s="300"/>
      <c r="B347" s="110"/>
      <c r="C347" s="374" t="s">
        <v>161</v>
      </c>
      <c r="D347" s="531">
        <v>1299999638.72</v>
      </c>
      <c r="E347" s="134">
        <v>5496475122</v>
      </c>
      <c r="F347" s="126">
        <f t="shared" ref="F347:F357" si="10">+D347/E347*100</f>
        <v>23.651515013988998</v>
      </c>
      <c r="G347" s="116"/>
      <c r="H347" s="116"/>
      <c r="I347" s="116"/>
      <c r="J347" s="116"/>
      <c r="K347" s="116"/>
      <c r="L347" s="116"/>
      <c r="M347" s="116"/>
      <c r="N347" s="116"/>
      <c r="O347" s="116"/>
      <c r="P347" s="300"/>
      <c r="Q347" s="300"/>
    </row>
    <row r="348" spans="1:17" s="498" customFormat="1" ht="21" customHeight="1">
      <c r="A348" s="300"/>
      <c r="B348" s="110"/>
      <c r="C348" s="374" t="s">
        <v>1171</v>
      </c>
      <c r="D348" s="531">
        <v>500000000</v>
      </c>
      <c r="E348" s="134">
        <v>5496475122</v>
      </c>
      <c r="F348" s="126">
        <f t="shared" si="10"/>
        <v>9.0967390718956853</v>
      </c>
      <c r="G348" s="116"/>
      <c r="H348" s="116"/>
      <c r="I348" s="116"/>
      <c r="J348" s="116"/>
      <c r="K348" s="116"/>
      <c r="L348" s="116"/>
      <c r="M348" s="116"/>
      <c r="N348" s="116"/>
      <c r="O348" s="116"/>
      <c r="P348" s="300"/>
      <c r="Q348" s="300"/>
    </row>
    <row r="349" spans="1:17" s="498" customFormat="1" ht="21" customHeight="1">
      <c r="A349" s="300"/>
      <c r="B349" s="110"/>
      <c r="C349" s="375" t="s">
        <v>1172</v>
      </c>
      <c r="D349" s="532">
        <v>500000000</v>
      </c>
      <c r="E349" s="134">
        <v>5496475122</v>
      </c>
      <c r="F349" s="126">
        <f t="shared" si="10"/>
        <v>9.0967390718956853</v>
      </c>
      <c r="G349" s="116"/>
      <c r="H349" s="116"/>
      <c r="I349" s="116"/>
      <c r="J349" s="116"/>
      <c r="K349" s="116"/>
      <c r="L349" s="116"/>
      <c r="M349" s="116"/>
      <c r="N349" s="116"/>
      <c r="O349" s="116"/>
      <c r="P349" s="300"/>
      <c r="Q349" s="300"/>
    </row>
    <row r="350" spans="1:17" s="498" customFormat="1" ht="21" customHeight="1">
      <c r="A350" s="300"/>
      <c r="B350" s="110"/>
      <c r="C350" s="374" t="s">
        <v>1173</v>
      </c>
      <c r="D350" s="531">
        <v>799999638.72000003</v>
      </c>
      <c r="E350" s="134">
        <v>5496475122</v>
      </c>
      <c r="F350" s="126">
        <f t="shared" si="10"/>
        <v>14.554775942093311</v>
      </c>
      <c r="G350" s="116"/>
      <c r="H350" s="116"/>
      <c r="I350" s="116"/>
      <c r="J350" s="116"/>
      <c r="K350" s="116"/>
      <c r="L350" s="116"/>
      <c r="M350" s="116"/>
      <c r="N350" s="116"/>
      <c r="O350" s="116"/>
      <c r="P350" s="300"/>
      <c r="Q350" s="300"/>
    </row>
    <row r="351" spans="1:17" s="498" customFormat="1" ht="21" customHeight="1">
      <c r="A351" s="300"/>
      <c r="B351" s="110"/>
      <c r="C351" s="375" t="s">
        <v>1174</v>
      </c>
      <c r="D351" s="532">
        <v>799999638.72000003</v>
      </c>
      <c r="E351" s="134">
        <v>5496475122</v>
      </c>
      <c r="F351" s="126">
        <f t="shared" si="10"/>
        <v>14.554775942093311</v>
      </c>
      <c r="G351" s="116"/>
      <c r="H351" s="116"/>
      <c r="I351" s="116"/>
      <c r="J351" s="116"/>
      <c r="K351" s="116"/>
      <c r="L351" s="116"/>
      <c r="M351" s="116"/>
      <c r="N351" s="116"/>
      <c r="O351" s="116"/>
      <c r="P351" s="300"/>
      <c r="Q351" s="300"/>
    </row>
    <row r="352" spans="1:17" s="498" customFormat="1" ht="21" customHeight="1">
      <c r="A352" s="300"/>
      <c r="B352" s="110"/>
      <c r="C352" s="375"/>
      <c r="D352" s="532"/>
      <c r="E352" s="134"/>
      <c r="F352" s="126"/>
      <c r="G352" s="116"/>
      <c r="H352" s="116"/>
      <c r="I352" s="116"/>
      <c r="J352" s="116"/>
      <c r="K352" s="116"/>
      <c r="L352" s="116"/>
      <c r="M352" s="116"/>
      <c r="N352" s="116"/>
      <c r="O352" s="116"/>
      <c r="P352" s="300"/>
      <c r="Q352" s="300"/>
    </row>
    <row r="353" spans="1:17" s="498" customFormat="1" ht="21" customHeight="1">
      <c r="A353" s="300"/>
      <c r="B353" s="110"/>
      <c r="C353" s="374" t="s">
        <v>959</v>
      </c>
      <c r="D353" s="531">
        <v>4196475483</v>
      </c>
      <c r="E353" s="134">
        <v>5496475122</v>
      </c>
      <c r="F353" s="126">
        <f t="shared" si="10"/>
        <v>76.348484980916837</v>
      </c>
      <c r="G353" s="116"/>
      <c r="H353" s="116"/>
      <c r="I353" s="116"/>
      <c r="J353" s="116"/>
      <c r="K353" s="116"/>
      <c r="L353" s="116"/>
      <c r="M353" s="116"/>
      <c r="N353" s="116"/>
      <c r="O353" s="116"/>
      <c r="P353" s="300"/>
      <c r="Q353" s="300"/>
    </row>
    <row r="354" spans="1:17" s="498" customFormat="1" ht="21" customHeight="1">
      <c r="A354" s="300"/>
      <c r="B354" s="110"/>
      <c r="C354" s="374" t="s">
        <v>173</v>
      </c>
      <c r="D354" s="531">
        <v>956275000</v>
      </c>
      <c r="E354" s="134">
        <v>5496475122</v>
      </c>
      <c r="F354" s="126">
        <f t="shared" si="10"/>
        <v>17.397968311954092</v>
      </c>
      <c r="G354" s="116"/>
      <c r="H354" s="116"/>
      <c r="I354" s="116"/>
      <c r="J354" s="116"/>
      <c r="K354" s="116"/>
      <c r="L354" s="116"/>
      <c r="M354" s="116"/>
      <c r="N354" s="116"/>
      <c r="O354" s="116"/>
      <c r="P354" s="300"/>
      <c r="Q354" s="300"/>
    </row>
    <row r="355" spans="1:17" s="498" customFormat="1" ht="35.1" customHeight="1">
      <c r="A355" s="300"/>
      <c r="B355" s="110"/>
      <c r="C355" s="375" t="s">
        <v>1175</v>
      </c>
      <c r="D355" s="532">
        <v>956275000</v>
      </c>
      <c r="E355" s="134">
        <v>5496475122</v>
      </c>
      <c r="F355" s="126">
        <f t="shared" si="10"/>
        <v>17.397968311954092</v>
      </c>
      <c r="G355" s="116"/>
      <c r="H355" s="116"/>
      <c r="I355" s="116"/>
      <c r="J355" s="116"/>
      <c r="K355" s="116"/>
      <c r="L355" s="116"/>
      <c r="M355" s="116"/>
      <c r="N355" s="116"/>
      <c r="O355" s="116"/>
      <c r="P355" s="300"/>
      <c r="Q355" s="300"/>
    </row>
    <row r="356" spans="1:17" s="498" customFormat="1" ht="21" customHeight="1">
      <c r="A356" s="300"/>
      <c r="B356" s="110"/>
      <c r="C356" s="374" t="s">
        <v>877</v>
      </c>
      <c r="D356" s="531">
        <v>3240200483</v>
      </c>
      <c r="E356" s="134">
        <v>5496475122</v>
      </c>
      <c r="F356" s="126">
        <f t="shared" si="10"/>
        <v>58.950516668962734</v>
      </c>
      <c r="G356" s="116"/>
      <c r="H356" s="116"/>
      <c r="I356" s="116"/>
      <c r="J356" s="116"/>
      <c r="K356" s="116"/>
      <c r="L356" s="116"/>
      <c r="M356" s="116"/>
      <c r="N356" s="116"/>
      <c r="O356" s="116"/>
      <c r="P356" s="300"/>
      <c r="Q356" s="300"/>
    </row>
    <row r="357" spans="1:17" s="498" customFormat="1" ht="21" customHeight="1">
      <c r="A357" s="300"/>
      <c r="B357" s="110"/>
      <c r="C357" s="375" t="s">
        <v>1172</v>
      </c>
      <c r="D357" s="532">
        <v>3240200483</v>
      </c>
      <c r="E357" s="134">
        <v>5496475122</v>
      </c>
      <c r="F357" s="126">
        <f t="shared" si="10"/>
        <v>58.950516668962734</v>
      </c>
      <c r="G357" s="116"/>
      <c r="H357" s="116"/>
      <c r="I357" s="116"/>
      <c r="J357" s="116"/>
      <c r="K357" s="116"/>
      <c r="L357" s="116"/>
      <c r="M357" s="116"/>
      <c r="N357" s="116"/>
      <c r="O357" s="116"/>
      <c r="P357" s="300"/>
      <c r="Q357" s="300"/>
    </row>
    <row r="358" spans="1:17" ht="21" customHeight="1">
      <c r="B358" s="110"/>
      <c r="C358" s="150"/>
      <c r="D358" s="501"/>
      <c r="E358" s="361"/>
      <c r="F358" s="505"/>
      <c r="G358" s="116"/>
      <c r="H358" s="116"/>
      <c r="I358" s="116"/>
      <c r="J358" s="116"/>
      <c r="K358" s="116"/>
      <c r="L358" s="116"/>
      <c r="M358" s="116"/>
      <c r="N358" s="116"/>
      <c r="O358" s="116"/>
    </row>
    <row r="359" spans="1:17" s="314" customFormat="1" ht="21" customHeight="1">
      <c r="B359" s="260">
        <v>10</v>
      </c>
      <c r="C359" s="150" t="s">
        <v>2570</v>
      </c>
      <c r="D359" s="501">
        <f>+D360+D376</f>
        <v>11668481750</v>
      </c>
      <c r="E359" s="125">
        <v>59981998273.220001</v>
      </c>
      <c r="F359" s="505">
        <f>+D359/E359*100</f>
        <v>19.453306135033511</v>
      </c>
      <c r="G359" s="121"/>
      <c r="H359" s="121"/>
      <c r="I359" s="121"/>
      <c r="J359" s="121"/>
      <c r="K359" s="121"/>
      <c r="L359" s="121"/>
      <c r="M359" s="121"/>
      <c r="N359" s="121"/>
      <c r="O359" s="121"/>
    </row>
    <row r="360" spans="1:17" ht="21" customHeight="1">
      <c r="B360" s="260"/>
      <c r="C360" s="161" t="s">
        <v>65</v>
      </c>
      <c r="D360" s="533">
        <f>D361+D363+D366+D368+D373</f>
        <v>8567981750</v>
      </c>
      <c r="E360" s="125">
        <v>59981998273.220001</v>
      </c>
      <c r="F360" s="505">
        <f t="shared" ref="F360:F379" si="11">+D360/E360*100</f>
        <v>14.284255271010743</v>
      </c>
      <c r="G360" s="116"/>
      <c r="H360" s="116"/>
      <c r="I360" s="116"/>
      <c r="J360" s="116"/>
      <c r="K360" s="116"/>
      <c r="L360" s="116"/>
      <c r="M360" s="116"/>
      <c r="N360" s="116"/>
      <c r="O360" s="116"/>
    </row>
    <row r="361" spans="1:17" ht="21" customHeight="1">
      <c r="B361" s="260"/>
      <c r="C361" s="383" t="s">
        <v>162</v>
      </c>
      <c r="D361" s="533">
        <f>D362</f>
        <v>1883309000</v>
      </c>
      <c r="E361" s="125">
        <v>59981998273.220001</v>
      </c>
      <c r="F361" s="505">
        <f t="shared" si="11"/>
        <v>3.1397903608036946</v>
      </c>
      <c r="G361" s="116"/>
      <c r="H361" s="116"/>
      <c r="I361" s="116"/>
      <c r="J361" s="116"/>
      <c r="K361" s="116"/>
      <c r="L361" s="116"/>
      <c r="M361" s="116"/>
      <c r="N361" s="116"/>
      <c r="O361" s="116"/>
    </row>
    <row r="362" spans="1:17" ht="21" customHeight="1">
      <c r="B362" s="260"/>
      <c r="C362" s="163" t="s">
        <v>1222</v>
      </c>
      <c r="D362" s="534">
        <v>1883309000</v>
      </c>
      <c r="E362" s="125">
        <v>59981998273.220001</v>
      </c>
      <c r="F362" s="505">
        <f t="shared" si="11"/>
        <v>3.1397903608036946</v>
      </c>
      <c r="G362" s="116"/>
      <c r="H362" s="116"/>
      <c r="I362" s="116"/>
      <c r="J362" s="116"/>
      <c r="K362" s="116"/>
      <c r="L362" s="116"/>
      <c r="M362" s="116"/>
      <c r="N362" s="116"/>
      <c r="O362" s="116"/>
    </row>
    <row r="363" spans="1:17" ht="21" customHeight="1">
      <c r="B363" s="260"/>
      <c r="C363" s="161" t="s">
        <v>173</v>
      </c>
      <c r="D363" s="533">
        <f>SUM(D364:D365)</f>
        <v>3898687498</v>
      </c>
      <c r="E363" s="125">
        <v>59981998273.220001</v>
      </c>
      <c r="F363" s="505">
        <f t="shared" si="11"/>
        <v>6.4997626125114216</v>
      </c>
      <c r="G363" s="116"/>
      <c r="H363" s="116"/>
      <c r="I363" s="116"/>
      <c r="J363" s="116"/>
      <c r="K363" s="116"/>
      <c r="L363" s="116"/>
      <c r="M363" s="116"/>
      <c r="N363" s="116"/>
      <c r="O363" s="116"/>
    </row>
    <row r="364" spans="1:17" ht="35.1" customHeight="1">
      <c r="B364" s="260"/>
      <c r="C364" s="163" t="s">
        <v>1223</v>
      </c>
      <c r="D364" s="534">
        <v>506950498</v>
      </c>
      <c r="E364" s="125">
        <v>59981998273.220001</v>
      </c>
      <c r="F364" s="505">
        <f t="shared" si="11"/>
        <v>0.84517107231210209</v>
      </c>
      <c r="G364" s="116"/>
      <c r="H364" s="116"/>
      <c r="I364" s="116"/>
      <c r="J364" s="116"/>
      <c r="K364" s="116"/>
      <c r="L364" s="116"/>
      <c r="M364" s="116"/>
      <c r="N364" s="116"/>
      <c r="O364" s="116"/>
    </row>
    <row r="365" spans="1:17" ht="35.1" customHeight="1">
      <c r="B365" s="260"/>
      <c r="C365" s="163" t="s">
        <v>1224</v>
      </c>
      <c r="D365" s="534">
        <v>3391737000</v>
      </c>
      <c r="E365" s="125">
        <v>59981998273.220001</v>
      </c>
      <c r="F365" s="505">
        <f t="shared" si="11"/>
        <v>5.654591540199319</v>
      </c>
      <c r="G365" s="116"/>
      <c r="H365" s="116"/>
      <c r="I365" s="116"/>
      <c r="J365" s="116"/>
      <c r="K365" s="116"/>
      <c r="L365" s="116"/>
      <c r="M365" s="116"/>
      <c r="N365" s="116"/>
      <c r="O365" s="116"/>
    </row>
    <row r="366" spans="1:17" ht="21" customHeight="1">
      <c r="B366" s="260"/>
      <c r="C366" s="161" t="s">
        <v>190</v>
      </c>
      <c r="D366" s="533">
        <f>D367</f>
        <v>1040525000</v>
      </c>
      <c r="E366" s="125">
        <v>59981998273.220001</v>
      </c>
      <c r="F366" s="505">
        <f t="shared" si="11"/>
        <v>1.7347288018988196</v>
      </c>
      <c r="G366" s="116"/>
      <c r="H366" s="116"/>
      <c r="I366" s="116"/>
      <c r="J366" s="116"/>
      <c r="K366" s="116"/>
      <c r="L366" s="116"/>
      <c r="M366" s="116"/>
      <c r="N366" s="116"/>
      <c r="O366" s="116"/>
    </row>
    <row r="367" spans="1:17" ht="21" customHeight="1">
      <c r="B367" s="260"/>
      <c r="C367" s="163" t="s">
        <v>1225</v>
      </c>
      <c r="D367" s="534">
        <v>1040525000</v>
      </c>
      <c r="E367" s="125">
        <v>59981998273.220001</v>
      </c>
      <c r="F367" s="505">
        <f t="shared" si="11"/>
        <v>1.7347288018988196</v>
      </c>
      <c r="G367" s="116"/>
      <c r="H367" s="116"/>
      <c r="I367" s="116"/>
      <c r="J367" s="116"/>
      <c r="K367" s="116"/>
      <c r="L367" s="116"/>
      <c r="M367" s="116"/>
      <c r="N367" s="116"/>
      <c r="O367" s="116"/>
    </row>
    <row r="368" spans="1:17" ht="21" customHeight="1">
      <c r="B368" s="260"/>
      <c r="C368" s="161" t="s">
        <v>196</v>
      </c>
      <c r="D368" s="533">
        <f>SUM(D369:D372)</f>
        <v>1150987100</v>
      </c>
      <c r="E368" s="125">
        <v>59981998273.220001</v>
      </c>
      <c r="F368" s="505">
        <f t="shared" si="11"/>
        <v>1.9188875548247251</v>
      </c>
      <c r="G368" s="116"/>
      <c r="H368" s="116"/>
      <c r="I368" s="116"/>
      <c r="J368" s="116"/>
      <c r="K368" s="116"/>
      <c r="L368" s="116"/>
      <c r="M368" s="116"/>
      <c r="N368" s="116"/>
      <c r="O368" s="116"/>
    </row>
    <row r="369" spans="2:15" ht="21" customHeight="1">
      <c r="B369" s="260"/>
      <c r="C369" s="163" t="s">
        <v>1226</v>
      </c>
      <c r="D369" s="534">
        <v>134994000</v>
      </c>
      <c r="E369" s="125">
        <v>59981998273.220001</v>
      </c>
      <c r="F369" s="505">
        <f t="shared" si="11"/>
        <v>0.22505752373420079</v>
      </c>
      <c r="G369" s="116"/>
      <c r="H369" s="116"/>
      <c r="I369" s="116"/>
      <c r="J369" s="116"/>
      <c r="K369" s="116"/>
      <c r="L369" s="116"/>
      <c r="M369" s="116"/>
      <c r="N369" s="116"/>
      <c r="O369" s="116"/>
    </row>
    <row r="370" spans="2:15" ht="21" customHeight="1">
      <c r="B370" s="260"/>
      <c r="C370" s="163" t="s">
        <v>1227</v>
      </c>
      <c r="D370" s="534">
        <v>544353100</v>
      </c>
      <c r="E370" s="125">
        <v>59981998273.220001</v>
      </c>
      <c r="F370" s="505">
        <f t="shared" si="11"/>
        <v>0.90752745102031029</v>
      </c>
      <c r="G370" s="116"/>
      <c r="H370" s="116"/>
      <c r="I370" s="116"/>
      <c r="J370" s="116"/>
      <c r="K370" s="116"/>
      <c r="L370" s="116"/>
      <c r="M370" s="116"/>
      <c r="N370" s="116"/>
      <c r="O370" s="116"/>
    </row>
    <row r="371" spans="2:15" ht="21" customHeight="1">
      <c r="B371" s="260"/>
      <c r="C371" s="163" t="s">
        <v>1228</v>
      </c>
      <c r="D371" s="534">
        <v>159340000</v>
      </c>
      <c r="E371" s="125">
        <v>59981998273.220001</v>
      </c>
      <c r="F371" s="505">
        <f t="shared" si="11"/>
        <v>0.26564636822234727</v>
      </c>
      <c r="G371" s="116"/>
      <c r="H371" s="116"/>
      <c r="I371" s="116"/>
      <c r="J371" s="116"/>
      <c r="K371" s="116"/>
      <c r="L371" s="116"/>
      <c r="M371" s="116"/>
      <c r="N371" s="116"/>
      <c r="O371" s="116"/>
    </row>
    <row r="372" spans="2:15" ht="21" customHeight="1">
      <c r="B372" s="260"/>
      <c r="C372" s="163" t="s">
        <v>1229</v>
      </c>
      <c r="D372" s="534">
        <v>312300000</v>
      </c>
      <c r="E372" s="125">
        <v>59981998273.220001</v>
      </c>
      <c r="F372" s="505">
        <f t="shared" si="11"/>
        <v>0.52065621184786659</v>
      </c>
      <c r="G372" s="116"/>
      <c r="H372" s="116"/>
      <c r="I372" s="116"/>
      <c r="J372" s="116"/>
      <c r="K372" s="116"/>
      <c r="L372" s="116"/>
      <c r="M372" s="116"/>
      <c r="N372" s="116"/>
      <c r="O372" s="116"/>
    </row>
    <row r="373" spans="2:15" ht="21" customHeight="1">
      <c r="B373" s="260"/>
      <c r="C373" s="161" t="s">
        <v>212</v>
      </c>
      <c r="D373" s="533">
        <f>D374</f>
        <v>594473152</v>
      </c>
      <c r="E373" s="125">
        <v>59981998273.220001</v>
      </c>
      <c r="F373" s="505">
        <f t="shared" si="11"/>
        <v>0.99108594097208125</v>
      </c>
      <c r="G373" s="116"/>
      <c r="H373" s="116"/>
      <c r="I373" s="116"/>
      <c r="J373" s="116"/>
      <c r="K373" s="116"/>
      <c r="L373" s="116"/>
      <c r="M373" s="116"/>
      <c r="N373" s="116"/>
      <c r="O373" s="116"/>
    </row>
    <row r="374" spans="2:15" ht="35.1" customHeight="1">
      <c r="B374" s="260"/>
      <c r="C374" s="163" t="s">
        <v>1230</v>
      </c>
      <c r="D374" s="534">
        <v>594473152</v>
      </c>
      <c r="E374" s="125">
        <v>59981998273.220001</v>
      </c>
      <c r="F374" s="505">
        <f t="shared" si="11"/>
        <v>0.99108594097208125</v>
      </c>
      <c r="G374" s="116"/>
      <c r="H374" s="116"/>
      <c r="I374" s="116"/>
      <c r="J374" s="116"/>
      <c r="K374" s="116"/>
      <c r="L374" s="116"/>
      <c r="M374" s="116"/>
      <c r="N374" s="116"/>
      <c r="O374" s="116"/>
    </row>
    <row r="375" spans="2:15" ht="21" customHeight="1">
      <c r="B375" s="260"/>
      <c r="C375" s="163"/>
      <c r="D375" s="534"/>
      <c r="E375" s="125"/>
      <c r="F375" s="505"/>
      <c r="G375" s="116"/>
      <c r="H375" s="116"/>
      <c r="I375" s="116"/>
      <c r="J375" s="116"/>
      <c r="K375" s="116"/>
      <c r="L375" s="116"/>
      <c r="M375" s="116"/>
      <c r="N375" s="116"/>
      <c r="O375" s="116"/>
    </row>
    <row r="376" spans="2:15" ht="21" customHeight="1">
      <c r="B376" s="260"/>
      <c r="C376" s="383" t="s">
        <v>1231</v>
      </c>
      <c r="D376" s="533">
        <f t="shared" ref="D376" si="12">D377</f>
        <v>3100500000</v>
      </c>
      <c r="E376" s="125">
        <v>59981998273.220001</v>
      </c>
      <c r="F376" s="505">
        <f t="shared" si="11"/>
        <v>5.1690508640227675</v>
      </c>
      <c r="G376" s="116"/>
      <c r="H376" s="116"/>
      <c r="I376" s="116"/>
      <c r="J376" s="116"/>
      <c r="K376" s="116"/>
      <c r="L376" s="116"/>
      <c r="M376" s="116"/>
      <c r="N376" s="116"/>
      <c r="O376" s="116"/>
    </row>
    <row r="377" spans="2:15" ht="21" customHeight="1">
      <c r="B377" s="260"/>
      <c r="C377" s="383" t="s">
        <v>1232</v>
      </c>
      <c r="D377" s="533">
        <f>SUM(D378:D379)</f>
        <v>3100500000</v>
      </c>
      <c r="E377" s="125">
        <v>59981998273.220001</v>
      </c>
      <c r="F377" s="505">
        <f t="shared" si="11"/>
        <v>5.1690508640227675</v>
      </c>
      <c r="G377" s="116"/>
      <c r="H377" s="116"/>
      <c r="I377" s="116"/>
      <c r="J377" s="116"/>
      <c r="K377" s="116"/>
      <c r="L377" s="116"/>
      <c r="M377" s="116"/>
      <c r="N377" s="116"/>
      <c r="O377" s="116"/>
    </row>
    <row r="378" spans="2:15" ht="21" customHeight="1">
      <c r="B378" s="260"/>
      <c r="C378" s="163" t="s">
        <v>1233</v>
      </c>
      <c r="D378" s="534">
        <v>3000000000</v>
      </c>
      <c r="E378" s="125">
        <v>59981998273.220001</v>
      </c>
      <c r="F378" s="505">
        <f t="shared" si="11"/>
        <v>5.0015005941197561</v>
      </c>
      <c r="G378" s="116"/>
      <c r="H378" s="116"/>
      <c r="I378" s="116"/>
      <c r="J378" s="116"/>
      <c r="K378" s="116"/>
      <c r="L378" s="116"/>
      <c r="M378" s="116"/>
      <c r="N378" s="116"/>
      <c r="O378" s="116"/>
    </row>
    <row r="379" spans="2:15" ht="21" customHeight="1">
      <c r="B379" s="260"/>
      <c r="C379" s="163" t="s">
        <v>1234</v>
      </c>
      <c r="D379" s="534">
        <v>100500000</v>
      </c>
      <c r="E379" s="125">
        <v>59981998273.220001</v>
      </c>
      <c r="F379" s="505">
        <f t="shared" si="11"/>
        <v>0.16755026990301183</v>
      </c>
      <c r="G379" s="116"/>
      <c r="H379" s="116"/>
      <c r="I379" s="116"/>
      <c r="J379" s="116"/>
      <c r="K379" s="116"/>
      <c r="L379" s="116"/>
      <c r="M379" s="116"/>
      <c r="N379" s="116"/>
      <c r="O379" s="116"/>
    </row>
    <row r="380" spans="2:15" ht="21" customHeight="1">
      <c r="B380" s="260"/>
      <c r="C380" s="123"/>
      <c r="D380" s="500"/>
      <c r="E380" s="137"/>
      <c r="F380" s="511"/>
      <c r="G380" s="116"/>
      <c r="H380" s="116"/>
      <c r="I380" s="116"/>
      <c r="J380" s="116"/>
      <c r="K380" s="116"/>
      <c r="L380" s="116"/>
      <c r="M380" s="116"/>
      <c r="N380" s="116"/>
      <c r="O380" s="116"/>
    </row>
    <row r="381" spans="2:15" s="117" customFormat="1" ht="21" customHeight="1">
      <c r="B381" s="260">
        <v>11</v>
      </c>
      <c r="C381" s="150" t="s">
        <v>2614</v>
      </c>
      <c r="D381" s="501">
        <f>D382</f>
        <v>9252866615</v>
      </c>
      <c r="E381" s="361">
        <v>61685777431.099998</v>
      </c>
      <c r="F381" s="505">
        <f>+D381/E381*100</f>
        <v>15.000000000543077</v>
      </c>
      <c r="G381" s="121"/>
      <c r="H381" s="121"/>
      <c r="I381" s="121"/>
      <c r="J381" s="121"/>
      <c r="K381" s="121"/>
      <c r="L381" s="121"/>
      <c r="M381" s="121"/>
      <c r="N381" s="121"/>
      <c r="O381" s="121"/>
    </row>
    <row r="382" spans="2:15" ht="21" customHeight="1">
      <c r="B382" s="260"/>
      <c r="C382" s="390" t="s">
        <v>65</v>
      </c>
      <c r="D382" s="535">
        <v>9252866615</v>
      </c>
      <c r="E382" s="125">
        <v>9252866615</v>
      </c>
      <c r="F382" s="536">
        <f t="shared" ref="F382:F401" si="13">+D382/E382*100</f>
        <v>100</v>
      </c>
      <c r="G382" s="116"/>
      <c r="H382" s="116"/>
      <c r="I382" s="116"/>
      <c r="J382" s="116"/>
      <c r="K382" s="116"/>
      <c r="L382" s="116"/>
      <c r="M382" s="116"/>
      <c r="N382" s="116"/>
      <c r="O382" s="116"/>
    </row>
    <row r="383" spans="2:15" ht="21" customHeight="1">
      <c r="B383" s="260"/>
      <c r="C383" s="390" t="s">
        <v>1116</v>
      </c>
      <c r="D383" s="535">
        <v>150000000</v>
      </c>
      <c r="E383" s="125">
        <v>9252866615</v>
      </c>
      <c r="F383" s="536">
        <f t="shared" si="13"/>
        <v>1.6211192297620729</v>
      </c>
      <c r="G383" s="116"/>
      <c r="H383" s="116"/>
      <c r="I383" s="116"/>
      <c r="J383" s="116"/>
      <c r="K383" s="116"/>
      <c r="L383" s="116"/>
      <c r="M383" s="116"/>
      <c r="N383" s="116"/>
      <c r="O383" s="116"/>
    </row>
    <row r="384" spans="2:15" ht="21" customHeight="1">
      <c r="B384" s="260"/>
      <c r="C384" s="387" t="s">
        <v>1268</v>
      </c>
      <c r="D384" s="537">
        <v>150000000</v>
      </c>
      <c r="E384" s="125">
        <v>9252866615</v>
      </c>
      <c r="F384" s="536">
        <f t="shared" si="13"/>
        <v>1.6211192297620729</v>
      </c>
      <c r="G384" s="116"/>
      <c r="H384" s="116"/>
      <c r="I384" s="116"/>
      <c r="J384" s="116"/>
      <c r="K384" s="116"/>
      <c r="L384" s="116"/>
      <c r="M384" s="116"/>
      <c r="N384" s="116"/>
      <c r="O384" s="116"/>
    </row>
    <row r="385" spans="2:15" ht="21" customHeight="1">
      <c r="B385" s="260"/>
      <c r="C385" s="390" t="s">
        <v>1269</v>
      </c>
      <c r="D385" s="535">
        <v>288000000</v>
      </c>
      <c r="E385" s="125">
        <v>9252866615</v>
      </c>
      <c r="F385" s="536">
        <f t="shared" si="13"/>
        <v>3.1125489211431803</v>
      </c>
      <c r="G385" s="116"/>
      <c r="H385" s="116"/>
      <c r="I385" s="116"/>
      <c r="J385" s="116"/>
      <c r="K385" s="116"/>
      <c r="L385" s="116"/>
      <c r="M385" s="116"/>
      <c r="N385" s="116"/>
      <c r="O385" s="116"/>
    </row>
    <row r="386" spans="2:15" ht="21" customHeight="1">
      <c r="B386" s="260"/>
      <c r="C386" s="387" t="s">
        <v>1270</v>
      </c>
      <c r="D386" s="537">
        <v>288000000</v>
      </c>
      <c r="E386" s="125">
        <v>9252866615</v>
      </c>
      <c r="F386" s="536">
        <f t="shared" si="13"/>
        <v>3.1125489211431803</v>
      </c>
      <c r="G386" s="116"/>
      <c r="H386" s="116"/>
      <c r="I386" s="116"/>
      <c r="J386" s="116"/>
      <c r="K386" s="116"/>
      <c r="L386" s="116"/>
      <c r="M386" s="116"/>
      <c r="N386" s="116"/>
      <c r="O386" s="116"/>
    </row>
    <row r="387" spans="2:15" ht="21" customHeight="1">
      <c r="B387" s="260"/>
      <c r="C387" s="390" t="s">
        <v>606</v>
      </c>
      <c r="D387" s="535">
        <v>885086615</v>
      </c>
      <c r="E387" s="125">
        <v>9252866615</v>
      </c>
      <c r="F387" s="536">
        <f t="shared" si="13"/>
        <v>9.5655395438768025</v>
      </c>
      <c r="G387" s="116"/>
      <c r="H387" s="116"/>
      <c r="I387" s="116"/>
      <c r="J387" s="116"/>
      <c r="K387" s="116"/>
      <c r="L387" s="116"/>
      <c r="M387" s="116"/>
      <c r="N387" s="116"/>
      <c r="O387" s="116"/>
    </row>
    <row r="388" spans="2:15" ht="21" customHeight="1">
      <c r="B388" s="260"/>
      <c r="C388" s="387" t="s">
        <v>1271</v>
      </c>
      <c r="D388" s="537">
        <v>885086615</v>
      </c>
      <c r="E388" s="125">
        <v>9252866615</v>
      </c>
      <c r="F388" s="536">
        <f t="shared" si="13"/>
        <v>9.5655395438768025</v>
      </c>
      <c r="G388" s="116"/>
      <c r="H388" s="116"/>
      <c r="I388" s="116"/>
      <c r="J388" s="116"/>
      <c r="K388" s="116"/>
      <c r="L388" s="116"/>
      <c r="M388" s="116"/>
      <c r="N388" s="116"/>
      <c r="O388" s="116"/>
    </row>
    <row r="389" spans="2:15" ht="21" customHeight="1">
      <c r="B389" s="260"/>
      <c r="C389" s="390" t="s">
        <v>597</v>
      </c>
      <c r="D389" s="535">
        <v>2136000000</v>
      </c>
      <c r="E389" s="125">
        <v>9252866615</v>
      </c>
      <c r="F389" s="536">
        <f t="shared" si="13"/>
        <v>23.084737831811918</v>
      </c>
      <c r="G389" s="116"/>
      <c r="H389" s="116"/>
      <c r="I389" s="116"/>
      <c r="J389" s="116"/>
      <c r="K389" s="116"/>
      <c r="L389" s="116"/>
      <c r="M389" s="116"/>
      <c r="N389" s="116"/>
      <c r="O389" s="116"/>
    </row>
    <row r="390" spans="2:15" ht="35.1" customHeight="1">
      <c r="B390" s="260"/>
      <c r="C390" s="387" t="s">
        <v>1272</v>
      </c>
      <c r="D390" s="537">
        <v>1980000000</v>
      </c>
      <c r="E390" s="125">
        <v>9252866615</v>
      </c>
      <c r="F390" s="536">
        <f t="shared" si="13"/>
        <v>21.398773832859362</v>
      </c>
      <c r="G390" s="116"/>
      <c r="H390" s="116"/>
      <c r="I390" s="116"/>
      <c r="J390" s="116"/>
      <c r="K390" s="116"/>
      <c r="L390" s="116"/>
      <c r="M390" s="116"/>
      <c r="N390" s="116"/>
      <c r="O390" s="116"/>
    </row>
    <row r="391" spans="2:15" ht="35.1" customHeight="1">
      <c r="B391" s="260"/>
      <c r="C391" s="387" t="s">
        <v>1273</v>
      </c>
      <c r="D391" s="537">
        <v>156000000</v>
      </c>
      <c r="E391" s="125">
        <v>9252866615</v>
      </c>
      <c r="F391" s="536">
        <f t="shared" si="13"/>
        <v>1.6859639989525559</v>
      </c>
      <c r="G391" s="116"/>
      <c r="H391" s="116"/>
      <c r="I391" s="116"/>
      <c r="J391" s="116"/>
      <c r="K391" s="116"/>
      <c r="L391" s="116"/>
      <c r="M391" s="116"/>
      <c r="N391" s="116"/>
      <c r="O391" s="116"/>
    </row>
    <row r="392" spans="2:15" ht="21" customHeight="1">
      <c r="B392" s="260"/>
      <c r="C392" s="390" t="s">
        <v>683</v>
      </c>
      <c r="D392" s="535">
        <v>210000000</v>
      </c>
      <c r="E392" s="125">
        <v>9252866615</v>
      </c>
      <c r="F392" s="536">
        <f t="shared" si="13"/>
        <v>2.2695669216669021</v>
      </c>
      <c r="G392" s="116"/>
      <c r="H392" s="116"/>
      <c r="I392" s="116"/>
      <c r="J392" s="116"/>
      <c r="K392" s="116"/>
      <c r="L392" s="116"/>
      <c r="M392" s="116"/>
      <c r="N392" s="116"/>
      <c r="O392" s="116"/>
    </row>
    <row r="393" spans="2:15" ht="53.25" customHeight="1">
      <c r="B393" s="260"/>
      <c r="C393" s="387" t="s">
        <v>1274</v>
      </c>
      <c r="D393" s="537">
        <v>210000000</v>
      </c>
      <c r="E393" s="125">
        <v>9252866615</v>
      </c>
      <c r="F393" s="536">
        <f t="shared" si="13"/>
        <v>2.2695669216669021</v>
      </c>
      <c r="G393" s="116"/>
      <c r="H393" s="116"/>
      <c r="I393" s="116"/>
      <c r="J393" s="116"/>
      <c r="K393" s="116"/>
      <c r="L393" s="116"/>
      <c r="M393" s="116"/>
      <c r="N393" s="116"/>
      <c r="O393" s="116"/>
    </row>
    <row r="394" spans="2:15" ht="21" customHeight="1">
      <c r="B394" s="260"/>
      <c r="C394" s="390" t="s">
        <v>1275</v>
      </c>
      <c r="D394" s="535">
        <v>1058700000</v>
      </c>
      <c r="E394" s="125">
        <v>9252866615</v>
      </c>
      <c r="F394" s="536">
        <f t="shared" si="13"/>
        <v>11.441859523660712</v>
      </c>
      <c r="G394" s="116"/>
      <c r="H394" s="116"/>
      <c r="I394" s="116"/>
      <c r="J394" s="116"/>
      <c r="K394" s="116"/>
      <c r="L394" s="116"/>
      <c r="M394" s="116"/>
      <c r="N394" s="116"/>
      <c r="O394" s="116"/>
    </row>
    <row r="395" spans="2:15" ht="21" customHeight="1">
      <c r="B395" s="260"/>
      <c r="C395" s="387" t="s">
        <v>1276</v>
      </c>
      <c r="D395" s="537">
        <v>1058700000</v>
      </c>
      <c r="E395" s="125">
        <v>9252866615</v>
      </c>
      <c r="F395" s="536">
        <f t="shared" si="13"/>
        <v>11.441859523660712</v>
      </c>
      <c r="G395" s="116"/>
      <c r="H395" s="116"/>
      <c r="I395" s="116"/>
      <c r="J395" s="116"/>
      <c r="K395" s="116"/>
      <c r="L395" s="116"/>
      <c r="M395" s="116"/>
      <c r="N395" s="116"/>
      <c r="O395" s="116"/>
    </row>
    <row r="396" spans="2:15" ht="21" customHeight="1">
      <c r="B396" s="260"/>
      <c r="C396" s="390" t="s">
        <v>695</v>
      </c>
      <c r="D396" s="535">
        <v>371000000</v>
      </c>
      <c r="E396" s="125">
        <v>9252866615</v>
      </c>
      <c r="F396" s="536">
        <f t="shared" si="13"/>
        <v>4.0095682282781935</v>
      </c>
      <c r="G396" s="116"/>
      <c r="H396" s="116"/>
      <c r="I396" s="116"/>
      <c r="J396" s="116"/>
      <c r="K396" s="116"/>
      <c r="L396" s="116"/>
      <c r="M396" s="116"/>
      <c r="N396" s="116"/>
      <c r="O396" s="116"/>
    </row>
    <row r="397" spans="2:15" ht="21" customHeight="1">
      <c r="B397" s="260"/>
      <c r="C397" s="387" t="s">
        <v>809</v>
      </c>
      <c r="D397" s="537">
        <v>371000000</v>
      </c>
      <c r="E397" s="125">
        <v>9252866615</v>
      </c>
      <c r="F397" s="536">
        <f t="shared" si="13"/>
        <v>4.0095682282781935</v>
      </c>
      <c r="G397" s="116"/>
      <c r="H397" s="116"/>
      <c r="I397" s="116"/>
      <c r="J397" s="116"/>
      <c r="K397" s="116"/>
      <c r="L397" s="116"/>
      <c r="M397" s="116"/>
      <c r="N397" s="116"/>
      <c r="O397" s="116"/>
    </row>
    <row r="398" spans="2:15" ht="35.1" customHeight="1">
      <c r="B398" s="260"/>
      <c r="C398" s="390" t="s">
        <v>1277</v>
      </c>
      <c r="D398" s="535">
        <v>730000000</v>
      </c>
      <c r="E398" s="125">
        <v>9252866615</v>
      </c>
      <c r="F398" s="536">
        <f t="shared" si="13"/>
        <v>7.8894469181754214</v>
      </c>
      <c r="G398" s="116"/>
      <c r="H398" s="116"/>
      <c r="I398" s="116"/>
      <c r="J398" s="116"/>
      <c r="K398" s="116"/>
      <c r="L398" s="116"/>
      <c r="M398" s="116"/>
      <c r="N398" s="116"/>
      <c r="O398" s="116"/>
    </row>
    <row r="399" spans="2:15" ht="21" customHeight="1">
      <c r="B399" s="260"/>
      <c r="C399" s="387" t="s">
        <v>1278</v>
      </c>
      <c r="D399" s="537">
        <v>730000000</v>
      </c>
      <c r="E399" s="125">
        <v>9252866615</v>
      </c>
      <c r="F399" s="536">
        <f t="shared" si="13"/>
        <v>7.8894469181754214</v>
      </c>
      <c r="G399" s="116"/>
      <c r="H399" s="116"/>
      <c r="I399" s="116"/>
      <c r="J399" s="116"/>
      <c r="K399" s="116"/>
      <c r="L399" s="116"/>
      <c r="M399" s="116"/>
      <c r="N399" s="116"/>
      <c r="O399" s="116"/>
    </row>
    <row r="400" spans="2:15" ht="21" customHeight="1">
      <c r="B400" s="260"/>
      <c r="C400" s="390" t="s">
        <v>1279</v>
      </c>
      <c r="D400" s="535">
        <v>3424080000</v>
      </c>
      <c r="E400" s="125">
        <v>9252866615</v>
      </c>
      <c r="F400" s="536">
        <f t="shared" si="13"/>
        <v>37.005612881624792</v>
      </c>
      <c r="G400" s="116"/>
      <c r="H400" s="116"/>
      <c r="I400" s="116"/>
      <c r="J400" s="116"/>
      <c r="K400" s="116"/>
      <c r="L400" s="116"/>
      <c r="M400" s="116"/>
      <c r="N400" s="116"/>
      <c r="O400" s="116"/>
    </row>
    <row r="401" spans="1:17" ht="21" customHeight="1">
      <c r="B401" s="260"/>
      <c r="C401" s="387" t="s">
        <v>1280</v>
      </c>
      <c r="D401" s="537">
        <v>3424080000</v>
      </c>
      <c r="E401" s="125">
        <v>9252866615</v>
      </c>
      <c r="F401" s="536">
        <f t="shared" si="13"/>
        <v>37.005612881624792</v>
      </c>
      <c r="G401" s="116"/>
      <c r="H401" s="116"/>
      <c r="I401" s="116"/>
      <c r="J401" s="116"/>
      <c r="K401" s="116"/>
      <c r="L401" s="116"/>
      <c r="M401" s="116"/>
      <c r="N401" s="116"/>
      <c r="O401" s="116"/>
    </row>
    <row r="402" spans="1:17" ht="21" customHeight="1">
      <c r="B402" s="260"/>
      <c r="C402" s="123"/>
      <c r="D402" s="500"/>
      <c r="E402" s="137"/>
      <c r="F402" s="511"/>
      <c r="G402" s="116"/>
      <c r="H402" s="116"/>
      <c r="I402" s="116"/>
      <c r="J402" s="116"/>
      <c r="K402" s="116"/>
      <c r="L402" s="116"/>
      <c r="M402" s="116"/>
      <c r="N402" s="116"/>
      <c r="O402" s="116"/>
    </row>
    <row r="403" spans="1:17" s="522" customFormat="1" ht="21" customHeight="1">
      <c r="A403" s="314"/>
      <c r="B403" s="260">
        <v>12</v>
      </c>
      <c r="C403" s="150" t="s">
        <v>1315</v>
      </c>
      <c r="D403" s="501">
        <f>+D404+D408</f>
        <v>9290904878.2199993</v>
      </c>
      <c r="E403" s="361">
        <v>61939361529.599998</v>
      </c>
      <c r="F403" s="505">
        <f>+D403/E403*100</f>
        <v>15.000001047443796</v>
      </c>
      <c r="G403" s="121"/>
      <c r="H403" s="121"/>
      <c r="I403" s="121"/>
      <c r="J403" s="121"/>
      <c r="K403" s="121"/>
      <c r="L403" s="121"/>
      <c r="M403" s="121"/>
      <c r="N403" s="121"/>
      <c r="O403" s="121"/>
      <c r="P403" s="314"/>
      <c r="Q403" s="314"/>
    </row>
    <row r="404" spans="1:17" s="498" customFormat="1" ht="21" customHeight="1">
      <c r="A404" s="300"/>
      <c r="B404" s="260"/>
      <c r="C404" s="111" t="s">
        <v>65</v>
      </c>
      <c r="D404" s="538">
        <v>6410724569.7299995</v>
      </c>
      <c r="E404" s="125">
        <v>9290904878</v>
      </c>
      <c r="F404" s="126">
        <f>+D404/E404*100</f>
        <v>69.000002194727017</v>
      </c>
      <c r="G404" s="116"/>
      <c r="H404" s="116"/>
      <c r="I404" s="116"/>
      <c r="J404" s="116"/>
      <c r="K404" s="116"/>
      <c r="L404" s="116"/>
      <c r="M404" s="116"/>
      <c r="N404" s="116"/>
      <c r="O404" s="116"/>
      <c r="P404" s="300"/>
      <c r="Q404" s="300"/>
    </row>
    <row r="405" spans="1:17" s="498" customFormat="1" ht="21" customHeight="1">
      <c r="A405" s="300"/>
      <c r="B405" s="260"/>
      <c r="C405" s="111" t="s">
        <v>597</v>
      </c>
      <c r="D405" s="538">
        <v>6410724569.7299995</v>
      </c>
      <c r="E405" s="125">
        <v>9290904878</v>
      </c>
      <c r="F405" s="126">
        <f t="shared" ref="F405:F410" si="14">+D405/E405*100</f>
        <v>69.000002194727017</v>
      </c>
      <c r="G405" s="116"/>
      <c r="H405" s="116"/>
      <c r="I405" s="116"/>
      <c r="J405" s="116"/>
      <c r="K405" s="116"/>
      <c r="L405" s="116"/>
      <c r="M405" s="116"/>
      <c r="N405" s="116"/>
      <c r="O405" s="116"/>
      <c r="P405" s="300"/>
      <c r="Q405" s="300"/>
    </row>
    <row r="406" spans="1:17" s="498" customFormat="1" ht="35.1" customHeight="1">
      <c r="A406" s="300"/>
      <c r="B406" s="260"/>
      <c r="C406" s="111" t="s">
        <v>805</v>
      </c>
      <c r="D406" s="538">
        <v>6410724569.7299995</v>
      </c>
      <c r="E406" s="125">
        <v>9290904878</v>
      </c>
      <c r="F406" s="126">
        <f t="shared" si="14"/>
        <v>69.000002194727017</v>
      </c>
      <c r="G406" s="116"/>
      <c r="H406" s="116"/>
      <c r="I406" s="116"/>
      <c r="J406" s="116"/>
      <c r="K406" s="116"/>
      <c r="L406" s="116"/>
      <c r="M406" s="116"/>
      <c r="N406" s="116"/>
      <c r="O406" s="116"/>
      <c r="P406" s="300"/>
      <c r="Q406" s="300"/>
    </row>
    <row r="407" spans="1:17" s="498" customFormat="1" ht="21" customHeight="1">
      <c r="A407" s="300"/>
      <c r="B407" s="260"/>
      <c r="C407" s="111"/>
      <c r="D407" s="538"/>
      <c r="E407" s="125"/>
      <c r="F407" s="126"/>
      <c r="G407" s="116"/>
      <c r="H407" s="116"/>
      <c r="I407" s="116"/>
      <c r="J407" s="116"/>
      <c r="K407" s="116"/>
      <c r="L407" s="116"/>
      <c r="M407" s="116"/>
      <c r="N407" s="116"/>
      <c r="O407" s="116"/>
      <c r="P407" s="300"/>
      <c r="Q407" s="300"/>
    </row>
    <row r="408" spans="1:17" s="498" customFormat="1" ht="21" customHeight="1">
      <c r="A408" s="300"/>
      <c r="B408" s="260"/>
      <c r="C408" s="111" t="s">
        <v>1319</v>
      </c>
      <c r="D408" s="538">
        <v>2880180308.4899998</v>
      </c>
      <c r="E408" s="125">
        <v>9290904878</v>
      </c>
      <c r="F408" s="126">
        <f t="shared" si="14"/>
        <v>30.999997807640884</v>
      </c>
      <c r="G408" s="116"/>
      <c r="H408" s="116"/>
      <c r="I408" s="116"/>
      <c r="J408" s="116"/>
      <c r="K408" s="116"/>
      <c r="L408" s="116"/>
      <c r="M408" s="116"/>
      <c r="N408" s="116"/>
      <c r="O408" s="116"/>
      <c r="P408" s="300"/>
      <c r="Q408" s="300"/>
    </row>
    <row r="409" spans="1:17" s="498" customFormat="1" ht="21" customHeight="1">
      <c r="A409" s="300"/>
      <c r="B409" s="260"/>
      <c r="C409" s="111" t="s">
        <v>606</v>
      </c>
      <c r="D409" s="538">
        <v>2880180308.4899998</v>
      </c>
      <c r="E409" s="125">
        <v>9290904878</v>
      </c>
      <c r="F409" s="126">
        <f t="shared" si="14"/>
        <v>30.999997807640884</v>
      </c>
      <c r="G409" s="116"/>
      <c r="H409" s="116"/>
      <c r="I409" s="116"/>
      <c r="J409" s="116"/>
      <c r="K409" s="116"/>
      <c r="L409" s="116"/>
      <c r="M409" s="116"/>
      <c r="N409" s="116"/>
      <c r="O409" s="116"/>
      <c r="P409" s="300"/>
      <c r="Q409" s="300"/>
    </row>
    <row r="410" spans="1:17" s="498" customFormat="1" ht="21" customHeight="1">
      <c r="A410" s="300"/>
      <c r="B410" s="260"/>
      <c r="C410" s="111" t="s">
        <v>1320</v>
      </c>
      <c r="D410" s="538">
        <v>2880180308.4899998</v>
      </c>
      <c r="E410" s="125">
        <v>9290904878</v>
      </c>
      <c r="F410" s="126">
        <f t="shared" si="14"/>
        <v>30.999997807640884</v>
      </c>
      <c r="G410" s="116"/>
      <c r="H410" s="116"/>
      <c r="I410" s="116"/>
      <c r="J410" s="116"/>
      <c r="K410" s="116"/>
      <c r="L410" s="116"/>
      <c r="M410" s="116"/>
      <c r="N410" s="116"/>
      <c r="O410" s="116"/>
      <c r="P410" s="300"/>
      <c r="Q410" s="300"/>
    </row>
    <row r="411" spans="1:17" ht="21" customHeight="1">
      <c r="B411" s="260"/>
      <c r="C411" s="123"/>
      <c r="D411" s="500"/>
      <c r="E411" s="137"/>
      <c r="F411" s="511"/>
      <c r="G411" s="116"/>
      <c r="H411" s="116"/>
      <c r="I411" s="116"/>
      <c r="J411" s="116"/>
      <c r="K411" s="116"/>
      <c r="L411" s="116"/>
      <c r="M411" s="116"/>
      <c r="N411" s="116"/>
      <c r="O411" s="116"/>
    </row>
    <row r="412" spans="1:17" s="522" customFormat="1" ht="21" customHeight="1">
      <c r="A412" s="314"/>
      <c r="B412" s="260">
        <v>13</v>
      </c>
      <c r="C412" s="150" t="s">
        <v>2575</v>
      </c>
      <c r="D412" s="501">
        <f>+D413+D423</f>
        <v>12687501476.369999</v>
      </c>
      <c r="E412" s="134">
        <v>65595198072.370003</v>
      </c>
      <c r="F412" s="505">
        <f>+D412/E412*100</f>
        <v>19.342119315459811</v>
      </c>
      <c r="G412" s="121"/>
      <c r="H412" s="121"/>
      <c r="I412" s="121"/>
      <c r="J412" s="121"/>
      <c r="K412" s="121"/>
      <c r="L412" s="121"/>
      <c r="M412" s="121"/>
      <c r="N412" s="121"/>
      <c r="O412" s="121"/>
      <c r="P412" s="314"/>
      <c r="Q412" s="314"/>
    </row>
    <row r="413" spans="1:17" s="498" customFormat="1" ht="21" customHeight="1">
      <c r="A413" s="300"/>
      <c r="B413" s="260"/>
      <c r="C413" s="150" t="s">
        <v>65</v>
      </c>
      <c r="D413" s="539">
        <f>D414+D416+D418+D420</f>
        <v>7655385000</v>
      </c>
      <c r="E413" s="134">
        <v>12687501476</v>
      </c>
      <c r="F413" s="126">
        <f t="shared" ref="F413:F431" si="15">+D413/E413*100</f>
        <v>60.338002832796676</v>
      </c>
      <c r="G413" s="116"/>
      <c r="H413" s="116"/>
      <c r="I413" s="116"/>
      <c r="J413" s="116"/>
      <c r="K413" s="116"/>
      <c r="L413" s="116"/>
      <c r="M413" s="116"/>
      <c r="N413" s="116"/>
      <c r="O413" s="116"/>
      <c r="P413" s="300"/>
      <c r="Q413" s="300"/>
    </row>
    <row r="414" spans="1:17" s="498" customFormat="1" ht="21" customHeight="1">
      <c r="A414" s="300"/>
      <c r="B414" s="260"/>
      <c r="C414" s="540" t="s">
        <v>190</v>
      </c>
      <c r="D414" s="541">
        <f>SUM(D415)</f>
        <v>100000000</v>
      </c>
      <c r="E414" s="134">
        <v>12687501476</v>
      </c>
      <c r="F414" s="126">
        <f t="shared" si="15"/>
        <v>0.78817724820889712</v>
      </c>
      <c r="G414" s="116"/>
      <c r="H414" s="116"/>
      <c r="I414" s="116"/>
      <c r="J414" s="116"/>
      <c r="K414" s="116"/>
      <c r="L414" s="116"/>
      <c r="M414" s="116"/>
      <c r="N414" s="116"/>
      <c r="O414" s="116"/>
      <c r="P414" s="300"/>
      <c r="Q414" s="300"/>
    </row>
    <row r="415" spans="1:17" s="498" customFormat="1" ht="21" customHeight="1">
      <c r="A415" s="300"/>
      <c r="B415" s="260"/>
      <c r="C415" s="542" t="s">
        <v>1407</v>
      </c>
      <c r="D415" s="543">
        <v>100000000</v>
      </c>
      <c r="E415" s="134">
        <v>12687501476</v>
      </c>
      <c r="F415" s="126">
        <f t="shared" si="15"/>
        <v>0.78817724820889712</v>
      </c>
      <c r="G415" s="116"/>
      <c r="H415" s="116"/>
      <c r="I415" s="116"/>
      <c r="J415" s="116"/>
      <c r="K415" s="116"/>
      <c r="L415" s="116"/>
      <c r="M415" s="116"/>
      <c r="N415" s="116"/>
      <c r="O415" s="116"/>
      <c r="P415" s="300"/>
      <c r="Q415" s="300"/>
    </row>
    <row r="416" spans="1:17" s="498" customFormat="1" ht="21" customHeight="1">
      <c r="A416" s="300"/>
      <c r="B416" s="260"/>
      <c r="C416" s="540" t="s">
        <v>196</v>
      </c>
      <c r="D416" s="541">
        <f>SUM(D417)</f>
        <v>100000000</v>
      </c>
      <c r="E416" s="134">
        <v>12687501476</v>
      </c>
      <c r="F416" s="126">
        <f t="shared" si="15"/>
        <v>0.78817724820889712</v>
      </c>
      <c r="G416" s="116"/>
      <c r="H416" s="116"/>
      <c r="I416" s="116"/>
      <c r="J416" s="116"/>
      <c r="K416" s="116"/>
      <c r="L416" s="116"/>
      <c r="M416" s="116"/>
      <c r="N416" s="116"/>
      <c r="O416" s="116"/>
      <c r="P416" s="300"/>
      <c r="Q416" s="300"/>
    </row>
    <row r="417" spans="1:17" s="498" customFormat="1" ht="21" customHeight="1">
      <c r="A417" s="300"/>
      <c r="B417" s="260"/>
      <c r="C417" s="542" t="s">
        <v>1408</v>
      </c>
      <c r="D417" s="543">
        <v>100000000</v>
      </c>
      <c r="E417" s="134">
        <v>12687501476</v>
      </c>
      <c r="F417" s="126">
        <f t="shared" si="15"/>
        <v>0.78817724820889712</v>
      </c>
      <c r="G417" s="116"/>
      <c r="H417" s="116"/>
      <c r="I417" s="116"/>
      <c r="J417" s="116"/>
      <c r="K417" s="116"/>
      <c r="L417" s="116"/>
      <c r="M417" s="116"/>
      <c r="N417" s="116"/>
      <c r="O417" s="116"/>
      <c r="P417" s="300"/>
      <c r="Q417" s="300"/>
    </row>
    <row r="418" spans="1:17" s="498" customFormat="1" ht="21" customHeight="1">
      <c r="A418" s="300"/>
      <c r="B418" s="260"/>
      <c r="C418" s="540" t="s">
        <v>877</v>
      </c>
      <c r="D418" s="541">
        <f>SUM(D419)</f>
        <v>7248000000</v>
      </c>
      <c r="E418" s="134">
        <v>12687501476</v>
      </c>
      <c r="F418" s="126">
        <f t="shared" si="15"/>
        <v>57.12708695018086</v>
      </c>
      <c r="G418" s="116"/>
      <c r="H418" s="116"/>
      <c r="I418" s="116"/>
      <c r="J418" s="116"/>
      <c r="K418" s="116"/>
      <c r="L418" s="116"/>
      <c r="M418" s="116"/>
      <c r="N418" s="116"/>
      <c r="O418" s="116"/>
      <c r="P418" s="300"/>
      <c r="Q418" s="300"/>
    </row>
    <row r="419" spans="1:17" s="498" customFormat="1" ht="21" customHeight="1">
      <c r="A419" s="300"/>
      <c r="B419" s="260"/>
      <c r="C419" s="542" t="s">
        <v>1409</v>
      </c>
      <c r="D419" s="543">
        <v>7248000000</v>
      </c>
      <c r="E419" s="134">
        <v>12687501476</v>
      </c>
      <c r="F419" s="126">
        <f t="shared" si="15"/>
        <v>57.12708695018086</v>
      </c>
      <c r="G419" s="116"/>
      <c r="H419" s="116"/>
      <c r="I419" s="116"/>
      <c r="J419" s="116"/>
      <c r="K419" s="116"/>
      <c r="L419" s="116"/>
      <c r="M419" s="116"/>
      <c r="N419" s="116"/>
      <c r="O419" s="116"/>
      <c r="P419" s="300"/>
      <c r="Q419" s="300"/>
    </row>
    <row r="420" spans="1:17" s="498" customFormat="1" ht="21" customHeight="1">
      <c r="A420" s="300"/>
      <c r="B420" s="260"/>
      <c r="C420" s="540" t="s">
        <v>221</v>
      </c>
      <c r="D420" s="541">
        <f>SUM(D421)</f>
        <v>207385000</v>
      </c>
      <c r="E420" s="134">
        <v>12687501476</v>
      </c>
      <c r="F420" s="126">
        <f t="shared" si="15"/>
        <v>1.634561386198021</v>
      </c>
      <c r="G420" s="116"/>
      <c r="H420" s="116"/>
      <c r="I420" s="116"/>
      <c r="J420" s="116"/>
      <c r="K420" s="116"/>
      <c r="L420" s="116"/>
      <c r="M420" s="116"/>
      <c r="N420" s="116"/>
      <c r="O420" s="116"/>
      <c r="P420" s="300"/>
      <c r="Q420" s="300"/>
    </row>
    <row r="421" spans="1:17" s="498" customFormat="1" ht="35.1" customHeight="1">
      <c r="A421" s="300"/>
      <c r="B421" s="260"/>
      <c r="C421" s="542" t="s">
        <v>1410</v>
      </c>
      <c r="D421" s="543">
        <v>207385000</v>
      </c>
      <c r="E421" s="134">
        <v>12687501476</v>
      </c>
      <c r="F421" s="126">
        <f t="shared" si="15"/>
        <v>1.634561386198021</v>
      </c>
      <c r="G421" s="116"/>
      <c r="H421" s="116"/>
      <c r="I421" s="116"/>
      <c r="J421" s="116"/>
      <c r="K421" s="116"/>
      <c r="L421" s="116"/>
      <c r="M421" s="116"/>
      <c r="N421" s="116"/>
      <c r="O421" s="116"/>
      <c r="P421" s="300"/>
      <c r="Q421" s="300"/>
    </row>
    <row r="422" spans="1:17" s="498" customFormat="1" ht="21" customHeight="1">
      <c r="A422" s="300"/>
      <c r="B422" s="260"/>
      <c r="C422" s="57"/>
      <c r="D422" s="544"/>
      <c r="E422" s="134">
        <v>12687501476</v>
      </c>
      <c r="F422" s="126">
        <f t="shared" si="15"/>
        <v>0</v>
      </c>
      <c r="G422" s="116"/>
      <c r="H422" s="116"/>
      <c r="I422" s="116"/>
      <c r="J422" s="116"/>
      <c r="K422" s="116"/>
      <c r="L422" s="116"/>
      <c r="M422" s="116"/>
      <c r="N422" s="116"/>
      <c r="O422" s="116"/>
      <c r="P422" s="300"/>
      <c r="Q422" s="300"/>
    </row>
    <row r="423" spans="1:17" s="498" customFormat="1" ht="21" customHeight="1">
      <c r="A423" s="300"/>
      <c r="B423" s="260"/>
      <c r="C423" s="150" t="s">
        <v>1411</v>
      </c>
      <c r="D423" s="539">
        <f>D424+D426+D428+D430</f>
        <v>5032116476.3699999</v>
      </c>
      <c r="E423" s="134">
        <v>12687501476</v>
      </c>
      <c r="F423" s="126">
        <f t="shared" si="15"/>
        <v>39.661997170119577</v>
      </c>
      <c r="G423" s="116"/>
      <c r="H423" s="116"/>
      <c r="I423" s="116"/>
      <c r="J423" s="116"/>
      <c r="K423" s="116"/>
      <c r="L423" s="116"/>
      <c r="M423" s="116"/>
      <c r="N423" s="116"/>
      <c r="O423" s="116"/>
      <c r="P423" s="300"/>
      <c r="Q423" s="300"/>
    </row>
    <row r="424" spans="1:17" s="498" customFormat="1" ht="21" customHeight="1">
      <c r="A424" s="300"/>
      <c r="B424" s="260"/>
      <c r="C424" s="545" t="s">
        <v>162</v>
      </c>
      <c r="D424" s="546">
        <f>SUM(D425)</f>
        <v>1503428432</v>
      </c>
      <c r="E424" s="134">
        <v>12687501476</v>
      </c>
      <c r="F424" s="126">
        <f t="shared" si="15"/>
        <v>11.84968084412777</v>
      </c>
      <c r="G424" s="116"/>
      <c r="H424" s="116"/>
      <c r="I424" s="116"/>
      <c r="J424" s="116"/>
      <c r="K424" s="116"/>
      <c r="L424" s="116"/>
      <c r="M424" s="116"/>
      <c r="N424" s="116"/>
      <c r="O424" s="116"/>
      <c r="P424" s="300"/>
      <c r="Q424" s="300"/>
    </row>
    <row r="425" spans="1:17" s="498" customFormat="1" ht="21" customHeight="1">
      <c r="A425" s="300"/>
      <c r="B425" s="260"/>
      <c r="C425" s="547" t="s">
        <v>1412</v>
      </c>
      <c r="D425" s="548">
        <v>1503428432</v>
      </c>
      <c r="E425" s="134">
        <v>12687501476</v>
      </c>
      <c r="F425" s="126">
        <f t="shared" si="15"/>
        <v>11.84968084412777</v>
      </c>
      <c r="G425" s="116"/>
      <c r="H425" s="116"/>
      <c r="I425" s="116"/>
      <c r="J425" s="116"/>
      <c r="K425" s="116"/>
      <c r="L425" s="116"/>
      <c r="M425" s="116"/>
      <c r="N425" s="116"/>
      <c r="O425" s="116"/>
      <c r="P425" s="300"/>
      <c r="Q425" s="300"/>
    </row>
    <row r="426" spans="1:17" s="498" customFormat="1" ht="21" customHeight="1">
      <c r="A426" s="300"/>
      <c r="B426" s="260"/>
      <c r="C426" s="545" t="s">
        <v>173</v>
      </c>
      <c r="D426" s="546">
        <f>SUM(D427)</f>
        <v>1504932859.3699999</v>
      </c>
      <c r="E426" s="134">
        <v>12687501476</v>
      </c>
      <c r="F426" s="126">
        <f t="shared" si="15"/>
        <v>11.861538398373936</v>
      </c>
      <c r="G426" s="116"/>
      <c r="H426" s="116"/>
      <c r="I426" s="116"/>
      <c r="J426" s="116"/>
      <c r="K426" s="116"/>
      <c r="L426" s="116"/>
      <c r="M426" s="116"/>
      <c r="N426" s="116"/>
      <c r="O426" s="116"/>
      <c r="P426" s="300"/>
      <c r="Q426" s="300"/>
    </row>
    <row r="427" spans="1:17" s="498" customFormat="1" ht="21" customHeight="1">
      <c r="A427" s="300"/>
      <c r="B427" s="260"/>
      <c r="C427" s="547" t="s">
        <v>1413</v>
      </c>
      <c r="D427" s="548">
        <v>1504932859.3699999</v>
      </c>
      <c r="E427" s="134">
        <v>12687501476</v>
      </c>
      <c r="F427" s="126">
        <f t="shared" si="15"/>
        <v>11.861538398373936</v>
      </c>
      <c r="G427" s="116"/>
      <c r="H427" s="116"/>
      <c r="I427" s="116"/>
      <c r="J427" s="116"/>
      <c r="K427" s="116"/>
      <c r="L427" s="116"/>
      <c r="M427" s="116"/>
      <c r="N427" s="116"/>
      <c r="O427" s="116"/>
      <c r="P427" s="300"/>
      <c r="Q427" s="300"/>
    </row>
    <row r="428" spans="1:17" s="498" customFormat="1" ht="35.1" customHeight="1">
      <c r="A428" s="300"/>
      <c r="B428" s="260"/>
      <c r="C428" s="545" t="s">
        <v>1414</v>
      </c>
      <c r="D428" s="546">
        <f>SUM(D429)</f>
        <v>1701000000</v>
      </c>
      <c r="E428" s="134">
        <v>12687501476</v>
      </c>
      <c r="F428" s="126">
        <f t="shared" si="15"/>
        <v>13.406894992033338</v>
      </c>
      <c r="G428" s="116"/>
      <c r="H428" s="116"/>
      <c r="I428" s="116"/>
      <c r="J428" s="116"/>
      <c r="K428" s="116"/>
      <c r="L428" s="116"/>
      <c r="M428" s="116"/>
      <c r="N428" s="116"/>
      <c r="O428" s="116"/>
      <c r="P428" s="300"/>
      <c r="Q428" s="300"/>
    </row>
    <row r="429" spans="1:17" s="498" customFormat="1" ht="21" customHeight="1">
      <c r="A429" s="300"/>
      <c r="B429" s="260"/>
      <c r="C429" s="547" t="s">
        <v>1415</v>
      </c>
      <c r="D429" s="548">
        <v>1701000000</v>
      </c>
      <c r="E429" s="134">
        <v>12687501476</v>
      </c>
      <c r="F429" s="126">
        <f t="shared" si="15"/>
        <v>13.406894992033338</v>
      </c>
      <c r="G429" s="116"/>
      <c r="H429" s="116"/>
      <c r="I429" s="116"/>
      <c r="J429" s="116"/>
      <c r="K429" s="116"/>
      <c r="L429" s="116"/>
      <c r="M429" s="116"/>
      <c r="N429" s="116"/>
      <c r="O429" s="116"/>
      <c r="P429" s="300"/>
      <c r="Q429" s="300"/>
    </row>
    <row r="430" spans="1:17" s="498" customFormat="1" ht="21" customHeight="1">
      <c r="A430" s="300"/>
      <c r="B430" s="260"/>
      <c r="C430" s="545" t="s">
        <v>1416</v>
      </c>
      <c r="D430" s="546">
        <f>SUM(D431)</f>
        <v>322755185</v>
      </c>
      <c r="E430" s="134">
        <v>12687501476</v>
      </c>
      <c r="F430" s="126">
        <f t="shared" si="15"/>
        <v>2.5438829355845352</v>
      </c>
      <c r="G430" s="116"/>
      <c r="H430" s="116"/>
      <c r="I430" s="116"/>
      <c r="J430" s="116"/>
      <c r="K430" s="116"/>
      <c r="L430" s="116"/>
      <c r="M430" s="116"/>
      <c r="N430" s="116"/>
      <c r="O430" s="116"/>
      <c r="P430" s="300"/>
      <c r="Q430" s="300"/>
    </row>
    <row r="431" spans="1:17" s="498" customFormat="1" ht="21" customHeight="1">
      <c r="A431" s="300"/>
      <c r="B431" s="260"/>
      <c r="C431" s="547" t="s">
        <v>1417</v>
      </c>
      <c r="D431" s="548">
        <v>322755185</v>
      </c>
      <c r="E431" s="134">
        <v>12687501476</v>
      </c>
      <c r="F431" s="126">
        <f t="shared" si="15"/>
        <v>2.5438829355845352</v>
      </c>
      <c r="G431" s="116"/>
      <c r="H431" s="116"/>
      <c r="I431" s="116"/>
      <c r="J431" s="116"/>
      <c r="K431" s="116"/>
      <c r="L431" s="116"/>
      <c r="M431" s="116"/>
      <c r="N431" s="116"/>
      <c r="O431" s="116"/>
      <c r="P431" s="300"/>
      <c r="Q431" s="300"/>
    </row>
    <row r="432" spans="1:17" ht="21" customHeight="1">
      <c r="B432" s="260"/>
      <c r="C432" s="549"/>
      <c r="D432" s="550"/>
      <c r="E432" s="551"/>
      <c r="F432" s="552"/>
      <c r="G432" s="116"/>
      <c r="H432" s="116"/>
      <c r="I432" s="116"/>
      <c r="J432" s="116"/>
      <c r="K432" s="116"/>
      <c r="L432" s="116"/>
      <c r="M432" s="116"/>
      <c r="N432" s="116"/>
      <c r="O432" s="116"/>
    </row>
    <row r="433" spans="1:17" s="498" customFormat="1" ht="21" customHeight="1">
      <c r="A433" s="300"/>
      <c r="B433" s="260">
        <v>14</v>
      </c>
      <c r="C433" s="396" t="s">
        <v>1479</v>
      </c>
      <c r="D433" s="553">
        <f>+D434+D451</f>
        <v>23199100000</v>
      </c>
      <c r="E433" s="125">
        <v>62592857267.279999</v>
      </c>
      <c r="F433" s="505">
        <f>+D433/E433*100</f>
        <v>37.063494163458124</v>
      </c>
      <c r="G433" s="116"/>
      <c r="H433" s="116"/>
      <c r="I433" s="116"/>
      <c r="J433" s="116"/>
      <c r="K433" s="116"/>
      <c r="L433" s="116"/>
      <c r="M433" s="116"/>
      <c r="N433" s="116"/>
      <c r="O433" s="116"/>
      <c r="P433" s="300"/>
      <c r="Q433" s="300"/>
    </row>
    <row r="434" spans="1:17" s="498" customFormat="1" ht="21" customHeight="1">
      <c r="A434" s="300"/>
      <c r="B434" s="260"/>
      <c r="C434" s="150" t="s">
        <v>65</v>
      </c>
      <c r="D434" s="554">
        <f>SUM(D436:D449)</f>
        <v>13849100000</v>
      </c>
      <c r="E434" s="125">
        <v>23199100000</v>
      </c>
      <c r="F434" s="126">
        <f t="shared" ref="F434:F460" si="16">+D434/E434*100</f>
        <v>59.696712372462727</v>
      </c>
      <c r="G434" s="116"/>
      <c r="H434" s="116"/>
      <c r="I434" s="116"/>
      <c r="J434" s="116"/>
      <c r="K434" s="116"/>
      <c r="L434" s="116"/>
      <c r="M434" s="116"/>
      <c r="N434" s="116"/>
      <c r="O434" s="116"/>
      <c r="P434" s="300"/>
      <c r="Q434" s="300"/>
    </row>
    <row r="435" spans="1:17" s="498" customFormat="1" ht="21" customHeight="1">
      <c r="A435" s="300"/>
      <c r="B435" s="260"/>
      <c r="C435" s="150" t="s">
        <v>162</v>
      </c>
      <c r="D435" s="554">
        <f>+D436</f>
        <v>550900000</v>
      </c>
      <c r="E435" s="125">
        <v>23199100000</v>
      </c>
      <c r="F435" s="126">
        <f t="shared" si="16"/>
        <v>2.3746610859904047</v>
      </c>
      <c r="G435" s="116"/>
      <c r="H435" s="116"/>
      <c r="I435" s="116"/>
      <c r="J435" s="116"/>
      <c r="K435" s="116"/>
      <c r="L435" s="116"/>
      <c r="M435" s="116"/>
      <c r="N435" s="116"/>
      <c r="O435" s="116"/>
      <c r="P435" s="300"/>
      <c r="Q435" s="300"/>
    </row>
    <row r="436" spans="1:17" s="498" customFormat="1" ht="21" customHeight="1">
      <c r="A436" s="300"/>
      <c r="B436" s="260"/>
      <c r="C436" s="57" t="s">
        <v>1495</v>
      </c>
      <c r="D436" s="555">
        <v>550900000</v>
      </c>
      <c r="E436" s="125">
        <v>23199100000</v>
      </c>
      <c r="F436" s="126">
        <f t="shared" si="16"/>
        <v>2.3746610859904047</v>
      </c>
      <c r="G436" s="116"/>
      <c r="H436" s="116"/>
      <c r="I436" s="116"/>
      <c r="J436" s="116"/>
      <c r="K436" s="116"/>
      <c r="L436" s="116"/>
      <c r="M436" s="116"/>
      <c r="N436" s="116"/>
      <c r="O436" s="116"/>
      <c r="P436" s="300"/>
      <c r="Q436" s="300"/>
    </row>
    <row r="437" spans="1:17" s="498" customFormat="1" ht="21" customHeight="1">
      <c r="A437" s="300"/>
      <c r="B437" s="260"/>
      <c r="C437" s="150" t="s">
        <v>173</v>
      </c>
      <c r="D437" s="555">
        <f>+D438+D439</f>
        <v>1908100000</v>
      </c>
      <c r="E437" s="125">
        <v>23199100000</v>
      </c>
      <c r="F437" s="126">
        <f t="shared" si="16"/>
        <v>8.2248880344496129</v>
      </c>
      <c r="G437" s="116"/>
      <c r="H437" s="116"/>
      <c r="I437" s="116"/>
      <c r="J437" s="116"/>
      <c r="K437" s="116"/>
      <c r="L437" s="116"/>
      <c r="M437" s="116"/>
      <c r="N437" s="116"/>
      <c r="O437" s="116"/>
      <c r="P437" s="300"/>
      <c r="Q437" s="300"/>
    </row>
    <row r="438" spans="1:17" s="498" customFormat="1" ht="21" customHeight="1">
      <c r="A438" s="300"/>
      <c r="B438" s="260"/>
      <c r="C438" s="57" t="s">
        <v>1496</v>
      </c>
      <c r="D438" s="555">
        <v>1500000000</v>
      </c>
      <c r="E438" s="125">
        <v>23199100000</v>
      </c>
      <c r="F438" s="126">
        <f t="shared" si="16"/>
        <v>6.4657680685888677</v>
      </c>
      <c r="G438" s="116"/>
      <c r="H438" s="116"/>
      <c r="I438" s="116"/>
      <c r="J438" s="116"/>
      <c r="K438" s="116"/>
      <c r="L438" s="116"/>
      <c r="M438" s="116"/>
      <c r="N438" s="116"/>
      <c r="O438" s="116"/>
      <c r="P438" s="300"/>
      <c r="Q438" s="300"/>
    </row>
    <row r="439" spans="1:17" s="498" customFormat="1" ht="21" customHeight="1">
      <c r="A439" s="300"/>
      <c r="B439" s="260"/>
      <c r="C439" s="57" t="s">
        <v>1497</v>
      </c>
      <c r="D439" s="555">
        <v>408100000</v>
      </c>
      <c r="E439" s="125">
        <v>23199100000</v>
      </c>
      <c r="F439" s="126">
        <f t="shared" si="16"/>
        <v>1.7591199658607444</v>
      </c>
      <c r="G439" s="116"/>
      <c r="H439" s="116"/>
      <c r="I439" s="116"/>
      <c r="J439" s="116"/>
      <c r="K439" s="116"/>
      <c r="L439" s="116"/>
      <c r="M439" s="116"/>
      <c r="N439" s="116"/>
      <c r="O439" s="116"/>
      <c r="P439" s="300"/>
      <c r="Q439" s="300"/>
    </row>
    <row r="440" spans="1:17" s="498" customFormat="1" ht="21" customHeight="1">
      <c r="A440" s="300"/>
      <c r="B440" s="260"/>
      <c r="C440" s="150" t="s">
        <v>190</v>
      </c>
      <c r="D440" s="555">
        <f>+D441</f>
        <v>1000000000</v>
      </c>
      <c r="E440" s="125">
        <v>23199100000</v>
      </c>
      <c r="F440" s="126">
        <f t="shared" si="16"/>
        <v>4.3105120457259112</v>
      </c>
      <c r="G440" s="116"/>
      <c r="H440" s="116"/>
      <c r="I440" s="116"/>
      <c r="J440" s="116"/>
      <c r="K440" s="116"/>
      <c r="L440" s="116"/>
      <c r="M440" s="116"/>
      <c r="N440" s="116"/>
      <c r="O440" s="116"/>
      <c r="P440" s="300"/>
      <c r="Q440" s="300"/>
    </row>
    <row r="441" spans="1:17" s="498" customFormat="1" ht="21" customHeight="1">
      <c r="A441" s="300"/>
      <c r="B441" s="260"/>
      <c r="C441" s="57" t="s">
        <v>1498</v>
      </c>
      <c r="D441" s="555">
        <v>1000000000</v>
      </c>
      <c r="E441" s="125">
        <v>23199100000</v>
      </c>
      <c r="F441" s="126">
        <f t="shared" si="16"/>
        <v>4.3105120457259112</v>
      </c>
      <c r="G441" s="116"/>
      <c r="H441" s="116"/>
      <c r="I441" s="116"/>
      <c r="J441" s="116"/>
      <c r="K441" s="116"/>
      <c r="L441" s="116"/>
      <c r="M441" s="116"/>
      <c r="N441" s="116"/>
      <c r="O441" s="116"/>
      <c r="P441" s="300"/>
      <c r="Q441" s="300"/>
    </row>
    <row r="442" spans="1:17" s="498" customFormat="1" ht="21" customHeight="1">
      <c r="A442" s="300"/>
      <c r="B442" s="260"/>
      <c r="C442" s="150" t="s">
        <v>196</v>
      </c>
      <c r="D442" s="555">
        <f>+D443</f>
        <v>1500000000</v>
      </c>
      <c r="E442" s="125">
        <v>23199100000</v>
      </c>
      <c r="F442" s="126">
        <f t="shared" si="16"/>
        <v>6.4657680685888677</v>
      </c>
      <c r="G442" s="116"/>
      <c r="H442" s="116"/>
      <c r="I442" s="116"/>
      <c r="J442" s="116"/>
      <c r="K442" s="116"/>
      <c r="L442" s="116"/>
      <c r="M442" s="116"/>
      <c r="N442" s="116"/>
      <c r="O442" s="116"/>
      <c r="P442" s="300"/>
      <c r="Q442" s="300"/>
    </row>
    <row r="443" spans="1:17" s="498" customFormat="1" ht="21" customHeight="1">
      <c r="A443" s="300"/>
      <c r="B443" s="260"/>
      <c r="C443" s="57" t="s">
        <v>1499</v>
      </c>
      <c r="D443" s="555">
        <v>1500000000</v>
      </c>
      <c r="E443" s="125">
        <v>23199100000</v>
      </c>
      <c r="F443" s="126">
        <f t="shared" si="16"/>
        <v>6.4657680685888677</v>
      </c>
      <c r="G443" s="116"/>
      <c r="H443" s="116"/>
      <c r="I443" s="116"/>
      <c r="J443" s="116"/>
      <c r="K443" s="116"/>
      <c r="L443" s="116"/>
      <c r="M443" s="116"/>
      <c r="N443" s="116"/>
      <c r="O443" s="116"/>
      <c r="P443" s="300"/>
      <c r="Q443" s="300"/>
    </row>
    <row r="444" spans="1:17" s="498" customFormat="1" ht="21" customHeight="1">
      <c r="A444" s="300"/>
      <c r="B444" s="260"/>
      <c r="C444" s="150" t="s">
        <v>212</v>
      </c>
      <c r="D444" s="555">
        <f>+D445</f>
        <v>700000000</v>
      </c>
      <c r="E444" s="125">
        <v>23199100000</v>
      </c>
      <c r="F444" s="126">
        <f t="shared" si="16"/>
        <v>3.0173584320081384</v>
      </c>
      <c r="G444" s="116"/>
      <c r="H444" s="116"/>
      <c r="I444" s="116"/>
      <c r="J444" s="116"/>
      <c r="K444" s="116"/>
      <c r="L444" s="116"/>
      <c r="M444" s="116"/>
      <c r="N444" s="116"/>
      <c r="O444" s="116"/>
      <c r="P444" s="300"/>
      <c r="Q444" s="300"/>
    </row>
    <row r="445" spans="1:17" s="498" customFormat="1" ht="35.1" customHeight="1">
      <c r="A445" s="300"/>
      <c r="B445" s="260"/>
      <c r="C445" s="57" t="s">
        <v>1500</v>
      </c>
      <c r="D445" s="555">
        <v>700000000</v>
      </c>
      <c r="E445" s="125">
        <v>23199100000</v>
      </c>
      <c r="F445" s="126">
        <f t="shared" si="16"/>
        <v>3.0173584320081384</v>
      </c>
      <c r="G445" s="116"/>
      <c r="H445" s="116"/>
      <c r="I445" s="116"/>
      <c r="J445" s="116"/>
      <c r="K445" s="116"/>
      <c r="L445" s="116"/>
      <c r="M445" s="116"/>
      <c r="N445" s="116"/>
      <c r="O445" s="116"/>
      <c r="P445" s="300"/>
      <c r="Q445" s="300"/>
    </row>
    <row r="446" spans="1:17" s="498" customFormat="1" ht="21" customHeight="1">
      <c r="A446" s="300"/>
      <c r="B446" s="260"/>
      <c r="C446" s="150" t="s">
        <v>955</v>
      </c>
      <c r="D446" s="555">
        <f>+D447</f>
        <v>600000000</v>
      </c>
      <c r="E446" s="125">
        <v>23199100000</v>
      </c>
      <c r="F446" s="126">
        <f t="shared" si="16"/>
        <v>2.586307227435547</v>
      </c>
      <c r="G446" s="116"/>
      <c r="H446" s="116"/>
      <c r="I446" s="116"/>
      <c r="J446" s="116"/>
      <c r="K446" s="116"/>
      <c r="L446" s="116"/>
      <c r="M446" s="116"/>
      <c r="N446" s="116"/>
      <c r="O446" s="116"/>
      <c r="P446" s="300"/>
      <c r="Q446" s="300"/>
    </row>
    <row r="447" spans="1:17" s="498" customFormat="1" ht="35.1" customHeight="1">
      <c r="A447" s="300"/>
      <c r="B447" s="260"/>
      <c r="C447" s="57" t="s">
        <v>1410</v>
      </c>
      <c r="D447" s="555">
        <v>600000000</v>
      </c>
      <c r="E447" s="125">
        <v>23199100000</v>
      </c>
      <c r="F447" s="126">
        <f t="shared" si="16"/>
        <v>2.586307227435547</v>
      </c>
      <c r="G447" s="116"/>
      <c r="H447" s="116"/>
      <c r="I447" s="116"/>
      <c r="J447" s="116"/>
      <c r="K447" s="116"/>
      <c r="L447" s="116"/>
      <c r="M447" s="116"/>
      <c r="N447" s="116"/>
      <c r="O447" s="116"/>
      <c r="P447" s="300"/>
      <c r="Q447" s="300"/>
    </row>
    <row r="448" spans="1:17" s="498" customFormat="1" ht="21" customHeight="1">
      <c r="A448" s="300"/>
      <c r="B448" s="260"/>
      <c r="C448" s="150" t="s">
        <v>1501</v>
      </c>
      <c r="D448" s="555">
        <f>+D449</f>
        <v>941000000</v>
      </c>
      <c r="E448" s="125">
        <v>23199100000</v>
      </c>
      <c r="F448" s="126">
        <f t="shared" si="16"/>
        <v>4.0561918350280823</v>
      </c>
      <c r="G448" s="116"/>
      <c r="H448" s="116"/>
      <c r="I448" s="116"/>
      <c r="J448" s="116"/>
      <c r="K448" s="116"/>
      <c r="L448" s="116"/>
      <c r="M448" s="116"/>
      <c r="N448" s="116"/>
      <c r="O448" s="116"/>
      <c r="P448" s="300"/>
      <c r="Q448" s="300"/>
    </row>
    <row r="449" spans="1:17" s="498" customFormat="1" ht="74.25" customHeight="1">
      <c r="A449" s="300"/>
      <c r="B449" s="260"/>
      <c r="C449" s="57" t="s">
        <v>1502</v>
      </c>
      <c r="D449" s="555">
        <v>941000000</v>
      </c>
      <c r="E449" s="125">
        <v>23199100000</v>
      </c>
      <c r="F449" s="126">
        <f t="shared" si="16"/>
        <v>4.0561918350280823</v>
      </c>
      <c r="G449" s="116"/>
      <c r="H449" s="116"/>
      <c r="I449" s="116"/>
      <c r="J449" s="116"/>
      <c r="K449" s="116"/>
      <c r="L449" s="116"/>
      <c r="M449" s="116"/>
      <c r="N449" s="116"/>
      <c r="O449" s="116"/>
      <c r="P449" s="300"/>
      <c r="Q449" s="300"/>
    </row>
    <row r="450" spans="1:17" s="498" customFormat="1" ht="21" customHeight="1">
      <c r="A450" s="300"/>
      <c r="B450" s="260"/>
      <c r="C450" s="111"/>
      <c r="D450" s="555"/>
      <c r="E450" s="125"/>
      <c r="F450" s="126"/>
      <c r="G450" s="116"/>
      <c r="H450" s="116"/>
      <c r="I450" s="116"/>
      <c r="J450" s="116"/>
      <c r="K450" s="116"/>
      <c r="L450" s="116"/>
      <c r="M450" s="116"/>
      <c r="N450" s="116"/>
      <c r="O450" s="116"/>
      <c r="P450" s="300"/>
      <c r="Q450" s="300"/>
    </row>
    <row r="451" spans="1:17" s="498" customFormat="1" ht="21" customHeight="1">
      <c r="A451" s="300"/>
      <c r="B451" s="260"/>
      <c r="C451" s="150" t="s">
        <v>1231</v>
      </c>
      <c r="D451" s="216">
        <f>SUM(D453:D460)</f>
        <v>9350000000</v>
      </c>
      <c r="E451" s="125">
        <v>23199100000</v>
      </c>
      <c r="F451" s="126">
        <f t="shared" si="16"/>
        <v>40.303287627537273</v>
      </c>
      <c r="G451" s="116"/>
      <c r="H451" s="116"/>
      <c r="I451" s="116"/>
      <c r="J451" s="116"/>
      <c r="K451" s="116"/>
      <c r="L451" s="116"/>
      <c r="M451" s="116"/>
      <c r="N451" s="116"/>
      <c r="O451" s="116"/>
      <c r="P451" s="300"/>
      <c r="Q451" s="300"/>
    </row>
    <row r="452" spans="1:17" s="498" customFormat="1" ht="21" customHeight="1">
      <c r="A452" s="300"/>
      <c r="B452" s="260"/>
      <c r="C452" s="150" t="s">
        <v>1503</v>
      </c>
      <c r="D452" s="555">
        <f>+D453</f>
        <v>1750000000</v>
      </c>
      <c r="E452" s="125">
        <v>23199100000</v>
      </c>
      <c r="F452" s="126">
        <f t="shared" si="16"/>
        <v>7.5433960800203455</v>
      </c>
      <c r="G452" s="116"/>
      <c r="H452" s="116"/>
      <c r="I452" s="116"/>
      <c r="J452" s="116"/>
      <c r="K452" s="116"/>
      <c r="L452" s="116"/>
      <c r="M452" s="116"/>
      <c r="N452" s="116"/>
      <c r="O452" s="116"/>
      <c r="P452" s="300"/>
      <c r="Q452" s="300"/>
    </row>
    <row r="453" spans="1:17" s="498" customFormat="1" ht="21" customHeight="1">
      <c r="A453" s="300"/>
      <c r="B453" s="260"/>
      <c r="C453" s="57" t="s">
        <v>1504</v>
      </c>
      <c r="D453" s="555">
        <v>1750000000</v>
      </c>
      <c r="E453" s="125">
        <v>23199100000</v>
      </c>
      <c r="F453" s="126">
        <f t="shared" si="16"/>
        <v>7.5433960800203455</v>
      </c>
      <c r="G453" s="116"/>
      <c r="H453" s="116"/>
      <c r="I453" s="116"/>
      <c r="J453" s="116"/>
      <c r="K453" s="116"/>
      <c r="L453" s="116"/>
      <c r="M453" s="116"/>
      <c r="N453" s="116"/>
      <c r="O453" s="116"/>
      <c r="P453" s="300"/>
      <c r="Q453" s="300"/>
    </row>
    <row r="454" spans="1:17" s="498" customFormat="1" ht="21" customHeight="1">
      <c r="A454" s="300"/>
      <c r="B454" s="260"/>
      <c r="C454" s="150" t="s">
        <v>173</v>
      </c>
      <c r="D454" s="555">
        <f>+D455</f>
        <v>2000000000</v>
      </c>
      <c r="E454" s="125">
        <v>23199100000</v>
      </c>
      <c r="F454" s="126">
        <f t="shared" si="16"/>
        <v>8.6210240914518224</v>
      </c>
      <c r="G454" s="116"/>
      <c r="H454" s="116"/>
      <c r="I454" s="116"/>
      <c r="J454" s="116"/>
      <c r="K454" s="116"/>
      <c r="L454" s="116"/>
      <c r="M454" s="116"/>
      <c r="N454" s="116"/>
      <c r="O454" s="116"/>
      <c r="P454" s="300"/>
      <c r="Q454" s="300"/>
    </row>
    <row r="455" spans="1:17" s="498" customFormat="1" ht="21" customHeight="1">
      <c r="A455" s="300"/>
      <c r="B455" s="260"/>
      <c r="C455" s="57" t="s">
        <v>1415</v>
      </c>
      <c r="D455" s="555">
        <v>2000000000</v>
      </c>
      <c r="E455" s="125">
        <v>23199100000</v>
      </c>
      <c r="F455" s="126">
        <f t="shared" si="16"/>
        <v>8.6210240914518224</v>
      </c>
      <c r="G455" s="116"/>
      <c r="H455" s="116"/>
      <c r="I455" s="116"/>
      <c r="J455" s="116"/>
      <c r="K455" s="116"/>
      <c r="L455" s="116"/>
      <c r="M455" s="116"/>
      <c r="N455" s="116"/>
      <c r="O455" s="116"/>
      <c r="P455" s="300"/>
      <c r="Q455" s="300"/>
    </row>
    <row r="456" spans="1:17" s="498" customFormat="1" ht="21" customHeight="1">
      <c r="A456" s="300"/>
      <c r="B456" s="260"/>
      <c r="C456" s="150" t="s">
        <v>196</v>
      </c>
      <c r="D456" s="555">
        <f>+D457+D458</f>
        <v>800000000</v>
      </c>
      <c r="E456" s="125">
        <v>23199100000</v>
      </c>
      <c r="F456" s="126">
        <f t="shared" si="16"/>
        <v>3.4484096365807293</v>
      </c>
      <c r="G456" s="116"/>
      <c r="H456" s="116"/>
      <c r="I456" s="116"/>
      <c r="J456" s="116"/>
      <c r="K456" s="116"/>
      <c r="L456" s="116"/>
      <c r="M456" s="116"/>
      <c r="N456" s="116"/>
      <c r="O456" s="116"/>
      <c r="P456" s="300"/>
      <c r="Q456" s="300"/>
    </row>
    <row r="457" spans="1:17" s="498" customFormat="1" ht="21" customHeight="1">
      <c r="A457" s="300"/>
      <c r="B457" s="260"/>
      <c r="C457" s="57" t="s">
        <v>1505</v>
      </c>
      <c r="D457" s="555">
        <v>400000000</v>
      </c>
      <c r="E457" s="125">
        <v>23199100000</v>
      </c>
      <c r="F457" s="126">
        <f t="shared" si="16"/>
        <v>1.7242048182903646</v>
      </c>
      <c r="G457" s="116"/>
      <c r="H457" s="116"/>
      <c r="I457" s="116"/>
      <c r="J457" s="116"/>
      <c r="K457" s="116"/>
      <c r="L457" s="116"/>
      <c r="M457" s="116"/>
      <c r="N457" s="116"/>
      <c r="O457" s="116"/>
      <c r="P457" s="300"/>
      <c r="Q457" s="300"/>
    </row>
    <row r="458" spans="1:17" s="498" customFormat="1" ht="21" customHeight="1">
      <c r="A458" s="300"/>
      <c r="B458" s="260"/>
      <c r="C458" s="57" t="s">
        <v>1506</v>
      </c>
      <c r="D458" s="555">
        <v>400000000</v>
      </c>
      <c r="E458" s="125">
        <v>23199100000</v>
      </c>
      <c r="F458" s="126">
        <f t="shared" si="16"/>
        <v>1.7242048182903646</v>
      </c>
      <c r="G458" s="116"/>
      <c r="H458" s="116"/>
      <c r="I458" s="116"/>
      <c r="J458" s="116"/>
      <c r="K458" s="116"/>
      <c r="L458" s="116"/>
      <c r="M458" s="116"/>
      <c r="N458" s="116"/>
      <c r="O458" s="116"/>
      <c r="P458" s="300"/>
      <c r="Q458" s="300"/>
    </row>
    <row r="459" spans="1:17" s="498" customFormat="1" ht="21" customHeight="1">
      <c r="A459" s="300"/>
      <c r="B459" s="260"/>
      <c r="C459" s="150" t="s">
        <v>1507</v>
      </c>
      <c r="D459" s="555">
        <f>+D460</f>
        <v>1000000000</v>
      </c>
      <c r="E459" s="125">
        <v>23199100000</v>
      </c>
      <c r="F459" s="126">
        <f t="shared" si="16"/>
        <v>4.3105120457259112</v>
      </c>
      <c r="G459" s="116"/>
      <c r="H459" s="116"/>
      <c r="I459" s="116"/>
      <c r="J459" s="116"/>
      <c r="K459" s="116"/>
      <c r="L459" s="116"/>
      <c r="M459" s="116"/>
      <c r="N459" s="116"/>
      <c r="O459" s="116"/>
      <c r="P459" s="300"/>
      <c r="Q459" s="300"/>
    </row>
    <row r="460" spans="1:17" s="498" customFormat="1" ht="21" customHeight="1">
      <c r="A460" s="300"/>
      <c r="B460" s="260"/>
      <c r="C460" s="57" t="s">
        <v>1508</v>
      </c>
      <c r="D460" s="555">
        <v>1000000000</v>
      </c>
      <c r="E460" s="125">
        <v>23199100000</v>
      </c>
      <c r="F460" s="126">
        <f t="shared" si="16"/>
        <v>4.3105120457259112</v>
      </c>
      <c r="G460" s="116"/>
      <c r="H460" s="116"/>
      <c r="I460" s="116"/>
      <c r="J460" s="116"/>
      <c r="K460" s="116"/>
      <c r="L460" s="116"/>
      <c r="M460" s="116"/>
      <c r="N460" s="116"/>
      <c r="O460" s="116"/>
      <c r="P460" s="300"/>
      <c r="Q460" s="300"/>
    </row>
    <row r="461" spans="1:17" ht="21" customHeight="1">
      <c r="B461" s="260"/>
      <c r="C461" s="57"/>
      <c r="D461" s="556"/>
      <c r="E461" s="557"/>
      <c r="F461" s="511"/>
      <c r="G461" s="116"/>
      <c r="H461" s="116"/>
      <c r="I461" s="116"/>
      <c r="J461" s="116"/>
      <c r="K461" s="116"/>
      <c r="L461" s="116"/>
      <c r="M461" s="116"/>
      <c r="N461" s="116"/>
      <c r="O461" s="116"/>
    </row>
    <row r="462" spans="1:17" s="498" customFormat="1" ht="21" customHeight="1">
      <c r="A462" s="300"/>
      <c r="B462" s="260">
        <v>15</v>
      </c>
      <c r="C462" s="336" t="s">
        <v>2576</v>
      </c>
      <c r="D462" s="558">
        <f>+D463</f>
        <v>9713976400.0400009</v>
      </c>
      <c r="E462" s="113">
        <v>64759842666.910004</v>
      </c>
      <c r="F462" s="505">
        <f>+D462/E462*100</f>
        <v>15.000000000005405</v>
      </c>
      <c r="G462" s="116"/>
      <c r="H462" s="116"/>
      <c r="I462" s="116"/>
      <c r="J462" s="116"/>
      <c r="K462" s="116"/>
      <c r="L462" s="116"/>
      <c r="M462" s="116"/>
      <c r="N462" s="116"/>
      <c r="O462" s="116"/>
      <c r="P462" s="300"/>
      <c r="Q462" s="300"/>
    </row>
    <row r="463" spans="1:17" s="498" customFormat="1" ht="21" customHeight="1">
      <c r="A463" s="300"/>
      <c r="B463" s="260"/>
      <c r="C463" s="219" t="s">
        <v>161</v>
      </c>
      <c r="D463" s="559">
        <f>D464+D466</f>
        <v>9713976400.0400009</v>
      </c>
      <c r="E463" s="113">
        <v>64759842666.910004</v>
      </c>
      <c r="F463" s="126">
        <f t="shared" ref="F463:F467" si="17">+D463/E463*100</f>
        <v>15.000000000005405</v>
      </c>
      <c r="G463" s="116"/>
      <c r="H463" s="116"/>
      <c r="I463" s="116"/>
      <c r="J463" s="116"/>
      <c r="K463" s="116"/>
      <c r="L463" s="116"/>
      <c r="M463" s="116"/>
      <c r="N463" s="116"/>
      <c r="O463" s="116"/>
      <c r="P463" s="300"/>
      <c r="Q463" s="300"/>
    </row>
    <row r="464" spans="1:17" s="498" customFormat="1" ht="21" customHeight="1">
      <c r="A464" s="300"/>
      <c r="B464" s="260"/>
      <c r="C464" s="219" t="s">
        <v>173</v>
      </c>
      <c r="D464" s="559">
        <f>D465</f>
        <v>6443976400.04</v>
      </c>
      <c r="E464" s="113">
        <v>64759842666.910004</v>
      </c>
      <c r="F464" s="126">
        <f t="shared" si="17"/>
        <v>9.9505745144940629</v>
      </c>
      <c r="G464" s="116"/>
      <c r="H464" s="116"/>
      <c r="I464" s="116"/>
      <c r="J464" s="116"/>
      <c r="K464" s="116"/>
      <c r="L464" s="116"/>
      <c r="M464" s="116"/>
      <c r="N464" s="116"/>
      <c r="O464" s="116"/>
      <c r="P464" s="300"/>
      <c r="Q464" s="300"/>
    </row>
    <row r="465" spans="1:17" s="498" customFormat="1" ht="54.75" customHeight="1">
      <c r="A465" s="300"/>
      <c r="B465" s="260"/>
      <c r="C465" s="220" t="s">
        <v>1557</v>
      </c>
      <c r="D465" s="560">
        <v>6443976400.04</v>
      </c>
      <c r="E465" s="113">
        <v>64759842666.910004</v>
      </c>
      <c r="F465" s="126">
        <f t="shared" si="17"/>
        <v>9.9505745144940629</v>
      </c>
      <c r="G465" s="116"/>
      <c r="H465" s="116"/>
      <c r="I465" s="116"/>
      <c r="J465" s="116"/>
      <c r="K465" s="116"/>
      <c r="L465" s="116"/>
      <c r="M465" s="116"/>
      <c r="N465" s="116"/>
      <c r="O465" s="116"/>
      <c r="P465" s="300"/>
      <c r="Q465" s="300"/>
    </row>
    <row r="466" spans="1:17" s="498" customFormat="1" ht="21" customHeight="1">
      <c r="A466" s="300"/>
      <c r="B466" s="260"/>
      <c r="C466" s="219" t="s">
        <v>212</v>
      </c>
      <c r="D466" s="559">
        <f>D467</f>
        <v>3270000000</v>
      </c>
      <c r="E466" s="113">
        <v>64759842666.910004</v>
      </c>
      <c r="F466" s="126">
        <f t="shared" si="17"/>
        <v>5.049425485511339</v>
      </c>
      <c r="G466" s="116"/>
      <c r="H466" s="116"/>
      <c r="I466" s="116"/>
      <c r="J466" s="116"/>
      <c r="K466" s="116"/>
      <c r="L466" s="116"/>
      <c r="M466" s="116"/>
      <c r="N466" s="116"/>
      <c r="O466" s="116"/>
      <c r="P466" s="300"/>
      <c r="Q466" s="300"/>
    </row>
    <row r="467" spans="1:17" s="498" customFormat="1" ht="36" customHeight="1">
      <c r="A467" s="300"/>
      <c r="B467" s="260"/>
      <c r="C467" s="220" t="s">
        <v>1558</v>
      </c>
      <c r="D467" s="560">
        <v>3270000000</v>
      </c>
      <c r="E467" s="113">
        <v>64759842666.910004</v>
      </c>
      <c r="F467" s="126">
        <f t="shared" si="17"/>
        <v>5.049425485511339</v>
      </c>
      <c r="G467" s="116"/>
      <c r="H467" s="116"/>
      <c r="I467" s="116"/>
      <c r="J467" s="116"/>
      <c r="K467" s="116"/>
      <c r="L467" s="116"/>
      <c r="M467" s="116"/>
      <c r="N467" s="116"/>
      <c r="O467" s="116"/>
      <c r="P467" s="300"/>
      <c r="Q467" s="300"/>
    </row>
    <row r="468" spans="1:17" ht="21" customHeight="1">
      <c r="B468" s="260"/>
      <c r="C468" s="561"/>
      <c r="D468" s="562"/>
      <c r="E468" s="551"/>
      <c r="F468" s="552"/>
      <c r="G468" s="116"/>
      <c r="H468" s="116"/>
      <c r="I468" s="116"/>
      <c r="J468" s="116"/>
      <c r="K468" s="116"/>
      <c r="L468" s="116"/>
      <c r="M468" s="116"/>
      <c r="N468" s="116"/>
      <c r="O468" s="116"/>
    </row>
    <row r="469" spans="1:17" s="498" customFormat="1" ht="21" customHeight="1">
      <c r="A469" s="300"/>
      <c r="B469" s="121">
        <v>16</v>
      </c>
      <c r="C469" s="240" t="s">
        <v>1585</v>
      </c>
      <c r="D469" s="563">
        <f>+D470+D496</f>
        <v>12464766250.99</v>
      </c>
      <c r="E469" s="564">
        <v>44404979591.989998</v>
      </c>
      <c r="F469" s="524">
        <f>+D469/E469*100</f>
        <v>28.070649655784237</v>
      </c>
      <c r="G469" s="116"/>
      <c r="H469" s="116"/>
      <c r="I469" s="116"/>
      <c r="J469" s="116"/>
      <c r="K469" s="116"/>
      <c r="L469" s="116"/>
      <c r="M469" s="116"/>
      <c r="N469" s="116"/>
      <c r="O469" s="116"/>
      <c r="P469" s="300"/>
      <c r="Q469" s="300"/>
    </row>
    <row r="470" spans="1:17" s="498" customFormat="1" ht="21" customHeight="1">
      <c r="A470" s="300"/>
      <c r="B470" s="121"/>
      <c r="C470" s="111" t="s">
        <v>65</v>
      </c>
      <c r="D470" s="523">
        <f>D471+D473+D475+D477+D480+D482+D484+D486+D488+D491+D494</f>
        <v>9171817389.9899998</v>
      </c>
      <c r="E470" s="234">
        <v>12464766250.99</v>
      </c>
      <c r="F470" s="524">
        <f>+D470/E470*100</f>
        <v>73.581944541170515</v>
      </c>
      <c r="G470" s="116"/>
      <c r="H470" s="116"/>
      <c r="I470" s="116"/>
      <c r="J470" s="116"/>
      <c r="K470" s="116"/>
      <c r="L470" s="116"/>
      <c r="M470" s="116"/>
      <c r="N470" s="116"/>
      <c r="O470" s="116"/>
      <c r="P470" s="300"/>
      <c r="Q470" s="300"/>
    </row>
    <row r="471" spans="1:17" s="498" customFormat="1" ht="21" customHeight="1">
      <c r="A471" s="300"/>
      <c r="B471" s="121"/>
      <c r="C471" s="111" t="s">
        <v>1601</v>
      </c>
      <c r="D471" s="171">
        <f>D472</f>
        <v>1000000000</v>
      </c>
      <c r="E471" s="234">
        <v>12464766250.99</v>
      </c>
      <c r="F471" s="524">
        <f t="shared" ref="F471:F504" si="18">+D471/E471*100</f>
        <v>8.0226133395848969</v>
      </c>
      <c r="G471" s="116"/>
      <c r="H471" s="116"/>
      <c r="I471" s="116"/>
      <c r="J471" s="116"/>
      <c r="K471" s="116"/>
      <c r="L471" s="116"/>
      <c r="M471" s="116"/>
      <c r="N471" s="116"/>
      <c r="O471" s="116"/>
      <c r="P471" s="300"/>
      <c r="Q471" s="300"/>
    </row>
    <row r="472" spans="1:17" s="498" customFormat="1" ht="21" customHeight="1">
      <c r="A472" s="300"/>
      <c r="B472" s="121"/>
      <c r="C472" s="123" t="s">
        <v>1504</v>
      </c>
      <c r="D472" s="565">
        <v>1000000000</v>
      </c>
      <c r="E472" s="234">
        <v>12464766250.99</v>
      </c>
      <c r="F472" s="524">
        <f t="shared" si="18"/>
        <v>8.0226133395848969</v>
      </c>
      <c r="G472" s="116"/>
      <c r="H472" s="116"/>
      <c r="I472" s="116"/>
      <c r="J472" s="116"/>
      <c r="K472" s="116"/>
      <c r="L472" s="116"/>
      <c r="M472" s="116"/>
      <c r="N472" s="116"/>
      <c r="O472" s="116"/>
      <c r="P472" s="300"/>
      <c r="Q472" s="300"/>
    </row>
    <row r="473" spans="1:17" s="498" customFormat="1" ht="21" customHeight="1">
      <c r="A473" s="300"/>
      <c r="B473" s="121"/>
      <c r="C473" s="111" t="s">
        <v>1602</v>
      </c>
      <c r="D473" s="171">
        <f>SUM(D474:D474)</f>
        <v>100000000</v>
      </c>
      <c r="E473" s="234">
        <v>12464766250.99</v>
      </c>
      <c r="F473" s="524">
        <f t="shared" si="18"/>
        <v>0.80226133395848964</v>
      </c>
      <c r="G473" s="116"/>
      <c r="H473" s="116"/>
      <c r="I473" s="116"/>
      <c r="J473" s="116"/>
      <c r="K473" s="116"/>
      <c r="L473" s="116"/>
      <c r="M473" s="116"/>
      <c r="N473" s="116"/>
      <c r="O473" s="116"/>
      <c r="P473" s="300"/>
      <c r="Q473" s="300"/>
    </row>
    <row r="474" spans="1:17" s="498" customFormat="1" ht="21" customHeight="1">
      <c r="A474" s="300"/>
      <c r="B474" s="121"/>
      <c r="C474" s="123" t="s">
        <v>682</v>
      </c>
      <c r="D474" s="565">
        <v>100000000</v>
      </c>
      <c r="E474" s="234">
        <v>12464766250.99</v>
      </c>
      <c r="F474" s="524">
        <f t="shared" si="18"/>
        <v>0.80226133395848964</v>
      </c>
      <c r="G474" s="116"/>
      <c r="H474" s="116"/>
      <c r="I474" s="116"/>
      <c r="J474" s="116"/>
      <c r="K474" s="116"/>
      <c r="L474" s="116"/>
      <c r="M474" s="116"/>
      <c r="N474" s="116"/>
      <c r="O474" s="116"/>
      <c r="P474" s="300"/>
      <c r="Q474" s="300"/>
    </row>
    <row r="475" spans="1:17" s="498" customFormat="1" ht="21" customHeight="1">
      <c r="A475" s="300"/>
      <c r="B475" s="121"/>
      <c r="C475" s="111" t="s">
        <v>1603</v>
      </c>
      <c r="D475" s="171">
        <f>SUM(D476:D476)</f>
        <v>48000000</v>
      </c>
      <c r="E475" s="234">
        <v>12464766250.99</v>
      </c>
      <c r="F475" s="524">
        <f t="shared" si="18"/>
        <v>0.38508544030007508</v>
      </c>
      <c r="G475" s="116"/>
      <c r="H475" s="116"/>
      <c r="I475" s="116"/>
      <c r="J475" s="116"/>
      <c r="K475" s="116"/>
      <c r="L475" s="116"/>
      <c r="M475" s="116"/>
      <c r="N475" s="116"/>
      <c r="O475" s="116"/>
      <c r="P475" s="300"/>
      <c r="Q475" s="300"/>
    </row>
    <row r="476" spans="1:17" s="498" customFormat="1" ht="21" customHeight="1">
      <c r="A476" s="300"/>
      <c r="B476" s="121"/>
      <c r="C476" s="123" t="s">
        <v>1604</v>
      </c>
      <c r="D476" s="565">
        <v>48000000</v>
      </c>
      <c r="E476" s="234">
        <v>12464766250.99</v>
      </c>
      <c r="F476" s="524">
        <f t="shared" si="18"/>
        <v>0.38508544030007508</v>
      </c>
      <c r="G476" s="116"/>
      <c r="H476" s="116"/>
      <c r="I476" s="116"/>
      <c r="J476" s="116"/>
      <c r="K476" s="116"/>
      <c r="L476" s="116"/>
      <c r="M476" s="116"/>
      <c r="N476" s="116"/>
      <c r="O476" s="116"/>
      <c r="P476" s="300"/>
      <c r="Q476" s="300"/>
    </row>
    <row r="477" spans="1:17" s="498" customFormat="1" ht="21" customHeight="1">
      <c r="A477" s="300"/>
      <c r="B477" s="121"/>
      <c r="C477" s="111" t="s">
        <v>190</v>
      </c>
      <c r="D477" s="566">
        <f>SUM(D478:D479)</f>
        <v>339999700</v>
      </c>
      <c r="E477" s="234">
        <v>12464766250.99</v>
      </c>
      <c r="F477" s="524">
        <f t="shared" si="18"/>
        <v>2.727686128674863</v>
      </c>
      <c r="G477" s="116"/>
      <c r="H477" s="116"/>
      <c r="I477" s="116"/>
      <c r="J477" s="116"/>
      <c r="K477" s="116"/>
      <c r="L477" s="116"/>
      <c r="M477" s="116"/>
      <c r="N477" s="116"/>
      <c r="O477" s="116"/>
      <c r="P477" s="300"/>
      <c r="Q477" s="300"/>
    </row>
    <row r="478" spans="1:17" s="498" customFormat="1" ht="35.1" customHeight="1">
      <c r="A478" s="300"/>
      <c r="B478" s="121"/>
      <c r="C478" s="123" t="s">
        <v>1605</v>
      </c>
      <c r="D478" s="565">
        <v>200000000</v>
      </c>
      <c r="E478" s="234">
        <v>12464766250.99</v>
      </c>
      <c r="F478" s="524">
        <f t="shared" si="18"/>
        <v>1.6045226679169793</v>
      </c>
      <c r="G478" s="116"/>
      <c r="H478" s="116"/>
      <c r="I478" s="116"/>
      <c r="J478" s="116"/>
      <c r="K478" s="116"/>
      <c r="L478" s="116"/>
      <c r="M478" s="116"/>
      <c r="N478" s="116"/>
      <c r="O478" s="116"/>
      <c r="P478" s="300"/>
      <c r="Q478" s="300"/>
    </row>
    <row r="479" spans="1:17" s="498" customFormat="1" ht="21" customHeight="1">
      <c r="A479" s="300"/>
      <c r="B479" s="121"/>
      <c r="C479" s="123" t="s">
        <v>1606</v>
      </c>
      <c r="D479" s="565">
        <v>139999700</v>
      </c>
      <c r="E479" s="234">
        <v>12464766250.99</v>
      </c>
      <c r="F479" s="524">
        <f t="shared" si="18"/>
        <v>1.1231634607578838</v>
      </c>
      <c r="G479" s="116"/>
      <c r="H479" s="116"/>
      <c r="I479" s="116"/>
      <c r="J479" s="116"/>
      <c r="K479" s="116"/>
      <c r="L479" s="116"/>
      <c r="M479" s="116"/>
      <c r="N479" s="116"/>
      <c r="O479" s="116"/>
      <c r="P479" s="300"/>
      <c r="Q479" s="300"/>
    </row>
    <row r="480" spans="1:17" s="498" customFormat="1" ht="21" customHeight="1">
      <c r="A480" s="300"/>
      <c r="B480" s="121"/>
      <c r="C480" s="111" t="s">
        <v>1607</v>
      </c>
      <c r="D480" s="523">
        <f>D481</f>
        <v>247120871</v>
      </c>
      <c r="E480" s="234">
        <v>12464766250.99</v>
      </c>
      <c r="F480" s="524">
        <f t="shared" si="18"/>
        <v>1.9825551961744385</v>
      </c>
      <c r="G480" s="116"/>
      <c r="H480" s="116"/>
      <c r="I480" s="116"/>
      <c r="J480" s="116"/>
      <c r="K480" s="116"/>
      <c r="L480" s="116"/>
      <c r="M480" s="116"/>
      <c r="N480" s="116"/>
      <c r="O480" s="116"/>
      <c r="P480" s="300"/>
      <c r="Q480" s="300"/>
    </row>
    <row r="481" spans="1:17" s="498" customFormat="1" ht="21" customHeight="1">
      <c r="A481" s="300"/>
      <c r="B481" s="121"/>
      <c r="C481" s="123" t="s">
        <v>1608</v>
      </c>
      <c r="D481" s="225">
        <v>247120871</v>
      </c>
      <c r="E481" s="234">
        <v>12464766250.99</v>
      </c>
      <c r="F481" s="524">
        <f t="shared" si="18"/>
        <v>1.9825551961744385</v>
      </c>
      <c r="G481" s="116"/>
      <c r="H481" s="116"/>
      <c r="I481" s="116"/>
      <c r="J481" s="116"/>
      <c r="K481" s="116"/>
      <c r="L481" s="116"/>
      <c r="M481" s="116"/>
      <c r="N481" s="116"/>
      <c r="O481" s="116"/>
      <c r="P481" s="300"/>
      <c r="Q481" s="300"/>
    </row>
    <row r="482" spans="1:17" s="498" customFormat="1" ht="35.1" customHeight="1">
      <c r="A482" s="300"/>
      <c r="B482" s="121"/>
      <c r="C482" s="111" t="s">
        <v>1609</v>
      </c>
      <c r="D482" s="523">
        <f>D483</f>
        <v>2946123223.9899998</v>
      </c>
      <c r="E482" s="234">
        <v>12464766250.99</v>
      </c>
      <c r="F482" s="524">
        <f t="shared" si="18"/>
        <v>23.635607476843035</v>
      </c>
      <c r="G482" s="116"/>
      <c r="H482" s="116"/>
      <c r="I482" s="116"/>
      <c r="J482" s="116"/>
      <c r="K482" s="116"/>
      <c r="L482" s="116"/>
      <c r="M482" s="116"/>
      <c r="N482" s="116"/>
      <c r="O482" s="116"/>
      <c r="P482" s="300"/>
      <c r="Q482" s="300"/>
    </row>
    <row r="483" spans="1:17" s="498" customFormat="1" ht="52.5" customHeight="1">
      <c r="A483" s="300"/>
      <c r="B483" s="121"/>
      <c r="C483" s="123" t="s">
        <v>1610</v>
      </c>
      <c r="D483" s="225">
        <v>2946123223.9899998</v>
      </c>
      <c r="E483" s="234">
        <v>12464766250.99</v>
      </c>
      <c r="F483" s="524">
        <f t="shared" si="18"/>
        <v>23.635607476843035</v>
      </c>
      <c r="G483" s="116"/>
      <c r="H483" s="116"/>
      <c r="I483" s="116"/>
      <c r="J483" s="116"/>
      <c r="K483" s="116"/>
      <c r="L483" s="116"/>
      <c r="M483" s="116"/>
      <c r="N483" s="116"/>
      <c r="O483" s="116"/>
      <c r="P483" s="300"/>
      <c r="Q483" s="300"/>
    </row>
    <row r="484" spans="1:17" s="498" customFormat="1" ht="21" customHeight="1">
      <c r="A484" s="300"/>
      <c r="B484" s="121"/>
      <c r="C484" s="111" t="s">
        <v>1611</v>
      </c>
      <c r="D484" s="523">
        <f>D485</f>
        <v>999600000</v>
      </c>
      <c r="E484" s="234">
        <v>12464766250.99</v>
      </c>
      <c r="F484" s="524">
        <f t="shared" si="18"/>
        <v>8.019404294249064</v>
      </c>
      <c r="G484" s="116"/>
      <c r="H484" s="116"/>
      <c r="I484" s="116"/>
      <c r="J484" s="116"/>
      <c r="K484" s="116"/>
      <c r="L484" s="116"/>
      <c r="M484" s="116"/>
      <c r="N484" s="116"/>
      <c r="O484" s="116"/>
      <c r="P484" s="300"/>
      <c r="Q484" s="300"/>
    </row>
    <row r="485" spans="1:17" s="498" customFormat="1" ht="21" customHeight="1">
      <c r="A485" s="300"/>
      <c r="B485" s="121"/>
      <c r="C485" s="123" t="s">
        <v>1612</v>
      </c>
      <c r="D485" s="225">
        <v>999600000</v>
      </c>
      <c r="E485" s="234">
        <v>12464766250.99</v>
      </c>
      <c r="F485" s="524">
        <f t="shared" si="18"/>
        <v>8.019404294249064</v>
      </c>
      <c r="G485" s="116"/>
      <c r="H485" s="116"/>
      <c r="I485" s="116"/>
      <c r="J485" s="116"/>
      <c r="K485" s="116"/>
      <c r="L485" s="116"/>
      <c r="M485" s="116"/>
      <c r="N485" s="116"/>
      <c r="O485" s="116"/>
      <c r="P485" s="300"/>
      <c r="Q485" s="300"/>
    </row>
    <row r="486" spans="1:17" s="498" customFormat="1" ht="21" customHeight="1">
      <c r="A486" s="300"/>
      <c r="B486" s="121"/>
      <c r="C486" s="111" t="s">
        <v>1613</v>
      </c>
      <c r="D486" s="523">
        <f>D487</f>
        <v>100000000</v>
      </c>
      <c r="E486" s="234">
        <v>12464766250.99</v>
      </c>
      <c r="F486" s="524">
        <f t="shared" si="18"/>
        <v>0.80226133395848964</v>
      </c>
      <c r="G486" s="116"/>
      <c r="H486" s="116"/>
      <c r="I486" s="116"/>
      <c r="J486" s="116"/>
      <c r="K486" s="116"/>
      <c r="L486" s="116"/>
      <c r="M486" s="116"/>
      <c r="N486" s="116"/>
      <c r="O486" s="116"/>
      <c r="P486" s="300"/>
      <c r="Q486" s="300"/>
    </row>
    <row r="487" spans="1:17" s="498" customFormat="1" ht="21" customHeight="1">
      <c r="A487" s="300"/>
      <c r="B487" s="121"/>
      <c r="C487" s="123" t="s">
        <v>1614</v>
      </c>
      <c r="D487" s="525">
        <v>100000000</v>
      </c>
      <c r="E487" s="234">
        <v>12464766250.99</v>
      </c>
      <c r="F487" s="524">
        <f t="shared" si="18"/>
        <v>0.80226133395848964</v>
      </c>
      <c r="G487" s="116"/>
      <c r="H487" s="116"/>
      <c r="I487" s="116"/>
      <c r="J487" s="116"/>
      <c r="K487" s="116"/>
      <c r="L487" s="116"/>
      <c r="M487" s="116"/>
      <c r="N487" s="116"/>
      <c r="O487" s="116"/>
      <c r="P487" s="300"/>
      <c r="Q487" s="300"/>
    </row>
    <row r="488" spans="1:17" s="498" customFormat="1" ht="21" customHeight="1">
      <c r="A488" s="300"/>
      <c r="B488" s="121"/>
      <c r="C488" s="111" t="s">
        <v>1615</v>
      </c>
      <c r="D488" s="567">
        <f>SUM(D489:D490)</f>
        <v>795201240</v>
      </c>
      <c r="E488" s="234">
        <v>12464766250.99</v>
      </c>
      <c r="F488" s="524">
        <f t="shared" si="18"/>
        <v>6.3795920756784517</v>
      </c>
      <c r="G488" s="116"/>
      <c r="H488" s="116"/>
      <c r="I488" s="116"/>
      <c r="J488" s="116"/>
      <c r="K488" s="116"/>
      <c r="L488" s="116"/>
      <c r="M488" s="116"/>
      <c r="N488" s="116"/>
      <c r="O488" s="116"/>
      <c r="P488" s="300"/>
      <c r="Q488" s="300"/>
    </row>
    <row r="489" spans="1:17" s="498" customFormat="1" ht="35.1" customHeight="1">
      <c r="A489" s="300"/>
      <c r="B489" s="121"/>
      <c r="C489" s="123" t="s">
        <v>1616</v>
      </c>
      <c r="D489" s="525">
        <v>495201240</v>
      </c>
      <c r="E489" s="234">
        <v>12464766250.99</v>
      </c>
      <c r="F489" s="524">
        <f t="shared" si="18"/>
        <v>3.9728080738029825</v>
      </c>
      <c r="G489" s="116"/>
      <c r="H489" s="116"/>
      <c r="I489" s="116"/>
      <c r="J489" s="116"/>
      <c r="K489" s="116"/>
      <c r="L489" s="116"/>
      <c r="M489" s="116"/>
      <c r="N489" s="116"/>
      <c r="O489" s="116"/>
      <c r="P489" s="300"/>
      <c r="Q489" s="300"/>
    </row>
    <row r="490" spans="1:17" s="498" customFormat="1" ht="35.1" customHeight="1">
      <c r="A490" s="300"/>
      <c r="B490" s="121"/>
      <c r="C490" s="123" t="s">
        <v>1617</v>
      </c>
      <c r="D490" s="525">
        <v>300000000</v>
      </c>
      <c r="E490" s="234">
        <v>12464766250.99</v>
      </c>
      <c r="F490" s="524">
        <f t="shared" si="18"/>
        <v>2.4067840018754691</v>
      </c>
      <c r="G490" s="116"/>
      <c r="H490" s="116"/>
      <c r="I490" s="116"/>
      <c r="J490" s="116"/>
      <c r="K490" s="116"/>
      <c r="L490" s="116"/>
      <c r="M490" s="116"/>
      <c r="N490" s="116"/>
      <c r="O490" s="116"/>
      <c r="P490" s="300"/>
      <c r="Q490" s="300"/>
    </row>
    <row r="491" spans="1:17" s="498" customFormat="1" ht="21" customHeight="1">
      <c r="A491" s="300"/>
      <c r="B491" s="121"/>
      <c r="C491" s="111" t="s">
        <v>1618</v>
      </c>
      <c r="D491" s="523">
        <f>SUM(D492:D493)</f>
        <v>2195776775</v>
      </c>
      <c r="E491" s="234">
        <v>12464766250.99</v>
      </c>
      <c r="F491" s="524">
        <f t="shared" si="18"/>
        <v>17.615868045865703</v>
      </c>
      <c r="G491" s="116"/>
      <c r="H491" s="116"/>
      <c r="I491" s="116"/>
      <c r="J491" s="116"/>
      <c r="K491" s="116"/>
      <c r="L491" s="116"/>
      <c r="M491" s="116"/>
      <c r="N491" s="116"/>
      <c r="O491" s="116"/>
      <c r="P491" s="300"/>
      <c r="Q491" s="300"/>
    </row>
    <row r="492" spans="1:17" s="498" customFormat="1" ht="21" customHeight="1">
      <c r="A492" s="300"/>
      <c r="B492" s="121"/>
      <c r="C492" s="123" t="s">
        <v>1619</v>
      </c>
      <c r="D492" s="525">
        <v>2096386775</v>
      </c>
      <c r="E492" s="234">
        <v>12464766250.99</v>
      </c>
      <c r="F492" s="524">
        <f t="shared" si="18"/>
        <v>16.818500506044362</v>
      </c>
      <c r="G492" s="116"/>
      <c r="H492" s="116"/>
      <c r="I492" s="116"/>
      <c r="J492" s="116"/>
      <c r="K492" s="116"/>
      <c r="L492" s="116"/>
      <c r="M492" s="116"/>
      <c r="N492" s="116"/>
      <c r="O492" s="116"/>
      <c r="P492" s="300"/>
      <c r="Q492" s="300"/>
    </row>
    <row r="493" spans="1:17" s="498" customFormat="1" ht="21" customHeight="1">
      <c r="A493" s="300"/>
      <c r="B493" s="121"/>
      <c r="C493" s="123" t="s">
        <v>1620</v>
      </c>
      <c r="D493" s="525">
        <v>99390000</v>
      </c>
      <c r="E493" s="234">
        <v>12464766250.99</v>
      </c>
      <c r="F493" s="524">
        <f t="shared" si="18"/>
        <v>0.7973675398213429</v>
      </c>
      <c r="G493" s="116"/>
      <c r="H493" s="116"/>
      <c r="I493" s="116"/>
      <c r="J493" s="116"/>
      <c r="K493" s="116"/>
      <c r="L493" s="116"/>
      <c r="M493" s="116"/>
      <c r="N493" s="116"/>
      <c r="O493" s="116"/>
      <c r="P493" s="300"/>
      <c r="Q493" s="300"/>
    </row>
    <row r="494" spans="1:17" s="498" customFormat="1" ht="21" customHeight="1">
      <c r="A494" s="300"/>
      <c r="B494" s="121"/>
      <c r="C494" s="111" t="s">
        <v>1621</v>
      </c>
      <c r="D494" s="567">
        <f>D495</f>
        <v>399995580</v>
      </c>
      <c r="E494" s="234">
        <v>12464766250.99</v>
      </c>
      <c r="F494" s="524">
        <f t="shared" si="18"/>
        <v>3.2090098758829977</v>
      </c>
      <c r="G494" s="116"/>
      <c r="H494" s="116"/>
      <c r="I494" s="116"/>
      <c r="J494" s="116"/>
      <c r="K494" s="116"/>
      <c r="L494" s="116"/>
      <c r="M494" s="116"/>
      <c r="N494" s="116"/>
      <c r="O494" s="116"/>
      <c r="P494" s="300"/>
      <c r="Q494" s="300"/>
    </row>
    <row r="495" spans="1:17" s="498" customFormat="1" ht="21" customHeight="1">
      <c r="A495" s="300"/>
      <c r="B495" s="121"/>
      <c r="C495" s="123" t="s">
        <v>1622</v>
      </c>
      <c r="D495" s="178">
        <v>399995580</v>
      </c>
      <c r="E495" s="234">
        <v>12464766250.99</v>
      </c>
      <c r="F495" s="524">
        <f t="shared" si="18"/>
        <v>3.2090098758829977</v>
      </c>
      <c r="G495" s="116"/>
      <c r="H495" s="116"/>
      <c r="I495" s="116"/>
      <c r="J495" s="116"/>
      <c r="K495" s="116"/>
      <c r="L495" s="116"/>
      <c r="M495" s="116"/>
      <c r="N495" s="116"/>
      <c r="O495" s="116"/>
      <c r="P495" s="300"/>
      <c r="Q495" s="300"/>
    </row>
    <row r="496" spans="1:17" s="498" customFormat="1" ht="21" customHeight="1">
      <c r="A496" s="300"/>
      <c r="B496" s="121"/>
      <c r="C496" s="111" t="s">
        <v>1231</v>
      </c>
      <c r="D496" s="523">
        <f>D497+D499+D501+D503</f>
        <v>3292948861</v>
      </c>
      <c r="E496" s="234">
        <v>12464766250.99</v>
      </c>
      <c r="F496" s="524">
        <f t="shared" si="18"/>
        <v>26.418055458829492</v>
      </c>
      <c r="G496" s="116"/>
      <c r="H496" s="116"/>
      <c r="I496" s="116"/>
      <c r="J496" s="116"/>
      <c r="K496" s="116"/>
      <c r="L496" s="116"/>
      <c r="M496" s="116"/>
      <c r="N496" s="116"/>
      <c r="O496" s="116"/>
      <c r="P496" s="300"/>
      <c r="Q496" s="300"/>
    </row>
    <row r="497" spans="1:17" s="498" customFormat="1" ht="21" customHeight="1">
      <c r="A497" s="300"/>
      <c r="B497" s="121"/>
      <c r="C497" s="111" t="s">
        <v>162</v>
      </c>
      <c r="D497" s="171">
        <f>D498</f>
        <v>1061651864</v>
      </c>
      <c r="E497" s="234">
        <v>12464766250.99</v>
      </c>
      <c r="F497" s="524">
        <f t="shared" si="18"/>
        <v>8.5172224061215704</v>
      </c>
      <c r="G497" s="116"/>
      <c r="H497" s="116"/>
      <c r="I497" s="116"/>
      <c r="J497" s="116"/>
      <c r="K497" s="116"/>
      <c r="L497" s="116"/>
      <c r="M497" s="116"/>
      <c r="N497" s="116"/>
      <c r="O497" s="116"/>
      <c r="P497" s="300"/>
      <c r="Q497" s="300"/>
    </row>
    <row r="498" spans="1:17" s="498" customFormat="1" ht="21" customHeight="1">
      <c r="A498" s="300"/>
      <c r="B498" s="121"/>
      <c r="C498" s="123" t="s">
        <v>1623</v>
      </c>
      <c r="D498" s="178">
        <v>1061651864</v>
      </c>
      <c r="E498" s="234">
        <v>12464766250.99</v>
      </c>
      <c r="F498" s="524">
        <f t="shared" si="18"/>
        <v>8.5172224061215704</v>
      </c>
      <c r="G498" s="116"/>
      <c r="H498" s="116"/>
      <c r="I498" s="116"/>
      <c r="J498" s="116"/>
      <c r="K498" s="116"/>
      <c r="L498" s="116"/>
      <c r="M498" s="116"/>
      <c r="N498" s="116"/>
      <c r="O498" s="116"/>
      <c r="P498" s="300"/>
      <c r="Q498" s="300"/>
    </row>
    <row r="499" spans="1:17" s="498" customFormat="1" ht="21" customHeight="1">
      <c r="A499" s="300"/>
      <c r="B499" s="121"/>
      <c r="C499" s="111" t="s">
        <v>173</v>
      </c>
      <c r="D499" s="567">
        <f>SUM(D500:D500)</f>
        <v>1330100000</v>
      </c>
      <c r="E499" s="234">
        <v>12464766250.99</v>
      </c>
      <c r="F499" s="524">
        <f t="shared" si="18"/>
        <v>10.670878002981873</v>
      </c>
      <c r="G499" s="116"/>
      <c r="H499" s="116"/>
      <c r="I499" s="116"/>
      <c r="J499" s="116"/>
      <c r="K499" s="116"/>
      <c r="L499" s="116"/>
      <c r="M499" s="116"/>
      <c r="N499" s="116"/>
      <c r="O499" s="116"/>
      <c r="P499" s="300"/>
      <c r="Q499" s="300"/>
    </row>
    <row r="500" spans="1:17" s="498" customFormat="1" ht="21" customHeight="1">
      <c r="A500" s="300"/>
      <c r="B500" s="121"/>
      <c r="C500" s="139" t="s">
        <v>1624</v>
      </c>
      <c r="D500" s="178">
        <v>1330100000</v>
      </c>
      <c r="E500" s="234">
        <v>12464766250.99</v>
      </c>
      <c r="F500" s="524">
        <f t="shared" si="18"/>
        <v>10.670878002981873</v>
      </c>
      <c r="G500" s="116"/>
      <c r="H500" s="116"/>
      <c r="I500" s="116"/>
      <c r="J500" s="116"/>
      <c r="K500" s="116"/>
      <c r="L500" s="116"/>
      <c r="M500" s="116"/>
      <c r="N500" s="116"/>
      <c r="O500" s="116"/>
      <c r="P500" s="300"/>
      <c r="Q500" s="300"/>
    </row>
    <row r="501" spans="1:17" s="498" customFormat="1" ht="21" customHeight="1">
      <c r="A501" s="300"/>
      <c r="B501" s="121"/>
      <c r="C501" s="111" t="s">
        <v>212</v>
      </c>
      <c r="D501" s="567">
        <f>D502</f>
        <v>101000000</v>
      </c>
      <c r="E501" s="234">
        <v>12464766250.99</v>
      </c>
      <c r="F501" s="524">
        <f t="shared" si="18"/>
        <v>0.81028394729807451</v>
      </c>
      <c r="G501" s="116"/>
      <c r="H501" s="116"/>
      <c r="I501" s="116"/>
      <c r="J501" s="116"/>
      <c r="K501" s="116"/>
      <c r="L501" s="116"/>
      <c r="M501" s="116"/>
      <c r="N501" s="116"/>
      <c r="O501" s="116"/>
      <c r="P501" s="300"/>
      <c r="Q501" s="300"/>
    </row>
    <row r="502" spans="1:17" s="498" customFormat="1" ht="21" customHeight="1">
      <c r="A502" s="300"/>
      <c r="B502" s="121"/>
      <c r="C502" s="123" t="s">
        <v>1625</v>
      </c>
      <c r="D502" s="178">
        <v>101000000</v>
      </c>
      <c r="E502" s="234">
        <v>12464766250.99</v>
      </c>
      <c r="F502" s="524">
        <f t="shared" si="18"/>
        <v>0.81028394729807451</v>
      </c>
      <c r="G502" s="116"/>
      <c r="H502" s="116"/>
      <c r="I502" s="116"/>
      <c r="J502" s="116"/>
      <c r="K502" s="116"/>
      <c r="L502" s="116"/>
      <c r="M502" s="116"/>
      <c r="N502" s="116"/>
      <c r="O502" s="116"/>
      <c r="P502" s="300"/>
      <c r="Q502" s="300"/>
    </row>
    <row r="503" spans="1:17" s="498" customFormat="1" ht="21" customHeight="1">
      <c r="A503" s="300"/>
      <c r="B503" s="121"/>
      <c r="C503" s="111" t="s">
        <v>1626</v>
      </c>
      <c r="D503" s="567">
        <f>D504</f>
        <v>800196997</v>
      </c>
      <c r="E503" s="234">
        <v>12464766250.99</v>
      </c>
      <c r="F503" s="524">
        <f t="shared" si="18"/>
        <v>6.4196711024279765</v>
      </c>
      <c r="G503" s="116"/>
      <c r="H503" s="116"/>
      <c r="I503" s="116"/>
      <c r="J503" s="116"/>
      <c r="K503" s="116"/>
      <c r="L503" s="116"/>
      <c r="M503" s="116"/>
      <c r="N503" s="116"/>
      <c r="O503" s="116"/>
      <c r="P503" s="300"/>
      <c r="Q503" s="300"/>
    </row>
    <row r="504" spans="1:17" s="498" customFormat="1" ht="21" customHeight="1">
      <c r="A504" s="300"/>
      <c r="B504" s="121"/>
      <c r="C504" s="123" t="s">
        <v>1627</v>
      </c>
      <c r="D504" s="178">
        <v>800196997</v>
      </c>
      <c r="E504" s="234">
        <v>12464766250.99</v>
      </c>
      <c r="F504" s="524">
        <f t="shared" si="18"/>
        <v>6.4196711024279765</v>
      </c>
      <c r="G504" s="116"/>
      <c r="H504" s="116"/>
      <c r="I504" s="116"/>
      <c r="J504" s="116"/>
      <c r="K504" s="116"/>
      <c r="L504" s="116"/>
      <c r="M504" s="116"/>
      <c r="N504" s="116"/>
      <c r="O504" s="116"/>
      <c r="P504" s="300"/>
      <c r="Q504" s="300"/>
    </row>
    <row r="505" spans="1:17" ht="21" customHeight="1">
      <c r="B505" s="260"/>
      <c r="C505" s="57"/>
      <c r="D505" s="556"/>
      <c r="E505" s="557"/>
      <c r="F505" s="511"/>
      <c r="G505" s="116"/>
      <c r="H505" s="116"/>
      <c r="I505" s="116"/>
      <c r="J505" s="116"/>
      <c r="K505" s="116"/>
      <c r="L505" s="116"/>
      <c r="M505" s="116"/>
      <c r="N505" s="116"/>
      <c r="O505" s="116"/>
    </row>
    <row r="506" spans="1:17" s="498" customFormat="1" ht="21" customHeight="1">
      <c r="A506" s="300"/>
      <c r="B506" s="260">
        <v>17</v>
      </c>
      <c r="C506" s="396" t="s">
        <v>2577</v>
      </c>
      <c r="D506" s="568">
        <f>+D507</f>
        <v>8000000000</v>
      </c>
      <c r="E506" s="409">
        <v>29015053505</v>
      </c>
      <c r="F506" s="505">
        <f>+D506/E506*100</f>
        <v>27.571894701560367</v>
      </c>
      <c r="G506" s="116"/>
      <c r="H506" s="116"/>
      <c r="I506" s="116"/>
      <c r="J506" s="116"/>
      <c r="K506" s="116"/>
      <c r="L506" s="116"/>
      <c r="M506" s="116"/>
      <c r="N506" s="116"/>
      <c r="O506" s="116"/>
      <c r="P506" s="300"/>
      <c r="Q506" s="300"/>
    </row>
    <row r="507" spans="1:17" s="498" customFormat="1" ht="21" customHeight="1">
      <c r="A507" s="300"/>
      <c r="B507" s="260"/>
      <c r="C507" s="150" t="s">
        <v>65</v>
      </c>
      <c r="D507" s="569">
        <f>D508+D510+D515+D517+D512+D519</f>
        <v>8000000000</v>
      </c>
      <c r="E507" s="113">
        <v>8000000000</v>
      </c>
      <c r="F507" s="126">
        <f t="shared" ref="F507:F520" si="19">+D507/E507*100</f>
        <v>100</v>
      </c>
      <c r="G507" s="116"/>
      <c r="H507" s="116"/>
      <c r="I507" s="116"/>
      <c r="J507" s="116"/>
      <c r="K507" s="116"/>
      <c r="L507" s="116"/>
      <c r="M507" s="116"/>
      <c r="N507" s="116"/>
      <c r="O507" s="116"/>
      <c r="P507" s="300"/>
      <c r="Q507" s="300"/>
    </row>
    <row r="508" spans="1:17" s="498" customFormat="1" ht="21" customHeight="1">
      <c r="A508" s="300"/>
      <c r="B508" s="260"/>
      <c r="C508" s="150" t="s">
        <v>1682</v>
      </c>
      <c r="D508" s="569">
        <f>D509</f>
        <v>1768630600</v>
      </c>
      <c r="E508" s="113">
        <v>8000000000</v>
      </c>
      <c r="F508" s="126">
        <f t="shared" si="19"/>
        <v>22.107882500000002</v>
      </c>
      <c r="G508" s="116"/>
      <c r="H508" s="116"/>
      <c r="I508" s="116"/>
      <c r="J508" s="116"/>
      <c r="K508" s="116"/>
      <c r="L508" s="116"/>
      <c r="M508" s="116"/>
      <c r="N508" s="116"/>
      <c r="O508" s="116"/>
      <c r="P508" s="300"/>
      <c r="Q508" s="300"/>
    </row>
    <row r="509" spans="1:17" s="498" customFormat="1" ht="21" customHeight="1">
      <c r="A509" s="300"/>
      <c r="B509" s="260"/>
      <c r="C509" s="57" t="s">
        <v>1683</v>
      </c>
      <c r="D509" s="570">
        <v>1768630600</v>
      </c>
      <c r="E509" s="113">
        <v>8000000000</v>
      </c>
      <c r="F509" s="126">
        <f t="shared" si="19"/>
        <v>22.107882500000002</v>
      </c>
      <c r="G509" s="116"/>
      <c r="H509" s="116"/>
      <c r="I509" s="116"/>
      <c r="J509" s="116"/>
      <c r="K509" s="116"/>
      <c r="L509" s="116"/>
      <c r="M509" s="116"/>
      <c r="N509" s="116"/>
      <c r="O509" s="116"/>
      <c r="P509" s="300"/>
      <c r="Q509" s="300"/>
    </row>
    <row r="510" spans="1:17" s="498" customFormat="1" ht="21" customHeight="1">
      <c r="A510" s="300"/>
      <c r="B510" s="260"/>
      <c r="C510" s="150" t="s">
        <v>1684</v>
      </c>
      <c r="D510" s="569">
        <f>D511</f>
        <v>723443000</v>
      </c>
      <c r="E510" s="113">
        <v>8000000000</v>
      </c>
      <c r="F510" s="126">
        <f t="shared" si="19"/>
        <v>9.0430374999999987</v>
      </c>
      <c r="G510" s="116"/>
      <c r="H510" s="116"/>
      <c r="I510" s="116"/>
      <c r="J510" s="116"/>
      <c r="K510" s="116"/>
      <c r="L510" s="116"/>
      <c r="M510" s="116"/>
      <c r="N510" s="116"/>
      <c r="O510" s="116"/>
      <c r="P510" s="300"/>
      <c r="Q510" s="300"/>
    </row>
    <row r="511" spans="1:17" s="498" customFormat="1" ht="21" customHeight="1">
      <c r="A511" s="300"/>
      <c r="B511" s="260"/>
      <c r="C511" s="57" t="s">
        <v>1685</v>
      </c>
      <c r="D511" s="570">
        <v>723443000</v>
      </c>
      <c r="E511" s="113">
        <v>8000000000</v>
      </c>
      <c r="F511" s="126">
        <f t="shared" si="19"/>
        <v>9.0430374999999987</v>
      </c>
      <c r="G511" s="116"/>
      <c r="H511" s="116"/>
      <c r="I511" s="116"/>
      <c r="J511" s="116"/>
      <c r="K511" s="116"/>
      <c r="L511" s="116"/>
      <c r="M511" s="116"/>
      <c r="N511" s="116"/>
      <c r="O511" s="116"/>
      <c r="P511" s="300"/>
      <c r="Q511" s="300"/>
    </row>
    <row r="512" spans="1:17" s="498" customFormat="1" ht="21" customHeight="1">
      <c r="A512" s="300"/>
      <c r="B512" s="260"/>
      <c r="C512" s="150" t="s">
        <v>1686</v>
      </c>
      <c r="D512" s="569">
        <f>D513+D514</f>
        <v>416998400</v>
      </c>
      <c r="E512" s="113">
        <v>8000000000</v>
      </c>
      <c r="F512" s="126">
        <f t="shared" si="19"/>
        <v>5.2124800000000002</v>
      </c>
      <c r="G512" s="116"/>
      <c r="H512" s="116"/>
      <c r="I512" s="116"/>
      <c r="J512" s="116"/>
      <c r="K512" s="116"/>
      <c r="L512" s="116"/>
      <c r="M512" s="116"/>
      <c r="N512" s="116"/>
      <c r="O512" s="116"/>
      <c r="P512" s="300"/>
      <c r="Q512" s="300"/>
    </row>
    <row r="513" spans="1:17" s="498" customFormat="1" ht="21" customHeight="1">
      <c r="A513" s="300"/>
      <c r="B513" s="260"/>
      <c r="C513" s="123" t="s">
        <v>1687</v>
      </c>
      <c r="D513" s="570">
        <v>120638400</v>
      </c>
      <c r="E513" s="113">
        <v>8000000000</v>
      </c>
      <c r="F513" s="126">
        <f t="shared" si="19"/>
        <v>1.5079800000000001</v>
      </c>
      <c r="G513" s="116"/>
      <c r="H513" s="116"/>
      <c r="I513" s="116"/>
      <c r="J513" s="116"/>
      <c r="K513" s="116"/>
      <c r="L513" s="116"/>
      <c r="M513" s="116"/>
      <c r="N513" s="116"/>
      <c r="O513" s="116"/>
      <c r="P513" s="300"/>
      <c r="Q513" s="300"/>
    </row>
    <row r="514" spans="1:17" s="498" customFormat="1" ht="35.1" customHeight="1">
      <c r="A514" s="300"/>
      <c r="B514" s="260"/>
      <c r="C514" s="123" t="s">
        <v>1688</v>
      </c>
      <c r="D514" s="570">
        <v>296360000</v>
      </c>
      <c r="E514" s="113">
        <v>8000000000</v>
      </c>
      <c r="F514" s="126">
        <f t="shared" si="19"/>
        <v>3.7045000000000003</v>
      </c>
      <c r="G514" s="116"/>
      <c r="H514" s="116"/>
      <c r="I514" s="116"/>
      <c r="J514" s="116"/>
      <c r="K514" s="116"/>
      <c r="L514" s="116"/>
      <c r="M514" s="116"/>
      <c r="N514" s="116"/>
      <c r="O514" s="116"/>
      <c r="P514" s="300"/>
      <c r="Q514" s="300"/>
    </row>
    <row r="515" spans="1:17" s="498" customFormat="1" ht="21" customHeight="1">
      <c r="A515" s="300"/>
      <c r="B515" s="260"/>
      <c r="C515" s="150" t="s">
        <v>1689</v>
      </c>
      <c r="D515" s="569">
        <f>D516</f>
        <v>1893528000</v>
      </c>
      <c r="E515" s="113">
        <v>8000000000</v>
      </c>
      <c r="F515" s="126">
        <f t="shared" si="19"/>
        <v>23.6691</v>
      </c>
      <c r="G515" s="116"/>
      <c r="H515" s="116"/>
      <c r="I515" s="116"/>
      <c r="J515" s="116"/>
      <c r="K515" s="116"/>
      <c r="L515" s="116"/>
      <c r="M515" s="116"/>
      <c r="N515" s="116"/>
      <c r="O515" s="116"/>
      <c r="P515" s="300"/>
      <c r="Q515" s="300"/>
    </row>
    <row r="516" spans="1:17" s="498" customFormat="1" ht="21" customHeight="1">
      <c r="A516" s="300"/>
      <c r="B516" s="260"/>
      <c r="C516" s="57" t="s">
        <v>1690</v>
      </c>
      <c r="D516" s="571">
        <v>1893528000</v>
      </c>
      <c r="E516" s="113">
        <v>8000000000</v>
      </c>
      <c r="F516" s="126">
        <f t="shared" si="19"/>
        <v>23.6691</v>
      </c>
      <c r="G516" s="116"/>
      <c r="H516" s="116"/>
      <c r="I516" s="116"/>
      <c r="J516" s="116"/>
      <c r="K516" s="116"/>
      <c r="L516" s="116"/>
      <c r="M516" s="116"/>
      <c r="N516" s="116"/>
      <c r="O516" s="116"/>
      <c r="P516" s="300"/>
      <c r="Q516" s="300"/>
    </row>
    <row r="517" spans="1:17" s="498" customFormat="1" ht="21" customHeight="1">
      <c r="A517" s="300"/>
      <c r="B517" s="260"/>
      <c r="C517" s="150" t="s">
        <v>1691</v>
      </c>
      <c r="D517" s="569">
        <f>D518</f>
        <v>702000000</v>
      </c>
      <c r="E517" s="113">
        <v>8000000000</v>
      </c>
      <c r="F517" s="126">
        <f t="shared" si="19"/>
        <v>8.7749999999999986</v>
      </c>
      <c r="G517" s="116"/>
      <c r="H517" s="116"/>
      <c r="I517" s="116"/>
      <c r="J517" s="116"/>
      <c r="K517" s="116"/>
      <c r="L517" s="116"/>
      <c r="M517" s="116"/>
      <c r="N517" s="116"/>
      <c r="O517" s="116"/>
      <c r="P517" s="300"/>
      <c r="Q517" s="300"/>
    </row>
    <row r="518" spans="1:17" s="498" customFormat="1" ht="21" customHeight="1">
      <c r="A518" s="300"/>
      <c r="B518" s="260"/>
      <c r="C518" s="57" t="s">
        <v>1692</v>
      </c>
      <c r="D518" s="570">
        <v>702000000</v>
      </c>
      <c r="E518" s="113">
        <v>8000000000</v>
      </c>
      <c r="F518" s="126">
        <f t="shared" si="19"/>
        <v>8.7749999999999986</v>
      </c>
      <c r="G518" s="116"/>
      <c r="H518" s="116"/>
      <c r="I518" s="116"/>
      <c r="J518" s="116"/>
      <c r="K518" s="116"/>
      <c r="L518" s="116"/>
      <c r="M518" s="116"/>
      <c r="N518" s="116"/>
      <c r="O518" s="116"/>
      <c r="P518" s="300"/>
      <c r="Q518" s="300"/>
    </row>
    <row r="519" spans="1:17" s="498" customFormat="1" ht="21" customHeight="1">
      <c r="A519" s="300"/>
      <c r="B519" s="260"/>
      <c r="C519" s="111" t="s">
        <v>1693</v>
      </c>
      <c r="D519" s="258">
        <f>D520</f>
        <v>2495400000</v>
      </c>
      <c r="E519" s="113">
        <v>8000000000</v>
      </c>
      <c r="F519" s="126">
        <f t="shared" si="19"/>
        <v>31.192500000000003</v>
      </c>
      <c r="G519" s="116"/>
      <c r="H519" s="116"/>
      <c r="I519" s="116"/>
      <c r="J519" s="116"/>
      <c r="K519" s="116"/>
      <c r="L519" s="116"/>
      <c r="M519" s="116"/>
      <c r="N519" s="116"/>
      <c r="O519" s="116"/>
      <c r="P519" s="300"/>
      <c r="Q519" s="300"/>
    </row>
    <row r="520" spans="1:17" s="498" customFormat="1" ht="21" customHeight="1">
      <c r="A520" s="300"/>
      <c r="B520" s="260"/>
      <c r="C520" s="123" t="s">
        <v>1694</v>
      </c>
      <c r="D520" s="259">
        <v>2495400000</v>
      </c>
      <c r="E520" s="113">
        <v>8000000000</v>
      </c>
      <c r="F520" s="126">
        <f t="shared" si="19"/>
        <v>31.192500000000003</v>
      </c>
      <c r="G520" s="116"/>
      <c r="H520" s="116"/>
      <c r="I520" s="116"/>
      <c r="J520" s="116"/>
      <c r="K520" s="116"/>
      <c r="L520" s="116"/>
      <c r="M520" s="116"/>
      <c r="N520" s="116"/>
      <c r="O520" s="116"/>
      <c r="P520" s="300"/>
      <c r="Q520" s="300"/>
    </row>
    <row r="521" spans="1:17" ht="21" customHeight="1">
      <c r="B521" s="260"/>
      <c r="C521" s="561"/>
      <c r="D521" s="572"/>
      <c r="E521" s="409"/>
      <c r="F521" s="505"/>
      <c r="G521" s="116"/>
      <c r="H521" s="116"/>
      <c r="I521" s="116"/>
      <c r="J521" s="116"/>
      <c r="K521" s="116"/>
      <c r="L521" s="116"/>
      <c r="M521" s="116"/>
      <c r="N521" s="116"/>
      <c r="O521" s="116"/>
    </row>
    <row r="522" spans="1:17" s="498" customFormat="1" ht="21" customHeight="1">
      <c r="A522" s="300"/>
      <c r="B522" s="260">
        <v>18</v>
      </c>
      <c r="C522" s="396" t="s">
        <v>1721</v>
      </c>
      <c r="D522" s="573">
        <f>+D523</f>
        <v>5210000000</v>
      </c>
      <c r="E522" s="125">
        <v>43827566023.510002</v>
      </c>
      <c r="F522" s="505">
        <f>+D522/E522*100</f>
        <v>11.887495639628378</v>
      </c>
      <c r="G522" s="116"/>
      <c r="H522" s="116"/>
      <c r="I522" s="116"/>
      <c r="J522" s="116"/>
      <c r="K522" s="116"/>
      <c r="L522" s="116"/>
      <c r="M522" s="116"/>
      <c r="N522" s="116"/>
      <c r="O522" s="116"/>
      <c r="P522" s="300"/>
      <c r="Q522" s="300"/>
    </row>
    <row r="523" spans="1:17" s="498" customFormat="1" ht="21" customHeight="1">
      <c r="A523" s="300"/>
      <c r="B523" s="260"/>
      <c r="C523" s="111" t="s">
        <v>161</v>
      </c>
      <c r="D523" s="574">
        <f>D524+D526</f>
        <v>5210000000</v>
      </c>
      <c r="E523" s="125">
        <v>5210000000</v>
      </c>
      <c r="F523" s="127">
        <f t="shared" ref="F523:F527" si="20">+D523/E523*100</f>
        <v>100</v>
      </c>
      <c r="G523" s="116"/>
      <c r="H523" s="116"/>
      <c r="I523" s="116"/>
      <c r="J523" s="116"/>
      <c r="K523" s="116"/>
      <c r="L523" s="116"/>
      <c r="M523" s="116"/>
      <c r="N523" s="116"/>
      <c r="O523" s="116"/>
      <c r="P523" s="300"/>
      <c r="Q523" s="300"/>
    </row>
    <row r="524" spans="1:17" s="498" customFormat="1" ht="21" customHeight="1">
      <c r="A524" s="300"/>
      <c r="B524" s="260"/>
      <c r="C524" s="111" t="s">
        <v>953</v>
      </c>
      <c r="D524" s="574">
        <f>SUM(D525:D525)</f>
        <v>1450000000</v>
      </c>
      <c r="E524" s="125">
        <v>5210000000</v>
      </c>
      <c r="F524" s="127">
        <f t="shared" si="20"/>
        <v>27.831094049904031</v>
      </c>
      <c r="G524" s="116"/>
      <c r="H524" s="116"/>
      <c r="I524" s="116"/>
      <c r="J524" s="116"/>
      <c r="K524" s="116"/>
      <c r="L524" s="116"/>
      <c r="M524" s="116"/>
      <c r="N524" s="116"/>
      <c r="O524" s="116"/>
      <c r="P524" s="300"/>
      <c r="Q524" s="300"/>
    </row>
    <row r="525" spans="1:17" s="498" customFormat="1" ht="21" customHeight="1">
      <c r="A525" s="300"/>
      <c r="B525" s="260"/>
      <c r="C525" s="123" t="s">
        <v>1728</v>
      </c>
      <c r="D525" s="575">
        <v>1450000000</v>
      </c>
      <c r="E525" s="125">
        <v>5210000000</v>
      </c>
      <c r="F525" s="127">
        <f t="shared" si="20"/>
        <v>27.831094049904031</v>
      </c>
      <c r="G525" s="116"/>
      <c r="H525" s="116"/>
      <c r="I525" s="116"/>
      <c r="J525" s="116"/>
      <c r="K525" s="116"/>
      <c r="L525" s="116"/>
      <c r="M525" s="116"/>
      <c r="N525" s="116"/>
      <c r="O525" s="116"/>
      <c r="P525" s="300"/>
      <c r="Q525" s="300"/>
    </row>
    <row r="526" spans="1:17" s="498" customFormat="1" ht="21" customHeight="1">
      <c r="A526" s="300"/>
      <c r="B526" s="260"/>
      <c r="C526" s="111" t="s">
        <v>1171</v>
      </c>
      <c r="D526" s="574">
        <v>3760000000</v>
      </c>
      <c r="E526" s="125">
        <v>5210000000</v>
      </c>
      <c r="F526" s="127">
        <f t="shared" si="20"/>
        <v>72.168905950095976</v>
      </c>
      <c r="G526" s="116"/>
      <c r="H526" s="116"/>
      <c r="I526" s="116"/>
      <c r="J526" s="116"/>
      <c r="K526" s="116"/>
      <c r="L526" s="116"/>
      <c r="M526" s="116"/>
      <c r="N526" s="116"/>
      <c r="O526" s="116"/>
      <c r="P526" s="300"/>
      <c r="Q526" s="300"/>
    </row>
    <row r="527" spans="1:17" s="498" customFormat="1" ht="21" customHeight="1">
      <c r="A527" s="300"/>
      <c r="B527" s="260"/>
      <c r="C527" s="123" t="s">
        <v>1729</v>
      </c>
      <c r="D527" s="575">
        <v>3760000000</v>
      </c>
      <c r="E527" s="125">
        <v>5210000000</v>
      </c>
      <c r="F527" s="127">
        <f t="shared" si="20"/>
        <v>72.168905950095976</v>
      </c>
      <c r="G527" s="116"/>
      <c r="H527" s="116"/>
      <c r="I527" s="116"/>
      <c r="J527" s="116"/>
      <c r="K527" s="116"/>
      <c r="L527" s="116"/>
      <c r="M527" s="116"/>
      <c r="N527" s="116"/>
      <c r="O527" s="116"/>
      <c r="P527" s="300"/>
      <c r="Q527" s="300"/>
    </row>
    <row r="528" spans="1:17" ht="21" customHeight="1">
      <c r="B528" s="260"/>
      <c r="C528" s="57"/>
      <c r="D528" s="556"/>
      <c r="E528" s="557"/>
      <c r="F528" s="511"/>
      <c r="G528" s="116"/>
      <c r="H528" s="116"/>
      <c r="I528" s="116"/>
      <c r="J528" s="116"/>
      <c r="K528" s="116"/>
      <c r="L528" s="116"/>
      <c r="M528" s="116"/>
      <c r="N528" s="116"/>
      <c r="O528" s="116"/>
    </row>
    <row r="529" spans="1:17" s="498" customFormat="1" ht="21" customHeight="1">
      <c r="A529" s="300"/>
      <c r="B529" s="260">
        <v>19</v>
      </c>
      <c r="C529" s="396" t="s">
        <v>2578</v>
      </c>
      <c r="D529" s="576">
        <f>+D530+D553</f>
        <v>6827820055</v>
      </c>
      <c r="E529" s="125">
        <v>43402635532.330002</v>
      </c>
      <c r="F529" s="505">
        <f>+D529/E529*100</f>
        <v>15.731348963622393</v>
      </c>
      <c r="G529" s="116"/>
      <c r="H529" s="116"/>
      <c r="I529" s="116"/>
      <c r="J529" s="116"/>
      <c r="K529" s="116"/>
      <c r="L529" s="116"/>
      <c r="M529" s="116"/>
      <c r="N529" s="116"/>
      <c r="O529" s="116"/>
      <c r="P529" s="300"/>
      <c r="Q529" s="300"/>
    </row>
    <row r="530" spans="1:17" s="498" customFormat="1" ht="21" customHeight="1">
      <c r="A530" s="300"/>
      <c r="B530" s="260"/>
      <c r="C530" s="111" t="s">
        <v>161</v>
      </c>
      <c r="D530" s="577">
        <f>SUM(D531,D533,D536,D538,D542,D547,D550)</f>
        <v>4317424725</v>
      </c>
      <c r="E530" s="125">
        <v>6827820055</v>
      </c>
      <c r="F530" s="126">
        <f>+D530/E530*100</f>
        <v>63.232842843278483</v>
      </c>
      <c r="G530" s="116"/>
      <c r="H530" s="116"/>
      <c r="I530" s="116"/>
      <c r="J530" s="116"/>
      <c r="K530" s="116"/>
      <c r="L530" s="116"/>
      <c r="M530" s="116"/>
      <c r="N530" s="116"/>
      <c r="O530" s="116"/>
      <c r="P530" s="300"/>
      <c r="Q530" s="300"/>
    </row>
    <row r="531" spans="1:17" s="498" customFormat="1" ht="21" customHeight="1">
      <c r="A531" s="300"/>
      <c r="B531" s="260"/>
      <c r="C531" s="111" t="s">
        <v>162</v>
      </c>
      <c r="D531" s="577">
        <f>D532</f>
        <v>892175437</v>
      </c>
      <c r="E531" s="125">
        <v>6827820055</v>
      </c>
      <c r="F531" s="126">
        <f t="shared" ref="F531:F551" si="21">+D531/E531*100</f>
        <v>13.06676845337571</v>
      </c>
      <c r="G531" s="116"/>
      <c r="H531" s="116"/>
      <c r="I531" s="116"/>
      <c r="J531" s="116"/>
      <c r="K531" s="116"/>
      <c r="L531" s="116"/>
      <c r="M531" s="116"/>
      <c r="N531" s="116"/>
      <c r="O531" s="116"/>
      <c r="P531" s="300"/>
      <c r="Q531" s="300"/>
    </row>
    <row r="532" spans="1:17" s="498" customFormat="1" ht="35.1" customHeight="1">
      <c r="A532" s="300"/>
      <c r="B532" s="260"/>
      <c r="C532" s="123" t="s">
        <v>1779</v>
      </c>
      <c r="D532" s="578">
        <v>892175437</v>
      </c>
      <c r="E532" s="125">
        <v>6827820055</v>
      </c>
      <c r="F532" s="126">
        <f t="shared" si="21"/>
        <v>13.06676845337571</v>
      </c>
      <c r="G532" s="116"/>
      <c r="H532" s="116"/>
      <c r="I532" s="116"/>
      <c r="J532" s="116"/>
      <c r="K532" s="116"/>
      <c r="L532" s="116"/>
      <c r="M532" s="116"/>
      <c r="N532" s="116"/>
      <c r="O532" s="116"/>
      <c r="P532" s="300"/>
      <c r="Q532" s="300"/>
    </row>
    <row r="533" spans="1:17" s="498" customFormat="1" ht="21" customHeight="1">
      <c r="A533" s="300"/>
      <c r="B533" s="260"/>
      <c r="C533" s="111" t="s">
        <v>173</v>
      </c>
      <c r="D533" s="577">
        <f>SUM(D534:D535)</f>
        <v>1172644289</v>
      </c>
      <c r="E533" s="125">
        <v>6827820055</v>
      </c>
      <c r="F533" s="126">
        <f t="shared" si="21"/>
        <v>17.17450488668451</v>
      </c>
      <c r="G533" s="116"/>
      <c r="H533" s="116"/>
      <c r="I533" s="116"/>
      <c r="J533" s="116"/>
      <c r="K533" s="116"/>
      <c r="L533" s="116"/>
      <c r="M533" s="116"/>
      <c r="N533" s="116"/>
      <c r="O533" s="116"/>
      <c r="P533" s="300"/>
      <c r="Q533" s="300"/>
    </row>
    <row r="534" spans="1:17" s="498" customFormat="1" ht="35.1" customHeight="1">
      <c r="A534" s="300"/>
      <c r="B534" s="260"/>
      <c r="C534" s="123" t="s">
        <v>1223</v>
      </c>
      <c r="D534" s="499">
        <v>1005219563</v>
      </c>
      <c r="E534" s="125">
        <v>6827820055</v>
      </c>
      <c r="F534" s="126">
        <f t="shared" si="21"/>
        <v>14.722408541857801</v>
      </c>
      <c r="G534" s="116"/>
      <c r="H534" s="116"/>
      <c r="I534" s="116"/>
      <c r="J534" s="116"/>
      <c r="K534" s="116"/>
      <c r="L534" s="116"/>
      <c r="M534" s="116"/>
      <c r="N534" s="116"/>
      <c r="O534" s="116"/>
      <c r="P534" s="300"/>
      <c r="Q534" s="300"/>
    </row>
    <row r="535" spans="1:17" s="498" customFormat="1" ht="35.1" customHeight="1">
      <c r="A535" s="300"/>
      <c r="B535" s="260"/>
      <c r="C535" s="123" t="s">
        <v>1780</v>
      </c>
      <c r="D535" s="499">
        <v>167424726</v>
      </c>
      <c r="E535" s="125">
        <v>6827820055</v>
      </c>
      <c r="F535" s="126">
        <f t="shared" si="21"/>
        <v>2.452096344826709</v>
      </c>
      <c r="G535" s="116"/>
      <c r="H535" s="116"/>
      <c r="I535" s="116"/>
      <c r="J535" s="116"/>
      <c r="K535" s="116"/>
      <c r="L535" s="116"/>
      <c r="M535" s="116"/>
      <c r="N535" s="116"/>
      <c r="O535" s="116"/>
      <c r="P535" s="300"/>
      <c r="Q535" s="300"/>
    </row>
    <row r="536" spans="1:17" s="498" customFormat="1" ht="21" customHeight="1">
      <c r="A536" s="300"/>
      <c r="B536" s="260"/>
      <c r="C536" s="111" t="s">
        <v>945</v>
      </c>
      <c r="D536" s="577">
        <f>D537</f>
        <v>296510000</v>
      </c>
      <c r="E536" s="125">
        <v>6827820055</v>
      </c>
      <c r="F536" s="126">
        <f t="shared" si="21"/>
        <v>4.3426744936382189</v>
      </c>
      <c r="G536" s="116"/>
      <c r="H536" s="116"/>
      <c r="I536" s="116"/>
      <c r="J536" s="116"/>
      <c r="K536" s="116"/>
      <c r="L536" s="116"/>
      <c r="M536" s="116"/>
      <c r="N536" s="116"/>
      <c r="O536" s="116"/>
      <c r="P536" s="300"/>
      <c r="Q536" s="300"/>
    </row>
    <row r="537" spans="1:17" s="498" customFormat="1" ht="21" customHeight="1">
      <c r="A537" s="300"/>
      <c r="B537" s="260"/>
      <c r="C537" s="123" t="s">
        <v>1781</v>
      </c>
      <c r="D537" s="578">
        <v>296510000</v>
      </c>
      <c r="E537" s="125">
        <v>6827820055</v>
      </c>
      <c r="F537" s="126">
        <f t="shared" si="21"/>
        <v>4.3426744936382189</v>
      </c>
      <c r="G537" s="116"/>
      <c r="H537" s="116"/>
      <c r="I537" s="116"/>
      <c r="J537" s="116"/>
      <c r="K537" s="116"/>
      <c r="L537" s="116"/>
      <c r="M537" s="116"/>
      <c r="N537" s="116"/>
      <c r="O537" s="116"/>
      <c r="P537" s="300"/>
      <c r="Q537" s="300"/>
    </row>
    <row r="538" spans="1:17" s="498" customFormat="1" ht="21" customHeight="1">
      <c r="A538" s="300"/>
      <c r="B538" s="260"/>
      <c r="C538" s="111" t="s">
        <v>190</v>
      </c>
      <c r="D538" s="577">
        <f>SUM(D539:D541)</f>
        <v>475495000</v>
      </c>
      <c r="E538" s="125">
        <v>6827820055</v>
      </c>
      <c r="F538" s="126">
        <f t="shared" si="21"/>
        <v>6.964082183914555</v>
      </c>
      <c r="G538" s="116"/>
      <c r="H538" s="116"/>
      <c r="I538" s="116"/>
      <c r="J538" s="116"/>
      <c r="K538" s="116"/>
      <c r="L538" s="116"/>
      <c r="M538" s="116"/>
      <c r="N538" s="116"/>
      <c r="O538" s="116"/>
      <c r="P538" s="300"/>
      <c r="Q538" s="300"/>
    </row>
    <row r="539" spans="1:17" s="498" customFormat="1" ht="35.1" customHeight="1">
      <c r="A539" s="300"/>
      <c r="B539" s="260"/>
      <c r="C539" s="123" t="s">
        <v>1782</v>
      </c>
      <c r="D539" s="578">
        <v>234920000</v>
      </c>
      <c r="E539" s="125">
        <v>6827820055</v>
      </c>
      <c r="F539" s="126">
        <f t="shared" si="21"/>
        <v>3.4406296315317877</v>
      </c>
      <c r="G539" s="116"/>
      <c r="H539" s="116"/>
      <c r="I539" s="116"/>
      <c r="J539" s="116"/>
      <c r="K539" s="116"/>
      <c r="L539" s="116"/>
      <c r="M539" s="116"/>
      <c r="N539" s="116"/>
      <c r="O539" s="116"/>
      <c r="P539" s="300"/>
      <c r="Q539" s="300"/>
    </row>
    <row r="540" spans="1:17" s="498" customFormat="1" ht="54.75" customHeight="1">
      <c r="A540" s="300"/>
      <c r="B540" s="260"/>
      <c r="C540" s="123" t="s">
        <v>1783</v>
      </c>
      <c r="D540" s="578">
        <v>100000000</v>
      </c>
      <c r="E540" s="125">
        <v>6827820055</v>
      </c>
      <c r="F540" s="126">
        <f t="shared" si="21"/>
        <v>1.4645963015204271</v>
      </c>
      <c r="G540" s="116"/>
      <c r="H540" s="116"/>
      <c r="I540" s="116"/>
      <c r="J540" s="116"/>
      <c r="K540" s="116"/>
      <c r="L540" s="116"/>
      <c r="M540" s="116"/>
      <c r="N540" s="116"/>
      <c r="O540" s="116"/>
      <c r="P540" s="300"/>
      <c r="Q540" s="300"/>
    </row>
    <row r="541" spans="1:17" s="498" customFormat="1" ht="21" customHeight="1">
      <c r="A541" s="300"/>
      <c r="B541" s="260"/>
      <c r="C541" s="123" t="s">
        <v>1784</v>
      </c>
      <c r="D541" s="578">
        <v>140575000</v>
      </c>
      <c r="E541" s="125">
        <v>6827820055</v>
      </c>
      <c r="F541" s="126">
        <f t="shared" si="21"/>
        <v>2.0588562508623407</v>
      </c>
      <c r="G541" s="116"/>
      <c r="H541" s="116"/>
      <c r="I541" s="116"/>
      <c r="J541" s="116"/>
      <c r="K541" s="116"/>
      <c r="L541" s="116"/>
      <c r="M541" s="116"/>
      <c r="N541" s="116"/>
      <c r="O541" s="116"/>
      <c r="P541" s="300"/>
      <c r="Q541" s="300"/>
    </row>
    <row r="542" spans="1:17" s="498" customFormat="1" ht="21" customHeight="1">
      <c r="A542" s="300"/>
      <c r="B542" s="260"/>
      <c r="C542" s="111" t="s">
        <v>196</v>
      </c>
      <c r="D542" s="577">
        <f>SUM(D543:D546)</f>
        <v>585000000</v>
      </c>
      <c r="E542" s="125">
        <v>6827820055</v>
      </c>
      <c r="F542" s="126">
        <f t="shared" si="21"/>
        <v>8.5678883638944985</v>
      </c>
      <c r="G542" s="116"/>
      <c r="H542" s="116"/>
      <c r="I542" s="116"/>
      <c r="J542" s="116"/>
      <c r="K542" s="116"/>
      <c r="L542" s="116"/>
      <c r="M542" s="116"/>
      <c r="N542" s="116"/>
      <c r="O542" s="116"/>
      <c r="P542" s="300"/>
      <c r="Q542" s="300"/>
    </row>
    <row r="543" spans="1:17" s="498" customFormat="1" ht="21" customHeight="1">
      <c r="A543" s="300"/>
      <c r="B543" s="260"/>
      <c r="C543" s="123" t="s">
        <v>1785</v>
      </c>
      <c r="D543" s="578">
        <v>165900000</v>
      </c>
      <c r="E543" s="125">
        <v>6827820055</v>
      </c>
      <c r="F543" s="126">
        <f t="shared" si="21"/>
        <v>2.4297652642223886</v>
      </c>
      <c r="G543" s="116"/>
      <c r="H543" s="116"/>
      <c r="I543" s="116"/>
      <c r="J543" s="116"/>
      <c r="K543" s="116"/>
      <c r="L543" s="116"/>
      <c r="M543" s="116"/>
      <c r="N543" s="116"/>
      <c r="O543" s="116"/>
      <c r="P543" s="300"/>
      <c r="Q543" s="300"/>
    </row>
    <row r="544" spans="1:17" s="498" customFormat="1" ht="35.1" customHeight="1">
      <c r="A544" s="300"/>
      <c r="B544" s="260"/>
      <c r="C544" s="123" t="s">
        <v>1786</v>
      </c>
      <c r="D544" s="578">
        <v>150300000</v>
      </c>
      <c r="E544" s="125">
        <v>6827820055</v>
      </c>
      <c r="F544" s="126">
        <f t="shared" si="21"/>
        <v>2.2012882411852024</v>
      </c>
      <c r="G544" s="116"/>
      <c r="H544" s="116"/>
      <c r="I544" s="116"/>
      <c r="J544" s="116"/>
      <c r="K544" s="116"/>
      <c r="L544" s="116"/>
      <c r="M544" s="116"/>
      <c r="N544" s="116"/>
      <c r="O544" s="116"/>
      <c r="P544" s="300"/>
      <c r="Q544" s="300"/>
    </row>
    <row r="545" spans="1:17" s="498" customFormat="1" ht="21" customHeight="1">
      <c r="A545" s="300"/>
      <c r="B545" s="260"/>
      <c r="C545" s="123" t="s">
        <v>1787</v>
      </c>
      <c r="D545" s="578">
        <v>118800000</v>
      </c>
      <c r="E545" s="125">
        <v>6827820055</v>
      </c>
      <c r="F545" s="126">
        <f t="shared" si="21"/>
        <v>1.7399404062062676</v>
      </c>
      <c r="G545" s="116"/>
      <c r="H545" s="116"/>
      <c r="I545" s="116"/>
      <c r="J545" s="116"/>
      <c r="K545" s="116"/>
      <c r="L545" s="116"/>
      <c r="M545" s="116"/>
      <c r="N545" s="116"/>
      <c r="O545" s="116"/>
      <c r="P545" s="300"/>
      <c r="Q545" s="300"/>
    </row>
    <row r="546" spans="1:17" s="498" customFormat="1" ht="21" customHeight="1">
      <c r="A546" s="300"/>
      <c r="B546" s="260"/>
      <c r="C546" s="123" t="s">
        <v>1788</v>
      </c>
      <c r="D546" s="578">
        <v>150000000</v>
      </c>
      <c r="E546" s="125">
        <v>6827820055</v>
      </c>
      <c r="F546" s="126">
        <f t="shared" si="21"/>
        <v>2.1968944522806408</v>
      </c>
      <c r="G546" s="116"/>
      <c r="H546" s="116"/>
      <c r="I546" s="116"/>
      <c r="J546" s="116"/>
      <c r="K546" s="116"/>
      <c r="L546" s="116"/>
      <c r="M546" s="116"/>
      <c r="N546" s="116"/>
      <c r="O546" s="116"/>
      <c r="P546" s="300"/>
      <c r="Q546" s="300"/>
    </row>
    <row r="547" spans="1:17" s="498" customFormat="1" ht="21" customHeight="1">
      <c r="A547" s="300"/>
      <c r="B547" s="260"/>
      <c r="C547" s="111" t="s">
        <v>953</v>
      </c>
      <c r="D547" s="577">
        <f>SUM(D548:D549)</f>
        <v>638599999</v>
      </c>
      <c r="E547" s="125">
        <v>6827820055</v>
      </c>
      <c r="F547" s="126">
        <f t="shared" si="21"/>
        <v>9.3529119668634841</v>
      </c>
      <c r="G547" s="116"/>
      <c r="H547" s="116"/>
      <c r="I547" s="116"/>
      <c r="J547" s="116"/>
      <c r="K547" s="116"/>
      <c r="L547" s="116"/>
      <c r="M547" s="116"/>
      <c r="N547" s="116"/>
      <c r="O547" s="116"/>
      <c r="P547" s="300"/>
      <c r="Q547" s="300"/>
    </row>
    <row r="548" spans="1:17" s="498" customFormat="1" ht="21" customHeight="1">
      <c r="A548" s="300"/>
      <c r="B548" s="260"/>
      <c r="C548" s="123" t="s">
        <v>1789</v>
      </c>
      <c r="D548" s="499">
        <v>120200000</v>
      </c>
      <c r="E548" s="125">
        <v>6827820055</v>
      </c>
      <c r="F548" s="126">
        <f t="shared" si="21"/>
        <v>1.7604447544275537</v>
      </c>
      <c r="G548" s="116"/>
      <c r="H548" s="116"/>
      <c r="I548" s="116"/>
      <c r="J548" s="116"/>
      <c r="K548" s="116"/>
      <c r="L548" s="116"/>
      <c r="M548" s="116"/>
      <c r="N548" s="116"/>
      <c r="O548" s="116"/>
      <c r="P548" s="300"/>
      <c r="Q548" s="300"/>
    </row>
    <row r="549" spans="1:17" s="498" customFormat="1" ht="35.1" customHeight="1">
      <c r="A549" s="300"/>
      <c r="B549" s="260"/>
      <c r="C549" s="123" t="s">
        <v>1790</v>
      </c>
      <c r="D549" s="499">
        <v>518399999</v>
      </c>
      <c r="E549" s="125">
        <v>6827820055</v>
      </c>
      <c r="F549" s="126">
        <f t="shared" si="21"/>
        <v>7.5924672124359311</v>
      </c>
      <c r="G549" s="116"/>
      <c r="H549" s="116"/>
      <c r="I549" s="116"/>
      <c r="J549" s="116"/>
      <c r="K549" s="116"/>
      <c r="L549" s="116"/>
      <c r="M549" s="116"/>
      <c r="N549" s="116"/>
      <c r="O549" s="116"/>
      <c r="P549" s="300"/>
      <c r="Q549" s="300"/>
    </row>
    <row r="550" spans="1:17" s="498" customFormat="1" ht="21" customHeight="1">
      <c r="A550" s="300"/>
      <c r="B550" s="260"/>
      <c r="C550" s="111" t="s">
        <v>212</v>
      </c>
      <c r="D550" s="577">
        <f>D551</f>
        <v>257000000</v>
      </c>
      <c r="E550" s="125">
        <v>6827820055</v>
      </c>
      <c r="F550" s="126">
        <f t="shared" si="21"/>
        <v>3.7640124949074982</v>
      </c>
      <c r="G550" s="116"/>
      <c r="H550" s="116"/>
      <c r="I550" s="116"/>
      <c r="J550" s="116"/>
      <c r="K550" s="116"/>
      <c r="L550" s="116"/>
      <c r="M550" s="116"/>
      <c r="N550" s="116"/>
      <c r="O550" s="116"/>
      <c r="P550" s="300"/>
      <c r="Q550" s="300"/>
    </row>
    <row r="551" spans="1:17" s="498" customFormat="1" ht="35.1" customHeight="1">
      <c r="A551" s="300"/>
      <c r="B551" s="260"/>
      <c r="C551" s="123" t="s">
        <v>1791</v>
      </c>
      <c r="D551" s="578">
        <v>257000000</v>
      </c>
      <c r="E551" s="125">
        <v>6827820055</v>
      </c>
      <c r="F551" s="126">
        <f t="shared" si="21"/>
        <v>3.7640124949074982</v>
      </c>
      <c r="G551" s="116"/>
      <c r="H551" s="116"/>
      <c r="I551" s="116"/>
      <c r="J551" s="116"/>
      <c r="K551" s="116"/>
      <c r="L551" s="116"/>
      <c r="M551" s="116"/>
      <c r="N551" s="116"/>
      <c r="O551" s="116"/>
      <c r="P551" s="300"/>
      <c r="Q551" s="300"/>
    </row>
    <row r="552" spans="1:17" s="498" customFormat="1" ht="21" customHeight="1">
      <c r="A552" s="300"/>
      <c r="B552" s="260"/>
      <c r="C552" s="123"/>
      <c r="D552" s="578"/>
      <c r="E552" s="125"/>
      <c r="F552" s="126"/>
      <c r="G552" s="116"/>
      <c r="H552" s="116"/>
      <c r="I552" s="116"/>
      <c r="J552" s="116"/>
      <c r="K552" s="116"/>
      <c r="L552" s="116"/>
      <c r="M552" s="116"/>
      <c r="N552" s="116"/>
      <c r="O552" s="116"/>
      <c r="P552" s="300"/>
      <c r="Q552" s="300"/>
    </row>
    <row r="553" spans="1:17" s="498" customFormat="1" ht="21" customHeight="1">
      <c r="A553" s="300"/>
      <c r="B553" s="260"/>
      <c r="C553" s="111" t="s">
        <v>425</v>
      </c>
      <c r="D553" s="517">
        <f>SUM(D554,D556,D558)</f>
        <v>2510395330</v>
      </c>
      <c r="E553" s="125">
        <v>43402635532.330002</v>
      </c>
      <c r="F553" s="126">
        <f t="shared" ref="F553:F559" si="22">+D553/E553*100</f>
        <v>5.7839697963273276</v>
      </c>
      <c r="G553" s="116"/>
      <c r="H553" s="116"/>
      <c r="I553" s="116"/>
      <c r="J553" s="116"/>
      <c r="K553" s="116"/>
      <c r="L553" s="116"/>
      <c r="M553" s="116"/>
      <c r="N553" s="116"/>
      <c r="O553" s="116"/>
      <c r="P553" s="300"/>
      <c r="Q553" s="300"/>
    </row>
    <row r="554" spans="1:17" s="498" customFormat="1" ht="21" customHeight="1">
      <c r="A554" s="300"/>
      <c r="B554" s="260"/>
      <c r="C554" s="111" t="s">
        <v>162</v>
      </c>
      <c r="D554" s="517">
        <f>D555</f>
        <v>734533220</v>
      </c>
      <c r="E554" s="125">
        <v>43402635532.330002</v>
      </c>
      <c r="F554" s="126">
        <f t="shared" si="22"/>
        <v>1.692370085343911</v>
      </c>
      <c r="G554" s="116"/>
      <c r="H554" s="116"/>
      <c r="I554" s="116"/>
      <c r="J554" s="116"/>
      <c r="K554" s="116"/>
      <c r="L554" s="116"/>
      <c r="M554" s="116"/>
      <c r="N554" s="116"/>
      <c r="O554" s="116"/>
      <c r="P554" s="300"/>
      <c r="Q554" s="300"/>
    </row>
    <row r="555" spans="1:17" s="498" customFormat="1" ht="21" customHeight="1">
      <c r="A555" s="300"/>
      <c r="B555" s="260"/>
      <c r="C555" s="57" t="s">
        <v>1792</v>
      </c>
      <c r="D555" s="578">
        <v>734533220</v>
      </c>
      <c r="E555" s="125">
        <v>43402635532.330002</v>
      </c>
      <c r="F555" s="126">
        <f t="shared" si="22"/>
        <v>1.692370085343911</v>
      </c>
      <c r="G555" s="116"/>
      <c r="H555" s="116"/>
      <c r="I555" s="116"/>
      <c r="J555" s="116"/>
      <c r="K555" s="116"/>
      <c r="L555" s="116"/>
      <c r="M555" s="116"/>
      <c r="N555" s="116"/>
      <c r="O555" s="116"/>
      <c r="P555" s="300"/>
      <c r="Q555" s="300"/>
    </row>
    <row r="556" spans="1:17" s="498" customFormat="1" ht="21" customHeight="1">
      <c r="A556" s="300"/>
      <c r="B556" s="260"/>
      <c r="C556" s="111" t="s">
        <v>945</v>
      </c>
      <c r="D556" s="517">
        <f>D557</f>
        <v>200000000</v>
      </c>
      <c r="E556" s="125">
        <v>43402635532.330002</v>
      </c>
      <c r="F556" s="126">
        <f t="shared" si="22"/>
        <v>0.46080151020097121</v>
      </c>
      <c r="G556" s="116"/>
      <c r="H556" s="116"/>
      <c r="I556" s="116"/>
      <c r="J556" s="116"/>
      <c r="K556" s="116"/>
      <c r="L556" s="116"/>
      <c r="M556" s="116"/>
      <c r="N556" s="116"/>
      <c r="O556" s="116"/>
      <c r="P556" s="300"/>
      <c r="Q556" s="300"/>
    </row>
    <row r="557" spans="1:17" s="498" customFormat="1" ht="21" customHeight="1">
      <c r="A557" s="300"/>
      <c r="B557" s="260"/>
      <c r="C557" s="57" t="s">
        <v>1781</v>
      </c>
      <c r="D557" s="578">
        <v>200000000</v>
      </c>
      <c r="E557" s="125">
        <v>43402635532.330002</v>
      </c>
      <c r="F557" s="126">
        <f t="shared" si="22"/>
        <v>0.46080151020097121</v>
      </c>
      <c r="G557" s="116"/>
      <c r="H557" s="116"/>
      <c r="I557" s="116"/>
      <c r="J557" s="116"/>
      <c r="K557" s="116"/>
      <c r="L557" s="116"/>
      <c r="M557" s="116"/>
      <c r="N557" s="116"/>
      <c r="O557" s="116"/>
      <c r="P557" s="300"/>
      <c r="Q557" s="300"/>
    </row>
    <row r="558" spans="1:17" s="498" customFormat="1" ht="35.1" customHeight="1">
      <c r="A558" s="300"/>
      <c r="B558" s="260"/>
      <c r="C558" s="111" t="s">
        <v>1793</v>
      </c>
      <c r="D558" s="577">
        <f>D559</f>
        <v>1575862110</v>
      </c>
      <c r="E558" s="125">
        <v>43402635532.330002</v>
      </c>
      <c r="F558" s="126">
        <f t="shared" si="22"/>
        <v>3.6307982007824453</v>
      </c>
      <c r="G558" s="116"/>
      <c r="H558" s="116"/>
      <c r="I558" s="116"/>
      <c r="J558" s="116"/>
      <c r="K558" s="116"/>
      <c r="L558" s="116"/>
      <c r="M558" s="116"/>
      <c r="N558" s="116"/>
      <c r="O558" s="116"/>
      <c r="P558" s="300"/>
      <c r="Q558" s="300"/>
    </row>
    <row r="559" spans="1:17" s="498" customFormat="1" ht="21" customHeight="1">
      <c r="A559" s="300"/>
      <c r="B559" s="260"/>
      <c r="C559" s="123" t="s">
        <v>1794</v>
      </c>
      <c r="D559" s="578">
        <v>1575862110</v>
      </c>
      <c r="E559" s="125">
        <v>43402635532.330002</v>
      </c>
      <c r="F559" s="126">
        <f t="shared" si="22"/>
        <v>3.6307982007824453</v>
      </c>
      <c r="G559" s="116"/>
      <c r="H559" s="116"/>
      <c r="I559" s="116"/>
      <c r="J559" s="116"/>
      <c r="K559" s="116"/>
      <c r="L559" s="116"/>
      <c r="M559" s="116"/>
      <c r="N559" s="116"/>
      <c r="O559" s="116"/>
      <c r="P559" s="300"/>
      <c r="Q559" s="300"/>
    </row>
    <row r="560" spans="1:17" ht="21" customHeight="1">
      <c r="B560" s="260"/>
      <c r="C560" s="57"/>
      <c r="D560" s="556"/>
      <c r="E560" s="557"/>
      <c r="F560" s="511"/>
      <c r="G560" s="116"/>
      <c r="H560" s="116"/>
      <c r="I560" s="116"/>
      <c r="J560" s="116"/>
      <c r="K560" s="116"/>
      <c r="L560" s="116"/>
      <c r="M560" s="116"/>
      <c r="N560" s="116"/>
      <c r="O560" s="116"/>
    </row>
    <row r="561" spans="2:15" ht="21" customHeight="1">
      <c r="B561" s="260">
        <v>20</v>
      </c>
      <c r="C561" s="579" t="s">
        <v>2579</v>
      </c>
      <c r="D561" s="580">
        <f>+D562</f>
        <v>8859933263.8400002</v>
      </c>
      <c r="E561" s="422">
        <v>59066221758.909996</v>
      </c>
      <c r="F561" s="505">
        <f>+D561/E561*100</f>
        <v>15.000000000005928</v>
      </c>
      <c r="G561" s="116"/>
      <c r="H561" s="116"/>
      <c r="I561" s="116"/>
      <c r="J561" s="116"/>
      <c r="K561" s="116"/>
      <c r="L561" s="116"/>
      <c r="M561" s="116"/>
      <c r="N561" s="116"/>
      <c r="O561" s="116"/>
    </row>
    <row r="562" spans="2:15" ht="21" customHeight="1">
      <c r="B562" s="260"/>
      <c r="C562" s="581" t="s">
        <v>65</v>
      </c>
      <c r="D562" s="582">
        <f>+D563+D565+D567+D573+D575</f>
        <v>8859933263.8400002</v>
      </c>
      <c r="E562" s="321">
        <v>8859933263.8400002</v>
      </c>
      <c r="F562" s="536">
        <f t="shared" ref="F562:F576" si="23">+D562/E562*100</f>
        <v>100</v>
      </c>
      <c r="G562" s="116"/>
      <c r="H562" s="116"/>
      <c r="I562" s="116"/>
      <c r="J562" s="116"/>
      <c r="K562" s="116"/>
      <c r="L562" s="116"/>
      <c r="M562" s="116"/>
      <c r="N562" s="116"/>
      <c r="O562" s="116"/>
    </row>
    <row r="563" spans="2:15" ht="21" customHeight="1">
      <c r="B563" s="260"/>
      <c r="C563" s="581" t="s">
        <v>1878</v>
      </c>
      <c r="D563" s="582">
        <v>1000000000</v>
      </c>
      <c r="E563" s="321">
        <v>8859933263.8400002</v>
      </c>
      <c r="F563" s="536">
        <f t="shared" si="23"/>
        <v>11.286766730865736</v>
      </c>
      <c r="G563" s="116"/>
      <c r="H563" s="116"/>
      <c r="I563" s="116"/>
      <c r="J563" s="116"/>
      <c r="K563" s="116"/>
      <c r="L563" s="116"/>
      <c r="M563" s="116"/>
      <c r="N563" s="116"/>
      <c r="O563" s="116"/>
    </row>
    <row r="564" spans="2:15" ht="21" customHeight="1">
      <c r="B564" s="260"/>
      <c r="C564" s="583" t="s">
        <v>1879</v>
      </c>
      <c r="D564" s="584">
        <v>1000000000</v>
      </c>
      <c r="E564" s="321">
        <v>8859933263.8400002</v>
      </c>
      <c r="F564" s="536">
        <f t="shared" si="23"/>
        <v>11.286766730865736</v>
      </c>
      <c r="G564" s="116"/>
      <c r="H564" s="116"/>
      <c r="I564" s="116"/>
      <c r="J564" s="116"/>
      <c r="K564" s="116"/>
      <c r="L564" s="116"/>
      <c r="M564" s="116"/>
      <c r="N564" s="116"/>
      <c r="O564" s="116"/>
    </row>
    <row r="565" spans="2:15" ht="21" customHeight="1">
      <c r="B565" s="260"/>
      <c r="C565" s="581" t="s">
        <v>1171</v>
      </c>
      <c r="D565" s="582">
        <v>3540000000</v>
      </c>
      <c r="E565" s="321">
        <v>8859933263.8400002</v>
      </c>
      <c r="F565" s="536">
        <f t="shared" si="23"/>
        <v>39.955154227264714</v>
      </c>
      <c r="G565" s="116"/>
      <c r="H565" s="116"/>
      <c r="I565" s="116"/>
      <c r="J565" s="116"/>
      <c r="K565" s="116"/>
      <c r="L565" s="116"/>
      <c r="M565" s="116"/>
      <c r="N565" s="116"/>
      <c r="O565" s="116"/>
    </row>
    <row r="566" spans="2:15" ht="21" customHeight="1">
      <c r="B566" s="260"/>
      <c r="C566" s="583" t="s">
        <v>1496</v>
      </c>
      <c r="D566" s="584">
        <v>3540000000</v>
      </c>
      <c r="E566" s="321">
        <v>8859933263.8400002</v>
      </c>
      <c r="F566" s="536">
        <f t="shared" si="23"/>
        <v>39.955154227264714</v>
      </c>
      <c r="G566" s="116"/>
      <c r="H566" s="116"/>
      <c r="I566" s="116"/>
      <c r="J566" s="116"/>
      <c r="K566" s="116"/>
      <c r="L566" s="116"/>
      <c r="M566" s="116"/>
      <c r="N566" s="116"/>
      <c r="O566" s="116"/>
    </row>
    <row r="567" spans="2:15" ht="21" customHeight="1">
      <c r="B567" s="260"/>
      <c r="C567" s="581" t="s">
        <v>196</v>
      </c>
      <c r="D567" s="582">
        <v>1773030000</v>
      </c>
      <c r="E567" s="321">
        <v>8859933263.8400002</v>
      </c>
      <c r="F567" s="536">
        <f t="shared" si="23"/>
        <v>20.011776016826879</v>
      </c>
      <c r="G567" s="116"/>
      <c r="H567" s="116"/>
      <c r="I567" s="116"/>
      <c r="J567" s="116"/>
      <c r="K567" s="116"/>
      <c r="L567" s="116"/>
      <c r="M567" s="116"/>
      <c r="N567" s="116"/>
      <c r="O567" s="116"/>
    </row>
    <row r="568" spans="2:15" ht="21" customHeight="1">
      <c r="B568" s="260"/>
      <c r="C568" s="583" t="s">
        <v>1880</v>
      </c>
      <c r="D568" s="584">
        <v>300000000</v>
      </c>
      <c r="E568" s="321">
        <v>8859933263.8400002</v>
      </c>
      <c r="F568" s="536">
        <f t="shared" si="23"/>
        <v>3.3860300192597212</v>
      </c>
      <c r="G568" s="116"/>
      <c r="H568" s="116"/>
      <c r="I568" s="116"/>
      <c r="J568" s="116"/>
      <c r="K568" s="116"/>
      <c r="L568" s="116"/>
      <c r="M568" s="116"/>
      <c r="N568" s="116"/>
      <c r="O568" s="116"/>
    </row>
    <row r="569" spans="2:15" ht="21" customHeight="1">
      <c r="B569" s="260"/>
      <c r="C569" s="583" t="s">
        <v>1881</v>
      </c>
      <c r="D569" s="584">
        <v>415000000</v>
      </c>
      <c r="E569" s="321">
        <v>8859933263.8400002</v>
      </c>
      <c r="F569" s="536">
        <f t="shared" si="23"/>
        <v>4.684008193309281</v>
      </c>
      <c r="G569" s="116"/>
      <c r="H569" s="116"/>
      <c r="I569" s="116"/>
      <c r="J569" s="116"/>
      <c r="K569" s="116"/>
      <c r="L569" s="116"/>
      <c r="M569" s="116"/>
      <c r="N569" s="116"/>
      <c r="O569" s="116"/>
    </row>
    <row r="570" spans="2:15" ht="21" customHeight="1">
      <c r="B570" s="260"/>
      <c r="C570" s="583" t="s">
        <v>1882</v>
      </c>
      <c r="D570" s="584">
        <v>276000000</v>
      </c>
      <c r="E570" s="321">
        <v>8859933263.8400002</v>
      </c>
      <c r="F570" s="536">
        <f t="shared" si="23"/>
        <v>3.1151476177189434</v>
      </c>
      <c r="G570" s="116"/>
      <c r="H570" s="116"/>
      <c r="I570" s="116"/>
      <c r="J570" s="116"/>
      <c r="K570" s="116"/>
      <c r="L570" s="116"/>
      <c r="M570" s="116"/>
      <c r="N570" s="116"/>
      <c r="O570" s="116"/>
    </row>
    <row r="571" spans="2:15" ht="21" customHeight="1">
      <c r="B571" s="260"/>
      <c r="C571" s="583" t="s">
        <v>1883</v>
      </c>
      <c r="D571" s="584">
        <v>500020000</v>
      </c>
      <c r="E571" s="321">
        <v>8859933263.8400002</v>
      </c>
      <c r="F571" s="536">
        <f t="shared" si="23"/>
        <v>5.6436091007674865</v>
      </c>
      <c r="G571" s="116"/>
      <c r="H571" s="116"/>
      <c r="I571" s="116"/>
      <c r="J571" s="116"/>
      <c r="K571" s="116"/>
      <c r="L571" s="116"/>
      <c r="M571" s="116"/>
      <c r="N571" s="116"/>
      <c r="O571" s="116"/>
    </row>
    <row r="572" spans="2:15" ht="21" customHeight="1">
      <c r="B572" s="260"/>
      <c r="C572" s="583" t="s">
        <v>1884</v>
      </c>
      <c r="D572" s="584">
        <v>282010000</v>
      </c>
      <c r="E572" s="321">
        <v>8859933263.8400002</v>
      </c>
      <c r="F572" s="536">
        <f t="shared" si="23"/>
        <v>3.1829810857714467</v>
      </c>
      <c r="G572" s="116"/>
      <c r="H572" s="116"/>
      <c r="I572" s="116"/>
      <c r="J572" s="116"/>
      <c r="K572" s="116"/>
      <c r="L572" s="116"/>
      <c r="M572" s="116"/>
      <c r="N572" s="116"/>
      <c r="O572" s="116"/>
    </row>
    <row r="573" spans="2:15" ht="21" customHeight="1">
      <c r="B573" s="260"/>
      <c r="C573" s="581" t="s">
        <v>190</v>
      </c>
      <c r="D573" s="582">
        <v>1550550000</v>
      </c>
      <c r="E573" s="321">
        <v>8859933263.8400002</v>
      </c>
      <c r="F573" s="536">
        <f t="shared" si="23"/>
        <v>17.500696154543867</v>
      </c>
      <c r="G573" s="116"/>
      <c r="H573" s="116"/>
      <c r="I573" s="116"/>
      <c r="J573" s="116"/>
      <c r="K573" s="116"/>
      <c r="L573" s="116"/>
      <c r="M573" s="116"/>
      <c r="N573" s="116"/>
      <c r="O573" s="116"/>
    </row>
    <row r="574" spans="2:15" ht="21" customHeight="1">
      <c r="B574" s="260"/>
      <c r="C574" s="583" t="s">
        <v>684</v>
      </c>
      <c r="D574" s="584">
        <v>1550550000</v>
      </c>
      <c r="E574" s="321">
        <v>8859933263.8400002</v>
      </c>
      <c r="F574" s="536">
        <f t="shared" si="23"/>
        <v>17.500696154543867</v>
      </c>
      <c r="G574" s="116"/>
      <c r="H574" s="116"/>
      <c r="I574" s="116"/>
      <c r="J574" s="116"/>
      <c r="K574" s="116"/>
      <c r="L574" s="116"/>
      <c r="M574" s="116"/>
      <c r="N574" s="116"/>
      <c r="O574" s="116"/>
    </row>
    <row r="575" spans="2:15" ht="44.25" customHeight="1">
      <c r="B575" s="260"/>
      <c r="C575" s="581" t="s">
        <v>1885</v>
      </c>
      <c r="D575" s="582">
        <v>996353263.84000003</v>
      </c>
      <c r="E575" s="321">
        <v>8859933263.8400002</v>
      </c>
      <c r="F575" s="536">
        <f t="shared" si="23"/>
        <v>11.245606870498804</v>
      </c>
      <c r="G575" s="116"/>
      <c r="H575" s="116"/>
      <c r="I575" s="116"/>
      <c r="J575" s="116"/>
      <c r="K575" s="116"/>
      <c r="L575" s="116"/>
      <c r="M575" s="116"/>
      <c r="N575" s="116"/>
      <c r="O575" s="116"/>
    </row>
    <row r="576" spans="2:15" ht="21" customHeight="1">
      <c r="B576" s="260"/>
      <c r="C576" s="583" t="s">
        <v>1886</v>
      </c>
      <c r="D576" s="584">
        <v>996353263.84000003</v>
      </c>
      <c r="E576" s="321">
        <v>8859933263.8400002</v>
      </c>
      <c r="F576" s="536">
        <f t="shared" si="23"/>
        <v>11.245606870498804</v>
      </c>
      <c r="G576" s="116"/>
      <c r="H576" s="116"/>
      <c r="I576" s="116"/>
      <c r="J576" s="116"/>
      <c r="K576" s="116"/>
      <c r="L576" s="116"/>
      <c r="M576" s="116"/>
      <c r="N576" s="116"/>
      <c r="O576" s="116"/>
    </row>
    <row r="577" spans="1:17" ht="21" customHeight="1">
      <c r="B577" s="260"/>
      <c r="C577" s="57"/>
      <c r="D577" s="556"/>
      <c r="E577" s="557"/>
      <c r="F577" s="585" t="s">
        <v>2615</v>
      </c>
      <c r="G577" s="116"/>
      <c r="H577" s="116"/>
      <c r="I577" s="116"/>
      <c r="J577" s="116"/>
      <c r="K577" s="116"/>
      <c r="L577" s="116"/>
      <c r="M577" s="116"/>
      <c r="N577" s="116"/>
      <c r="O577" s="116"/>
    </row>
    <row r="578" spans="1:17" s="498" customFormat="1" ht="21" customHeight="1">
      <c r="A578" s="300"/>
      <c r="B578" s="260">
        <v>21</v>
      </c>
      <c r="C578" s="430" t="s">
        <v>2580</v>
      </c>
      <c r="D578" s="586">
        <f>D579</f>
        <v>9327876344.4799995</v>
      </c>
      <c r="E578" s="134">
        <v>62185842294.059998</v>
      </c>
      <c r="F578" s="505">
        <f>+D578/E578*100</f>
        <v>15.0000000005966</v>
      </c>
      <c r="G578" s="116"/>
      <c r="H578" s="116"/>
      <c r="I578" s="116"/>
      <c r="J578" s="116"/>
      <c r="K578" s="116"/>
      <c r="L578" s="116"/>
      <c r="M578" s="116"/>
      <c r="N578" s="116"/>
      <c r="O578" s="116"/>
      <c r="P578" s="300"/>
      <c r="Q578" s="300"/>
    </row>
    <row r="579" spans="1:17" s="498" customFormat="1" ht="21" customHeight="1">
      <c r="A579" s="300"/>
      <c r="B579" s="260"/>
      <c r="C579" s="150" t="s">
        <v>161</v>
      </c>
      <c r="D579" s="232">
        <f>D580+D582+D585+D587+D589+D594+D599</f>
        <v>9327876344.4799995</v>
      </c>
      <c r="E579" s="134">
        <v>9327876344.4799995</v>
      </c>
      <c r="F579" s="126">
        <f t="shared" ref="F579:F601" si="24">+D579/E579*100</f>
        <v>100</v>
      </c>
      <c r="G579" s="116"/>
      <c r="H579" s="116"/>
      <c r="I579" s="116"/>
      <c r="J579" s="116"/>
      <c r="K579" s="116"/>
      <c r="L579" s="116"/>
      <c r="M579" s="116"/>
      <c r="N579" s="116"/>
      <c r="O579" s="116"/>
      <c r="P579" s="300"/>
      <c r="Q579" s="300"/>
    </row>
    <row r="580" spans="1:17" s="498" customFormat="1" ht="21" customHeight="1">
      <c r="A580" s="300"/>
      <c r="B580" s="260"/>
      <c r="C580" s="150" t="s">
        <v>162</v>
      </c>
      <c r="D580" s="232">
        <f>SUM(D581)</f>
        <v>778531316.48000002</v>
      </c>
      <c r="E580" s="134">
        <v>9327876344.4799995</v>
      </c>
      <c r="F580" s="126">
        <f t="shared" si="24"/>
        <v>8.3462868473885266</v>
      </c>
      <c r="G580" s="116"/>
      <c r="H580" s="116"/>
      <c r="I580" s="116"/>
      <c r="J580" s="116"/>
      <c r="K580" s="116"/>
      <c r="L580" s="116"/>
      <c r="M580" s="116"/>
      <c r="N580" s="116"/>
      <c r="O580" s="116"/>
      <c r="P580" s="300"/>
      <c r="Q580" s="300"/>
    </row>
    <row r="581" spans="1:17" s="498" customFormat="1" ht="21" customHeight="1">
      <c r="A581" s="300"/>
      <c r="B581" s="260"/>
      <c r="C581" s="123" t="s">
        <v>1928</v>
      </c>
      <c r="D581" s="233">
        <v>778531316.48000002</v>
      </c>
      <c r="E581" s="134">
        <v>9327876344.4799995</v>
      </c>
      <c r="F581" s="126">
        <f t="shared" si="24"/>
        <v>8.3462868473885266</v>
      </c>
      <c r="G581" s="116"/>
      <c r="H581" s="116"/>
      <c r="I581" s="116"/>
      <c r="J581" s="116"/>
      <c r="K581" s="116"/>
      <c r="L581" s="116"/>
      <c r="M581" s="116"/>
      <c r="N581" s="116"/>
      <c r="O581" s="116"/>
      <c r="P581" s="300"/>
      <c r="Q581" s="300"/>
    </row>
    <row r="582" spans="1:17" s="498" customFormat="1" ht="21" customHeight="1">
      <c r="A582" s="300"/>
      <c r="B582" s="260"/>
      <c r="C582" s="111" t="s">
        <v>190</v>
      </c>
      <c r="D582" s="587">
        <f>D583+D584</f>
        <v>1402208000</v>
      </c>
      <c r="E582" s="134">
        <v>9327876344.4799995</v>
      </c>
      <c r="F582" s="126">
        <f t="shared" si="24"/>
        <v>15.032446274116735</v>
      </c>
      <c r="G582" s="116"/>
      <c r="H582" s="116"/>
      <c r="I582" s="116"/>
      <c r="J582" s="116"/>
      <c r="K582" s="116"/>
      <c r="L582" s="116"/>
      <c r="M582" s="116"/>
      <c r="N582" s="116"/>
      <c r="O582" s="116"/>
      <c r="P582" s="300"/>
      <c r="Q582" s="300"/>
    </row>
    <row r="583" spans="1:17" s="498" customFormat="1" ht="35.1" customHeight="1">
      <c r="A583" s="300"/>
      <c r="B583" s="260"/>
      <c r="C583" s="123" t="s">
        <v>1929</v>
      </c>
      <c r="D583" s="508">
        <v>802208000</v>
      </c>
      <c r="E583" s="134">
        <v>9327876344.4799995</v>
      </c>
      <c r="F583" s="126">
        <f t="shared" si="24"/>
        <v>8.6001140063860984</v>
      </c>
      <c r="G583" s="116"/>
      <c r="H583" s="116"/>
      <c r="I583" s="116"/>
      <c r="J583" s="116"/>
      <c r="K583" s="116"/>
      <c r="L583" s="116"/>
      <c r="M583" s="116"/>
      <c r="N583" s="116"/>
      <c r="O583" s="116"/>
      <c r="P583" s="300"/>
      <c r="Q583" s="300"/>
    </row>
    <row r="584" spans="1:17" s="498" customFormat="1" ht="21" customHeight="1">
      <c r="A584" s="300"/>
      <c r="B584" s="260"/>
      <c r="C584" s="123" t="s">
        <v>1930</v>
      </c>
      <c r="D584" s="508">
        <v>600000000</v>
      </c>
      <c r="E584" s="134">
        <v>9327876344.4799995</v>
      </c>
      <c r="F584" s="126">
        <f t="shared" si="24"/>
        <v>6.4323322677306365</v>
      </c>
      <c r="G584" s="116"/>
      <c r="H584" s="116"/>
      <c r="I584" s="116"/>
      <c r="J584" s="116"/>
      <c r="K584" s="116"/>
      <c r="L584" s="116"/>
      <c r="M584" s="116"/>
      <c r="N584" s="116"/>
      <c r="O584" s="116"/>
      <c r="P584" s="300"/>
      <c r="Q584" s="300"/>
    </row>
    <row r="585" spans="1:17" s="498" customFormat="1" ht="21" customHeight="1">
      <c r="A585" s="300"/>
      <c r="B585" s="260"/>
      <c r="C585" s="150" t="s">
        <v>196</v>
      </c>
      <c r="D585" s="232">
        <f>SUM(D586)</f>
        <v>801968000</v>
      </c>
      <c r="E585" s="134">
        <v>9327876344.4799995</v>
      </c>
      <c r="F585" s="126">
        <f t="shared" si="24"/>
        <v>8.5975410734790056</v>
      </c>
      <c r="G585" s="116"/>
      <c r="H585" s="116"/>
      <c r="I585" s="116"/>
      <c r="J585" s="116"/>
      <c r="K585" s="116"/>
      <c r="L585" s="116"/>
      <c r="M585" s="116"/>
      <c r="N585" s="116"/>
      <c r="O585" s="116"/>
      <c r="P585" s="300"/>
      <c r="Q585" s="300"/>
    </row>
    <row r="586" spans="1:17" s="498" customFormat="1" ht="21" customHeight="1">
      <c r="A586" s="300"/>
      <c r="B586" s="260"/>
      <c r="C586" s="123" t="s">
        <v>1931</v>
      </c>
      <c r="D586" s="508">
        <v>801968000</v>
      </c>
      <c r="E586" s="134">
        <v>9327876344.4799995</v>
      </c>
      <c r="F586" s="126">
        <f t="shared" si="24"/>
        <v>8.5975410734790056</v>
      </c>
      <c r="G586" s="116"/>
      <c r="H586" s="116"/>
      <c r="I586" s="116"/>
      <c r="J586" s="116"/>
      <c r="K586" s="116"/>
      <c r="L586" s="116"/>
      <c r="M586" s="116"/>
      <c r="N586" s="116"/>
      <c r="O586" s="116"/>
      <c r="P586" s="300"/>
      <c r="Q586" s="300"/>
    </row>
    <row r="587" spans="1:17" s="498" customFormat="1" ht="35.1" customHeight="1">
      <c r="A587" s="300"/>
      <c r="B587" s="260"/>
      <c r="C587" s="111" t="s">
        <v>1932</v>
      </c>
      <c r="D587" s="232">
        <f>D588</f>
        <v>266250000</v>
      </c>
      <c r="E587" s="134">
        <v>9327876344.4799995</v>
      </c>
      <c r="F587" s="126">
        <f t="shared" si="24"/>
        <v>2.8543474438054703</v>
      </c>
      <c r="G587" s="116"/>
      <c r="H587" s="116"/>
      <c r="I587" s="116"/>
      <c r="J587" s="116"/>
      <c r="K587" s="116"/>
      <c r="L587" s="116"/>
      <c r="M587" s="116"/>
      <c r="N587" s="116"/>
      <c r="O587" s="116"/>
      <c r="P587" s="300"/>
      <c r="Q587" s="300"/>
    </row>
    <row r="588" spans="1:17" s="498" customFormat="1" ht="35.1" customHeight="1">
      <c r="A588" s="300"/>
      <c r="B588" s="260"/>
      <c r="C588" s="123" t="s">
        <v>1933</v>
      </c>
      <c r="D588" s="233">
        <v>266250000</v>
      </c>
      <c r="E588" s="134">
        <v>9327876344.4799995</v>
      </c>
      <c r="F588" s="126">
        <f t="shared" si="24"/>
        <v>2.8543474438054703</v>
      </c>
      <c r="G588" s="116"/>
      <c r="H588" s="116"/>
      <c r="I588" s="116"/>
      <c r="J588" s="116"/>
      <c r="K588" s="116"/>
      <c r="L588" s="116"/>
      <c r="M588" s="116"/>
      <c r="N588" s="116"/>
      <c r="O588" s="116"/>
      <c r="P588" s="300"/>
      <c r="Q588" s="300"/>
    </row>
    <row r="589" spans="1:17" s="498" customFormat="1" ht="35.1" customHeight="1">
      <c r="A589" s="300"/>
      <c r="B589" s="260"/>
      <c r="C589" s="111" t="s">
        <v>1414</v>
      </c>
      <c r="D589" s="587">
        <f>SUM(D590:D593)</f>
        <v>2896371028</v>
      </c>
      <c r="E589" s="134">
        <v>9327876344.4799995</v>
      </c>
      <c r="F589" s="126">
        <f t="shared" si="24"/>
        <v>31.050701371207595</v>
      </c>
      <c r="G589" s="116"/>
      <c r="H589" s="116"/>
      <c r="I589" s="116"/>
      <c r="J589" s="116"/>
      <c r="K589" s="116"/>
      <c r="L589" s="116"/>
      <c r="M589" s="116"/>
      <c r="N589" s="116"/>
      <c r="O589" s="116"/>
      <c r="P589" s="300"/>
      <c r="Q589" s="300"/>
    </row>
    <row r="590" spans="1:17" s="498" customFormat="1" ht="21" customHeight="1">
      <c r="A590" s="300"/>
      <c r="B590" s="260"/>
      <c r="C590" s="123" t="s">
        <v>1934</v>
      </c>
      <c r="D590" s="508">
        <v>1003174888</v>
      </c>
      <c r="E590" s="134">
        <v>9327876344.4799995</v>
      </c>
      <c r="F590" s="126">
        <f t="shared" si="24"/>
        <v>10.754590337099113</v>
      </c>
      <c r="G590" s="116"/>
      <c r="H590" s="116"/>
      <c r="I590" s="116"/>
      <c r="J590" s="116"/>
      <c r="K590" s="116"/>
      <c r="L590" s="116"/>
      <c r="M590" s="116"/>
      <c r="N590" s="116"/>
      <c r="O590" s="116"/>
      <c r="P590" s="300"/>
      <c r="Q590" s="300"/>
    </row>
    <row r="591" spans="1:17" s="498" customFormat="1" ht="21" customHeight="1">
      <c r="A591" s="300"/>
      <c r="B591" s="260"/>
      <c r="C591" s="123" t="s">
        <v>1935</v>
      </c>
      <c r="D591" s="508">
        <v>506196140</v>
      </c>
      <c r="E591" s="134">
        <v>9327876344.4799995</v>
      </c>
      <c r="F591" s="126">
        <f t="shared" si="24"/>
        <v>5.4267029418711576</v>
      </c>
      <c r="G591" s="116"/>
      <c r="H591" s="116"/>
      <c r="I591" s="116"/>
      <c r="J591" s="116"/>
      <c r="K591" s="116"/>
      <c r="L591" s="116"/>
      <c r="M591" s="116"/>
      <c r="N591" s="116"/>
      <c r="O591" s="116"/>
      <c r="P591" s="300"/>
      <c r="Q591" s="300"/>
    </row>
    <row r="592" spans="1:17" s="498" customFormat="1" ht="21" customHeight="1">
      <c r="A592" s="300"/>
      <c r="B592" s="260"/>
      <c r="C592" s="123" t="s">
        <v>1936</v>
      </c>
      <c r="D592" s="508">
        <v>657000000</v>
      </c>
      <c r="E592" s="134">
        <v>9327876344.4799995</v>
      </c>
      <c r="F592" s="126">
        <f t="shared" si="24"/>
        <v>7.0434038331650477</v>
      </c>
      <c r="G592" s="116"/>
      <c r="H592" s="116"/>
      <c r="I592" s="116"/>
      <c r="J592" s="116"/>
      <c r="K592" s="116"/>
      <c r="L592" s="116"/>
      <c r="M592" s="116"/>
      <c r="N592" s="116"/>
      <c r="O592" s="116"/>
      <c r="P592" s="300"/>
      <c r="Q592" s="300"/>
    </row>
    <row r="593" spans="1:17" s="498" customFormat="1" ht="21" customHeight="1">
      <c r="A593" s="300"/>
      <c r="B593" s="260"/>
      <c r="C593" s="123" t="s">
        <v>1937</v>
      </c>
      <c r="D593" s="508">
        <v>730000000</v>
      </c>
      <c r="E593" s="134">
        <v>9327876344.4799995</v>
      </c>
      <c r="F593" s="126">
        <f t="shared" si="24"/>
        <v>7.8260042590722749</v>
      </c>
      <c r="G593" s="116"/>
      <c r="H593" s="116"/>
      <c r="I593" s="116"/>
      <c r="J593" s="116"/>
      <c r="K593" s="116"/>
      <c r="L593" s="116"/>
      <c r="M593" s="116"/>
      <c r="N593" s="116"/>
      <c r="O593" s="116"/>
      <c r="P593" s="300"/>
      <c r="Q593" s="300"/>
    </row>
    <row r="594" spans="1:17" s="498" customFormat="1" ht="21" customHeight="1">
      <c r="A594" s="300"/>
      <c r="B594" s="260"/>
      <c r="C594" s="111" t="s">
        <v>221</v>
      </c>
      <c r="D594" s="587">
        <f>SUM(D595:D598)</f>
        <v>961980000</v>
      </c>
      <c r="E594" s="134">
        <v>9327876344.4799995</v>
      </c>
      <c r="F594" s="126">
        <f t="shared" si="24"/>
        <v>10.312958324852531</v>
      </c>
      <c r="G594" s="116"/>
      <c r="H594" s="116"/>
      <c r="I594" s="116"/>
      <c r="J594" s="116"/>
      <c r="K594" s="116"/>
      <c r="L594" s="116"/>
      <c r="M594" s="116"/>
      <c r="N594" s="116"/>
      <c r="O594" s="116"/>
      <c r="P594" s="300"/>
      <c r="Q594" s="300"/>
    </row>
    <row r="595" spans="1:17" s="498" customFormat="1" ht="21" customHeight="1">
      <c r="A595" s="300"/>
      <c r="B595" s="260"/>
      <c r="C595" s="123" t="s">
        <v>1938</v>
      </c>
      <c r="D595" s="233">
        <v>200000000</v>
      </c>
      <c r="E595" s="134">
        <v>9327876344.4799995</v>
      </c>
      <c r="F595" s="126">
        <f t="shared" si="24"/>
        <v>2.1441107559102122</v>
      </c>
      <c r="G595" s="116"/>
      <c r="H595" s="116"/>
      <c r="I595" s="116"/>
      <c r="J595" s="116"/>
      <c r="K595" s="116"/>
      <c r="L595" s="116"/>
      <c r="M595" s="116"/>
      <c r="N595" s="116"/>
      <c r="O595" s="116"/>
      <c r="P595" s="300"/>
      <c r="Q595" s="300"/>
    </row>
    <row r="596" spans="1:17" s="498" customFormat="1" ht="21" customHeight="1">
      <c r="A596" s="300"/>
      <c r="B596" s="260"/>
      <c r="C596" s="123" t="s">
        <v>1939</v>
      </c>
      <c r="D596" s="233">
        <v>252180000</v>
      </c>
      <c r="E596" s="134">
        <v>9327876344.4799995</v>
      </c>
      <c r="F596" s="126">
        <f t="shared" si="24"/>
        <v>2.7035092521271866</v>
      </c>
      <c r="G596" s="116"/>
      <c r="H596" s="116"/>
      <c r="I596" s="116"/>
      <c r="J596" s="116"/>
      <c r="K596" s="116"/>
      <c r="L596" s="116"/>
      <c r="M596" s="116"/>
      <c r="N596" s="116"/>
      <c r="O596" s="116"/>
      <c r="P596" s="300"/>
      <c r="Q596" s="300"/>
    </row>
    <row r="597" spans="1:17" s="498" customFormat="1" ht="21" customHeight="1">
      <c r="A597" s="300"/>
      <c r="B597" s="260"/>
      <c r="C597" s="123" t="s">
        <v>1940</v>
      </c>
      <c r="D597" s="233">
        <v>321800000</v>
      </c>
      <c r="E597" s="134">
        <v>9327876344.4799995</v>
      </c>
      <c r="F597" s="126">
        <f t="shared" si="24"/>
        <v>3.4498742062595316</v>
      </c>
      <c r="G597" s="116"/>
      <c r="H597" s="116"/>
      <c r="I597" s="116"/>
      <c r="J597" s="116"/>
      <c r="K597" s="116"/>
      <c r="L597" s="116"/>
      <c r="M597" s="116"/>
      <c r="N597" s="116"/>
      <c r="O597" s="116"/>
      <c r="P597" s="300"/>
      <c r="Q597" s="300"/>
    </row>
    <row r="598" spans="1:17" s="498" customFormat="1" ht="21" customHeight="1">
      <c r="A598" s="300"/>
      <c r="B598" s="260"/>
      <c r="C598" s="123" t="s">
        <v>1941</v>
      </c>
      <c r="D598" s="233">
        <v>188000000</v>
      </c>
      <c r="E598" s="134">
        <v>9327876344.4799995</v>
      </c>
      <c r="F598" s="126">
        <f t="shared" si="24"/>
        <v>2.0154641105555995</v>
      </c>
      <c r="G598" s="116"/>
      <c r="H598" s="116"/>
      <c r="I598" s="116"/>
      <c r="J598" s="116"/>
      <c r="K598" s="116"/>
      <c r="L598" s="116"/>
      <c r="M598" s="116"/>
      <c r="N598" s="116"/>
      <c r="O598" s="116"/>
      <c r="P598" s="300"/>
      <c r="Q598" s="300"/>
    </row>
    <row r="599" spans="1:17" s="498" customFormat="1" ht="21" customHeight="1">
      <c r="A599" s="300"/>
      <c r="B599" s="260"/>
      <c r="C599" s="111" t="s">
        <v>1501</v>
      </c>
      <c r="D599" s="587">
        <f>D600+D601</f>
        <v>2220568000</v>
      </c>
      <c r="E599" s="134">
        <v>9327876344.4799995</v>
      </c>
      <c r="F599" s="126">
        <f t="shared" si="24"/>
        <v>23.805718665150142</v>
      </c>
      <c r="G599" s="116"/>
      <c r="H599" s="116"/>
      <c r="I599" s="116"/>
      <c r="J599" s="116"/>
      <c r="K599" s="116"/>
      <c r="L599" s="116"/>
      <c r="M599" s="116"/>
      <c r="N599" s="116"/>
      <c r="O599" s="116"/>
      <c r="P599" s="300"/>
      <c r="Q599" s="300"/>
    </row>
    <row r="600" spans="1:17" s="498" customFormat="1" ht="21" customHeight="1">
      <c r="A600" s="300"/>
      <c r="B600" s="260"/>
      <c r="C600" s="123" t="s">
        <v>1942</v>
      </c>
      <c r="D600" s="588">
        <v>1205000000</v>
      </c>
      <c r="E600" s="134">
        <v>9327876344.4799995</v>
      </c>
      <c r="F600" s="126">
        <f t="shared" si="24"/>
        <v>12.918267304359029</v>
      </c>
      <c r="G600" s="116"/>
      <c r="H600" s="116"/>
      <c r="I600" s="116"/>
      <c r="J600" s="116"/>
      <c r="K600" s="116"/>
      <c r="L600" s="116"/>
      <c r="M600" s="116"/>
      <c r="N600" s="116"/>
      <c r="O600" s="116"/>
      <c r="P600" s="300"/>
      <c r="Q600" s="300"/>
    </row>
    <row r="601" spans="1:17" s="498" customFormat="1" ht="35.1" customHeight="1">
      <c r="A601" s="300"/>
      <c r="B601" s="260"/>
      <c r="C601" s="123" t="s">
        <v>1943</v>
      </c>
      <c r="D601" s="588">
        <v>1015568000</v>
      </c>
      <c r="E601" s="134">
        <v>9327876344.4799995</v>
      </c>
      <c r="F601" s="126">
        <f t="shared" si="24"/>
        <v>10.887451360791113</v>
      </c>
      <c r="G601" s="116"/>
      <c r="H601" s="116"/>
      <c r="I601" s="116"/>
      <c r="J601" s="116"/>
      <c r="K601" s="116"/>
      <c r="L601" s="116"/>
      <c r="M601" s="116"/>
      <c r="N601" s="116"/>
      <c r="O601" s="116"/>
      <c r="P601" s="300"/>
      <c r="Q601" s="300"/>
    </row>
    <row r="602" spans="1:17" ht="21" customHeight="1">
      <c r="B602" s="260"/>
      <c r="C602" s="123"/>
      <c r="D602" s="588"/>
      <c r="E602" s="134"/>
      <c r="F602" s="126"/>
      <c r="G602" s="116"/>
      <c r="H602" s="116"/>
      <c r="I602" s="116"/>
      <c r="J602" s="116"/>
      <c r="K602" s="116"/>
      <c r="L602" s="116"/>
      <c r="M602" s="116"/>
      <c r="N602" s="116"/>
      <c r="O602" s="116"/>
    </row>
    <row r="603" spans="1:17" s="498" customFormat="1" ht="21" customHeight="1">
      <c r="A603" s="300"/>
      <c r="B603" s="260">
        <v>22</v>
      </c>
      <c r="C603" s="150" t="s">
        <v>2581</v>
      </c>
      <c r="D603" s="589">
        <f>+D604+D616+D621</f>
        <v>13170000000</v>
      </c>
      <c r="E603" s="438">
        <v>65793806208</v>
      </c>
      <c r="F603" s="505">
        <f>+D603/E603*100</f>
        <v>20.017081787857766</v>
      </c>
      <c r="G603" s="116"/>
      <c r="H603" s="116"/>
      <c r="I603" s="116"/>
      <c r="J603" s="116"/>
      <c r="K603" s="116"/>
      <c r="L603" s="116"/>
      <c r="M603" s="116"/>
      <c r="N603" s="116"/>
      <c r="O603" s="116"/>
      <c r="P603" s="300"/>
      <c r="Q603" s="300"/>
    </row>
    <row r="604" spans="1:17" s="498" customFormat="1" ht="21" customHeight="1">
      <c r="A604" s="300"/>
      <c r="B604" s="260"/>
      <c r="C604" s="150" t="s">
        <v>161</v>
      </c>
      <c r="D604" s="590">
        <f>D605+D607+D609+D612</f>
        <v>6102000000</v>
      </c>
      <c r="E604" s="125">
        <v>13170000000</v>
      </c>
      <c r="F604" s="126">
        <f t="shared" ref="F604:F622" si="25">+D604/E604*100</f>
        <v>46.332574031890658</v>
      </c>
      <c r="G604" s="116"/>
      <c r="H604" s="116"/>
      <c r="I604" s="116"/>
      <c r="J604" s="116"/>
      <c r="K604" s="116"/>
      <c r="L604" s="116"/>
      <c r="M604" s="116"/>
      <c r="N604" s="116"/>
      <c r="O604" s="116"/>
      <c r="P604" s="300"/>
      <c r="Q604" s="300"/>
    </row>
    <row r="605" spans="1:17" s="498" customFormat="1" ht="21" customHeight="1">
      <c r="A605" s="300"/>
      <c r="B605" s="260"/>
      <c r="C605" s="57" t="s">
        <v>162</v>
      </c>
      <c r="D605" s="591">
        <f>D606</f>
        <v>1600000000</v>
      </c>
      <c r="E605" s="125">
        <v>13170000000</v>
      </c>
      <c r="F605" s="126">
        <f t="shared" si="25"/>
        <v>12.148823082763856</v>
      </c>
      <c r="G605" s="116"/>
      <c r="H605" s="116"/>
      <c r="I605" s="116"/>
      <c r="J605" s="116"/>
      <c r="K605" s="116"/>
      <c r="L605" s="116"/>
      <c r="M605" s="116"/>
      <c r="N605" s="116"/>
      <c r="O605" s="116"/>
      <c r="P605" s="300"/>
      <c r="Q605" s="300"/>
    </row>
    <row r="606" spans="1:17" s="498" customFormat="1" ht="21" customHeight="1">
      <c r="A606" s="300"/>
      <c r="B606" s="260"/>
      <c r="C606" s="57" t="s">
        <v>607</v>
      </c>
      <c r="D606" s="591">
        <v>1600000000</v>
      </c>
      <c r="E606" s="125">
        <v>13170000000</v>
      </c>
      <c r="F606" s="126">
        <f t="shared" si="25"/>
        <v>12.148823082763856</v>
      </c>
      <c r="G606" s="116"/>
      <c r="H606" s="116"/>
      <c r="I606" s="116"/>
      <c r="J606" s="116"/>
      <c r="K606" s="116"/>
      <c r="L606" s="116"/>
      <c r="M606" s="116"/>
      <c r="N606" s="116"/>
      <c r="O606" s="116"/>
      <c r="P606" s="300"/>
      <c r="Q606" s="300"/>
    </row>
    <row r="607" spans="1:17" s="498" customFormat="1" ht="21" customHeight="1">
      <c r="A607" s="300"/>
      <c r="B607" s="260"/>
      <c r="C607" s="57" t="s">
        <v>173</v>
      </c>
      <c r="D607" s="591">
        <f>D608</f>
        <v>3288000000</v>
      </c>
      <c r="E607" s="125">
        <v>13170000000</v>
      </c>
      <c r="F607" s="126">
        <f t="shared" si="25"/>
        <v>24.965831435079728</v>
      </c>
      <c r="G607" s="116"/>
      <c r="H607" s="116"/>
      <c r="I607" s="116"/>
      <c r="J607" s="116"/>
      <c r="K607" s="116"/>
      <c r="L607" s="116"/>
      <c r="M607" s="116"/>
      <c r="N607" s="116"/>
      <c r="O607" s="116"/>
      <c r="P607" s="300"/>
      <c r="Q607" s="300"/>
    </row>
    <row r="608" spans="1:17" s="498" customFormat="1" ht="21" customHeight="1">
      <c r="A608" s="300"/>
      <c r="B608" s="260"/>
      <c r="C608" s="57" t="s">
        <v>414</v>
      </c>
      <c r="D608" s="591">
        <v>3288000000</v>
      </c>
      <c r="E608" s="125">
        <v>13170000000</v>
      </c>
      <c r="F608" s="126">
        <f t="shared" si="25"/>
        <v>24.965831435079728</v>
      </c>
      <c r="G608" s="116"/>
      <c r="H608" s="116"/>
      <c r="I608" s="116"/>
      <c r="J608" s="116"/>
      <c r="K608" s="116"/>
      <c r="L608" s="116"/>
      <c r="M608" s="116"/>
      <c r="N608" s="116"/>
      <c r="O608" s="116"/>
      <c r="P608" s="300"/>
      <c r="Q608" s="300"/>
    </row>
    <row r="609" spans="1:17" s="498" customFormat="1" ht="21" customHeight="1">
      <c r="A609" s="300"/>
      <c r="B609" s="260"/>
      <c r="C609" s="57" t="s">
        <v>190</v>
      </c>
      <c r="D609" s="591">
        <f>SUM(D610:D611)</f>
        <v>632344560</v>
      </c>
      <c r="E609" s="125">
        <v>13170000000</v>
      </c>
      <c r="F609" s="126">
        <f t="shared" si="25"/>
        <v>4.8014013667425974</v>
      </c>
      <c r="G609" s="116"/>
      <c r="H609" s="116"/>
      <c r="I609" s="116"/>
      <c r="J609" s="116"/>
      <c r="K609" s="116"/>
      <c r="L609" s="116"/>
      <c r="M609" s="116"/>
      <c r="N609" s="116"/>
      <c r="O609" s="116"/>
      <c r="P609" s="300"/>
      <c r="Q609" s="300"/>
    </row>
    <row r="610" spans="1:17" s="498" customFormat="1" ht="21" customHeight="1">
      <c r="A610" s="300"/>
      <c r="B610" s="260"/>
      <c r="C610" s="57" t="s">
        <v>1997</v>
      </c>
      <c r="D610" s="591">
        <v>203244560</v>
      </c>
      <c r="E610" s="125">
        <v>13170000000</v>
      </c>
      <c r="F610" s="126">
        <f t="shared" si="25"/>
        <v>1.5432388762338649</v>
      </c>
      <c r="G610" s="116"/>
      <c r="H610" s="116"/>
      <c r="I610" s="116"/>
      <c r="J610" s="116"/>
      <c r="K610" s="116"/>
      <c r="L610" s="116"/>
      <c r="M610" s="116"/>
      <c r="N610" s="116"/>
      <c r="O610" s="116"/>
      <c r="P610" s="300"/>
      <c r="Q610" s="300"/>
    </row>
    <row r="611" spans="1:17" s="498" customFormat="1" ht="35.1" customHeight="1">
      <c r="A611" s="300"/>
      <c r="B611" s="260"/>
      <c r="C611" s="57" t="s">
        <v>1998</v>
      </c>
      <c r="D611" s="591">
        <v>429100000</v>
      </c>
      <c r="E611" s="125">
        <v>13170000000</v>
      </c>
      <c r="F611" s="126">
        <f t="shared" si="25"/>
        <v>3.2581624905087323</v>
      </c>
      <c r="G611" s="116"/>
      <c r="H611" s="116"/>
      <c r="I611" s="116"/>
      <c r="J611" s="116"/>
      <c r="K611" s="116"/>
      <c r="L611" s="116"/>
      <c r="M611" s="116"/>
      <c r="N611" s="116"/>
      <c r="O611" s="116"/>
      <c r="P611" s="300"/>
      <c r="Q611" s="300"/>
    </row>
    <row r="612" spans="1:17" s="498" customFormat="1" ht="21" customHeight="1">
      <c r="A612" s="300"/>
      <c r="B612" s="260"/>
      <c r="C612" s="57" t="s">
        <v>1999</v>
      </c>
      <c r="D612" s="591">
        <f>SUM(D613:D614)</f>
        <v>581655440</v>
      </c>
      <c r="E612" s="125">
        <v>13170000000</v>
      </c>
      <c r="F612" s="126">
        <f t="shared" si="25"/>
        <v>4.4165181473044797</v>
      </c>
      <c r="G612" s="116"/>
      <c r="H612" s="116"/>
      <c r="I612" s="116"/>
      <c r="J612" s="116"/>
      <c r="K612" s="116"/>
      <c r="L612" s="116"/>
      <c r="M612" s="116"/>
      <c r="N612" s="116"/>
      <c r="O612" s="116"/>
      <c r="P612" s="300"/>
      <c r="Q612" s="300"/>
    </row>
    <row r="613" spans="1:17" s="498" customFormat="1" ht="21" customHeight="1">
      <c r="A613" s="300"/>
      <c r="B613" s="260"/>
      <c r="C613" s="57" t="s">
        <v>1408</v>
      </c>
      <c r="D613" s="591">
        <v>254600000</v>
      </c>
      <c r="E613" s="125">
        <v>13170000000</v>
      </c>
      <c r="F613" s="126">
        <f t="shared" si="25"/>
        <v>1.9331814730447989</v>
      </c>
      <c r="G613" s="116"/>
      <c r="H613" s="116"/>
      <c r="I613" s="116"/>
      <c r="J613" s="116"/>
      <c r="K613" s="116"/>
      <c r="L613" s="116"/>
      <c r="M613" s="116"/>
      <c r="N613" s="116"/>
      <c r="O613" s="116"/>
      <c r="P613" s="300"/>
      <c r="Q613" s="300"/>
    </row>
    <row r="614" spans="1:17" s="498" customFormat="1" ht="21" customHeight="1">
      <c r="A614" s="300"/>
      <c r="B614" s="260"/>
      <c r="C614" s="57" t="s">
        <v>2000</v>
      </c>
      <c r="D614" s="591">
        <v>327055440</v>
      </c>
      <c r="E614" s="125">
        <v>13170000000</v>
      </c>
      <c r="F614" s="126">
        <f t="shared" si="25"/>
        <v>2.483336674259681</v>
      </c>
      <c r="G614" s="116"/>
      <c r="H614" s="116"/>
      <c r="I614" s="116"/>
      <c r="J614" s="116"/>
      <c r="K614" s="116"/>
      <c r="L614" s="116"/>
      <c r="M614" s="116"/>
      <c r="N614" s="116"/>
      <c r="O614" s="116"/>
      <c r="P614" s="300"/>
      <c r="Q614" s="300"/>
    </row>
    <row r="615" spans="1:17" s="498" customFormat="1" ht="21" customHeight="1">
      <c r="A615" s="300"/>
      <c r="B615" s="260"/>
      <c r="C615" s="57"/>
      <c r="D615" s="591"/>
      <c r="E615" s="125">
        <v>13170000000</v>
      </c>
      <c r="F615" s="126">
        <f t="shared" si="25"/>
        <v>0</v>
      </c>
      <c r="G615" s="116"/>
      <c r="H615" s="116"/>
      <c r="I615" s="116"/>
      <c r="J615" s="116"/>
      <c r="K615" s="116"/>
      <c r="L615" s="116"/>
      <c r="M615" s="116"/>
      <c r="N615" s="116"/>
      <c r="O615" s="116"/>
      <c r="P615" s="300"/>
      <c r="Q615" s="300"/>
    </row>
    <row r="616" spans="1:17" s="498" customFormat="1" ht="21" customHeight="1">
      <c r="A616" s="300"/>
      <c r="B616" s="260"/>
      <c r="C616" s="150" t="s">
        <v>425</v>
      </c>
      <c r="D616" s="590">
        <f>D617</f>
        <v>3568000000</v>
      </c>
      <c r="E616" s="125">
        <v>13170000000</v>
      </c>
      <c r="F616" s="126">
        <f t="shared" si="25"/>
        <v>27.091875474563405</v>
      </c>
      <c r="G616" s="116"/>
      <c r="H616" s="116"/>
      <c r="I616" s="116"/>
      <c r="J616" s="116"/>
      <c r="K616" s="116"/>
      <c r="L616" s="116"/>
      <c r="M616" s="116"/>
      <c r="N616" s="116"/>
      <c r="O616" s="116"/>
      <c r="P616" s="300"/>
      <c r="Q616" s="300"/>
    </row>
    <row r="617" spans="1:17" s="498" customFormat="1" ht="21" customHeight="1">
      <c r="A617" s="300"/>
      <c r="B617" s="260"/>
      <c r="C617" s="57" t="s">
        <v>2001</v>
      </c>
      <c r="D617" s="591">
        <f>SUM(D618:D619)</f>
        <v>3568000000</v>
      </c>
      <c r="E617" s="125">
        <v>13170000000</v>
      </c>
      <c r="F617" s="126">
        <f t="shared" si="25"/>
        <v>27.091875474563405</v>
      </c>
      <c r="G617" s="116"/>
      <c r="H617" s="116"/>
      <c r="I617" s="116"/>
      <c r="J617" s="116"/>
      <c r="K617" s="116"/>
      <c r="L617" s="116"/>
      <c r="M617" s="116"/>
      <c r="N617" s="116"/>
      <c r="O617" s="116"/>
      <c r="P617" s="300"/>
      <c r="Q617" s="300"/>
    </row>
    <row r="618" spans="1:17" s="498" customFormat="1" ht="21" customHeight="1">
      <c r="A618" s="300"/>
      <c r="B618" s="260"/>
      <c r="C618" s="57" t="s">
        <v>2002</v>
      </c>
      <c r="D618" s="591">
        <v>1000000000</v>
      </c>
      <c r="E618" s="125">
        <v>13170000000</v>
      </c>
      <c r="F618" s="126">
        <f t="shared" si="25"/>
        <v>7.5930144267274109</v>
      </c>
      <c r="G618" s="116"/>
      <c r="H618" s="116"/>
      <c r="I618" s="116"/>
      <c r="J618" s="116"/>
      <c r="K618" s="116"/>
      <c r="L618" s="116"/>
      <c r="M618" s="116"/>
      <c r="N618" s="116"/>
      <c r="O618" s="116"/>
      <c r="P618" s="300"/>
      <c r="Q618" s="300"/>
    </row>
    <row r="619" spans="1:17" s="498" customFormat="1" ht="21" customHeight="1">
      <c r="A619" s="300"/>
      <c r="B619" s="260"/>
      <c r="C619" s="57" t="s">
        <v>2003</v>
      </c>
      <c r="D619" s="591">
        <v>2568000000</v>
      </c>
      <c r="E619" s="125">
        <v>13170000000</v>
      </c>
      <c r="F619" s="126">
        <f t="shared" si="25"/>
        <v>19.498861047835991</v>
      </c>
      <c r="G619" s="116"/>
      <c r="H619" s="116"/>
      <c r="I619" s="116"/>
      <c r="J619" s="116"/>
      <c r="K619" s="116"/>
      <c r="L619" s="116"/>
      <c r="M619" s="116"/>
      <c r="N619" s="116"/>
      <c r="O619" s="116"/>
      <c r="P619" s="300"/>
      <c r="Q619" s="300"/>
    </row>
    <row r="620" spans="1:17" s="498" customFormat="1" ht="21" customHeight="1">
      <c r="A620" s="300"/>
      <c r="B620" s="260"/>
      <c r="C620" s="57"/>
      <c r="D620" s="556"/>
      <c r="E620" s="125">
        <v>13170000000</v>
      </c>
      <c r="F620" s="126">
        <f t="shared" si="25"/>
        <v>0</v>
      </c>
      <c r="G620" s="116"/>
      <c r="H620" s="116"/>
      <c r="I620" s="116"/>
      <c r="J620" s="116"/>
      <c r="K620" s="116"/>
      <c r="L620" s="116"/>
      <c r="M620" s="116"/>
      <c r="N620" s="116"/>
      <c r="O620" s="116"/>
      <c r="P620" s="300"/>
      <c r="Q620" s="300"/>
    </row>
    <row r="621" spans="1:17" s="498" customFormat="1" ht="21" customHeight="1">
      <c r="A621" s="300"/>
      <c r="B621" s="260"/>
      <c r="C621" s="150" t="s">
        <v>1219</v>
      </c>
      <c r="D621" s="592">
        <f>D622</f>
        <v>3500000000</v>
      </c>
      <c r="E621" s="125">
        <v>13170000000</v>
      </c>
      <c r="F621" s="126">
        <f t="shared" si="25"/>
        <v>26.575550493545936</v>
      </c>
      <c r="G621" s="116"/>
      <c r="H621" s="116"/>
      <c r="I621" s="116"/>
      <c r="J621" s="116"/>
      <c r="K621" s="116"/>
      <c r="L621" s="116"/>
      <c r="M621" s="116"/>
      <c r="N621" s="116"/>
      <c r="O621" s="116"/>
      <c r="P621" s="300"/>
      <c r="Q621" s="300"/>
    </row>
    <row r="622" spans="1:17" s="498" customFormat="1" ht="35.1" customHeight="1">
      <c r="A622" s="300"/>
      <c r="B622" s="260"/>
      <c r="C622" s="123" t="s">
        <v>2616</v>
      </c>
      <c r="D622" s="593">
        <v>3500000000</v>
      </c>
      <c r="E622" s="125">
        <v>13170000000</v>
      </c>
      <c r="F622" s="126">
        <f t="shared" si="25"/>
        <v>26.575550493545936</v>
      </c>
      <c r="G622" s="116"/>
      <c r="H622" s="116"/>
      <c r="I622" s="116"/>
      <c r="J622" s="116"/>
      <c r="K622" s="116"/>
      <c r="L622" s="116"/>
      <c r="M622" s="116"/>
      <c r="N622" s="116"/>
      <c r="O622" s="116"/>
      <c r="P622" s="300"/>
      <c r="Q622" s="300"/>
    </row>
    <row r="623" spans="1:17" ht="21" customHeight="1">
      <c r="B623" s="260"/>
      <c r="C623" s="57"/>
      <c r="D623" s="556"/>
      <c r="E623" s="557"/>
      <c r="F623" s="511"/>
      <c r="G623" s="116"/>
      <c r="H623" s="116"/>
      <c r="I623" s="116"/>
      <c r="J623" s="116"/>
      <c r="K623" s="116"/>
      <c r="L623" s="116"/>
      <c r="M623" s="116"/>
      <c r="N623" s="116"/>
      <c r="O623" s="116"/>
    </row>
    <row r="624" spans="1:17" s="498" customFormat="1" ht="21" customHeight="1">
      <c r="A624" s="300"/>
      <c r="B624" s="260">
        <v>23</v>
      </c>
      <c r="C624" s="111" t="s">
        <v>2582</v>
      </c>
      <c r="D624" s="520">
        <f>+D625</f>
        <v>10901218000</v>
      </c>
      <c r="E624" s="438">
        <v>61543588793.150002</v>
      </c>
      <c r="F624" s="505">
        <f>+D624/E624*100</f>
        <v>17.71300343995107</v>
      </c>
      <c r="G624" s="116"/>
      <c r="H624" s="116"/>
      <c r="I624" s="116"/>
      <c r="J624" s="116"/>
      <c r="K624" s="116"/>
      <c r="L624" s="116"/>
      <c r="M624" s="116"/>
      <c r="N624" s="116"/>
      <c r="O624" s="116"/>
      <c r="P624" s="300"/>
      <c r="Q624" s="300"/>
    </row>
    <row r="625" spans="1:17" s="522" customFormat="1" ht="21" customHeight="1">
      <c r="A625" s="314"/>
      <c r="B625" s="260"/>
      <c r="C625" s="150" t="s">
        <v>161</v>
      </c>
      <c r="D625" s="594">
        <v>10901218000</v>
      </c>
      <c r="E625" s="234">
        <v>10901218000</v>
      </c>
      <c r="F625" s="505">
        <f>+D625/E625*100</f>
        <v>100</v>
      </c>
      <c r="G625" s="121"/>
      <c r="H625" s="121"/>
      <c r="I625" s="121"/>
      <c r="J625" s="121"/>
      <c r="K625" s="121"/>
      <c r="L625" s="121"/>
      <c r="M625" s="121"/>
      <c r="N625" s="121"/>
      <c r="O625" s="121"/>
      <c r="P625" s="314"/>
      <c r="Q625" s="314"/>
    </row>
    <row r="626" spans="1:17" s="522" customFormat="1" ht="21" customHeight="1">
      <c r="A626" s="314"/>
      <c r="B626" s="260"/>
      <c r="C626" s="150" t="s">
        <v>162</v>
      </c>
      <c r="D626" s="594">
        <v>213000000</v>
      </c>
      <c r="E626" s="234">
        <v>10901218000</v>
      </c>
      <c r="F626" s="505">
        <f t="shared" ref="F626:F641" si="26">+D626/E626*100</f>
        <v>1.9539101043571463</v>
      </c>
      <c r="G626" s="121"/>
      <c r="H626" s="121"/>
      <c r="I626" s="121"/>
      <c r="J626" s="121"/>
      <c r="K626" s="121"/>
      <c r="L626" s="121"/>
      <c r="M626" s="121"/>
      <c r="N626" s="121"/>
      <c r="O626" s="121"/>
      <c r="P626" s="314"/>
      <c r="Q626" s="314"/>
    </row>
    <row r="627" spans="1:17" s="498" customFormat="1" ht="21" customHeight="1">
      <c r="A627" s="300"/>
      <c r="B627" s="260"/>
      <c r="C627" s="57" t="s">
        <v>2030</v>
      </c>
      <c r="D627" s="595">
        <v>213000000</v>
      </c>
      <c r="E627" s="234">
        <v>10901218000</v>
      </c>
      <c r="F627" s="505">
        <f t="shared" si="26"/>
        <v>1.9539101043571463</v>
      </c>
      <c r="G627" s="116"/>
      <c r="H627" s="116"/>
      <c r="I627" s="116"/>
      <c r="J627" s="116"/>
      <c r="K627" s="116"/>
      <c r="L627" s="116"/>
      <c r="M627" s="116"/>
      <c r="N627" s="116"/>
      <c r="O627" s="116"/>
      <c r="P627" s="300"/>
      <c r="Q627" s="300"/>
    </row>
    <row r="628" spans="1:17" s="522" customFormat="1" ht="21" customHeight="1">
      <c r="A628" s="314"/>
      <c r="B628" s="260"/>
      <c r="C628" s="150" t="s">
        <v>173</v>
      </c>
      <c r="D628" s="594">
        <v>6851400000</v>
      </c>
      <c r="E628" s="234">
        <v>10901218000</v>
      </c>
      <c r="F628" s="505">
        <f t="shared" si="26"/>
        <v>62.849857694800718</v>
      </c>
      <c r="G628" s="121"/>
      <c r="H628" s="121"/>
      <c r="I628" s="121"/>
      <c r="J628" s="121"/>
      <c r="K628" s="121"/>
      <c r="L628" s="121"/>
      <c r="M628" s="121"/>
      <c r="N628" s="121"/>
      <c r="O628" s="121"/>
      <c r="P628" s="314"/>
      <c r="Q628" s="314"/>
    </row>
    <row r="629" spans="1:17" s="498" customFormat="1" ht="21" customHeight="1">
      <c r="A629" s="300"/>
      <c r="B629" s="260"/>
      <c r="C629" s="57" t="s">
        <v>2031</v>
      </c>
      <c r="D629" s="595">
        <v>6800400000</v>
      </c>
      <c r="E629" s="234">
        <v>10901218000</v>
      </c>
      <c r="F629" s="505">
        <f t="shared" si="26"/>
        <v>62.38202006417999</v>
      </c>
      <c r="G629" s="116"/>
      <c r="H629" s="116"/>
      <c r="I629" s="116"/>
      <c r="J629" s="116"/>
      <c r="K629" s="116"/>
      <c r="L629" s="116"/>
      <c r="M629" s="116"/>
      <c r="N629" s="116"/>
      <c r="O629" s="116"/>
      <c r="P629" s="300"/>
      <c r="Q629" s="300"/>
    </row>
    <row r="630" spans="1:17" s="498" customFormat="1" ht="35.1" customHeight="1">
      <c r="A630" s="300"/>
      <c r="B630" s="260"/>
      <c r="C630" s="57" t="s">
        <v>2032</v>
      </c>
      <c r="D630" s="595">
        <v>51000000</v>
      </c>
      <c r="E630" s="234">
        <v>10901218000</v>
      </c>
      <c r="F630" s="505">
        <f t="shared" si="26"/>
        <v>0.46783763062072509</v>
      </c>
      <c r="G630" s="116"/>
      <c r="H630" s="116"/>
      <c r="I630" s="116"/>
      <c r="J630" s="116"/>
      <c r="K630" s="116"/>
      <c r="L630" s="116"/>
      <c r="M630" s="116"/>
      <c r="N630" s="116"/>
      <c r="O630" s="116"/>
      <c r="P630" s="300"/>
      <c r="Q630" s="300"/>
    </row>
    <row r="631" spans="1:17" s="522" customFormat="1" ht="21" customHeight="1">
      <c r="A631" s="314"/>
      <c r="B631" s="260"/>
      <c r="C631" s="150" t="s">
        <v>1171</v>
      </c>
      <c r="D631" s="594">
        <v>2456400000</v>
      </c>
      <c r="E631" s="234">
        <v>10901218000</v>
      </c>
      <c r="F631" s="505">
        <f t="shared" si="26"/>
        <v>22.533261879544103</v>
      </c>
      <c r="G631" s="121"/>
      <c r="H631" s="121"/>
      <c r="I631" s="121"/>
      <c r="J631" s="121"/>
      <c r="K631" s="121"/>
      <c r="L631" s="121"/>
      <c r="M631" s="121"/>
      <c r="N631" s="121"/>
      <c r="O631" s="121"/>
      <c r="P631" s="314"/>
      <c r="Q631" s="314"/>
    </row>
    <row r="632" spans="1:17" s="498" customFormat="1" ht="21" customHeight="1">
      <c r="A632" s="300"/>
      <c r="B632" s="260"/>
      <c r="C632" s="57" t="s">
        <v>1496</v>
      </c>
      <c r="D632" s="595">
        <v>2456400000</v>
      </c>
      <c r="E632" s="234">
        <v>10901218000</v>
      </c>
      <c r="F632" s="505">
        <f t="shared" si="26"/>
        <v>22.533261879544103</v>
      </c>
      <c r="G632" s="116"/>
      <c r="H632" s="116"/>
      <c r="I632" s="116"/>
      <c r="J632" s="116"/>
      <c r="K632" s="116"/>
      <c r="L632" s="116"/>
      <c r="M632" s="116"/>
      <c r="N632" s="116"/>
      <c r="O632" s="116"/>
      <c r="P632" s="300"/>
      <c r="Q632" s="300"/>
    </row>
    <row r="633" spans="1:17" s="498" customFormat="1" ht="21" customHeight="1">
      <c r="A633" s="300"/>
      <c r="B633" s="260"/>
      <c r="C633" s="57" t="s">
        <v>1878</v>
      </c>
      <c r="D633" s="595">
        <v>317280000</v>
      </c>
      <c r="E633" s="234">
        <v>10901218000</v>
      </c>
      <c r="F633" s="505">
        <f t="shared" si="26"/>
        <v>2.910500459673405</v>
      </c>
      <c r="G633" s="116"/>
      <c r="H633" s="116"/>
      <c r="I633" s="116"/>
      <c r="J633" s="116"/>
      <c r="K633" s="116"/>
      <c r="L633" s="116"/>
      <c r="M633" s="116"/>
      <c r="N633" s="116"/>
      <c r="O633" s="116"/>
      <c r="P633" s="300"/>
      <c r="Q633" s="300"/>
    </row>
    <row r="634" spans="1:17" s="498" customFormat="1" ht="21" customHeight="1">
      <c r="A634" s="300"/>
      <c r="B634" s="260"/>
      <c r="C634" s="57" t="s">
        <v>1879</v>
      </c>
      <c r="D634" s="595">
        <v>317280000</v>
      </c>
      <c r="E634" s="234">
        <v>10901218000</v>
      </c>
      <c r="F634" s="505">
        <f t="shared" si="26"/>
        <v>2.910500459673405</v>
      </c>
      <c r="G634" s="116"/>
      <c r="H634" s="116"/>
      <c r="I634" s="116"/>
      <c r="J634" s="116"/>
      <c r="K634" s="116"/>
      <c r="L634" s="116"/>
      <c r="M634" s="116"/>
      <c r="N634" s="116"/>
      <c r="O634" s="116"/>
      <c r="P634" s="300"/>
      <c r="Q634" s="300"/>
    </row>
    <row r="635" spans="1:17" s="522" customFormat="1" ht="21" customHeight="1">
      <c r="A635" s="314"/>
      <c r="B635" s="260"/>
      <c r="C635" s="150" t="s">
        <v>2033</v>
      </c>
      <c r="D635" s="594">
        <v>656306000</v>
      </c>
      <c r="E635" s="234">
        <v>10901218000</v>
      </c>
      <c r="F635" s="505">
        <f t="shared" si="26"/>
        <v>6.0204832157287376</v>
      </c>
      <c r="G635" s="121"/>
      <c r="H635" s="121"/>
      <c r="I635" s="121"/>
      <c r="J635" s="121"/>
      <c r="K635" s="121"/>
      <c r="L635" s="121"/>
      <c r="M635" s="121"/>
      <c r="N635" s="121"/>
      <c r="O635" s="121"/>
      <c r="P635" s="314"/>
      <c r="Q635" s="314"/>
    </row>
    <row r="636" spans="1:17" s="498" customFormat="1" ht="35.1" customHeight="1">
      <c r="A636" s="300"/>
      <c r="B636" s="260"/>
      <c r="C636" s="57" t="s">
        <v>2034</v>
      </c>
      <c r="D636" s="595">
        <v>433306000</v>
      </c>
      <c r="E636" s="234">
        <v>10901218000</v>
      </c>
      <c r="F636" s="505">
        <f t="shared" si="26"/>
        <v>3.9748402426224301</v>
      </c>
      <c r="G636" s="116"/>
      <c r="H636" s="116"/>
      <c r="I636" s="116"/>
      <c r="J636" s="116"/>
      <c r="K636" s="116"/>
      <c r="L636" s="116"/>
      <c r="M636" s="116"/>
      <c r="N636" s="116"/>
      <c r="O636" s="116"/>
      <c r="P636" s="300"/>
      <c r="Q636" s="300"/>
    </row>
    <row r="637" spans="1:17" s="498" customFormat="1" ht="35.1" customHeight="1">
      <c r="A637" s="300"/>
      <c r="B637" s="260"/>
      <c r="C637" s="57" t="s">
        <v>2035</v>
      </c>
      <c r="D637" s="595">
        <v>223000000</v>
      </c>
      <c r="E637" s="234">
        <v>10901218000</v>
      </c>
      <c r="F637" s="505">
        <f t="shared" si="26"/>
        <v>2.0456429731063079</v>
      </c>
      <c r="G637" s="116"/>
      <c r="H637" s="116"/>
      <c r="I637" s="116"/>
      <c r="J637" s="116"/>
      <c r="K637" s="116"/>
      <c r="L637" s="116"/>
      <c r="M637" s="116"/>
      <c r="N637" s="116"/>
      <c r="O637" s="116"/>
      <c r="P637" s="300"/>
      <c r="Q637" s="300"/>
    </row>
    <row r="638" spans="1:17" s="522" customFormat="1" ht="21" customHeight="1">
      <c r="A638" s="314"/>
      <c r="B638" s="260"/>
      <c r="C638" s="150" t="s">
        <v>1501</v>
      </c>
      <c r="D638" s="594">
        <v>260512000</v>
      </c>
      <c r="E638" s="234">
        <v>10901218000</v>
      </c>
      <c r="F638" s="505">
        <f t="shared" si="26"/>
        <v>2.3897513103581636</v>
      </c>
      <c r="G638" s="121"/>
      <c r="H638" s="121"/>
      <c r="I638" s="121"/>
      <c r="J638" s="121"/>
      <c r="K638" s="121"/>
      <c r="L638" s="121"/>
      <c r="M638" s="121"/>
      <c r="N638" s="121"/>
      <c r="O638" s="121"/>
      <c r="P638" s="314"/>
      <c r="Q638" s="314"/>
    </row>
    <row r="639" spans="1:17" s="498" customFormat="1" ht="79.5" customHeight="1">
      <c r="A639" s="300"/>
      <c r="B639" s="260"/>
      <c r="C639" s="57" t="s">
        <v>2036</v>
      </c>
      <c r="D639" s="595">
        <v>260512000</v>
      </c>
      <c r="E639" s="234">
        <v>10901218000</v>
      </c>
      <c r="F639" s="505">
        <f t="shared" si="26"/>
        <v>2.3897513103581636</v>
      </c>
      <c r="G639" s="116"/>
      <c r="H639" s="116"/>
      <c r="I639" s="116"/>
      <c r="J639" s="116"/>
      <c r="K639" s="116"/>
      <c r="L639" s="116"/>
      <c r="M639" s="116"/>
      <c r="N639" s="116"/>
      <c r="O639" s="116"/>
      <c r="P639" s="300"/>
      <c r="Q639" s="300"/>
    </row>
    <row r="640" spans="1:17" s="522" customFormat="1" ht="21" customHeight="1">
      <c r="A640" s="314"/>
      <c r="B640" s="260"/>
      <c r="C640" s="150" t="s">
        <v>877</v>
      </c>
      <c r="D640" s="594">
        <v>146320000</v>
      </c>
      <c r="E640" s="234">
        <v>10901218000</v>
      </c>
      <c r="F640" s="505">
        <f t="shared" si="26"/>
        <v>1.3422353355377354</v>
      </c>
      <c r="G640" s="121"/>
      <c r="H640" s="121"/>
      <c r="I640" s="121"/>
      <c r="J640" s="121"/>
      <c r="K640" s="121"/>
      <c r="L640" s="121"/>
      <c r="M640" s="121"/>
      <c r="N640" s="121"/>
      <c r="O640" s="121"/>
      <c r="P640" s="314"/>
      <c r="Q640" s="314"/>
    </row>
    <row r="641" spans="1:17" s="498" customFormat="1" ht="21" customHeight="1">
      <c r="A641" s="300"/>
      <c r="B641" s="260"/>
      <c r="C641" s="57" t="s">
        <v>2037</v>
      </c>
      <c r="D641" s="595">
        <v>146320000</v>
      </c>
      <c r="E641" s="234">
        <v>10901218000</v>
      </c>
      <c r="F641" s="505">
        <f t="shared" si="26"/>
        <v>1.3422353355377354</v>
      </c>
      <c r="G641" s="116"/>
      <c r="H641" s="116"/>
      <c r="I641" s="116"/>
      <c r="J641" s="116"/>
      <c r="K641" s="116"/>
      <c r="L641" s="116"/>
      <c r="M641" s="116"/>
      <c r="N641" s="116"/>
      <c r="O641" s="116"/>
      <c r="P641" s="300"/>
      <c r="Q641" s="300"/>
    </row>
    <row r="642" spans="1:17" ht="21" customHeight="1">
      <c r="B642" s="260"/>
      <c r="C642" s="57"/>
      <c r="D642" s="595"/>
      <c r="E642" s="113"/>
      <c r="F642" s="511"/>
      <c r="G642" s="116"/>
      <c r="H642" s="116"/>
      <c r="I642" s="116"/>
      <c r="J642" s="116"/>
      <c r="K642" s="116"/>
      <c r="L642" s="116"/>
      <c r="M642" s="116"/>
      <c r="N642" s="116"/>
      <c r="O642" s="116"/>
    </row>
    <row r="643" spans="1:17" s="522" customFormat="1" ht="21" customHeight="1">
      <c r="A643" s="314"/>
      <c r="B643" s="260">
        <v>24</v>
      </c>
      <c r="C643" s="150" t="s">
        <v>2583</v>
      </c>
      <c r="D643" s="596">
        <f>+D644</f>
        <v>9231688037.3299999</v>
      </c>
      <c r="E643" s="113">
        <v>61544586915.559998</v>
      </c>
      <c r="F643" s="505">
        <f>+D643/E643*100</f>
        <v>14.999999999993502</v>
      </c>
      <c r="G643" s="121"/>
      <c r="H643" s="121"/>
      <c r="I643" s="121"/>
      <c r="J643" s="121"/>
      <c r="K643" s="121"/>
      <c r="L643" s="121"/>
      <c r="M643" s="121"/>
      <c r="N643" s="121"/>
      <c r="O643" s="121"/>
      <c r="P643" s="314"/>
      <c r="Q643" s="314"/>
    </row>
    <row r="644" spans="1:17" s="498" customFormat="1" ht="21" customHeight="1">
      <c r="A644" s="300"/>
      <c r="B644" s="260"/>
      <c r="C644" s="148" t="s">
        <v>65</v>
      </c>
      <c r="D644" s="232">
        <f>D645+D647+D649+D652+D654</f>
        <v>9231688037.3299999</v>
      </c>
      <c r="E644" s="113">
        <v>9231688037</v>
      </c>
      <c r="F644" s="126">
        <f t="shared" ref="F644:F655" si="27">+D644/E644*100</f>
        <v>100.00000000357466</v>
      </c>
      <c r="G644" s="116"/>
      <c r="H644" s="116"/>
      <c r="I644" s="116"/>
      <c r="J644" s="116"/>
      <c r="K644" s="116"/>
      <c r="L644" s="116"/>
      <c r="M644" s="116"/>
      <c r="N644" s="116"/>
      <c r="O644" s="116"/>
      <c r="P644" s="300"/>
      <c r="Q644" s="300"/>
    </row>
    <row r="645" spans="1:17" s="498" customFormat="1" ht="21" customHeight="1">
      <c r="A645" s="300"/>
      <c r="B645" s="260"/>
      <c r="C645" s="148" t="s">
        <v>1878</v>
      </c>
      <c r="D645" s="232">
        <f>SUM(D646)</f>
        <v>29500000</v>
      </c>
      <c r="E645" s="113">
        <v>9231688037</v>
      </c>
      <c r="F645" s="126">
        <f t="shared" si="27"/>
        <v>0.31955152602390735</v>
      </c>
      <c r="G645" s="116"/>
      <c r="H645" s="116"/>
      <c r="I645" s="116"/>
      <c r="J645" s="116"/>
      <c r="K645" s="116"/>
      <c r="L645" s="116"/>
      <c r="M645" s="116"/>
      <c r="N645" s="116"/>
      <c r="O645" s="116"/>
      <c r="P645" s="300"/>
      <c r="Q645" s="300"/>
    </row>
    <row r="646" spans="1:17" s="498" customFormat="1" ht="21" customHeight="1">
      <c r="A646" s="300"/>
      <c r="B646" s="260"/>
      <c r="C646" s="57" t="s">
        <v>1879</v>
      </c>
      <c r="D646" s="233">
        <v>29500000</v>
      </c>
      <c r="E646" s="113">
        <v>9231688037</v>
      </c>
      <c r="F646" s="126">
        <f t="shared" si="27"/>
        <v>0.31955152602390735</v>
      </c>
      <c r="G646" s="116"/>
      <c r="H646" s="116"/>
      <c r="I646" s="116"/>
      <c r="J646" s="116"/>
      <c r="K646" s="116"/>
      <c r="L646" s="116"/>
      <c r="M646" s="116"/>
      <c r="N646" s="116"/>
      <c r="O646" s="116"/>
      <c r="P646" s="300"/>
      <c r="Q646" s="300"/>
    </row>
    <row r="647" spans="1:17" s="498" customFormat="1" ht="21" customHeight="1">
      <c r="A647" s="300"/>
      <c r="B647" s="260"/>
      <c r="C647" s="148" t="s">
        <v>162</v>
      </c>
      <c r="D647" s="232">
        <f>SUM(D648:D648)</f>
        <v>336200000</v>
      </c>
      <c r="E647" s="113">
        <v>9231688037</v>
      </c>
      <c r="F647" s="126">
        <f t="shared" si="27"/>
        <v>3.6418041711605986</v>
      </c>
      <c r="G647" s="116"/>
      <c r="H647" s="116"/>
      <c r="I647" s="116"/>
      <c r="J647" s="116"/>
      <c r="K647" s="116"/>
      <c r="L647" s="116"/>
      <c r="M647" s="116"/>
      <c r="N647" s="116"/>
      <c r="O647" s="116"/>
      <c r="P647" s="300"/>
      <c r="Q647" s="300"/>
    </row>
    <row r="648" spans="1:17" s="498" customFormat="1" ht="21" customHeight="1">
      <c r="A648" s="300"/>
      <c r="B648" s="260"/>
      <c r="C648" s="57" t="s">
        <v>2030</v>
      </c>
      <c r="D648" s="233">
        <v>336200000</v>
      </c>
      <c r="E648" s="113">
        <v>9231688037</v>
      </c>
      <c r="F648" s="126">
        <f t="shared" si="27"/>
        <v>3.6418041711605986</v>
      </c>
      <c r="G648" s="116"/>
      <c r="H648" s="116"/>
      <c r="I648" s="116"/>
      <c r="J648" s="116"/>
      <c r="K648" s="116"/>
      <c r="L648" s="116"/>
      <c r="M648" s="116"/>
      <c r="N648" s="116"/>
      <c r="O648" s="116"/>
      <c r="P648" s="300"/>
      <c r="Q648" s="300"/>
    </row>
    <row r="649" spans="1:17" s="498" customFormat="1" ht="21" customHeight="1">
      <c r="A649" s="300"/>
      <c r="B649" s="260"/>
      <c r="C649" s="148" t="s">
        <v>173</v>
      </c>
      <c r="D649" s="232">
        <f>D650+D651</f>
        <v>4870700000</v>
      </c>
      <c r="E649" s="113">
        <v>9231688037</v>
      </c>
      <c r="F649" s="126">
        <f t="shared" si="27"/>
        <v>52.760665010326967</v>
      </c>
      <c r="G649" s="116"/>
      <c r="H649" s="116"/>
      <c r="I649" s="116"/>
      <c r="J649" s="116"/>
      <c r="K649" s="116"/>
      <c r="L649" s="116"/>
      <c r="M649" s="116"/>
      <c r="N649" s="116"/>
      <c r="O649" s="116"/>
      <c r="P649" s="300"/>
      <c r="Q649" s="300"/>
    </row>
    <row r="650" spans="1:17" s="498" customFormat="1" ht="21" customHeight="1">
      <c r="A650" s="300"/>
      <c r="B650" s="260"/>
      <c r="C650" s="57" t="s">
        <v>414</v>
      </c>
      <c r="D650" s="233">
        <v>1488300000</v>
      </c>
      <c r="E650" s="113">
        <v>9231688037</v>
      </c>
      <c r="F650" s="126">
        <f t="shared" si="27"/>
        <v>16.121645294284114</v>
      </c>
      <c r="G650" s="116"/>
      <c r="H650" s="116"/>
      <c r="I650" s="116"/>
      <c r="J650" s="116"/>
      <c r="K650" s="116"/>
      <c r="L650" s="116"/>
      <c r="M650" s="116"/>
      <c r="N650" s="116"/>
      <c r="O650" s="116"/>
      <c r="P650" s="300"/>
      <c r="Q650" s="300"/>
    </row>
    <row r="651" spans="1:17" s="498" customFormat="1" ht="35.1" customHeight="1">
      <c r="A651" s="300"/>
      <c r="B651" s="260"/>
      <c r="C651" s="57" t="s">
        <v>2079</v>
      </c>
      <c r="D651" s="233">
        <v>3382400000</v>
      </c>
      <c r="E651" s="113">
        <v>9231688037</v>
      </c>
      <c r="F651" s="126">
        <f t="shared" si="27"/>
        <v>36.63901971604286</v>
      </c>
      <c r="G651" s="116"/>
      <c r="H651" s="116"/>
      <c r="I651" s="116"/>
      <c r="J651" s="116"/>
      <c r="K651" s="116"/>
      <c r="L651" s="116"/>
      <c r="M651" s="116"/>
      <c r="N651" s="116"/>
      <c r="O651" s="116"/>
      <c r="P651" s="300"/>
      <c r="Q651" s="300"/>
    </row>
    <row r="652" spans="1:17" s="498" customFormat="1" ht="21" customHeight="1">
      <c r="A652" s="300"/>
      <c r="B652" s="260"/>
      <c r="C652" s="148" t="s">
        <v>2080</v>
      </c>
      <c r="D652" s="232">
        <f>SUM(D653:D653)</f>
        <v>226000000</v>
      </c>
      <c r="E652" s="113">
        <v>9231688037</v>
      </c>
      <c r="F652" s="126">
        <f t="shared" si="27"/>
        <v>2.4480896569967143</v>
      </c>
      <c r="G652" s="116"/>
      <c r="H652" s="116"/>
      <c r="I652" s="116"/>
      <c r="J652" s="116"/>
      <c r="K652" s="116"/>
      <c r="L652" s="116"/>
      <c r="M652" s="116"/>
      <c r="N652" s="116"/>
      <c r="O652" s="116"/>
      <c r="P652" s="300"/>
      <c r="Q652" s="300"/>
    </row>
    <row r="653" spans="1:17" s="498" customFormat="1" ht="21" customHeight="1">
      <c r="A653" s="300"/>
      <c r="B653" s="260"/>
      <c r="C653" s="57" t="s">
        <v>684</v>
      </c>
      <c r="D653" s="233">
        <v>226000000</v>
      </c>
      <c r="E653" s="113">
        <v>9231688037</v>
      </c>
      <c r="F653" s="126">
        <f t="shared" si="27"/>
        <v>2.4480896569967143</v>
      </c>
      <c r="G653" s="116"/>
      <c r="H653" s="116"/>
      <c r="I653" s="116"/>
      <c r="J653" s="116"/>
      <c r="K653" s="116"/>
      <c r="L653" s="116"/>
      <c r="M653" s="116"/>
      <c r="N653" s="116"/>
      <c r="O653" s="116"/>
      <c r="P653" s="300"/>
      <c r="Q653" s="300"/>
    </row>
    <row r="654" spans="1:17" s="498" customFormat="1" ht="35.1" customHeight="1">
      <c r="A654" s="300"/>
      <c r="B654" s="260"/>
      <c r="C654" s="148" t="s">
        <v>2081</v>
      </c>
      <c r="D654" s="232">
        <f>SUM(D655:D655)</f>
        <v>3769288037.3299999</v>
      </c>
      <c r="E654" s="113">
        <v>9231688037</v>
      </c>
      <c r="F654" s="126">
        <f t="shared" si="27"/>
        <v>40.829889639066451</v>
      </c>
      <c r="G654" s="116"/>
      <c r="H654" s="116"/>
      <c r="I654" s="116"/>
      <c r="J654" s="116"/>
      <c r="K654" s="116"/>
      <c r="L654" s="116"/>
      <c r="M654" s="116"/>
      <c r="N654" s="116"/>
      <c r="O654" s="116"/>
      <c r="P654" s="300"/>
      <c r="Q654" s="300"/>
    </row>
    <row r="655" spans="1:17" s="498" customFormat="1" ht="21" customHeight="1">
      <c r="A655" s="300"/>
      <c r="B655" s="260"/>
      <c r="C655" s="57" t="s">
        <v>2082</v>
      </c>
      <c r="D655" s="233">
        <v>3769288037.3299999</v>
      </c>
      <c r="E655" s="113">
        <v>9231688037</v>
      </c>
      <c r="F655" s="126">
        <f t="shared" si="27"/>
        <v>40.829889639066451</v>
      </c>
      <c r="G655" s="116"/>
      <c r="H655" s="116"/>
      <c r="I655" s="116"/>
      <c r="J655" s="116"/>
      <c r="K655" s="116"/>
      <c r="L655" s="116"/>
      <c r="M655" s="116"/>
      <c r="N655" s="116"/>
      <c r="O655" s="116"/>
      <c r="P655" s="300"/>
      <c r="Q655" s="300"/>
    </row>
    <row r="656" spans="1:17" ht="21" customHeight="1">
      <c r="B656" s="260"/>
      <c r="C656" s="57"/>
      <c r="D656" s="556"/>
      <c r="E656" s="557"/>
      <c r="F656" s="511"/>
      <c r="G656" s="116"/>
      <c r="H656" s="116"/>
      <c r="I656" s="116"/>
      <c r="J656" s="116"/>
      <c r="K656" s="116"/>
      <c r="L656" s="116"/>
      <c r="M656" s="116"/>
      <c r="N656" s="116"/>
      <c r="O656" s="116"/>
    </row>
    <row r="657" spans="1:17" s="498" customFormat="1" ht="21" customHeight="1">
      <c r="A657" s="300"/>
      <c r="B657" s="260">
        <v>25</v>
      </c>
      <c r="C657" s="150" t="s">
        <v>2584</v>
      </c>
      <c r="D657" s="589">
        <f>+D658+D667</f>
        <v>10447415964</v>
      </c>
      <c r="E657" s="438">
        <v>64316106424</v>
      </c>
      <c r="F657" s="505">
        <f>+D657/E657*100</f>
        <v>16.243856391315184</v>
      </c>
      <c r="G657" s="116"/>
      <c r="H657" s="116"/>
      <c r="I657" s="116"/>
      <c r="J657" s="116"/>
      <c r="K657" s="116"/>
      <c r="L657" s="116"/>
      <c r="M657" s="116"/>
      <c r="N657" s="116"/>
      <c r="O657" s="116"/>
      <c r="P657" s="300"/>
      <c r="Q657" s="300"/>
    </row>
    <row r="658" spans="1:17" s="498" customFormat="1" ht="21" customHeight="1">
      <c r="A658" s="300"/>
      <c r="B658" s="260"/>
      <c r="C658" s="150" t="s">
        <v>161</v>
      </c>
      <c r="D658" s="258">
        <f t="shared" ref="D658" si="28">SUM(D659,D661,D663,D665)</f>
        <v>9647415964</v>
      </c>
      <c r="E658" s="113">
        <v>10447415964</v>
      </c>
      <c r="F658" s="505">
        <f>+D658/E658*100</f>
        <v>92.342604116111943</v>
      </c>
      <c r="G658" s="116"/>
      <c r="H658" s="116"/>
      <c r="I658" s="116"/>
      <c r="J658" s="116"/>
      <c r="K658" s="116"/>
      <c r="L658" s="116"/>
      <c r="M658" s="116"/>
      <c r="N658" s="116"/>
      <c r="O658" s="116"/>
      <c r="P658" s="300"/>
      <c r="Q658" s="300"/>
    </row>
    <row r="659" spans="1:17" s="498" customFormat="1" ht="21" customHeight="1">
      <c r="A659" s="300"/>
      <c r="B659" s="260"/>
      <c r="C659" s="123" t="s">
        <v>2124</v>
      </c>
      <c r="D659" s="258">
        <f t="shared" ref="D659" si="29">SUM(D660:D660)</f>
        <v>3000000000</v>
      </c>
      <c r="E659" s="113">
        <v>10447415964</v>
      </c>
      <c r="F659" s="505">
        <f t="shared" ref="F659:F673" si="30">+D659/E659*100</f>
        <v>28.715234564580221</v>
      </c>
      <c r="G659" s="116"/>
      <c r="H659" s="116"/>
      <c r="I659" s="116"/>
      <c r="J659" s="116"/>
      <c r="K659" s="116"/>
      <c r="L659" s="116"/>
      <c r="M659" s="116"/>
      <c r="N659" s="116"/>
      <c r="O659" s="116"/>
      <c r="P659" s="300"/>
      <c r="Q659" s="300"/>
    </row>
    <row r="660" spans="1:17" s="498" customFormat="1" ht="21" customHeight="1">
      <c r="A660" s="300"/>
      <c r="B660" s="260"/>
      <c r="C660" s="57" t="s">
        <v>2125</v>
      </c>
      <c r="D660" s="593">
        <v>3000000000</v>
      </c>
      <c r="E660" s="113">
        <v>10447415964</v>
      </c>
      <c r="F660" s="505">
        <f t="shared" si="30"/>
        <v>28.715234564580221</v>
      </c>
      <c r="G660" s="116"/>
      <c r="H660" s="116"/>
      <c r="I660" s="116"/>
      <c r="J660" s="116"/>
      <c r="K660" s="116"/>
      <c r="L660" s="116"/>
      <c r="M660" s="116"/>
      <c r="N660" s="116"/>
      <c r="O660" s="116"/>
      <c r="P660" s="300"/>
      <c r="Q660" s="300"/>
    </row>
    <row r="661" spans="1:17" s="498" customFormat="1" ht="21" customHeight="1">
      <c r="A661" s="300"/>
      <c r="B661" s="260"/>
      <c r="C661" s="123" t="s">
        <v>2126</v>
      </c>
      <c r="D661" s="258">
        <f t="shared" ref="D661" si="31">SUM(D662:D662)</f>
        <v>1000000000</v>
      </c>
      <c r="E661" s="113">
        <v>10447415964</v>
      </c>
      <c r="F661" s="505">
        <f t="shared" si="30"/>
        <v>9.571744854860075</v>
      </c>
      <c r="G661" s="116"/>
      <c r="H661" s="116"/>
      <c r="I661" s="116"/>
      <c r="J661" s="116"/>
      <c r="K661" s="116"/>
      <c r="L661" s="116"/>
      <c r="M661" s="116"/>
      <c r="N661" s="116"/>
      <c r="O661" s="116"/>
      <c r="P661" s="300"/>
      <c r="Q661" s="300"/>
    </row>
    <row r="662" spans="1:17" s="498" customFormat="1" ht="21" customHeight="1">
      <c r="A662" s="300"/>
      <c r="B662" s="260"/>
      <c r="C662" s="57" t="s">
        <v>2127</v>
      </c>
      <c r="D662" s="259">
        <v>1000000000</v>
      </c>
      <c r="E662" s="113">
        <v>10447415964</v>
      </c>
      <c r="F662" s="505">
        <f t="shared" si="30"/>
        <v>9.571744854860075</v>
      </c>
      <c r="G662" s="116"/>
      <c r="H662" s="116"/>
      <c r="I662" s="116"/>
      <c r="J662" s="116"/>
      <c r="K662" s="116"/>
      <c r="L662" s="116"/>
      <c r="M662" s="116"/>
      <c r="N662" s="116"/>
      <c r="O662" s="116"/>
      <c r="P662" s="300"/>
      <c r="Q662" s="300"/>
    </row>
    <row r="663" spans="1:17" s="498" customFormat="1" ht="21" customHeight="1">
      <c r="A663" s="300"/>
      <c r="B663" s="260"/>
      <c r="C663" s="123" t="s">
        <v>2128</v>
      </c>
      <c r="D663" s="258">
        <f t="shared" ref="D663" si="32">SUM(D664:D664)</f>
        <v>750000000</v>
      </c>
      <c r="E663" s="113">
        <v>10447415964</v>
      </c>
      <c r="F663" s="505">
        <f t="shared" si="30"/>
        <v>7.1788086411450553</v>
      </c>
      <c r="G663" s="116"/>
      <c r="H663" s="116"/>
      <c r="I663" s="116"/>
      <c r="J663" s="116"/>
      <c r="K663" s="116"/>
      <c r="L663" s="116"/>
      <c r="M663" s="116"/>
      <c r="N663" s="116"/>
      <c r="O663" s="116"/>
      <c r="P663" s="300"/>
      <c r="Q663" s="300"/>
    </row>
    <row r="664" spans="1:17" s="498" customFormat="1" ht="21" customHeight="1">
      <c r="A664" s="300"/>
      <c r="B664" s="260"/>
      <c r="C664" s="57" t="s">
        <v>2129</v>
      </c>
      <c r="D664" s="259">
        <v>750000000</v>
      </c>
      <c r="E664" s="113">
        <v>10447415964</v>
      </c>
      <c r="F664" s="505">
        <f t="shared" si="30"/>
        <v>7.1788086411450553</v>
      </c>
      <c r="G664" s="116"/>
      <c r="H664" s="116"/>
      <c r="I664" s="116"/>
      <c r="J664" s="116"/>
      <c r="K664" s="116"/>
      <c r="L664" s="116"/>
      <c r="M664" s="116"/>
      <c r="N664" s="116"/>
      <c r="O664" s="116"/>
      <c r="P664" s="300"/>
      <c r="Q664" s="300"/>
    </row>
    <row r="665" spans="1:17" s="498" customFormat="1" ht="21" customHeight="1">
      <c r="A665" s="300"/>
      <c r="B665" s="260"/>
      <c r="C665" s="57" t="s">
        <v>162</v>
      </c>
      <c r="D665" s="258">
        <f t="shared" ref="D665" si="33">D666</f>
        <v>4897415964</v>
      </c>
      <c r="E665" s="113">
        <v>10447415964</v>
      </c>
      <c r="F665" s="505">
        <f t="shared" si="30"/>
        <v>46.876816055526589</v>
      </c>
      <c r="G665" s="116"/>
      <c r="H665" s="116"/>
      <c r="I665" s="116"/>
      <c r="J665" s="116"/>
      <c r="K665" s="116"/>
      <c r="L665" s="116"/>
      <c r="M665" s="116"/>
      <c r="N665" s="116"/>
      <c r="O665" s="116"/>
      <c r="P665" s="300"/>
      <c r="Q665" s="300"/>
    </row>
    <row r="666" spans="1:17" s="498" customFormat="1" ht="35.1" customHeight="1">
      <c r="A666" s="300"/>
      <c r="B666" s="260"/>
      <c r="C666" s="57" t="s">
        <v>2130</v>
      </c>
      <c r="D666" s="259">
        <v>4897415964</v>
      </c>
      <c r="E666" s="113">
        <v>10447415964</v>
      </c>
      <c r="F666" s="505">
        <f t="shared" si="30"/>
        <v>46.876816055526589</v>
      </c>
      <c r="G666" s="116"/>
      <c r="H666" s="116"/>
      <c r="I666" s="116"/>
      <c r="J666" s="116"/>
      <c r="K666" s="116"/>
      <c r="L666" s="116"/>
      <c r="M666" s="116"/>
      <c r="N666" s="116"/>
      <c r="O666" s="116"/>
      <c r="P666" s="300"/>
      <c r="Q666" s="300"/>
    </row>
    <row r="667" spans="1:17" s="498" customFormat="1" ht="21" customHeight="1">
      <c r="A667" s="300"/>
      <c r="B667" s="260"/>
      <c r="C667" s="150" t="s">
        <v>2131</v>
      </c>
      <c r="D667" s="258">
        <f t="shared" ref="D667" si="34">SUM(D668,D670,D672)</f>
        <v>800000000</v>
      </c>
      <c r="E667" s="113">
        <v>10447415964</v>
      </c>
      <c r="F667" s="505">
        <f t="shared" si="30"/>
        <v>7.6573958838880589</v>
      </c>
      <c r="G667" s="116"/>
      <c r="H667" s="116"/>
      <c r="I667" s="116"/>
      <c r="J667" s="116"/>
      <c r="K667" s="116"/>
      <c r="L667" s="116"/>
      <c r="M667" s="116"/>
      <c r="N667" s="116"/>
      <c r="O667" s="116"/>
      <c r="P667" s="300"/>
      <c r="Q667" s="300"/>
    </row>
    <row r="668" spans="1:17" s="498" customFormat="1" ht="21" customHeight="1">
      <c r="A668" s="300"/>
      <c r="B668" s="260"/>
      <c r="C668" s="123" t="s">
        <v>2132</v>
      </c>
      <c r="D668" s="258">
        <f t="shared" ref="D668" si="35">D669</f>
        <v>250000000</v>
      </c>
      <c r="E668" s="113">
        <v>10447415964</v>
      </c>
      <c r="F668" s="505">
        <f t="shared" si="30"/>
        <v>2.3929362137150187</v>
      </c>
      <c r="G668" s="116"/>
      <c r="H668" s="116"/>
      <c r="I668" s="116"/>
      <c r="J668" s="116"/>
      <c r="K668" s="116"/>
      <c r="L668" s="116"/>
      <c r="M668" s="116"/>
      <c r="N668" s="116"/>
      <c r="O668" s="116"/>
      <c r="P668" s="300"/>
      <c r="Q668" s="300"/>
    </row>
    <row r="669" spans="1:17" s="498" customFormat="1" ht="35.1" customHeight="1">
      <c r="A669" s="300"/>
      <c r="B669" s="260"/>
      <c r="C669" s="57" t="s">
        <v>2133</v>
      </c>
      <c r="D669" s="259">
        <v>250000000</v>
      </c>
      <c r="E669" s="113">
        <v>10447415964</v>
      </c>
      <c r="F669" s="505">
        <f t="shared" si="30"/>
        <v>2.3929362137150187</v>
      </c>
      <c r="G669" s="116"/>
      <c r="H669" s="116"/>
      <c r="I669" s="116"/>
      <c r="J669" s="116"/>
      <c r="K669" s="116"/>
      <c r="L669" s="116"/>
      <c r="M669" s="116"/>
      <c r="N669" s="116"/>
      <c r="O669" s="116"/>
      <c r="P669" s="300"/>
      <c r="Q669" s="300"/>
    </row>
    <row r="670" spans="1:17" s="498" customFormat="1" ht="35.1" customHeight="1">
      <c r="A670" s="300"/>
      <c r="B670" s="260"/>
      <c r="C670" s="123" t="s">
        <v>1905</v>
      </c>
      <c r="D670" s="258">
        <f t="shared" ref="D670" si="36">D671</f>
        <v>300000000</v>
      </c>
      <c r="E670" s="113">
        <v>10447415964</v>
      </c>
      <c r="F670" s="505">
        <f t="shared" si="30"/>
        <v>2.8715234564580223</v>
      </c>
      <c r="G670" s="116"/>
      <c r="H670" s="116"/>
      <c r="I670" s="116"/>
      <c r="J670" s="116"/>
      <c r="K670" s="116"/>
      <c r="L670" s="116"/>
      <c r="M670" s="116"/>
      <c r="N670" s="116"/>
      <c r="O670" s="116"/>
      <c r="P670" s="300"/>
      <c r="Q670" s="300"/>
    </row>
    <row r="671" spans="1:17" s="498" customFormat="1" ht="35.1" customHeight="1">
      <c r="A671" s="300"/>
      <c r="B671" s="260"/>
      <c r="C671" s="57" t="s">
        <v>2134</v>
      </c>
      <c r="D671" s="259">
        <v>300000000</v>
      </c>
      <c r="E671" s="113">
        <v>10447415964</v>
      </c>
      <c r="F671" s="505">
        <f t="shared" si="30"/>
        <v>2.8715234564580223</v>
      </c>
      <c r="G671" s="116"/>
      <c r="H671" s="116"/>
      <c r="I671" s="116"/>
      <c r="J671" s="116"/>
      <c r="K671" s="116"/>
      <c r="L671" s="116"/>
      <c r="M671" s="116"/>
      <c r="N671" s="116"/>
      <c r="O671" s="116"/>
      <c r="P671" s="300"/>
      <c r="Q671" s="300"/>
    </row>
    <row r="672" spans="1:17" s="498" customFormat="1" ht="35.1" customHeight="1">
      <c r="A672" s="300"/>
      <c r="B672" s="260"/>
      <c r="C672" s="123" t="s">
        <v>2135</v>
      </c>
      <c r="D672" s="258">
        <f t="shared" ref="D672" si="37">D673</f>
        <v>250000000</v>
      </c>
      <c r="E672" s="113">
        <v>10447415964</v>
      </c>
      <c r="F672" s="505">
        <f t="shared" si="30"/>
        <v>2.3929362137150187</v>
      </c>
      <c r="G672" s="116"/>
      <c r="H672" s="116"/>
      <c r="I672" s="116"/>
      <c r="J672" s="116"/>
      <c r="K672" s="116"/>
      <c r="L672" s="116"/>
      <c r="M672" s="116"/>
      <c r="N672" s="116"/>
      <c r="O672" s="116"/>
      <c r="P672" s="300"/>
      <c r="Q672" s="300"/>
    </row>
    <row r="673" spans="1:17" s="498" customFormat="1" ht="35.1" customHeight="1">
      <c r="A673" s="300"/>
      <c r="B673" s="260"/>
      <c r="C673" s="57" t="s">
        <v>2136</v>
      </c>
      <c r="D673" s="259">
        <v>250000000</v>
      </c>
      <c r="E673" s="113">
        <v>10447415964</v>
      </c>
      <c r="F673" s="505">
        <f t="shared" si="30"/>
        <v>2.3929362137150187</v>
      </c>
      <c r="G673" s="116"/>
      <c r="H673" s="116"/>
      <c r="I673" s="116"/>
      <c r="J673" s="116"/>
      <c r="K673" s="116"/>
      <c r="L673" s="116"/>
      <c r="M673" s="116"/>
      <c r="N673" s="116"/>
      <c r="O673" s="116"/>
      <c r="P673" s="300"/>
      <c r="Q673" s="300"/>
    </row>
    <row r="674" spans="1:17" ht="21" customHeight="1">
      <c r="B674" s="260"/>
      <c r="C674" s="57"/>
      <c r="D674" s="556"/>
      <c r="E674" s="557"/>
      <c r="F674" s="511"/>
      <c r="G674" s="116"/>
      <c r="H674" s="116"/>
      <c r="I674" s="116"/>
      <c r="J674" s="116"/>
      <c r="K674" s="116"/>
      <c r="L674" s="116"/>
      <c r="M674" s="116"/>
      <c r="N674" s="116"/>
      <c r="O674" s="116"/>
    </row>
    <row r="675" spans="1:17" s="498" customFormat="1" ht="21" customHeight="1">
      <c r="A675" s="300"/>
      <c r="B675" s="260">
        <v>26</v>
      </c>
      <c r="C675" s="150" t="s">
        <v>2585</v>
      </c>
      <c r="D675" s="596">
        <f>+D676</f>
        <v>13699994000</v>
      </c>
      <c r="E675" s="438">
        <v>61730319464.800003</v>
      </c>
      <c r="F675" s="505">
        <f>+D675/E675*100</f>
        <v>22.193298396604021</v>
      </c>
      <c r="G675" s="116"/>
      <c r="H675" s="116"/>
      <c r="I675" s="116"/>
      <c r="J675" s="116"/>
      <c r="K675" s="116"/>
      <c r="L675" s="116"/>
      <c r="M675" s="116"/>
      <c r="N675" s="116"/>
      <c r="O675" s="116"/>
      <c r="P675" s="300"/>
      <c r="Q675" s="300"/>
    </row>
    <row r="676" spans="1:17" s="498" customFormat="1" ht="21" customHeight="1">
      <c r="A676" s="300"/>
      <c r="B676" s="260"/>
      <c r="C676" s="111" t="s">
        <v>65</v>
      </c>
      <c r="D676" s="597">
        <f>D677+D679+D681+D683</f>
        <v>13699994000</v>
      </c>
      <c r="E676" s="146">
        <v>13699994000</v>
      </c>
      <c r="F676" s="126">
        <f t="shared" ref="F676:F685" si="38">+D676/E676*100</f>
        <v>100</v>
      </c>
      <c r="G676" s="116"/>
      <c r="H676" s="116"/>
      <c r="I676" s="116"/>
      <c r="J676" s="116"/>
      <c r="K676" s="116"/>
      <c r="L676" s="116"/>
      <c r="M676" s="116"/>
      <c r="N676" s="116"/>
      <c r="O676" s="116"/>
      <c r="P676" s="300"/>
      <c r="Q676" s="300"/>
    </row>
    <row r="677" spans="1:17" s="498" customFormat="1" ht="21" customHeight="1">
      <c r="A677" s="300"/>
      <c r="B677" s="260"/>
      <c r="C677" s="111" t="s">
        <v>2168</v>
      </c>
      <c r="D677" s="597">
        <f>SUM(D678)</f>
        <v>8527500000</v>
      </c>
      <c r="E677" s="146">
        <v>13699994000</v>
      </c>
      <c r="F677" s="126">
        <f t="shared" si="38"/>
        <v>62.244552807833344</v>
      </c>
      <c r="G677" s="116"/>
      <c r="H677" s="116"/>
      <c r="I677" s="116"/>
      <c r="J677" s="116"/>
      <c r="K677" s="116"/>
      <c r="L677" s="116"/>
      <c r="M677" s="116"/>
      <c r="N677" s="116"/>
      <c r="O677" s="116"/>
      <c r="P677" s="300"/>
      <c r="Q677" s="300"/>
    </row>
    <row r="678" spans="1:17" s="498" customFormat="1" ht="21" customHeight="1">
      <c r="A678" s="300"/>
      <c r="B678" s="260"/>
      <c r="C678" s="123" t="s">
        <v>1409</v>
      </c>
      <c r="D678" s="598">
        <v>8527500000</v>
      </c>
      <c r="E678" s="146">
        <v>13699994000</v>
      </c>
      <c r="F678" s="126">
        <f t="shared" si="38"/>
        <v>62.244552807833344</v>
      </c>
      <c r="G678" s="116"/>
      <c r="H678" s="116"/>
      <c r="I678" s="116"/>
      <c r="J678" s="116"/>
      <c r="K678" s="116"/>
      <c r="L678" s="116"/>
      <c r="M678" s="116"/>
      <c r="N678" s="116"/>
      <c r="O678" s="116"/>
      <c r="P678" s="300"/>
      <c r="Q678" s="300"/>
    </row>
    <row r="679" spans="1:17" s="498" customFormat="1" ht="21" customHeight="1">
      <c r="A679" s="300"/>
      <c r="B679" s="260"/>
      <c r="C679" s="111" t="s">
        <v>2169</v>
      </c>
      <c r="D679" s="597">
        <f>SUM(D680:D680)</f>
        <v>1555450000</v>
      </c>
      <c r="E679" s="146">
        <v>13699994000</v>
      </c>
      <c r="F679" s="126">
        <f t="shared" si="38"/>
        <v>11.353654607439974</v>
      </c>
      <c r="G679" s="116"/>
      <c r="H679" s="116"/>
      <c r="I679" s="116"/>
      <c r="J679" s="116"/>
      <c r="K679" s="116"/>
      <c r="L679" s="116"/>
      <c r="M679" s="116"/>
      <c r="N679" s="116"/>
      <c r="O679" s="116"/>
      <c r="P679" s="300"/>
      <c r="Q679" s="300"/>
    </row>
    <row r="680" spans="1:17" s="498" customFormat="1" ht="35.1" customHeight="1">
      <c r="A680" s="300"/>
      <c r="B680" s="260"/>
      <c r="C680" s="123" t="s">
        <v>2170</v>
      </c>
      <c r="D680" s="598">
        <v>1555450000</v>
      </c>
      <c r="E680" s="146">
        <v>13699994000</v>
      </c>
      <c r="F680" s="126">
        <f t="shared" si="38"/>
        <v>11.353654607439974</v>
      </c>
      <c r="G680" s="116"/>
      <c r="H680" s="116"/>
      <c r="I680" s="116"/>
      <c r="J680" s="116"/>
      <c r="K680" s="116"/>
      <c r="L680" s="116"/>
      <c r="M680" s="116"/>
      <c r="N680" s="116"/>
      <c r="O680" s="116"/>
      <c r="P680" s="300"/>
      <c r="Q680" s="300"/>
    </row>
    <row r="681" spans="1:17" s="498" customFormat="1" ht="21" customHeight="1">
      <c r="A681" s="300"/>
      <c r="B681" s="260"/>
      <c r="C681" s="111" t="s">
        <v>173</v>
      </c>
      <c r="D681" s="597">
        <f>SUM(D682:D682)</f>
        <v>2351644000</v>
      </c>
      <c r="E681" s="146">
        <v>13699994000</v>
      </c>
      <c r="F681" s="126">
        <f t="shared" si="38"/>
        <v>17.165292189179059</v>
      </c>
      <c r="G681" s="116"/>
      <c r="H681" s="116"/>
      <c r="I681" s="116"/>
      <c r="J681" s="116"/>
      <c r="K681" s="116"/>
      <c r="L681" s="116"/>
      <c r="M681" s="116"/>
      <c r="N681" s="116"/>
      <c r="O681" s="116"/>
      <c r="P681" s="300"/>
      <c r="Q681" s="300"/>
    </row>
    <row r="682" spans="1:17" s="498" customFormat="1" ht="21" customHeight="1">
      <c r="A682" s="300"/>
      <c r="B682" s="260"/>
      <c r="C682" s="123" t="s">
        <v>599</v>
      </c>
      <c r="D682" s="598">
        <v>2351644000</v>
      </c>
      <c r="E682" s="146">
        <v>13699994000</v>
      </c>
      <c r="F682" s="126">
        <f t="shared" si="38"/>
        <v>17.165292189179059</v>
      </c>
      <c r="G682" s="116"/>
      <c r="H682" s="116"/>
      <c r="I682" s="116"/>
      <c r="J682" s="116"/>
      <c r="K682" s="116"/>
      <c r="L682" s="116"/>
      <c r="M682" s="116"/>
      <c r="N682" s="116"/>
      <c r="O682" s="116"/>
      <c r="P682" s="300"/>
      <c r="Q682" s="300"/>
    </row>
    <row r="683" spans="1:17" s="498" customFormat="1" ht="21" customHeight="1">
      <c r="A683" s="300"/>
      <c r="B683" s="260"/>
      <c r="C683" s="111" t="s">
        <v>190</v>
      </c>
      <c r="D683" s="597">
        <f>SUM(D684:D685)</f>
        <v>1265400000</v>
      </c>
      <c r="E683" s="146">
        <v>13699994000</v>
      </c>
      <c r="F683" s="126">
        <f t="shared" si="38"/>
        <v>9.236500395547619</v>
      </c>
      <c r="G683" s="116"/>
      <c r="H683" s="116"/>
      <c r="I683" s="116"/>
      <c r="J683" s="116"/>
      <c r="K683" s="116"/>
      <c r="L683" s="116"/>
      <c r="M683" s="116"/>
      <c r="N683" s="116"/>
      <c r="O683" s="116"/>
      <c r="P683" s="300"/>
      <c r="Q683" s="300"/>
    </row>
    <row r="684" spans="1:17" s="498" customFormat="1" ht="21" customHeight="1">
      <c r="A684" s="300"/>
      <c r="B684" s="260"/>
      <c r="C684" s="123" t="s">
        <v>2171</v>
      </c>
      <c r="D684" s="598">
        <v>587700000</v>
      </c>
      <c r="E684" s="146">
        <v>13699994000</v>
      </c>
      <c r="F684" s="126">
        <f t="shared" si="38"/>
        <v>4.2897829006348465</v>
      </c>
      <c r="G684" s="116"/>
      <c r="H684" s="116"/>
      <c r="I684" s="116"/>
      <c r="J684" s="116"/>
      <c r="K684" s="116"/>
      <c r="L684" s="116"/>
      <c r="M684" s="116"/>
      <c r="N684" s="116"/>
      <c r="O684" s="116"/>
      <c r="P684" s="300"/>
      <c r="Q684" s="300"/>
    </row>
    <row r="685" spans="1:17" s="498" customFormat="1" ht="21" customHeight="1">
      <c r="A685" s="300"/>
      <c r="B685" s="260"/>
      <c r="C685" s="123" t="s">
        <v>2172</v>
      </c>
      <c r="D685" s="598">
        <v>677700000</v>
      </c>
      <c r="E685" s="146">
        <v>13699994000</v>
      </c>
      <c r="F685" s="126">
        <f t="shared" si="38"/>
        <v>4.9467174949127717</v>
      </c>
      <c r="G685" s="116"/>
      <c r="H685" s="116"/>
      <c r="I685" s="116"/>
      <c r="J685" s="116"/>
      <c r="K685" s="116"/>
      <c r="L685" s="116"/>
      <c r="M685" s="116"/>
      <c r="N685" s="116"/>
      <c r="O685" s="116"/>
      <c r="P685" s="300"/>
      <c r="Q685" s="300"/>
    </row>
    <row r="686" spans="1:17" ht="21" customHeight="1">
      <c r="B686" s="260"/>
      <c r="C686" s="57"/>
      <c r="D686" s="556"/>
      <c r="E686" s="557"/>
      <c r="F686" s="511"/>
      <c r="G686" s="116"/>
      <c r="H686" s="116"/>
      <c r="I686" s="116"/>
      <c r="J686" s="116"/>
      <c r="K686" s="116"/>
      <c r="L686" s="116"/>
      <c r="M686" s="116"/>
      <c r="N686" s="116"/>
      <c r="O686" s="116"/>
    </row>
    <row r="687" spans="1:17" ht="21" customHeight="1">
      <c r="B687" s="260">
        <v>27</v>
      </c>
      <c r="C687" s="150" t="s">
        <v>2586</v>
      </c>
      <c r="D687" s="596">
        <f>+D688+D706+D713</f>
        <v>9263463057.4400005</v>
      </c>
      <c r="E687" s="438">
        <v>61756420382.300003</v>
      </c>
      <c r="F687" s="505">
        <f>+D687/E687*100</f>
        <v>15.000000000153829</v>
      </c>
      <c r="G687" s="116"/>
      <c r="H687" s="116"/>
      <c r="I687" s="116"/>
      <c r="J687" s="116"/>
      <c r="K687" s="116"/>
      <c r="L687" s="116"/>
      <c r="M687" s="116"/>
      <c r="N687" s="116"/>
      <c r="O687" s="116"/>
    </row>
    <row r="688" spans="1:17" s="108" customFormat="1" ht="21" customHeight="1">
      <c r="B688" s="260"/>
      <c r="C688" s="253" t="s">
        <v>161</v>
      </c>
      <c r="D688" s="441">
        <f>+D689+D693+D695+D698+D702</f>
        <v>7100000000</v>
      </c>
      <c r="E688" s="438">
        <v>7100000000</v>
      </c>
      <c r="F688" s="505">
        <f>+D688/E688*100</f>
        <v>100</v>
      </c>
      <c r="G688" s="116"/>
      <c r="H688" s="116"/>
      <c r="I688" s="116"/>
      <c r="J688" s="116"/>
      <c r="K688" s="116"/>
      <c r="L688" s="116"/>
      <c r="M688" s="116"/>
      <c r="N688" s="116"/>
      <c r="O688" s="116"/>
    </row>
    <row r="689" spans="2:15" s="117" customFormat="1" ht="21" customHeight="1">
      <c r="B689" s="260"/>
      <c r="C689" s="253" t="s">
        <v>173</v>
      </c>
      <c r="D689" s="441">
        <f>+D690+D691+D692</f>
        <v>2450000000</v>
      </c>
      <c r="E689" s="438">
        <v>7100000000</v>
      </c>
      <c r="F689" s="505">
        <f t="shared" ref="F689:F704" si="39">+D689/E689*100</f>
        <v>34.507042253521128</v>
      </c>
      <c r="G689" s="121"/>
      <c r="H689" s="121"/>
      <c r="I689" s="121"/>
      <c r="J689" s="121"/>
      <c r="K689" s="121"/>
      <c r="L689" s="121"/>
      <c r="M689" s="121"/>
      <c r="N689" s="121"/>
      <c r="O689" s="121"/>
    </row>
    <row r="690" spans="2:15" s="108" customFormat="1" ht="21" customHeight="1">
      <c r="B690" s="260"/>
      <c r="C690" s="256" t="s">
        <v>2206</v>
      </c>
      <c r="D690" s="255">
        <v>700000000</v>
      </c>
      <c r="E690" s="438">
        <v>7100000000</v>
      </c>
      <c r="F690" s="505">
        <f t="shared" si="39"/>
        <v>9.8591549295774641</v>
      </c>
      <c r="G690" s="116"/>
      <c r="H690" s="116"/>
      <c r="I690" s="116"/>
      <c r="J690" s="116"/>
      <c r="K690" s="116"/>
      <c r="L690" s="116"/>
      <c r="M690" s="116"/>
      <c r="N690" s="116"/>
      <c r="O690" s="116"/>
    </row>
    <row r="691" spans="2:15" s="108" customFormat="1" ht="21" customHeight="1">
      <c r="B691" s="260"/>
      <c r="C691" s="256" t="s">
        <v>599</v>
      </c>
      <c r="D691" s="255">
        <v>1500000000</v>
      </c>
      <c r="E691" s="438">
        <v>7100000000</v>
      </c>
      <c r="F691" s="505">
        <f t="shared" si="39"/>
        <v>21.12676056338028</v>
      </c>
      <c r="G691" s="116"/>
      <c r="H691" s="116"/>
      <c r="I691" s="116"/>
      <c r="J691" s="116"/>
      <c r="K691" s="116"/>
      <c r="L691" s="116"/>
      <c r="M691" s="116"/>
      <c r="N691" s="116"/>
      <c r="O691" s="116"/>
    </row>
    <row r="692" spans="2:15" s="108" customFormat="1" ht="21" customHeight="1">
      <c r="B692" s="260"/>
      <c r="C692" s="256" t="s">
        <v>2207</v>
      </c>
      <c r="D692" s="255">
        <v>250000000</v>
      </c>
      <c r="E692" s="438">
        <v>7100000000</v>
      </c>
      <c r="F692" s="505">
        <f t="shared" si="39"/>
        <v>3.5211267605633805</v>
      </c>
      <c r="G692" s="116"/>
      <c r="H692" s="116"/>
      <c r="I692" s="116"/>
      <c r="J692" s="116"/>
      <c r="K692" s="116"/>
      <c r="L692" s="116"/>
      <c r="M692" s="116"/>
      <c r="N692" s="116"/>
      <c r="O692" s="116"/>
    </row>
    <row r="693" spans="2:15" s="117" customFormat="1" ht="21" customHeight="1">
      <c r="B693" s="260"/>
      <c r="C693" s="253" t="s">
        <v>945</v>
      </c>
      <c r="D693" s="254">
        <f>+D694</f>
        <v>600000000</v>
      </c>
      <c r="E693" s="438">
        <v>7100000000</v>
      </c>
      <c r="F693" s="505">
        <f t="shared" si="39"/>
        <v>8.4507042253521121</v>
      </c>
      <c r="G693" s="121"/>
      <c r="H693" s="121"/>
      <c r="I693" s="121"/>
      <c r="J693" s="121"/>
      <c r="K693" s="121"/>
      <c r="L693" s="121"/>
      <c r="M693" s="121"/>
      <c r="N693" s="121"/>
      <c r="O693" s="121"/>
    </row>
    <row r="694" spans="2:15" s="108" customFormat="1" ht="21" customHeight="1">
      <c r="B694" s="260"/>
      <c r="C694" s="256" t="s">
        <v>2208</v>
      </c>
      <c r="D694" s="255">
        <v>600000000</v>
      </c>
      <c r="E694" s="438">
        <v>7100000000</v>
      </c>
      <c r="F694" s="505">
        <f t="shared" si="39"/>
        <v>8.4507042253521121</v>
      </c>
      <c r="G694" s="116"/>
      <c r="H694" s="116"/>
      <c r="I694" s="116"/>
      <c r="J694" s="116"/>
      <c r="K694" s="116"/>
      <c r="L694" s="116"/>
      <c r="M694" s="116"/>
      <c r="N694" s="116"/>
      <c r="O694" s="116"/>
    </row>
    <row r="695" spans="2:15" s="117" customFormat="1" ht="21" customHeight="1">
      <c r="B695" s="260"/>
      <c r="C695" s="253" t="s">
        <v>190</v>
      </c>
      <c r="D695" s="254">
        <f>+D696+D697</f>
        <v>2000000000</v>
      </c>
      <c r="E695" s="438">
        <v>7100000000</v>
      </c>
      <c r="F695" s="505">
        <f t="shared" si="39"/>
        <v>28.169014084507044</v>
      </c>
      <c r="G695" s="121"/>
      <c r="H695" s="121"/>
      <c r="I695" s="121"/>
      <c r="J695" s="121"/>
      <c r="K695" s="121"/>
      <c r="L695" s="121"/>
      <c r="M695" s="121"/>
      <c r="N695" s="121"/>
      <c r="O695" s="121"/>
    </row>
    <row r="696" spans="2:15" s="108" customFormat="1" ht="21" customHeight="1">
      <c r="B696" s="260"/>
      <c r="C696" s="256" t="s">
        <v>2209</v>
      </c>
      <c r="D696" s="255">
        <v>300000000</v>
      </c>
      <c r="E696" s="438">
        <v>7100000000</v>
      </c>
      <c r="F696" s="505">
        <f t="shared" si="39"/>
        <v>4.225352112676056</v>
      </c>
      <c r="G696" s="116"/>
      <c r="H696" s="116"/>
      <c r="I696" s="116"/>
      <c r="J696" s="116"/>
      <c r="K696" s="116"/>
      <c r="L696" s="116"/>
      <c r="M696" s="116"/>
      <c r="N696" s="116"/>
      <c r="O696" s="116"/>
    </row>
    <row r="697" spans="2:15" s="108" customFormat="1" ht="21" customHeight="1">
      <c r="B697" s="260"/>
      <c r="C697" s="256" t="s">
        <v>1498</v>
      </c>
      <c r="D697" s="255">
        <v>1700000000</v>
      </c>
      <c r="E697" s="438">
        <v>7100000000</v>
      </c>
      <c r="F697" s="505">
        <f t="shared" si="39"/>
        <v>23.943661971830984</v>
      </c>
      <c r="G697" s="116"/>
      <c r="H697" s="116"/>
      <c r="I697" s="116"/>
      <c r="J697" s="116"/>
      <c r="K697" s="116"/>
      <c r="L697" s="116"/>
      <c r="M697" s="116"/>
      <c r="N697" s="116"/>
      <c r="O697" s="116"/>
    </row>
    <row r="698" spans="2:15" s="117" customFormat="1" ht="21" customHeight="1">
      <c r="B698" s="260"/>
      <c r="C698" s="253" t="s">
        <v>196</v>
      </c>
      <c r="D698" s="254">
        <f>+D699+D700+D701</f>
        <v>1300000000</v>
      </c>
      <c r="E698" s="438">
        <v>7100000000</v>
      </c>
      <c r="F698" s="505">
        <f t="shared" si="39"/>
        <v>18.30985915492958</v>
      </c>
      <c r="G698" s="121"/>
      <c r="H698" s="121"/>
      <c r="I698" s="121"/>
      <c r="J698" s="121"/>
      <c r="K698" s="121"/>
      <c r="L698" s="121"/>
      <c r="M698" s="121"/>
      <c r="N698" s="121"/>
      <c r="O698" s="121"/>
    </row>
    <row r="699" spans="2:15" s="108" customFormat="1" ht="21" customHeight="1">
      <c r="B699" s="260"/>
      <c r="C699" s="256" t="s">
        <v>2210</v>
      </c>
      <c r="D699" s="255">
        <v>500000000</v>
      </c>
      <c r="E699" s="438">
        <v>7100000000</v>
      </c>
      <c r="F699" s="505">
        <f t="shared" si="39"/>
        <v>7.042253521126761</v>
      </c>
      <c r="G699" s="116"/>
      <c r="H699" s="116"/>
      <c r="I699" s="116"/>
      <c r="J699" s="116"/>
      <c r="K699" s="116"/>
      <c r="L699" s="116"/>
      <c r="M699" s="116"/>
      <c r="N699" s="116"/>
      <c r="O699" s="116"/>
    </row>
    <row r="700" spans="2:15" s="108" customFormat="1" ht="21" customHeight="1">
      <c r="B700" s="260"/>
      <c r="C700" s="443" t="s">
        <v>2617</v>
      </c>
      <c r="D700" s="255">
        <v>400000000</v>
      </c>
      <c r="E700" s="438">
        <v>7100000000</v>
      </c>
      <c r="F700" s="505">
        <f t="shared" si="39"/>
        <v>5.6338028169014089</v>
      </c>
      <c r="G700" s="116"/>
      <c r="H700" s="116"/>
      <c r="I700" s="116"/>
      <c r="J700" s="116"/>
      <c r="K700" s="116"/>
      <c r="L700" s="116"/>
      <c r="M700" s="116"/>
      <c r="N700" s="116"/>
      <c r="O700" s="116"/>
    </row>
    <row r="701" spans="2:15" s="108" customFormat="1" ht="21" customHeight="1">
      <c r="B701" s="260"/>
      <c r="C701" s="443" t="s">
        <v>2212</v>
      </c>
      <c r="D701" s="255">
        <v>400000000</v>
      </c>
      <c r="E701" s="438">
        <v>7100000000</v>
      </c>
      <c r="F701" s="505">
        <f t="shared" si="39"/>
        <v>5.6338028169014089</v>
      </c>
      <c r="G701" s="116"/>
      <c r="H701" s="116"/>
      <c r="I701" s="116"/>
      <c r="J701" s="116"/>
      <c r="K701" s="116"/>
      <c r="L701" s="116"/>
      <c r="M701" s="116"/>
      <c r="N701" s="116"/>
      <c r="O701" s="116"/>
    </row>
    <row r="702" spans="2:15" s="117" customFormat="1" ht="21" customHeight="1">
      <c r="B702" s="260"/>
      <c r="C702" s="253" t="s">
        <v>483</v>
      </c>
      <c r="D702" s="254">
        <f>+D703+D704</f>
        <v>750000000</v>
      </c>
      <c r="E702" s="438">
        <v>7100000000</v>
      </c>
      <c r="F702" s="505">
        <f t="shared" si="39"/>
        <v>10.56338028169014</v>
      </c>
      <c r="G702" s="121"/>
      <c r="H702" s="121"/>
      <c r="I702" s="121"/>
      <c r="J702" s="121"/>
      <c r="K702" s="121"/>
      <c r="L702" s="121"/>
      <c r="M702" s="121"/>
      <c r="N702" s="121"/>
      <c r="O702" s="121"/>
    </row>
    <row r="703" spans="2:15" s="108" customFormat="1" ht="35.1" customHeight="1">
      <c r="B703" s="260"/>
      <c r="C703" s="256" t="s">
        <v>2213</v>
      </c>
      <c r="D703" s="255">
        <v>300000000</v>
      </c>
      <c r="E703" s="438">
        <v>7100000000</v>
      </c>
      <c r="F703" s="505">
        <f t="shared" si="39"/>
        <v>4.225352112676056</v>
      </c>
      <c r="G703" s="116"/>
      <c r="H703" s="116"/>
      <c r="I703" s="116"/>
      <c r="J703" s="116"/>
      <c r="K703" s="116"/>
      <c r="L703" s="116"/>
      <c r="M703" s="116"/>
      <c r="N703" s="116"/>
      <c r="O703" s="116"/>
    </row>
    <row r="704" spans="2:15" s="108" customFormat="1" ht="21" customHeight="1">
      <c r="B704" s="260"/>
      <c r="C704" s="256" t="s">
        <v>2214</v>
      </c>
      <c r="D704" s="255">
        <v>450000000</v>
      </c>
      <c r="E704" s="438">
        <v>7100000000</v>
      </c>
      <c r="F704" s="505">
        <f t="shared" si="39"/>
        <v>6.3380281690140841</v>
      </c>
      <c r="G704" s="116"/>
      <c r="H704" s="116"/>
      <c r="I704" s="116"/>
      <c r="J704" s="116"/>
      <c r="K704" s="116"/>
      <c r="L704" s="116"/>
      <c r="M704" s="116"/>
      <c r="N704" s="116"/>
      <c r="O704" s="116"/>
    </row>
    <row r="705" spans="1:17" s="108" customFormat="1" ht="21" customHeight="1">
      <c r="B705" s="260"/>
      <c r="C705" s="256"/>
      <c r="D705" s="599"/>
      <c r="E705" s="600"/>
      <c r="F705" s="552"/>
      <c r="G705" s="116"/>
      <c r="H705" s="116"/>
      <c r="I705" s="116"/>
      <c r="J705" s="116"/>
      <c r="K705" s="116"/>
      <c r="L705" s="116"/>
      <c r="M705" s="116"/>
      <c r="N705" s="116"/>
      <c r="O705" s="116"/>
    </row>
    <row r="706" spans="1:17" s="108" customFormat="1" ht="21" customHeight="1">
      <c r="B706" s="260"/>
      <c r="C706" s="253" t="s">
        <v>2215</v>
      </c>
      <c r="D706" s="601">
        <f>+D707+D710</f>
        <v>1850463000</v>
      </c>
      <c r="E706" s="438">
        <v>7100000000</v>
      </c>
      <c r="F706" s="505">
        <f t="shared" ref="F706:F715" si="40">+D706/E706*100</f>
        <v>26.06285915492958</v>
      </c>
      <c r="G706" s="116"/>
      <c r="H706" s="116"/>
      <c r="I706" s="116"/>
      <c r="J706" s="116"/>
      <c r="K706" s="116"/>
      <c r="L706" s="116"/>
      <c r="M706" s="116"/>
      <c r="N706" s="116"/>
      <c r="O706" s="116"/>
    </row>
    <row r="707" spans="1:17" s="108" customFormat="1" ht="35.1" customHeight="1">
      <c r="B707" s="260"/>
      <c r="C707" s="253" t="s">
        <v>2216</v>
      </c>
      <c r="D707" s="442">
        <f>+D708+D709</f>
        <v>1268763000</v>
      </c>
      <c r="E707" s="438">
        <v>7100000000</v>
      </c>
      <c r="F707" s="505">
        <f t="shared" si="40"/>
        <v>17.869901408450701</v>
      </c>
      <c r="G707" s="116"/>
      <c r="H707" s="116"/>
      <c r="I707" s="116"/>
      <c r="J707" s="116"/>
      <c r="K707" s="116"/>
      <c r="L707" s="116"/>
      <c r="M707" s="116"/>
      <c r="N707" s="116"/>
      <c r="O707" s="116"/>
    </row>
    <row r="708" spans="1:17" s="108" customFormat="1" ht="21" customHeight="1">
      <c r="B708" s="260"/>
      <c r="C708" s="443" t="s">
        <v>2217</v>
      </c>
      <c r="D708" s="255">
        <v>168763000</v>
      </c>
      <c r="E708" s="438">
        <v>7100000000</v>
      </c>
      <c r="F708" s="505">
        <f t="shared" si="40"/>
        <v>2.3769436619718309</v>
      </c>
      <c r="G708" s="116"/>
      <c r="H708" s="116"/>
      <c r="I708" s="116"/>
      <c r="J708" s="116"/>
      <c r="K708" s="116"/>
      <c r="L708" s="116"/>
      <c r="M708" s="116"/>
      <c r="N708" s="116"/>
      <c r="O708" s="116"/>
    </row>
    <row r="709" spans="1:17" s="108" customFormat="1" ht="21" customHeight="1">
      <c r="B709" s="260"/>
      <c r="C709" s="443" t="s">
        <v>2218</v>
      </c>
      <c r="D709" s="255">
        <v>1100000000</v>
      </c>
      <c r="E709" s="438">
        <v>7100000000</v>
      </c>
      <c r="F709" s="505">
        <f t="shared" si="40"/>
        <v>15.492957746478872</v>
      </c>
      <c r="G709" s="116"/>
      <c r="H709" s="116"/>
      <c r="I709" s="116"/>
      <c r="J709" s="116"/>
      <c r="K709" s="116"/>
      <c r="L709" s="116"/>
      <c r="M709" s="116"/>
      <c r="N709" s="116"/>
      <c r="O709" s="116"/>
    </row>
    <row r="710" spans="1:17" s="108" customFormat="1" ht="21" customHeight="1">
      <c r="B710" s="260"/>
      <c r="C710" s="253" t="s">
        <v>1878</v>
      </c>
      <c r="D710" s="255">
        <f>+D711</f>
        <v>581700000</v>
      </c>
      <c r="E710" s="438">
        <v>7100000000</v>
      </c>
      <c r="F710" s="505">
        <f t="shared" si="40"/>
        <v>8.1929577464788732</v>
      </c>
      <c r="G710" s="116"/>
      <c r="H710" s="116"/>
      <c r="I710" s="116"/>
      <c r="J710" s="116"/>
      <c r="K710" s="116"/>
      <c r="L710" s="116"/>
      <c r="M710" s="116"/>
      <c r="N710" s="116"/>
      <c r="O710" s="116"/>
    </row>
    <row r="711" spans="1:17" s="108" customFormat="1" ht="21" customHeight="1">
      <c r="B711" s="260"/>
      <c r="C711" s="443" t="s">
        <v>2217</v>
      </c>
      <c r="D711" s="255">
        <v>581700000</v>
      </c>
      <c r="E711" s="438">
        <v>7100000000</v>
      </c>
      <c r="F711" s="505">
        <f t="shared" si="40"/>
        <v>8.1929577464788732</v>
      </c>
      <c r="G711" s="116"/>
      <c r="H711" s="116"/>
      <c r="I711" s="116"/>
      <c r="J711" s="116"/>
      <c r="K711" s="116"/>
      <c r="L711" s="116"/>
      <c r="M711" s="116"/>
      <c r="N711" s="116"/>
      <c r="O711" s="116"/>
    </row>
    <row r="712" spans="1:17" s="108" customFormat="1" ht="21" customHeight="1">
      <c r="B712" s="260"/>
      <c r="C712" s="443"/>
      <c r="D712" s="442"/>
      <c r="E712" s="438"/>
      <c r="F712" s="505"/>
      <c r="G712" s="116"/>
      <c r="H712" s="116"/>
      <c r="I712" s="116"/>
      <c r="J712" s="116"/>
      <c r="K712" s="116"/>
      <c r="L712" s="116"/>
      <c r="M712" s="116"/>
      <c r="N712" s="116"/>
      <c r="O712" s="116"/>
    </row>
    <row r="713" spans="1:17" s="108" customFormat="1" ht="21" customHeight="1">
      <c r="B713" s="260"/>
      <c r="C713" s="444" t="s">
        <v>2236</v>
      </c>
      <c r="D713" s="441">
        <f>+D714</f>
        <v>313000057.44</v>
      </c>
      <c r="E713" s="438">
        <v>7100000000</v>
      </c>
      <c r="F713" s="505">
        <f t="shared" si="40"/>
        <v>4.4084515132394362</v>
      </c>
      <c r="G713" s="116"/>
      <c r="H713" s="116"/>
      <c r="I713" s="116"/>
      <c r="J713" s="116"/>
      <c r="K713" s="116"/>
      <c r="L713" s="116"/>
      <c r="M713" s="116"/>
      <c r="N713" s="116"/>
      <c r="O713" s="116"/>
    </row>
    <row r="714" spans="1:17" s="108" customFormat="1" ht="21" customHeight="1">
      <c r="B714" s="260"/>
      <c r="C714" s="444" t="s">
        <v>973</v>
      </c>
      <c r="D714" s="441">
        <f>+D715</f>
        <v>313000057.44</v>
      </c>
      <c r="E714" s="438">
        <v>7100000000</v>
      </c>
      <c r="F714" s="505">
        <f t="shared" si="40"/>
        <v>4.4084515132394362</v>
      </c>
      <c r="G714" s="116"/>
      <c r="H714" s="116"/>
      <c r="I714" s="116"/>
      <c r="J714" s="116"/>
      <c r="K714" s="116"/>
      <c r="L714" s="116"/>
      <c r="M714" s="116"/>
      <c r="N714" s="116"/>
      <c r="O714" s="116"/>
    </row>
    <row r="715" spans="1:17" s="108" customFormat="1" ht="21" customHeight="1">
      <c r="B715" s="260"/>
      <c r="C715" s="443" t="s">
        <v>2237</v>
      </c>
      <c r="D715" s="255">
        <v>313000057.44</v>
      </c>
      <c r="E715" s="438">
        <v>7100000000</v>
      </c>
      <c r="F715" s="505">
        <f t="shared" si="40"/>
        <v>4.4084515132394362</v>
      </c>
      <c r="G715" s="116"/>
      <c r="H715" s="116"/>
      <c r="I715" s="116"/>
      <c r="J715" s="116"/>
      <c r="K715" s="116"/>
      <c r="L715" s="116"/>
      <c r="M715" s="116"/>
      <c r="N715" s="116"/>
      <c r="O715" s="116"/>
    </row>
    <row r="716" spans="1:17" s="108" customFormat="1" ht="21" customHeight="1">
      <c r="B716" s="260"/>
      <c r="C716" s="57"/>
      <c r="D716" s="556"/>
      <c r="E716" s="438"/>
      <c r="F716" s="505"/>
      <c r="G716" s="116"/>
      <c r="H716" s="116"/>
      <c r="I716" s="116"/>
      <c r="J716" s="116"/>
      <c r="K716" s="116"/>
      <c r="L716" s="116"/>
      <c r="M716" s="116"/>
      <c r="N716" s="116"/>
      <c r="O716" s="116"/>
    </row>
    <row r="717" spans="1:17" s="603" customFormat="1" ht="21" customHeight="1">
      <c r="A717" s="108"/>
      <c r="B717" s="260">
        <v>28</v>
      </c>
      <c r="C717" s="602" t="s">
        <v>2618</v>
      </c>
      <c r="D717" s="596">
        <f>+D718+D726+D730</f>
        <v>9050866137.5</v>
      </c>
      <c r="E717" s="438">
        <v>60339107583.360001</v>
      </c>
      <c r="F717" s="505">
        <f>+D717/E717*100</f>
        <v>14.999999999993371</v>
      </c>
      <c r="G717" s="116"/>
      <c r="H717" s="116"/>
      <c r="I717" s="116"/>
      <c r="J717" s="116"/>
      <c r="K717" s="116"/>
      <c r="L717" s="116"/>
      <c r="M717" s="116"/>
      <c r="N717" s="116"/>
      <c r="O717" s="116"/>
      <c r="P717" s="108"/>
      <c r="Q717" s="108"/>
    </row>
    <row r="718" spans="1:17" s="603" customFormat="1" ht="21" customHeight="1">
      <c r="A718" s="108"/>
      <c r="B718" s="260"/>
      <c r="C718" s="148" t="s">
        <v>161</v>
      </c>
      <c r="D718" s="232">
        <f>D719+D721+D723</f>
        <v>2770000000</v>
      </c>
      <c r="E718" s="113">
        <v>8122000000</v>
      </c>
      <c r="F718" s="126">
        <f t="shared" ref="F718:F728" si="41">+D718/E718*100</f>
        <v>34.104900270869244</v>
      </c>
      <c r="G718" s="116"/>
      <c r="H718" s="116"/>
      <c r="I718" s="116"/>
      <c r="J718" s="116"/>
      <c r="K718" s="116"/>
      <c r="L718" s="116"/>
      <c r="M718" s="116"/>
      <c r="N718" s="116"/>
      <c r="O718" s="116"/>
      <c r="P718" s="108"/>
      <c r="Q718" s="108"/>
    </row>
    <row r="719" spans="1:17" s="603" customFormat="1" ht="21" customHeight="1">
      <c r="A719" s="108"/>
      <c r="B719" s="260"/>
      <c r="C719" s="111" t="s">
        <v>162</v>
      </c>
      <c r="D719" s="232">
        <f>D720</f>
        <v>1010000000</v>
      </c>
      <c r="E719" s="113">
        <v>8122000000</v>
      </c>
      <c r="F719" s="126">
        <f t="shared" si="41"/>
        <v>12.435360748584094</v>
      </c>
      <c r="G719" s="116"/>
      <c r="H719" s="116"/>
      <c r="I719" s="116"/>
      <c r="J719" s="116"/>
      <c r="K719" s="116"/>
      <c r="L719" s="116"/>
      <c r="M719" s="116"/>
      <c r="N719" s="116"/>
      <c r="O719" s="116"/>
      <c r="P719" s="108"/>
      <c r="Q719" s="108"/>
    </row>
    <row r="720" spans="1:17" s="603" customFormat="1" ht="35.1" customHeight="1">
      <c r="A720" s="108"/>
      <c r="B720" s="260"/>
      <c r="C720" s="123" t="s">
        <v>677</v>
      </c>
      <c r="D720" s="604">
        <v>1010000000</v>
      </c>
      <c r="E720" s="113">
        <v>8122000000</v>
      </c>
      <c r="F720" s="126">
        <f t="shared" si="41"/>
        <v>12.435360748584094</v>
      </c>
      <c r="G720" s="116"/>
      <c r="H720" s="116"/>
      <c r="I720" s="116"/>
      <c r="J720" s="116"/>
      <c r="K720" s="116"/>
      <c r="L720" s="116"/>
      <c r="M720" s="116"/>
      <c r="N720" s="116"/>
      <c r="O720" s="116"/>
      <c r="P720" s="108"/>
      <c r="Q720" s="108"/>
    </row>
    <row r="721" spans="1:17" s="603" customFormat="1" ht="21" customHeight="1">
      <c r="A721" s="108"/>
      <c r="B721" s="260"/>
      <c r="C721" s="111" t="s">
        <v>173</v>
      </c>
      <c r="D721" s="232">
        <f>D722</f>
        <v>750000000</v>
      </c>
      <c r="E721" s="113">
        <v>8122000000</v>
      </c>
      <c r="F721" s="126">
        <f t="shared" si="41"/>
        <v>9.2341787737010588</v>
      </c>
      <c r="G721" s="116"/>
      <c r="H721" s="116"/>
      <c r="I721" s="116"/>
      <c r="J721" s="116"/>
      <c r="K721" s="116"/>
      <c r="L721" s="116"/>
      <c r="M721" s="116"/>
      <c r="N721" s="116"/>
      <c r="O721" s="116"/>
      <c r="P721" s="108"/>
      <c r="Q721" s="108"/>
    </row>
    <row r="722" spans="1:17" s="603" customFormat="1" ht="21" customHeight="1">
      <c r="A722" s="108"/>
      <c r="B722" s="260"/>
      <c r="C722" s="123" t="s">
        <v>684</v>
      </c>
      <c r="D722" s="604">
        <v>750000000</v>
      </c>
      <c r="E722" s="113">
        <v>8122000000</v>
      </c>
      <c r="F722" s="126">
        <f t="shared" si="41"/>
        <v>9.2341787737010588</v>
      </c>
      <c r="G722" s="116"/>
      <c r="H722" s="116"/>
      <c r="I722" s="116"/>
      <c r="J722" s="116"/>
      <c r="K722" s="116"/>
      <c r="L722" s="116"/>
      <c r="M722" s="116"/>
      <c r="N722" s="116"/>
      <c r="O722" s="116"/>
      <c r="P722" s="108"/>
      <c r="Q722" s="108"/>
    </row>
    <row r="723" spans="1:17" s="603" customFormat="1" ht="21" customHeight="1">
      <c r="A723" s="108"/>
      <c r="B723" s="260"/>
      <c r="C723" s="111" t="s">
        <v>953</v>
      </c>
      <c r="D723" s="232">
        <f>D724</f>
        <v>1010000000</v>
      </c>
      <c r="E723" s="113">
        <v>8122000000</v>
      </c>
      <c r="F723" s="126">
        <f t="shared" si="41"/>
        <v>12.435360748584094</v>
      </c>
      <c r="G723" s="116"/>
      <c r="H723" s="116"/>
      <c r="I723" s="116"/>
      <c r="J723" s="116"/>
      <c r="K723" s="116"/>
      <c r="L723" s="116"/>
      <c r="M723" s="116"/>
      <c r="N723" s="116"/>
      <c r="O723" s="116"/>
      <c r="P723" s="108"/>
      <c r="Q723" s="108"/>
    </row>
    <row r="724" spans="1:17" s="603" customFormat="1" ht="21" customHeight="1">
      <c r="A724" s="108"/>
      <c r="B724" s="260"/>
      <c r="C724" s="123" t="s">
        <v>2310</v>
      </c>
      <c r="D724" s="604">
        <v>1010000000</v>
      </c>
      <c r="E724" s="113">
        <v>8122000000</v>
      </c>
      <c r="F724" s="126">
        <f t="shared" si="41"/>
        <v>12.435360748584094</v>
      </c>
      <c r="G724" s="116"/>
      <c r="H724" s="116"/>
      <c r="I724" s="116"/>
      <c r="J724" s="116"/>
      <c r="K724" s="116"/>
      <c r="L724" s="116"/>
      <c r="M724" s="116"/>
      <c r="N724" s="116"/>
      <c r="O724" s="116"/>
      <c r="P724" s="108"/>
      <c r="Q724" s="108"/>
    </row>
    <row r="725" spans="1:17" s="603" customFormat="1" ht="21" customHeight="1">
      <c r="A725" s="108"/>
      <c r="B725" s="260"/>
      <c r="C725" s="123"/>
      <c r="D725" s="604"/>
      <c r="E725" s="113">
        <v>8122000000</v>
      </c>
      <c r="F725" s="126">
        <f t="shared" si="41"/>
        <v>0</v>
      </c>
      <c r="G725" s="116"/>
      <c r="H725" s="116"/>
      <c r="I725" s="116"/>
      <c r="J725" s="116"/>
      <c r="K725" s="116"/>
      <c r="L725" s="116"/>
      <c r="M725" s="116"/>
      <c r="N725" s="116"/>
      <c r="O725" s="116"/>
      <c r="P725" s="108"/>
      <c r="Q725" s="108"/>
    </row>
    <row r="726" spans="1:17" s="603" customFormat="1" ht="21" customHeight="1">
      <c r="A726" s="108"/>
      <c r="B726" s="260"/>
      <c r="C726" s="148" t="s">
        <v>2311</v>
      </c>
      <c r="D726" s="232">
        <f>D727</f>
        <v>5352000000</v>
      </c>
      <c r="E726" s="113">
        <v>8122000000</v>
      </c>
      <c r="F726" s="126">
        <f t="shared" si="41"/>
        <v>65.895099729130763</v>
      </c>
      <c r="G726" s="116"/>
      <c r="H726" s="116"/>
      <c r="I726" s="116"/>
      <c r="J726" s="116"/>
      <c r="K726" s="116"/>
      <c r="L726" s="116"/>
      <c r="M726" s="116"/>
      <c r="N726" s="116"/>
      <c r="O726" s="116"/>
      <c r="P726" s="108"/>
      <c r="Q726" s="108"/>
    </row>
    <row r="727" spans="1:17" s="603" customFormat="1" ht="21" customHeight="1">
      <c r="A727" s="108"/>
      <c r="B727" s="260"/>
      <c r="C727" s="111" t="s">
        <v>173</v>
      </c>
      <c r="D727" s="232">
        <f>D728</f>
        <v>5352000000</v>
      </c>
      <c r="E727" s="113">
        <v>8122000000</v>
      </c>
      <c r="F727" s="126">
        <f t="shared" si="41"/>
        <v>65.895099729130763</v>
      </c>
      <c r="G727" s="116"/>
      <c r="H727" s="116"/>
      <c r="I727" s="116"/>
      <c r="J727" s="116"/>
      <c r="K727" s="116"/>
      <c r="L727" s="116"/>
      <c r="M727" s="116"/>
      <c r="N727" s="116"/>
      <c r="O727" s="116"/>
      <c r="P727" s="108"/>
      <c r="Q727" s="108"/>
    </row>
    <row r="728" spans="1:17" s="603" customFormat="1" ht="21" customHeight="1">
      <c r="A728" s="108"/>
      <c r="B728" s="260"/>
      <c r="C728" s="123" t="s">
        <v>2312</v>
      </c>
      <c r="D728" s="604">
        <v>5352000000</v>
      </c>
      <c r="E728" s="113">
        <v>8122000000</v>
      </c>
      <c r="F728" s="126">
        <f t="shared" si="41"/>
        <v>65.895099729130763</v>
      </c>
      <c r="G728" s="116"/>
      <c r="H728" s="116"/>
      <c r="I728" s="116"/>
      <c r="J728" s="116"/>
      <c r="K728" s="116"/>
      <c r="L728" s="116"/>
      <c r="M728" s="116"/>
      <c r="N728" s="116"/>
      <c r="O728" s="116"/>
      <c r="P728" s="108"/>
      <c r="Q728" s="108"/>
    </row>
    <row r="729" spans="1:17" s="603" customFormat="1" ht="21" customHeight="1">
      <c r="A729" s="108"/>
      <c r="B729" s="260"/>
      <c r="C729" s="57"/>
      <c r="D729" s="556"/>
      <c r="E729" s="438"/>
      <c r="F729" s="505"/>
      <c r="G729" s="116"/>
      <c r="H729" s="116"/>
      <c r="I729" s="116"/>
      <c r="J729" s="116"/>
      <c r="K729" s="116"/>
      <c r="L729" s="116"/>
      <c r="M729" s="116"/>
      <c r="N729" s="116"/>
      <c r="O729" s="116"/>
      <c r="P729" s="108"/>
      <c r="Q729" s="108"/>
    </row>
    <row r="730" spans="1:17" s="605" customFormat="1" ht="35.1" customHeight="1">
      <c r="A730" s="117"/>
      <c r="B730" s="260"/>
      <c r="C730" s="111" t="s">
        <v>522</v>
      </c>
      <c r="D730" s="589">
        <f>+D731</f>
        <v>928866137.5</v>
      </c>
      <c r="E730" s="113">
        <v>8122000000</v>
      </c>
      <c r="F730" s="126">
        <f t="shared" ref="F730:F732" si="42">+D730/E730*100</f>
        <v>11.436421294016252</v>
      </c>
      <c r="G730" s="121"/>
      <c r="H730" s="121"/>
      <c r="I730" s="121"/>
      <c r="J730" s="121"/>
      <c r="K730" s="121"/>
      <c r="L730" s="121"/>
      <c r="M730" s="121"/>
      <c r="N730" s="121"/>
      <c r="O730" s="121"/>
      <c r="P730" s="117"/>
      <c r="Q730" s="117"/>
    </row>
    <row r="731" spans="1:17" s="603" customFormat="1" ht="21" customHeight="1">
      <c r="A731" s="108"/>
      <c r="B731" s="260"/>
      <c r="C731" s="111" t="s">
        <v>973</v>
      </c>
      <c r="D731" s="232">
        <f>D732</f>
        <v>928866137.5</v>
      </c>
      <c r="E731" s="113">
        <v>8122000000</v>
      </c>
      <c r="F731" s="126">
        <f t="shared" si="42"/>
        <v>11.436421294016252</v>
      </c>
      <c r="G731" s="116"/>
      <c r="H731" s="116"/>
      <c r="I731" s="116"/>
      <c r="J731" s="116"/>
      <c r="K731" s="116"/>
      <c r="L731" s="116"/>
      <c r="M731" s="116"/>
      <c r="N731" s="116"/>
      <c r="O731" s="116"/>
      <c r="P731" s="108"/>
      <c r="Q731" s="108"/>
    </row>
    <row r="732" spans="1:17" s="603" customFormat="1" ht="35.1" customHeight="1">
      <c r="A732" s="108"/>
      <c r="B732" s="260"/>
      <c r="C732" s="123" t="s">
        <v>2314</v>
      </c>
      <c r="D732" s="233">
        <v>928866137.5</v>
      </c>
      <c r="E732" s="113">
        <v>8122000000</v>
      </c>
      <c r="F732" s="126">
        <f t="shared" si="42"/>
        <v>11.436421294016252</v>
      </c>
      <c r="G732" s="116"/>
      <c r="H732" s="116"/>
      <c r="I732" s="116"/>
      <c r="J732" s="116"/>
      <c r="K732" s="116"/>
      <c r="L732" s="116"/>
      <c r="M732" s="116"/>
      <c r="N732" s="116"/>
      <c r="O732" s="116"/>
      <c r="P732" s="108"/>
      <c r="Q732" s="108"/>
    </row>
    <row r="733" spans="1:17" ht="21" customHeight="1">
      <c r="B733" s="260"/>
      <c r="C733" s="57"/>
      <c r="D733" s="556"/>
      <c r="E733" s="557"/>
      <c r="F733" s="511"/>
      <c r="G733" s="116"/>
      <c r="H733" s="116"/>
      <c r="I733" s="116"/>
      <c r="J733" s="116"/>
      <c r="K733" s="116"/>
      <c r="L733" s="116"/>
      <c r="M733" s="116"/>
      <c r="N733" s="116"/>
      <c r="O733" s="116"/>
    </row>
    <row r="734" spans="1:17" s="498" customFormat="1" ht="21" customHeight="1">
      <c r="A734" s="300"/>
      <c r="B734" s="260">
        <v>29</v>
      </c>
      <c r="C734" s="150" t="s">
        <v>2345</v>
      </c>
      <c r="D734" s="589">
        <f>+D735</f>
        <v>4780053165</v>
      </c>
      <c r="E734" s="438">
        <v>31867021099</v>
      </c>
      <c r="F734" s="505">
        <f>+D734/E734*100</f>
        <v>15.000000000470706</v>
      </c>
      <c r="G734" s="116"/>
      <c r="H734" s="116"/>
      <c r="I734" s="116"/>
      <c r="J734" s="116"/>
      <c r="K734" s="116"/>
      <c r="L734" s="116"/>
      <c r="M734" s="116"/>
      <c r="N734" s="116"/>
      <c r="O734" s="116"/>
      <c r="P734" s="300"/>
      <c r="Q734" s="300"/>
    </row>
    <row r="735" spans="1:17" s="498" customFormat="1" ht="21" customHeight="1">
      <c r="A735" s="300"/>
      <c r="B735" s="260"/>
      <c r="C735" s="111" t="s">
        <v>161</v>
      </c>
      <c r="D735" s="258">
        <f>D736+D741+D743+D739</f>
        <v>4780053165</v>
      </c>
      <c r="E735" s="438">
        <v>4780053165</v>
      </c>
      <c r="F735" s="505">
        <f t="shared" ref="F735:F745" si="43">+D735/E735*100</f>
        <v>100</v>
      </c>
      <c r="G735" s="116"/>
      <c r="H735" s="116"/>
      <c r="I735" s="116"/>
      <c r="J735" s="116"/>
      <c r="K735" s="116"/>
      <c r="L735" s="116"/>
      <c r="M735" s="116"/>
      <c r="N735" s="116"/>
      <c r="O735" s="116"/>
      <c r="P735" s="300"/>
      <c r="Q735" s="300"/>
    </row>
    <row r="736" spans="1:17" s="498" customFormat="1" ht="21" customHeight="1">
      <c r="A736" s="300"/>
      <c r="B736" s="260"/>
      <c r="C736" s="123" t="s">
        <v>173</v>
      </c>
      <c r="D736" s="259">
        <f>SUM(D737:D738)</f>
        <v>677665000</v>
      </c>
      <c r="E736" s="438">
        <v>4780053165</v>
      </c>
      <c r="F736" s="505">
        <f t="shared" si="43"/>
        <v>14.176934368887926</v>
      </c>
      <c r="G736" s="116"/>
      <c r="H736" s="116"/>
      <c r="I736" s="116"/>
      <c r="J736" s="116"/>
      <c r="K736" s="116"/>
      <c r="L736" s="116"/>
      <c r="M736" s="116"/>
      <c r="N736" s="116"/>
      <c r="O736" s="116"/>
      <c r="P736" s="300"/>
      <c r="Q736" s="300"/>
    </row>
    <row r="737" spans="1:17" s="498" customFormat="1" ht="21" customHeight="1">
      <c r="A737" s="300"/>
      <c r="B737" s="260"/>
      <c r="C737" s="57" t="s">
        <v>2346</v>
      </c>
      <c r="D737" s="259">
        <v>375000000</v>
      </c>
      <c r="E737" s="438">
        <v>4780053165</v>
      </c>
      <c r="F737" s="505">
        <f t="shared" si="43"/>
        <v>7.8451010282853204</v>
      </c>
      <c r="G737" s="116"/>
      <c r="H737" s="116"/>
      <c r="I737" s="116"/>
      <c r="J737" s="116"/>
      <c r="K737" s="116"/>
      <c r="L737" s="116"/>
      <c r="M737" s="116"/>
      <c r="N737" s="116"/>
      <c r="O737" s="116"/>
      <c r="P737" s="300"/>
      <c r="Q737" s="300"/>
    </row>
    <row r="738" spans="1:17" s="498" customFormat="1" ht="35.1" customHeight="1">
      <c r="A738" s="300"/>
      <c r="B738" s="260"/>
      <c r="C738" s="57" t="s">
        <v>2347</v>
      </c>
      <c r="D738" s="259">
        <v>302665000</v>
      </c>
      <c r="E738" s="438">
        <v>4780053165</v>
      </c>
      <c r="F738" s="505">
        <f t="shared" si="43"/>
        <v>6.3318333406026035</v>
      </c>
      <c r="G738" s="116"/>
      <c r="H738" s="116"/>
      <c r="I738" s="116"/>
      <c r="J738" s="116"/>
      <c r="K738" s="116"/>
      <c r="L738" s="116"/>
      <c r="M738" s="116"/>
      <c r="N738" s="116"/>
      <c r="O738" s="116"/>
      <c r="P738" s="300"/>
      <c r="Q738" s="300"/>
    </row>
    <row r="739" spans="1:17" s="498" customFormat="1" ht="21" customHeight="1">
      <c r="A739" s="300"/>
      <c r="B739" s="260"/>
      <c r="C739" s="123" t="s">
        <v>192</v>
      </c>
      <c r="D739" s="259">
        <f>SUM(D740:D740)</f>
        <v>125000000</v>
      </c>
      <c r="E739" s="438">
        <v>4780053165</v>
      </c>
      <c r="F739" s="505">
        <f t="shared" si="43"/>
        <v>2.615033676095107</v>
      </c>
      <c r="G739" s="116"/>
      <c r="H739" s="116"/>
      <c r="I739" s="116"/>
      <c r="J739" s="116"/>
      <c r="K739" s="116"/>
      <c r="L739" s="116"/>
      <c r="M739" s="116"/>
      <c r="N739" s="116"/>
      <c r="O739" s="116"/>
      <c r="P739" s="300"/>
      <c r="Q739" s="300"/>
    </row>
    <row r="740" spans="1:17" s="498" customFormat="1" ht="21" customHeight="1">
      <c r="A740" s="300"/>
      <c r="B740" s="260"/>
      <c r="C740" s="57" t="s">
        <v>2348</v>
      </c>
      <c r="D740" s="259">
        <v>125000000</v>
      </c>
      <c r="E740" s="438">
        <v>4780053165</v>
      </c>
      <c r="F740" s="505">
        <f t="shared" si="43"/>
        <v>2.615033676095107</v>
      </c>
      <c r="G740" s="116"/>
      <c r="H740" s="116"/>
      <c r="I740" s="116"/>
      <c r="J740" s="116"/>
      <c r="K740" s="116"/>
      <c r="L740" s="116"/>
      <c r="M740" s="116"/>
      <c r="N740" s="116"/>
      <c r="O740" s="116"/>
      <c r="P740" s="300"/>
      <c r="Q740" s="300"/>
    </row>
    <row r="741" spans="1:17" s="498" customFormat="1" ht="21" customHeight="1">
      <c r="A741" s="300"/>
      <c r="B741" s="260"/>
      <c r="C741" s="123" t="s">
        <v>953</v>
      </c>
      <c r="D741" s="259">
        <f>SUM(D742:D742)</f>
        <v>1600000000</v>
      </c>
      <c r="E741" s="438">
        <v>4780053165</v>
      </c>
      <c r="F741" s="505">
        <f t="shared" si="43"/>
        <v>33.472431054017363</v>
      </c>
      <c r="G741" s="116"/>
      <c r="H741" s="116"/>
      <c r="I741" s="116"/>
      <c r="J741" s="116"/>
      <c r="K741" s="116"/>
      <c r="L741" s="116"/>
      <c r="M741" s="116"/>
      <c r="N741" s="116"/>
      <c r="O741" s="116"/>
      <c r="P741" s="300"/>
      <c r="Q741" s="300"/>
    </row>
    <row r="742" spans="1:17" s="498" customFormat="1" ht="21" customHeight="1">
      <c r="A742" s="300"/>
      <c r="B742" s="260"/>
      <c r="C742" s="57" t="s">
        <v>2349</v>
      </c>
      <c r="D742" s="259">
        <v>1600000000</v>
      </c>
      <c r="E742" s="438">
        <v>4780053165</v>
      </c>
      <c r="F742" s="505">
        <f t="shared" si="43"/>
        <v>33.472431054017363</v>
      </c>
      <c r="G742" s="116"/>
      <c r="H742" s="116"/>
      <c r="I742" s="116"/>
      <c r="J742" s="116"/>
      <c r="K742" s="116"/>
      <c r="L742" s="116"/>
      <c r="M742" s="116"/>
      <c r="N742" s="116"/>
      <c r="O742" s="116"/>
      <c r="P742" s="300"/>
      <c r="Q742" s="300"/>
    </row>
    <row r="743" spans="1:17" s="498" customFormat="1" ht="21" customHeight="1">
      <c r="A743" s="300"/>
      <c r="B743" s="260"/>
      <c r="C743" s="123" t="s">
        <v>1501</v>
      </c>
      <c r="D743" s="259">
        <f>SUM(D744:D745)</f>
        <v>2377388165</v>
      </c>
      <c r="E743" s="438">
        <v>4780053165</v>
      </c>
      <c r="F743" s="505">
        <f t="shared" si="43"/>
        <v>49.735600900999607</v>
      </c>
      <c r="G743" s="116"/>
      <c r="H743" s="116"/>
      <c r="I743" s="116"/>
      <c r="J743" s="116"/>
      <c r="K743" s="116"/>
      <c r="L743" s="116"/>
      <c r="M743" s="116"/>
      <c r="N743" s="116"/>
      <c r="O743" s="116"/>
      <c r="P743" s="300"/>
      <c r="Q743" s="300"/>
    </row>
    <row r="744" spans="1:17" s="498" customFormat="1" ht="21" customHeight="1">
      <c r="A744" s="300"/>
      <c r="B744" s="260"/>
      <c r="C744" s="57" t="s">
        <v>2003</v>
      </c>
      <c r="D744" s="259">
        <v>643700000</v>
      </c>
      <c r="E744" s="438">
        <v>4780053165</v>
      </c>
      <c r="F744" s="505">
        <f t="shared" si="43"/>
        <v>13.466377418419363</v>
      </c>
      <c r="G744" s="116"/>
      <c r="H744" s="116"/>
      <c r="I744" s="116"/>
      <c r="J744" s="116"/>
      <c r="K744" s="116"/>
      <c r="L744" s="116"/>
      <c r="M744" s="116"/>
      <c r="N744" s="116"/>
      <c r="O744" s="116"/>
      <c r="P744" s="300"/>
      <c r="Q744" s="300"/>
    </row>
    <row r="745" spans="1:17" s="498" customFormat="1" ht="78.75" customHeight="1">
      <c r="A745" s="300"/>
      <c r="B745" s="260"/>
      <c r="C745" s="57" t="s">
        <v>2036</v>
      </c>
      <c r="D745" s="259">
        <v>1733688165</v>
      </c>
      <c r="E745" s="438">
        <v>4780053165</v>
      </c>
      <c r="F745" s="505">
        <f t="shared" si="43"/>
        <v>36.269223482580244</v>
      </c>
      <c r="G745" s="116"/>
      <c r="H745" s="116"/>
      <c r="I745" s="116"/>
      <c r="J745" s="116"/>
      <c r="K745" s="116"/>
      <c r="L745" s="116"/>
      <c r="M745" s="116"/>
      <c r="N745" s="116"/>
      <c r="O745" s="116"/>
      <c r="P745" s="300"/>
      <c r="Q745" s="300"/>
    </row>
    <row r="746" spans="1:17" ht="12" customHeight="1">
      <c r="B746" s="260"/>
      <c r="C746" s="57"/>
      <c r="D746" s="556"/>
      <c r="E746" s="438"/>
      <c r="F746" s="505"/>
      <c r="G746" s="116"/>
      <c r="H746" s="116"/>
      <c r="I746" s="116"/>
      <c r="J746" s="116"/>
      <c r="K746" s="116"/>
      <c r="L746" s="116"/>
      <c r="M746" s="116"/>
      <c r="N746" s="116"/>
      <c r="O746" s="116"/>
    </row>
    <row r="747" spans="1:17" s="314" customFormat="1" ht="21" customHeight="1">
      <c r="B747" s="260" t="s">
        <v>2377</v>
      </c>
      <c r="C747" s="150" t="s">
        <v>2619</v>
      </c>
      <c r="D747" s="496">
        <f>+D748+D755+D786+D798</f>
        <v>486941000000</v>
      </c>
      <c r="E747" s="131">
        <v>3915154027000</v>
      </c>
      <c r="F747" s="524">
        <f>+D747/E747*100</f>
        <v>12.437339543780865</v>
      </c>
      <c r="G747" s="121"/>
      <c r="H747" s="121"/>
      <c r="I747" s="121"/>
      <c r="J747" s="121"/>
      <c r="K747" s="121"/>
      <c r="L747" s="121"/>
      <c r="M747" s="121"/>
      <c r="N747" s="121"/>
      <c r="O747" s="121"/>
    </row>
    <row r="748" spans="1:17" s="314" customFormat="1" ht="21" customHeight="1">
      <c r="B748" s="260"/>
      <c r="C748" s="124" t="s">
        <v>161</v>
      </c>
      <c r="D748" s="155">
        <f>+D749+D752</f>
        <v>92991000000</v>
      </c>
      <c r="E748" s="112">
        <v>486941000000</v>
      </c>
      <c r="F748" s="162">
        <f t="shared" ref="F748:F812" si="44">+D748/E748*100</f>
        <v>19.096974787499924</v>
      </c>
      <c r="G748" s="121"/>
      <c r="H748" s="121"/>
      <c r="I748" s="121"/>
      <c r="J748" s="121"/>
      <c r="K748" s="121"/>
      <c r="L748" s="121"/>
      <c r="M748" s="121"/>
      <c r="N748" s="121"/>
      <c r="O748" s="121"/>
    </row>
    <row r="749" spans="1:17" s="314" customFormat="1" ht="21" customHeight="1">
      <c r="B749" s="260"/>
      <c r="C749" s="124" t="s">
        <v>219</v>
      </c>
      <c r="D749" s="606">
        <v>80991000000</v>
      </c>
      <c r="E749" s="112">
        <v>486941000000</v>
      </c>
      <c r="F749" s="162">
        <f t="shared" si="44"/>
        <v>16.632610521603233</v>
      </c>
      <c r="G749" s="121"/>
      <c r="H749" s="121"/>
      <c r="I749" s="121"/>
      <c r="J749" s="121"/>
      <c r="K749" s="121"/>
      <c r="L749" s="121"/>
      <c r="M749" s="121"/>
      <c r="N749" s="121"/>
      <c r="O749" s="121"/>
    </row>
    <row r="750" spans="1:17" s="314" customFormat="1" ht="21" customHeight="1">
      <c r="B750" s="260"/>
      <c r="C750" s="130" t="s">
        <v>2381</v>
      </c>
      <c r="D750" s="528">
        <v>22816000000</v>
      </c>
      <c r="E750" s="112">
        <v>486941000000</v>
      </c>
      <c r="F750" s="162">
        <f t="shared" si="44"/>
        <v>4.6855779242249058</v>
      </c>
      <c r="G750" s="121"/>
      <c r="H750" s="121"/>
      <c r="I750" s="121"/>
      <c r="J750" s="121"/>
      <c r="K750" s="121"/>
      <c r="L750" s="121"/>
      <c r="M750" s="121"/>
      <c r="N750" s="121"/>
      <c r="O750" s="121"/>
    </row>
    <row r="751" spans="1:17" s="314" customFormat="1" ht="35.1" customHeight="1">
      <c r="B751" s="260"/>
      <c r="C751" s="130" t="s">
        <v>2382</v>
      </c>
      <c r="D751" s="528">
        <v>58175000000</v>
      </c>
      <c r="E751" s="112">
        <v>486941000000</v>
      </c>
      <c r="F751" s="162">
        <f t="shared" si="44"/>
        <v>11.947032597378326</v>
      </c>
      <c r="G751" s="121"/>
      <c r="H751" s="121"/>
      <c r="I751" s="121"/>
      <c r="J751" s="121"/>
      <c r="K751" s="121"/>
      <c r="L751" s="121"/>
      <c r="M751" s="121"/>
      <c r="N751" s="121"/>
      <c r="O751" s="121"/>
    </row>
    <row r="752" spans="1:17" s="314" customFormat="1" ht="21" customHeight="1">
      <c r="B752" s="260"/>
      <c r="C752" s="124" t="s">
        <v>245</v>
      </c>
      <c r="D752" s="606">
        <v>12000000000</v>
      </c>
      <c r="E752" s="112">
        <v>486941000000</v>
      </c>
      <c r="F752" s="162">
        <f t="shared" si="44"/>
        <v>2.4643642658966898</v>
      </c>
      <c r="G752" s="121"/>
      <c r="H752" s="121"/>
      <c r="I752" s="121"/>
      <c r="J752" s="121"/>
      <c r="K752" s="121"/>
      <c r="L752" s="121"/>
      <c r="M752" s="121"/>
      <c r="N752" s="121"/>
      <c r="O752" s="121"/>
    </row>
    <row r="753" spans="2:15" s="314" customFormat="1" ht="35.1" customHeight="1">
      <c r="B753" s="260"/>
      <c r="C753" s="130" t="s">
        <v>2383</v>
      </c>
      <c r="D753" s="528">
        <v>12000000000</v>
      </c>
      <c r="E753" s="112">
        <v>486941000000</v>
      </c>
      <c r="F753" s="162">
        <f t="shared" si="44"/>
        <v>2.4643642658966898</v>
      </c>
      <c r="G753" s="121"/>
      <c r="H753" s="121"/>
      <c r="I753" s="121"/>
      <c r="J753" s="121"/>
      <c r="K753" s="121"/>
      <c r="L753" s="121"/>
      <c r="M753" s="121"/>
      <c r="N753" s="121"/>
      <c r="O753" s="121"/>
    </row>
    <row r="754" spans="2:15" s="314" customFormat="1" ht="21" customHeight="1">
      <c r="B754" s="260"/>
      <c r="C754" s="130"/>
      <c r="D754" s="528"/>
      <c r="E754" s="112"/>
      <c r="F754" s="162"/>
      <c r="G754" s="121"/>
      <c r="H754" s="121"/>
      <c r="I754" s="121"/>
      <c r="J754" s="121"/>
      <c r="K754" s="121"/>
      <c r="L754" s="121"/>
      <c r="M754" s="121"/>
      <c r="N754" s="121"/>
      <c r="O754" s="121"/>
    </row>
    <row r="755" spans="2:15" s="314" customFormat="1" ht="21" customHeight="1">
      <c r="B755" s="260"/>
      <c r="C755" s="124" t="s">
        <v>2384</v>
      </c>
      <c r="D755" s="155">
        <f>+D756+D759+D762+D764+D766+D778+D781+D783</f>
        <v>200000000000</v>
      </c>
      <c r="E755" s="112">
        <v>486941000000</v>
      </c>
      <c r="F755" s="162">
        <f t="shared" si="44"/>
        <v>41.072737764944826</v>
      </c>
      <c r="G755" s="121"/>
      <c r="H755" s="121"/>
      <c r="I755" s="121"/>
      <c r="J755" s="121"/>
      <c r="K755" s="121"/>
      <c r="L755" s="121"/>
      <c r="M755" s="121"/>
      <c r="N755" s="121"/>
      <c r="O755" s="121"/>
    </row>
    <row r="756" spans="2:15" s="314" customFormat="1" ht="21" customHeight="1">
      <c r="B756" s="260"/>
      <c r="C756" s="124" t="s">
        <v>887</v>
      </c>
      <c r="D756" s="606">
        <v>13123000000</v>
      </c>
      <c r="E756" s="112">
        <v>486941000000</v>
      </c>
      <c r="F756" s="162">
        <f t="shared" si="44"/>
        <v>2.6949876884468549</v>
      </c>
      <c r="G756" s="121"/>
      <c r="H756" s="121"/>
      <c r="I756" s="121"/>
      <c r="J756" s="121"/>
      <c r="K756" s="121"/>
      <c r="L756" s="121"/>
      <c r="M756" s="121"/>
      <c r="N756" s="121"/>
      <c r="O756" s="121"/>
    </row>
    <row r="757" spans="2:15" s="314" customFormat="1" ht="21" customHeight="1">
      <c r="B757" s="260"/>
      <c r="C757" s="130" t="s">
        <v>2385</v>
      </c>
      <c r="D757" s="528">
        <v>5123000000</v>
      </c>
      <c r="E757" s="112">
        <v>486941000000</v>
      </c>
      <c r="F757" s="162">
        <f t="shared" si="44"/>
        <v>1.0520781778490618</v>
      </c>
      <c r="G757" s="121"/>
      <c r="H757" s="121"/>
      <c r="I757" s="121"/>
      <c r="J757" s="121"/>
      <c r="K757" s="121"/>
      <c r="L757" s="121"/>
      <c r="M757" s="121"/>
      <c r="N757" s="121"/>
      <c r="O757" s="121"/>
    </row>
    <row r="758" spans="2:15" s="314" customFormat="1" ht="21" customHeight="1">
      <c r="B758" s="260"/>
      <c r="C758" s="130" t="s">
        <v>2409</v>
      </c>
      <c r="D758" s="528">
        <v>8000000000</v>
      </c>
      <c r="E758" s="112"/>
      <c r="F758" s="162"/>
      <c r="G758" s="121"/>
      <c r="H758" s="121"/>
      <c r="I758" s="121"/>
      <c r="J758" s="121"/>
      <c r="K758" s="121"/>
      <c r="L758" s="121"/>
      <c r="M758" s="121"/>
      <c r="N758" s="121"/>
      <c r="O758" s="121"/>
    </row>
    <row r="759" spans="2:15" s="314" customFormat="1" ht="21" customHeight="1">
      <c r="B759" s="260"/>
      <c r="C759" s="124" t="s">
        <v>173</v>
      </c>
      <c r="D759" s="606">
        <f>+D760+D761</f>
        <v>19494400000</v>
      </c>
      <c r="E759" s="112">
        <v>486941000000</v>
      </c>
      <c r="F759" s="162">
        <f t="shared" si="44"/>
        <v>4.003441895424702</v>
      </c>
      <c r="G759" s="121"/>
      <c r="H759" s="121"/>
      <c r="I759" s="121"/>
      <c r="J759" s="121"/>
      <c r="K759" s="121"/>
      <c r="L759" s="121"/>
      <c r="M759" s="121"/>
      <c r="N759" s="121"/>
      <c r="O759" s="121"/>
    </row>
    <row r="760" spans="2:15" s="314" customFormat="1" ht="21" customHeight="1">
      <c r="B760" s="260"/>
      <c r="C760" s="130" t="s">
        <v>2387</v>
      </c>
      <c r="D760" s="528">
        <v>19394400000</v>
      </c>
      <c r="E760" s="112">
        <v>486941000000</v>
      </c>
      <c r="F760" s="162">
        <f t="shared" si="44"/>
        <v>3.98290552654223</v>
      </c>
      <c r="G760" s="121"/>
      <c r="H760" s="121"/>
      <c r="I760" s="121"/>
      <c r="J760" s="121"/>
      <c r="K760" s="121"/>
      <c r="L760" s="121"/>
      <c r="M760" s="121"/>
      <c r="N760" s="121"/>
      <c r="O760" s="121"/>
    </row>
    <row r="761" spans="2:15" s="314" customFormat="1" ht="21" customHeight="1">
      <c r="B761" s="260"/>
      <c r="C761" s="130" t="s">
        <v>2388</v>
      </c>
      <c r="D761" s="528">
        <v>100000000</v>
      </c>
      <c r="E761" s="112">
        <v>486941000000</v>
      </c>
      <c r="F761" s="162">
        <f t="shared" si="44"/>
        <v>2.0536368882472414E-2</v>
      </c>
      <c r="G761" s="121"/>
      <c r="H761" s="121"/>
      <c r="I761" s="121"/>
      <c r="J761" s="121"/>
      <c r="K761" s="121"/>
      <c r="L761" s="121"/>
      <c r="M761" s="121"/>
      <c r="N761" s="121"/>
      <c r="O761" s="121"/>
    </row>
    <row r="762" spans="2:15" s="314" customFormat="1" ht="21" customHeight="1">
      <c r="B762" s="260"/>
      <c r="C762" s="124" t="s">
        <v>186</v>
      </c>
      <c r="D762" s="606">
        <f>+D763</f>
        <v>200000000</v>
      </c>
      <c r="E762" s="112">
        <v>486941000000</v>
      </c>
      <c r="F762" s="162">
        <f t="shared" si="44"/>
        <v>4.1072737764944828E-2</v>
      </c>
      <c r="G762" s="121"/>
      <c r="H762" s="121"/>
      <c r="I762" s="121"/>
      <c r="J762" s="121"/>
      <c r="K762" s="121"/>
      <c r="L762" s="121"/>
      <c r="M762" s="121"/>
      <c r="N762" s="121"/>
      <c r="O762" s="121"/>
    </row>
    <row r="763" spans="2:15" s="314" customFormat="1" ht="21" customHeight="1">
      <c r="B763" s="260"/>
      <c r="C763" s="130" t="s">
        <v>2389</v>
      </c>
      <c r="D763" s="528">
        <v>200000000</v>
      </c>
      <c r="E763" s="112">
        <v>486941000000</v>
      </c>
      <c r="F763" s="162">
        <f t="shared" si="44"/>
        <v>4.1072737764944828E-2</v>
      </c>
      <c r="G763" s="121"/>
      <c r="H763" s="121"/>
      <c r="I763" s="121"/>
      <c r="J763" s="121"/>
      <c r="K763" s="121"/>
      <c r="L763" s="121"/>
      <c r="M763" s="121"/>
      <c r="N763" s="121"/>
      <c r="O763" s="121"/>
    </row>
    <row r="764" spans="2:15" s="314" customFormat="1" ht="21" customHeight="1">
      <c r="B764" s="260"/>
      <c r="C764" s="124" t="s">
        <v>2390</v>
      </c>
      <c r="D764" s="606">
        <f>+D765</f>
        <v>4366000000</v>
      </c>
      <c r="E764" s="112">
        <v>486941000000</v>
      </c>
      <c r="F764" s="162">
        <f t="shared" si="44"/>
        <v>0.89661786540874555</v>
      </c>
      <c r="G764" s="121"/>
      <c r="H764" s="121"/>
      <c r="I764" s="121"/>
      <c r="J764" s="121"/>
      <c r="K764" s="121"/>
      <c r="L764" s="121"/>
      <c r="M764" s="121"/>
      <c r="N764" s="121"/>
      <c r="O764" s="121"/>
    </row>
    <row r="765" spans="2:15" s="314" customFormat="1" ht="21" customHeight="1">
      <c r="B765" s="260"/>
      <c r="C765" s="130" t="s">
        <v>2391</v>
      </c>
      <c r="D765" s="528">
        <v>4366000000</v>
      </c>
      <c r="E765" s="112">
        <v>486941000000</v>
      </c>
      <c r="F765" s="162">
        <f t="shared" si="44"/>
        <v>0.89661786540874555</v>
      </c>
      <c r="G765" s="121"/>
      <c r="H765" s="121"/>
      <c r="I765" s="121"/>
      <c r="J765" s="121"/>
      <c r="K765" s="121"/>
      <c r="L765" s="121"/>
      <c r="M765" s="121"/>
      <c r="N765" s="121"/>
      <c r="O765" s="121"/>
    </row>
    <row r="766" spans="2:15" s="314" customFormat="1" ht="35.1" customHeight="1">
      <c r="B766" s="260"/>
      <c r="C766" s="124" t="s">
        <v>1414</v>
      </c>
      <c r="D766" s="606">
        <f>SUM(D767:D777)</f>
        <v>110569800000</v>
      </c>
      <c r="E766" s="112">
        <v>486941000000</v>
      </c>
      <c r="F766" s="162">
        <f t="shared" si="44"/>
        <v>22.707022000611985</v>
      </c>
      <c r="G766" s="121"/>
      <c r="H766" s="121"/>
      <c r="I766" s="121"/>
      <c r="J766" s="121"/>
      <c r="K766" s="121"/>
      <c r="L766" s="121"/>
      <c r="M766" s="121"/>
      <c r="N766" s="121"/>
      <c r="O766" s="121"/>
    </row>
    <row r="767" spans="2:15" s="314" customFormat="1" ht="21" customHeight="1">
      <c r="B767" s="260"/>
      <c r="C767" s="130" t="s">
        <v>2082</v>
      </c>
      <c r="D767" s="528">
        <v>41571881728</v>
      </c>
      <c r="E767" s="112">
        <v>486941000000</v>
      </c>
      <c r="F767" s="162">
        <f t="shared" si="44"/>
        <v>8.5373549830472282</v>
      </c>
      <c r="G767" s="121"/>
      <c r="H767" s="121"/>
      <c r="I767" s="121"/>
      <c r="J767" s="121"/>
      <c r="K767" s="121"/>
      <c r="L767" s="121"/>
      <c r="M767" s="121"/>
      <c r="N767" s="121"/>
      <c r="O767" s="121"/>
    </row>
    <row r="768" spans="2:15" s="314" customFormat="1" ht="21" customHeight="1">
      <c r="B768" s="260"/>
      <c r="C768" s="130" t="s">
        <v>1417</v>
      </c>
      <c r="D768" s="528">
        <v>3770925000</v>
      </c>
      <c r="E768" s="112">
        <v>486941000000</v>
      </c>
      <c r="F768" s="162">
        <f t="shared" si="44"/>
        <v>0.77441106828137296</v>
      </c>
      <c r="G768" s="121"/>
      <c r="H768" s="121"/>
      <c r="I768" s="121"/>
      <c r="J768" s="121"/>
      <c r="K768" s="121"/>
      <c r="L768" s="121"/>
      <c r="M768" s="121"/>
      <c r="N768" s="121"/>
      <c r="O768" s="121"/>
    </row>
    <row r="769" spans="2:15" s="314" customFormat="1" ht="21" customHeight="1">
      <c r="B769" s="260"/>
      <c r="C769" s="130" t="s">
        <v>478</v>
      </c>
      <c r="D769" s="528">
        <v>18939361115</v>
      </c>
      <c r="E769" s="112">
        <v>486941000000</v>
      </c>
      <c r="F769" s="162">
        <f t="shared" si="44"/>
        <v>3.8894570625599401</v>
      </c>
      <c r="G769" s="121"/>
      <c r="H769" s="121"/>
      <c r="I769" s="121"/>
      <c r="J769" s="121"/>
      <c r="K769" s="121"/>
      <c r="L769" s="121"/>
      <c r="M769" s="121"/>
      <c r="N769" s="121"/>
      <c r="O769" s="121"/>
    </row>
    <row r="770" spans="2:15" s="314" customFormat="1" ht="21" customHeight="1">
      <c r="B770" s="260"/>
      <c r="C770" s="130" t="s">
        <v>2392</v>
      </c>
      <c r="D770" s="528">
        <v>999405000</v>
      </c>
      <c r="E770" s="112">
        <v>486941000000</v>
      </c>
      <c r="F770" s="162">
        <f t="shared" si="44"/>
        <v>0.20524149742987344</v>
      </c>
      <c r="G770" s="121"/>
      <c r="H770" s="121"/>
      <c r="I770" s="121"/>
      <c r="J770" s="121"/>
      <c r="K770" s="121"/>
      <c r="L770" s="121"/>
      <c r="M770" s="121"/>
      <c r="N770" s="121"/>
      <c r="O770" s="121"/>
    </row>
    <row r="771" spans="2:15" s="314" customFormat="1" ht="35.1" customHeight="1">
      <c r="B771" s="260"/>
      <c r="C771" s="130" t="s">
        <v>2393</v>
      </c>
      <c r="D771" s="528">
        <v>2454497250</v>
      </c>
      <c r="E771" s="112">
        <v>486941000000</v>
      </c>
      <c r="F771" s="162">
        <f t="shared" si="44"/>
        <v>0.5040646094701412</v>
      </c>
      <c r="G771" s="121"/>
      <c r="H771" s="121"/>
      <c r="I771" s="121"/>
      <c r="J771" s="121"/>
      <c r="K771" s="121"/>
      <c r="L771" s="121"/>
      <c r="M771" s="121"/>
      <c r="N771" s="121"/>
      <c r="O771" s="121"/>
    </row>
    <row r="772" spans="2:15" s="314" customFormat="1" ht="21" customHeight="1">
      <c r="B772" s="260"/>
      <c r="C772" s="130" t="s">
        <v>486</v>
      </c>
      <c r="D772" s="528">
        <v>4358800000</v>
      </c>
      <c r="E772" s="112">
        <v>486941000000</v>
      </c>
      <c r="F772" s="162">
        <f t="shared" si="44"/>
        <v>0.89513924684920754</v>
      </c>
      <c r="G772" s="121"/>
      <c r="H772" s="121"/>
      <c r="I772" s="121"/>
      <c r="J772" s="121"/>
      <c r="K772" s="121"/>
      <c r="L772" s="121"/>
      <c r="M772" s="121"/>
      <c r="N772" s="121"/>
      <c r="O772" s="121"/>
    </row>
    <row r="773" spans="2:15" s="314" customFormat="1" ht="21" customHeight="1">
      <c r="B773" s="260"/>
      <c r="C773" s="130" t="s">
        <v>2394</v>
      </c>
      <c r="D773" s="528">
        <v>2183964635</v>
      </c>
      <c r="E773" s="112">
        <v>486941000000</v>
      </c>
      <c r="F773" s="162">
        <f t="shared" si="44"/>
        <v>0.44850703370634221</v>
      </c>
      <c r="G773" s="121"/>
      <c r="H773" s="121"/>
      <c r="I773" s="121"/>
      <c r="J773" s="121"/>
      <c r="K773" s="121"/>
      <c r="L773" s="121"/>
      <c r="M773" s="121"/>
      <c r="N773" s="121"/>
      <c r="O773" s="121"/>
    </row>
    <row r="774" spans="2:15" s="314" customFormat="1" ht="21" customHeight="1">
      <c r="B774" s="260"/>
      <c r="C774" s="130" t="s">
        <v>2395</v>
      </c>
      <c r="D774" s="528">
        <v>750000000</v>
      </c>
      <c r="E774" s="112">
        <v>486941000000</v>
      </c>
      <c r="F774" s="162">
        <f t="shared" si="44"/>
        <v>0.15402276661854311</v>
      </c>
      <c r="G774" s="121"/>
      <c r="H774" s="121"/>
      <c r="I774" s="121"/>
      <c r="J774" s="121"/>
      <c r="K774" s="121"/>
      <c r="L774" s="121"/>
      <c r="M774" s="121"/>
      <c r="N774" s="121"/>
      <c r="O774" s="121"/>
    </row>
    <row r="775" spans="2:15" s="314" customFormat="1" ht="21" customHeight="1">
      <c r="B775" s="260"/>
      <c r="C775" s="130" t="s">
        <v>2396</v>
      </c>
      <c r="D775" s="528">
        <v>4500965272</v>
      </c>
      <c r="E775" s="112">
        <v>486941000000</v>
      </c>
      <c r="F775" s="162">
        <f t="shared" si="44"/>
        <v>0.92433483152989782</v>
      </c>
      <c r="G775" s="121"/>
      <c r="H775" s="121"/>
      <c r="I775" s="121"/>
      <c r="J775" s="121"/>
      <c r="K775" s="121"/>
      <c r="L775" s="121"/>
      <c r="M775" s="121"/>
      <c r="N775" s="121"/>
      <c r="O775" s="121"/>
    </row>
    <row r="776" spans="2:15" s="314" customFormat="1" ht="21" customHeight="1">
      <c r="B776" s="260"/>
      <c r="C776" s="130" t="s">
        <v>2397</v>
      </c>
      <c r="D776" s="528">
        <v>25350000000</v>
      </c>
      <c r="E776" s="112">
        <v>486941000000</v>
      </c>
      <c r="F776" s="162">
        <f t="shared" si="44"/>
        <v>5.2059695117067575</v>
      </c>
      <c r="G776" s="121"/>
      <c r="H776" s="121"/>
      <c r="I776" s="121"/>
      <c r="J776" s="121"/>
      <c r="K776" s="121"/>
      <c r="L776" s="121"/>
      <c r="M776" s="121"/>
      <c r="N776" s="121"/>
      <c r="O776" s="121"/>
    </row>
    <row r="777" spans="2:15" s="314" customFormat="1" ht="21" customHeight="1">
      <c r="B777" s="260"/>
      <c r="C777" s="130" t="s">
        <v>2398</v>
      </c>
      <c r="D777" s="528">
        <v>5690000000</v>
      </c>
      <c r="E777" s="112">
        <v>486941000000</v>
      </c>
      <c r="F777" s="162">
        <f t="shared" si="44"/>
        <v>1.1685193894126804</v>
      </c>
      <c r="G777" s="121"/>
      <c r="H777" s="121"/>
      <c r="I777" s="121"/>
      <c r="J777" s="121"/>
      <c r="K777" s="121"/>
      <c r="L777" s="121"/>
      <c r="M777" s="121"/>
      <c r="N777" s="121"/>
      <c r="O777" s="121"/>
    </row>
    <row r="778" spans="2:15" s="314" customFormat="1" ht="35.1" customHeight="1">
      <c r="B778" s="260"/>
      <c r="C778" s="124" t="s">
        <v>2399</v>
      </c>
      <c r="D778" s="606">
        <f>+D779+D780</f>
        <v>11046800000</v>
      </c>
      <c r="E778" s="112">
        <v>486941000000</v>
      </c>
      <c r="F778" s="162">
        <f t="shared" si="44"/>
        <v>2.2686115977089627</v>
      </c>
      <c r="G778" s="121"/>
      <c r="H778" s="121"/>
      <c r="I778" s="121"/>
      <c r="J778" s="121"/>
      <c r="K778" s="121"/>
      <c r="L778" s="121"/>
      <c r="M778" s="121"/>
      <c r="N778" s="121"/>
      <c r="O778" s="121"/>
    </row>
    <row r="779" spans="2:15" s="314" customFormat="1" ht="21" customHeight="1">
      <c r="B779" s="260"/>
      <c r="C779" s="130" t="s">
        <v>2400</v>
      </c>
      <c r="D779" s="528">
        <v>3700000000</v>
      </c>
      <c r="E779" s="112">
        <v>486941000000</v>
      </c>
      <c r="F779" s="162">
        <f t="shared" si="44"/>
        <v>0.75984564865147941</v>
      </c>
      <c r="G779" s="121"/>
      <c r="H779" s="121"/>
      <c r="I779" s="121"/>
      <c r="J779" s="121"/>
      <c r="K779" s="121"/>
      <c r="L779" s="121"/>
      <c r="M779" s="121"/>
      <c r="N779" s="121"/>
      <c r="O779" s="121"/>
    </row>
    <row r="780" spans="2:15" s="314" customFormat="1" ht="21" customHeight="1">
      <c r="B780" s="260"/>
      <c r="C780" s="130" t="s">
        <v>2401</v>
      </c>
      <c r="D780" s="528">
        <v>7346800000</v>
      </c>
      <c r="E780" s="112">
        <v>486941000000</v>
      </c>
      <c r="F780" s="162">
        <f t="shared" si="44"/>
        <v>1.5087659490574834</v>
      </c>
      <c r="G780" s="121"/>
      <c r="H780" s="121"/>
      <c r="I780" s="121"/>
      <c r="J780" s="121"/>
      <c r="K780" s="121"/>
      <c r="L780" s="121"/>
      <c r="M780" s="121"/>
      <c r="N780" s="121"/>
      <c r="O780" s="121"/>
    </row>
    <row r="781" spans="2:15" s="314" customFormat="1" ht="21" customHeight="1">
      <c r="B781" s="260"/>
      <c r="C781" s="124" t="s">
        <v>219</v>
      </c>
      <c r="D781" s="606">
        <f>+D782</f>
        <v>41000000000</v>
      </c>
      <c r="E781" s="112">
        <v>486941000000</v>
      </c>
      <c r="F781" s="162">
        <f t="shared" si="44"/>
        <v>8.4199112418136899</v>
      </c>
      <c r="G781" s="121"/>
      <c r="H781" s="121"/>
      <c r="I781" s="121"/>
      <c r="J781" s="121"/>
      <c r="K781" s="121"/>
      <c r="L781" s="121"/>
      <c r="M781" s="121"/>
      <c r="N781" s="121"/>
      <c r="O781" s="121"/>
    </row>
    <row r="782" spans="2:15" s="314" customFormat="1" ht="35.1" customHeight="1">
      <c r="B782" s="260"/>
      <c r="C782" s="130" t="s">
        <v>2402</v>
      </c>
      <c r="D782" s="528">
        <v>41000000000</v>
      </c>
      <c r="E782" s="112">
        <v>486941000000</v>
      </c>
      <c r="F782" s="162">
        <f t="shared" si="44"/>
        <v>8.4199112418136899</v>
      </c>
      <c r="G782" s="121"/>
      <c r="H782" s="121"/>
      <c r="I782" s="121"/>
      <c r="J782" s="121"/>
      <c r="K782" s="121"/>
      <c r="L782" s="121"/>
      <c r="M782" s="121"/>
      <c r="N782" s="121"/>
      <c r="O782" s="121"/>
    </row>
    <row r="783" spans="2:15" s="314" customFormat="1" ht="21" customHeight="1">
      <c r="B783" s="260"/>
      <c r="C783" s="124" t="s">
        <v>221</v>
      </c>
      <c r="D783" s="606">
        <f>+D784</f>
        <v>200000000</v>
      </c>
      <c r="E783" s="112">
        <v>486941000000</v>
      </c>
      <c r="F783" s="162">
        <f t="shared" si="44"/>
        <v>4.1072737764944828E-2</v>
      </c>
      <c r="G783" s="121"/>
      <c r="H783" s="121"/>
      <c r="I783" s="121"/>
      <c r="J783" s="121"/>
      <c r="K783" s="121"/>
      <c r="L783" s="121"/>
      <c r="M783" s="121"/>
      <c r="N783" s="121"/>
      <c r="O783" s="121"/>
    </row>
    <row r="784" spans="2:15" s="314" customFormat="1" ht="21" customHeight="1">
      <c r="B784" s="260"/>
      <c r="C784" s="130" t="s">
        <v>2403</v>
      </c>
      <c r="D784" s="528">
        <v>200000000</v>
      </c>
      <c r="E784" s="112">
        <v>486941000000</v>
      </c>
      <c r="F784" s="162">
        <f t="shared" si="44"/>
        <v>4.1072737764944828E-2</v>
      </c>
      <c r="G784" s="121"/>
      <c r="H784" s="121"/>
      <c r="I784" s="121"/>
      <c r="J784" s="121"/>
      <c r="K784" s="121"/>
      <c r="L784" s="121"/>
      <c r="M784" s="121"/>
      <c r="N784" s="121"/>
      <c r="O784" s="121"/>
    </row>
    <row r="785" spans="2:15" s="314" customFormat="1" ht="21" customHeight="1">
      <c r="B785" s="260"/>
      <c r="C785" s="130"/>
      <c r="D785" s="528"/>
      <c r="E785" s="112"/>
      <c r="F785" s="162"/>
      <c r="G785" s="121"/>
      <c r="H785" s="121"/>
      <c r="I785" s="121"/>
      <c r="J785" s="121"/>
      <c r="K785" s="121"/>
      <c r="L785" s="121"/>
      <c r="M785" s="121"/>
      <c r="N785" s="121"/>
      <c r="O785" s="121"/>
    </row>
    <row r="786" spans="2:15" s="314" customFormat="1" ht="21" customHeight="1">
      <c r="B786" s="260"/>
      <c r="C786" s="124" t="s">
        <v>2404</v>
      </c>
      <c r="D786" s="155">
        <f>+D787+D789+D794</f>
        <v>141700000000</v>
      </c>
      <c r="E786" s="112">
        <v>486941000000</v>
      </c>
      <c r="F786" s="162">
        <f t="shared" si="44"/>
        <v>29.100034706463411</v>
      </c>
      <c r="G786" s="121"/>
      <c r="H786" s="121"/>
      <c r="I786" s="121"/>
      <c r="J786" s="121"/>
      <c r="K786" s="121"/>
      <c r="L786" s="121"/>
      <c r="M786" s="121"/>
      <c r="N786" s="121"/>
      <c r="O786" s="121"/>
    </row>
    <row r="787" spans="2:15" s="314" customFormat="1" ht="21" customHeight="1">
      <c r="B787" s="260"/>
      <c r="C787" s="124" t="s">
        <v>173</v>
      </c>
      <c r="D787" s="606">
        <f>+D788</f>
        <v>72757000000</v>
      </c>
      <c r="E787" s="112">
        <v>486941000000</v>
      </c>
      <c r="F787" s="162">
        <f t="shared" si="44"/>
        <v>14.941645907820455</v>
      </c>
      <c r="G787" s="121"/>
      <c r="H787" s="121"/>
      <c r="I787" s="121"/>
      <c r="J787" s="121"/>
      <c r="K787" s="121"/>
      <c r="L787" s="121"/>
      <c r="M787" s="121"/>
      <c r="N787" s="121"/>
      <c r="O787" s="121"/>
    </row>
    <row r="788" spans="2:15" s="314" customFormat="1" ht="21" customHeight="1">
      <c r="B788" s="260"/>
      <c r="C788" s="130" t="s">
        <v>2405</v>
      </c>
      <c r="D788" s="528">
        <v>72757000000</v>
      </c>
      <c r="E788" s="112">
        <v>486941000000</v>
      </c>
      <c r="F788" s="162">
        <f t="shared" si="44"/>
        <v>14.941645907820455</v>
      </c>
      <c r="G788" s="121"/>
      <c r="H788" s="121"/>
      <c r="I788" s="121"/>
      <c r="J788" s="121"/>
      <c r="K788" s="121"/>
      <c r="L788" s="121"/>
      <c r="M788" s="121"/>
      <c r="N788" s="121"/>
      <c r="O788" s="121"/>
    </row>
    <row r="789" spans="2:15" s="314" customFormat="1" ht="35.1" customHeight="1">
      <c r="B789" s="260"/>
      <c r="C789" s="124" t="s">
        <v>1414</v>
      </c>
      <c r="D789" s="606">
        <f>SUM(D790:D793)</f>
        <v>62943000000</v>
      </c>
      <c r="E789" s="112">
        <v>486941000000</v>
      </c>
      <c r="F789" s="162">
        <f t="shared" si="44"/>
        <v>12.926206665694611</v>
      </c>
      <c r="G789" s="121"/>
      <c r="H789" s="121"/>
      <c r="I789" s="121"/>
      <c r="J789" s="121"/>
      <c r="K789" s="121"/>
      <c r="L789" s="121"/>
      <c r="M789" s="121"/>
      <c r="N789" s="121"/>
      <c r="O789" s="121"/>
    </row>
    <row r="790" spans="2:15" s="314" customFormat="1" ht="21" customHeight="1">
      <c r="B790" s="260"/>
      <c r="C790" s="130" t="s">
        <v>1417</v>
      </c>
      <c r="D790" s="528">
        <v>33443000000</v>
      </c>
      <c r="E790" s="112">
        <v>486941000000</v>
      </c>
      <c r="F790" s="162">
        <f t="shared" si="44"/>
        <v>6.8679778453652505</v>
      </c>
      <c r="G790" s="121"/>
      <c r="H790" s="121"/>
      <c r="I790" s="121"/>
      <c r="J790" s="121"/>
      <c r="K790" s="121"/>
      <c r="L790" s="121"/>
      <c r="M790" s="121"/>
      <c r="N790" s="121"/>
      <c r="O790" s="121"/>
    </row>
    <row r="791" spans="2:15" s="314" customFormat="1" ht="21" customHeight="1">
      <c r="B791" s="260"/>
      <c r="C791" s="130" t="s">
        <v>478</v>
      </c>
      <c r="D791" s="528">
        <v>12000000000</v>
      </c>
      <c r="E791" s="112">
        <v>486941000000</v>
      </c>
      <c r="F791" s="162">
        <f t="shared" si="44"/>
        <v>2.4643642658966898</v>
      </c>
      <c r="G791" s="121"/>
      <c r="H791" s="121"/>
      <c r="I791" s="121"/>
      <c r="J791" s="121"/>
      <c r="K791" s="121"/>
      <c r="L791" s="121"/>
      <c r="M791" s="121"/>
      <c r="N791" s="121"/>
      <c r="O791" s="121"/>
    </row>
    <row r="792" spans="2:15" s="314" customFormat="1" ht="35.1" customHeight="1">
      <c r="B792" s="260"/>
      <c r="C792" s="130" t="s">
        <v>2393</v>
      </c>
      <c r="D792" s="528">
        <v>9500000000</v>
      </c>
      <c r="E792" s="112">
        <v>486941000000</v>
      </c>
      <c r="F792" s="162">
        <f t="shared" si="44"/>
        <v>1.9509550438348795</v>
      </c>
      <c r="G792" s="121"/>
      <c r="H792" s="121"/>
      <c r="I792" s="121"/>
      <c r="J792" s="121"/>
      <c r="K792" s="121"/>
      <c r="L792" s="121"/>
      <c r="M792" s="121"/>
      <c r="N792" s="121"/>
      <c r="O792" s="121"/>
    </row>
    <row r="793" spans="2:15" s="314" customFormat="1" ht="21" customHeight="1">
      <c r="B793" s="260"/>
      <c r="C793" s="130" t="s">
        <v>2396</v>
      </c>
      <c r="D793" s="528">
        <v>8000000000</v>
      </c>
      <c r="E793" s="112">
        <v>486941000000</v>
      </c>
      <c r="F793" s="162">
        <f t="shared" si="44"/>
        <v>1.6429095105977933</v>
      </c>
      <c r="G793" s="121"/>
      <c r="H793" s="121"/>
      <c r="I793" s="121"/>
      <c r="J793" s="121"/>
      <c r="K793" s="121"/>
      <c r="L793" s="121"/>
      <c r="M793" s="121"/>
      <c r="N793" s="121"/>
      <c r="O793" s="121"/>
    </row>
    <row r="794" spans="2:15" s="314" customFormat="1" ht="35.1" customHeight="1">
      <c r="B794" s="260"/>
      <c r="C794" s="124" t="s">
        <v>2399</v>
      </c>
      <c r="D794" s="606">
        <f>+D795+D796</f>
        <v>6000000000</v>
      </c>
      <c r="E794" s="112">
        <v>486941000000</v>
      </c>
      <c r="F794" s="162">
        <f t="shared" si="44"/>
        <v>1.2321821329483449</v>
      </c>
      <c r="G794" s="121"/>
      <c r="H794" s="121"/>
      <c r="I794" s="121"/>
      <c r="J794" s="121"/>
      <c r="K794" s="121"/>
      <c r="L794" s="121"/>
      <c r="M794" s="121"/>
      <c r="N794" s="121"/>
      <c r="O794" s="121"/>
    </row>
    <row r="795" spans="2:15" s="314" customFormat="1" ht="35.1" customHeight="1">
      <c r="B795" s="260"/>
      <c r="C795" s="130" t="s">
        <v>2406</v>
      </c>
      <c r="D795" s="528">
        <v>5000000000</v>
      </c>
      <c r="E795" s="112">
        <v>486941000000</v>
      </c>
      <c r="F795" s="162">
        <f t="shared" si="44"/>
        <v>1.0268184441236208</v>
      </c>
      <c r="G795" s="121"/>
      <c r="H795" s="121"/>
      <c r="I795" s="121"/>
      <c r="J795" s="121"/>
      <c r="K795" s="121"/>
      <c r="L795" s="121"/>
      <c r="M795" s="121"/>
      <c r="N795" s="121"/>
      <c r="O795" s="121"/>
    </row>
    <row r="796" spans="2:15" s="314" customFormat="1" ht="35.1" customHeight="1">
      <c r="B796" s="260"/>
      <c r="C796" s="130" t="s">
        <v>2407</v>
      </c>
      <c r="D796" s="528">
        <v>1000000000</v>
      </c>
      <c r="E796" s="112">
        <v>486941000000</v>
      </c>
      <c r="F796" s="162">
        <f t="shared" si="44"/>
        <v>0.20536368882472417</v>
      </c>
      <c r="G796" s="121"/>
      <c r="H796" s="121"/>
      <c r="I796" s="121"/>
      <c r="J796" s="121"/>
      <c r="K796" s="121"/>
      <c r="L796" s="121"/>
      <c r="M796" s="121"/>
      <c r="N796" s="121"/>
      <c r="O796" s="121"/>
    </row>
    <row r="797" spans="2:15" s="314" customFormat="1" ht="21" customHeight="1">
      <c r="B797" s="260"/>
      <c r="C797" s="130"/>
      <c r="D797" s="528"/>
      <c r="E797" s="112"/>
      <c r="F797" s="162"/>
      <c r="G797" s="121"/>
      <c r="H797" s="121"/>
      <c r="I797" s="121"/>
      <c r="J797" s="121"/>
      <c r="K797" s="121"/>
      <c r="L797" s="121"/>
      <c r="M797" s="121"/>
      <c r="N797" s="121"/>
      <c r="O797" s="121"/>
    </row>
    <row r="798" spans="2:15" s="314" customFormat="1" ht="21" customHeight="1">
      <c r="B798" s="260"/>
      <c r="C798" s="124" t="s">
        <v>2408</v>
      </c>
      <c r="D798" s="155">
        <f>+D799+D801+D803+D807+D809+D811</f>
        <v>52250000000</v>
      </c>
      <c r="E798" s="112">
        <v>486941000000</v>
      </c>
      <c r="F798" s="162">
        <f t="shared" si="44"/>
        <v>10.730252741091837</v>
      </c>
      <c r="G798" s="121"/>
      <c r="H798" s="121"/>
      <c r="I798" s="121"/>
      <c r="J798" s="121"/>
      <c r="K798" s="121"/>
      <c r="L798" s="121"/>
      <c r="M798" s="121"/>
      <c r="N798" s="121"/>
      <c r="O798" s="121"/>
    </row>
    <row r="799" spans="2:15" s="314" customFormat="1" ht="21" customHeight="1">
      <c r="B799" s="260"/>
      <c r="C799" s="124" t="s">
        <v>887</v>
      </c>
      <c r="D799" s="606">
        <f>+D800</f>
        <v>3000000000</v>
      </c>
      <c r="E799" s="112">
        <v>486941000000</v>
      </c>
      <c r="F799" s="162">
        <f t="shared" si="44"/>
        <v>0.61609106647417244</v>
      </c>
      <c r="G799" s="121"/>
      <c r="H799" s="121"/>
      <c r="I799" s="121"/>
      <c r="J799" s="121"/>
      <c r="K799" s="121"/>
      <c r="L799" s="121"/>
      <c r="M799" s="121"/>
      <c r="N799" s="121"/>
      <c r="O799" s="121"/>
    </row>
    <row r="800" spans="2:15" s="314" customFormat="1" ht="21" customHeight="1">
      <c r="B800" s="260"/>
      <c r="C800" s="130" t="s">
        <v>2409</v>
      </c>
      <c r="D800" s="528">
        <v>3000000000</v>
      </c>
      <c r="E800" s="112">
        <v>486941000000</v>
      </c>
      <c r="F800" s="162">
        <f t="shared" si="44"/>
        <v>0.61609106647417244</v>
      </c>
      <c r="G800" s="121"/>
      <c r="H800" s="121"/>
      <c r="I800" s="121"/>
      <c r="J800" s="121"/>
      <c r="K800" s="121"/>
      <c r="L800" s="121"/>
      <c r="M800" s="121"/>
      <c r="N800" s="121"/>
      <c r="O800" s="121"/>
    </row>
    <row r="801" spans="2:15" s="314" customFormat="1" ht="21" customHeight="1">
      <c r="B801" s="260"/>
      <c r="C801" s="124" t="s">
        <v>1507</v>
      </c>
      <c r="D801" s="606">
        <f>+D802</f>
        <v>147600</v>
      </c>
      <c r="E801" s="112">
        <v>486941000000</v>
      </c>
      <c r="F801" s="162">
        <f t="shared" si="44"/>
        <v>3.0311680470529281E-5</v>
      </c>
      <c r="G801" s="121"/>
      <c r="H801" s="121"/>
      <c r="I801" s="121"/>
      <c r="J801" s="121"/>
      <c r="K801" s="121"/>
      <c r="L801" s="121"/>
      <c r="M801" s="121"/>
      <c r="N801" s="121"/>
      <c r="O801" s="121"/>
    </row>
    <row r="802" spans="2:15" s="314" customFormat="1" ht="21" customHeight="1">
      <c r="B802" s="260"/>
      <c r="C802" s="130" t="s">
        <v>2410</v>
      </c>
      <c r="D802" s="528">
        <v>147600</v>
      </c>
      <c r="E802" s="112">
        <v>486941000000</v>
      </c>
      <c r="F802" s="162">
        <f t="shared" si="44"/>
        <v>3.0311680470529281E-5</v>
      </c>
      <c r="G802" s="121"/>
      <c r="H802" s="121"/>
      <c r="I802" s="121"/>
      <c r="J802" s="121"/>
      <c r="K802" s="121"/>
      <c r="L802" s="121"/>
      <c r="M802" s="121"/>
      <c r="N802" s="121"/>
      <c r="O802" s="121"/>
    </row>
    <row r="803" spans="2:15" s="314" customFormat="1" ht="35.1" customHeight="1">
      <c r="B803" s="260"/>
      <c r="C803" s="124" t="s">
        <v>1414</v>
      </c>
      <c r="D803" s="606">
        <f>+D804+D805+D806</f>
        <v>16669200000</v>
      </c>
      <c r="E803" s="112">
        <v>486941000000</v>
      </c>
      <c r="F803" s="162">
        <f t="shared" si="44"/>
        <v>3.4232484017570917</v>
      </c>
      <c r="G803" s="121"/>
      <c r="H803" s="121"/>
      <c r="I803" s="121"/>
      <c r="J803" s="121"/>
      <c r="K803" s="121"/>
      <c r="L803" s="121"/>
      <c r="M803" s="121"/>
      <c r="N803" s="121"/>
      <c r="O803" s="121"/>
    </row>
    <row r="804" spans="2:15" s="314" customFormat="1" ht="21" customHeight="1">
      <c r="B804" s="260"/>
      <c r="C804" s="130" t="s">
        <v>2411</v>
      </c>
      <c r="D804" s="528">
        <v>10900000000</v>
      </c>
      <c r="E804" s="112">
        <v>486941000000</v>
      </c>
      <c r="F804" s="162">
        <f t="shared" si="44"/>
        <v>2.2384642081894932</v>
      </c>
      <c r="G804" s="121"/>
      <c r="H804" s="121"/>
      <c r="I804" s="121"/>
      <c r="J804" s="121"/>
      <c r="K804" s="121"/>
      <c r="L804" s="121"/>
      <c r="M804" s="121"/>
      <c r="N804" s="121"/>
      <c r="O804" s="121"/>
    </row>
    <row r="805" spans="2:15" s="314" customFormat="1" ht="21" customHeight="1">
      <c r="B805" s="260"/>
      <c r="C805" s="130" t="s">
        <v>1417</v>
      </c>
      <c r="D805" s="528">
        <v>5620000000</v>
      </c>
      <c r="E805" s="112">
        <v>486941000000</v>
      </c>
      <c r="F805" s="162">
        <f t="shared" si="44"/>
        <v>1.1541439311949497</v>
      </c>
      <c r="G805" s="121"/>
      <c r="H805" s="121"/>
      <c r="I805" s="121"/>
      <c r="J805" s="121"/>
      <c r="K805" s="121"/>
      <c r="L805" s="121"/>
      <c r="M805" s="121"/>
      <c r="N805" s="121"/>
      <c r="O805" s="121"/>
    </row>
    <row r="806" spans="2:15" s="314" customFormat="1" ht="21" customHeight="1">
      <c r="B806" s="260"/>
      <c r="C806" s="130" t="s">
        <v>486</v>
      </c>
      <c r="D806" s="528">
        <v>149200000</v>
      </c>
      <c r="E806" s="112">
        <v>486941000000</v>
      </c>
      <c r="F806" s="162">
        <f t="shared" si="44"/>
        <v>3.0640262372648844E-2</v>
      </c>
      <c r="G806" s="121"/>
      <c r="H806" s="121"/>
      <c r="I806" s="121"/>
      <c r="J806" s="121"/>
      <c r="K806" s="121"/>
      <c r="L806" s="121"/>
      <c r="M806" s="121"/>
      <c r="N806" s="121"/>
      <c r="O806" s="121"/>
    </row>
    <row r="807" spans="2:15" s="314" customFormat="1" ht="35.1" customHeight="1">
      <c r="B807" s="260"/>
      <c r="C807" s="124" t="s">
        <v>2399</v>
      </c>
      <c r="D807" s="606">
        <f>+D808</f>
        <v>100000000</v>
      </c>
      <c r="E807" s="112">
        <v>486941000000</v>
      </c>
      <c r="F807" s="162">
        <f t="shared" si="44"/>
        <v>2.0536368882472414E-2</v>
      </c>
      <c r="G807" s="121"/>
      <c r="H807" s="121"/>
      <c r="I807" s="121"/>
      <c r="J807" s="121"/>
      <c r="K807" s="121"/>
      <c r="L807" s="121"/>
      <c r="M807" s="121"/>
      <c r="N807" s="121"/>
      <c r="O807" s="121"/>
    </row>
    <row r="808" spans="2:15" s="314" customFormat="1" ht="21" customHeight="1">
      <c r="B808" s="260"/>
      <c r="C808" s="130" t="s">
        <v>2412</v>
      </c>
      <c r="D808" s="528">
        <v>100000000</v>
      </c>
      <c r="E808" s="112">
        <v>486941000000</v>
      </c>
      <c r="F808" s="162">
        <f t="shared" si="44"/>
        <v>2.0536368882472414E-2</v>
      </c>
      <c r="G808" s="121"/>
      <c r="H808" s="121"/>
      <c r="I808" s="121"/>
      <c r="J808" s="121"/>
      <c r="K808" s="121"/>
      <c r="L808" s="121"/>
      <c r="M808" s="121"/>
      <c r="N808" s="121"/>
      <c r="O808" s="121"/>
    </row>
    <row r="809" spans="2:15" s="314" customFormat="1" ht="21" customHeight="1">
      <c r="B809" s="260"/>
      <c r="C809" s="124" t="s">
        <v>219</v>
      </c>
      <c r="D809" s="606">
        <f>+D810</f>
        <v>8383500000</v>
      </c>
      <c r="E809" s="112">
        <v>486941000000</v>
      </c>
      <c r="F809" s="162">
        <f t="shared" si="44"/>
        <v>1.7216664852620749</v>
      </c>
      <c r="G809" s="121"/>
      <c r="H809" s="121"/>
      <c r="I809" s="121"/>
      <c r="J809" s="121"/>
      <c r="K809" s="121"/>
      <c r="L809" s="121"/>
      <c r="M809" s="121"/>
      <c r="N809" s="121"/>
      <c r="O809" s="121"/>
    </row>
    <row r="810" spans="2:15" s="314" customFormat="1" ht="21" customHeight="1">
      <c r="B810" s="260"/>
      <c r="C810" s="130" t="s">
        <v>2381</v>
      </c>
      <c r="D810" s="528">
        <v>8383500000</v>
      </c>
      <c r="E810" s="112">
        <v>486941000000</v>
      </c>
      <c r="F810" s="162">
        <f t="shared" si="44"/>
        <v>1.7216664852620749</v>
      </c>
      <c r="G810" s="121"/>
      <c r="H810" s="121"/>
      <c r="I810" s="121"/>
      <c r="J810" s="121"/>
      <c r="K810" s="121"/>
      <c r="L810" s="121"/>
      <c r="M810" s="121"/>
      <c r="N810" s="121"/>
      <c r="O810" s="121"/>
    </row>
    <row r="811" spans="2:15" s="314" customFormat="1" ht="21" customHeight="1">
      <c r="B811" s="260"/>
      <c r="C811" s="124" t="s">
        <v>243</v>
      </c>
      <c r="D811" s="606">
        <f>+D812+D813+D814+D815+D816</f>
        <v>24097152400</v>
      </c>
      <c r="E811" s="112">
        <v>486941000000</v>
      </c>
      <c r="F811" s="162">
        <f t="shared" si="44"/>
        <v>4.9486801070355542</v>
      </c>
      <c r="G811" s="121"/>
      <c r="H811" s="121"/>
      <c r="I811" s="121"/>
      <c r="J811" s="121"/>
      <c r="K811" s="121"/>
      <c r="L811" s="121"/>
      <c r="M811" s="121"/>
      <c r="N811" s="121"/>
      <c r="O811" s="121"/>
    </row>
    <row r="812" spans="2:15" s="314" customFormat="1" ht="21" customHeight="1">
      <c r="B812" s="260"/>
      <c r="C812" s="130" t="s">
        <v>244</v>
      </c>
      <c r="D812" s="528">
        <v>1376000000</v>
      </c>
      <c r="E812" s="112">
        <v>486941000000</v>
      </c>
      <c r="F812" s="162">
        <f t="shared" si="44"/>
        <v>0.28258043582282044</v>
      </c>
      <c r="G812" s="121"/>
      <c r="H812" s="121"/>
      <c r="I812" s="121"/>
      <c r="J812" s="121"/>
      <c r="K812" s="121"/>
      <c r="L812" s="121"/>
      <c r="M812" s="121"/>
      <c r="N812" s="121"/>
      <c r="O812" s="121"/>
    </row>
    <row r="813" spans="2:15" s="314" customFormat="1" ht="21" customHeight="1">
      <c r="B813" s="260"/>
      <c r="C813" s="130" t="s">
        <v>2413</v>
      </c>
      <c r="D813" s="528">
        <v>11694905038</v>
      </c>
      <c r="E813" s="112">
        <v>486941000000</v>
      </c>
      <c r="F813" s="162">
        <f t="shared" ref="F813:F816" si="45">+D813/E813*100</f>
        <v>2.4017088390585304</v>
      </c>
      <c r="G813" s="121"/>
      <c r="H813" s="121"/>
      <c r="I813" s="121"/>
      <c r="J813" s="121"/>
      <c r="K813" s="121"/>
      <c r="L813" s="121"/>
      <c r="M813" s="121"/>
      <c r="N813" s="121"/>
      <c r="O813" s="121"/>
    </row>
    <row r="814" spans="2:15" s="314" customFormat="1" ht="21" customHeight="1">
      <c r="B814" s="260"/>
      <c r="C814" s="130" t="s">
        <v>2414</v>
      </c>
      <c r="D814" s="528">
        <v>1052285826</v>
      </c>
      <c r="E814" s="112">
        <v>486941000000</v>
      </c>
      <c r="F814" s="162">
        <f t="shared" si="45"/>
        <v>0.21610129892533181</v>
      </c>
      <c r="G814" s="121"/>
      <c r="H814" s="121"/>
      <c r="I814" s="121"/>
      <c r="J814" s="121"/>
      <c r="K814" s="121"/>
      <c r="L814" s="121"/>
      <c r="M814" s="121"/>
      <c r="N814" s="121"/>
      <c r="O814" s="121"/>
    </row>
    <row r="815" spans="2:15" s="314" customFormat="1" ht="21" customHeight="1">
      <c r="B815" s="260"/>
      <c r="C815" s="130" t="s">
        <v>2415</v>
      </c>
      <c r="D815" s="528">
        <v>3723961536</v>
      </c>
      <c r="E815" s="112">
        <v>486941000000</v>
      </c>
      <c r="F815" s="162">
        <f t="shared" si="45"/>
        <v>0.76476647807434583</v>
      </c>
      <c r="G815" s="121"/>
      <c r="H815" s="121"/>
      <c r="I815" s="121"/>
      <c r="J815" s="121"/>
      <c r="K815" s="121"/>
      <c r="L815" s="121"/>
      <c r="M815" s="121"/>
      <c r="N815" s="121"/>
      <c r="O815" s="121"/>
    </row>
    <row r="816" spans="2:15" s="314" customFormat="1" ht="21" customHeight="1">
      <c r="B816" s="261"/>
      <c r="C816" s="607" t="s">
        <v>2416</v>
      </c>
      <c r="D816" s="608">
        <v>6250000000</v>
      </c>
      <c r="E816" s="609">
        <v>486941000000</v>
      </c>
      <c r="F816" s="610">
        <f t="shared" si="45"/>
        <v>1.2835230551545258</v>
      </c>
      <c r="G816" s="264"/>
      <c r="H816" s="264"/>
      <c r="I816" s="264"/>
      <c r="J816" s="264"/>
      <c r="K816" s="264"/>
      <c r="L816" s="264"/>
      <c r="M816" s="264"/>
      <c r="N816" s="264"/>
      <c r="O816" s="121"/>
    </row>
    <row r="817" spans="2:15" s="314" customFormat="1" ht="21" customHeight="1">
      <c r="B817" s="611"/>
      <c r="C817" s="612" t="s">
        <v>76</v>
      </c>
      <c r="D817" s="613">
        <f>+D747+D104+D14</f>
        <v>883959215318.66992</v>
      </c>
      <c r="E817" s="614">
        <v>5288694844000</v>
      </c>
      <c r="F817" s="615">
        <f>+D817/E817*100</f>
        <v>16.714127802656598</v>
      </c>
      <c r="G817" s="614"/>
      <c r="H817" s="614"/>
      <c r="I817" s="614"/>
      <c r="J817" s="614"/>
      <c r="K817" s="614"/>
      <c r="L817" s="614"/>
      <c r="M817" s="614"/>
      <c r="N817" s="616"/>
      <c r="O817" s="616"/>
    </row>
  </sheetData>
  <mergeCells count="14">
    <mergeCell ref="O10:O11"/>
    <mergeCell ref="M1:O1"/>
    <mergeCell ref="B2:O2"/>
    <mergeCell ref="B3:O3"/>
    <mergeCell ref="B4:O4"/>
    <mergeCell ref="B5:O5"/>
    <mergeCell ref="B8:C8"/>
    <mergeCell ref="G8:K8"/>
    <mergeCell ref="N8:O8"/>
    <mergeCell ref="B10:B11"/>
    <mergeCell ref="C10:C11"/>
    <mergeCell ref="D10:F10"/>
    <mergeCell ref="G10:J10"/>
    <mergeCell ref="K10:N10"/>
  </mergeCells>
  <printOptions horizontalCentered="1"/>
  <pageMargins left="0.59055118110236227" right="0" top="0.19685039370078741" bottom="0.19685039370078741" header="0.31496062992125984" footer="0.31496062992125984"/>
  <pageSetup paperSize="258" scale="75" fitToHeight="2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226"/>
  <sheetViews>
    <sheetView view="pageBreakPreview" topLeftCell="A7" zoomScaleNormal="85" zoomScaleSheetLayoutView="100" workbookViewId="0">
      <selection activeCell="A13" sqref="A13:XFD217"/>
    </sheetView>
  </sheetViews>
  <sheetFormatPr defaultColWidth="8.85546875" defaultRowHeight="36" customHeight="1"/>
  <cols>
    <col min="1" max="1" width="3.5703125" style="621" customWidth="1"/>
    <col min="2" max="2" width="8" style="685" customWidth="1"/>
    <col min="3" max="3" width="39.5703125" style="686" customWidth="1"/>
    <col min="4" max="4" width="17.42578125" style="1579" customWidth="1"/>
    <col min="5" max="5" width="18.140625" style="1578" customWidth="1"/>
    <col min="6" max="6" width="12.28515625" style="621" customWidth="1"/>
    <col min="7" max="7" width="8.28515625" style="621" customWidth="1"/>
    <col min="8" max="8" width="8.85546875" style="621" customWidth="1"/>
    <col min="9" max="9" width="3.42578125" style="621" customWidth="1"/>
    <col min="10" max="10" width="28.7109375" style="621" customWidth="1"/>
    <col min="11" max="249" width="8.85546875" style="621"/>
    <col min="250" max="250" width="3.5703125" style="621" customWidth="1"/>
    <col min="251" max="251" width="8" style="621" customWidth="1"/>
    <col min="252" max="252" width="58.5703125" style="621" customWidth="1"/>
    <col min="253" max="253" width="22.7109375" style="621" customWidth="1"/>
    <col min="254" max="254" width="0" style="621" hidden="1" customWidth="1"/>
    <col min="255" max="255" width="11.42578125" style="621" customWidth="1"/>
    <col min="256" max="256" width="15.85546875" style="621" customWidth="1"/>
    <col min="257" max="257" width="17.140625" style="621" customWidth="1"/>
    <col min="258" max="258" width="15.85546875" style="621" customWidth="1"/>
    <col min="259" max="259" width="12.28515625" style="621" customWidth="1"/>
    <col min="260" max="260" width="15.28515625" style="621" customWidth="1"/>
    <col min="261" max="261" width="15.140625" style="621" customWidth="1"/>
    <col min="262" max="262" width="15" style="621" customWidth="1"/>
    <col min="263" max="263" width="12.140625" style="621" customWidth="1"/>
    <col min="264" max="264" width="26.42578125" style="621" customWidth="1"/>
    <col min="265" max="265" width="3.42578125" style="621" customWidth="1"/>
    <col min="266" max="505" width="8.85546875" style="621"/>
    <col min="506" max="506" width="3.5703125" style="621" customWidth="1"/>
    <col min="507" max="507" width="8" style="621" customWidth="1"/>
    <col min="508" max="508" width="58.5703125" style="621" customWidth="1"/>
    <col min="509" max="509" width="22.7109375" style="621" customWidth="1"/>
    <col min="510" max="510" width="0" style="621" hidden="1" customWidth="1"/>
    <col min="511" max="511" width="11.42578125" style="621" customWidth="1"/>
    <col min="512" max="512" width="15.85546875" style="621" customWidth="1"/>
    <col min="513" max="513" width="17.140625" style="621" customWidth="1"/>
    <col min="514" max="514" width="15.85546875" style="621" customWidth="1"/>
    <col min="515" max="515" width="12.28515625" style="621" customWidth="1"/>
    <col min="516" max="516" width="15.28515625" style="621" customWidth="1"/>
    <col min="517" max="517" width="15.140625" style="621" customWidth="1"/>
    <col min="518" max="518" width="15" style="621" customWidth="1"/>
    <col min="519" max="519" width="12.140625" style="621" customWidth="1"/>
    <col min="520" max="520" width="26.42578125" style="621" customWidth="1"/>
    <col min="521" max="521" width="3.42578125" style="621" customWidth="1"/>
    <col min="522" max="761" width="8.85546875" style="621"/>
    <col min="762" max="762" width="3.5703125" style="621" customWidth="1"/>
    <col min="763" max="763" width="8" style="621" customWidth="1"/>
    <col min="764" max="764" width="58.5703125" style="621" customWidth="1"/>
    <col min="765" max="765" width="22.7109375" style="621" customWidth="1"/>
    <col min="766" max="766" width="0" style="621" hidden="1" customWidth="1"/>
    <col min="767" max="767" width="11.42578125" style="621" customWidth="1"/>
    <col min="768" max="768" width="15.85546875" style="621" customWidth="1"/>
    <col min="769" max="769" width="17.140625" style="621" customWidth="1"/>
    <col min="770" max="770" width="15.85546875" style="621" customWidth="1"/>
    <col min="771" max="771" width="12.28515625" style="621" customWidth="1"/>
    <col min="772" max="772" width="15.28515625" style="621" customWidth="1"/>
    <col min="773" max="773" width="15.140625" style="621" customWidth="1"/>
    <col min="774" max="774" width="15" style="621" customWidth="1"/>
    <col min="775" max="775" width="12.140625" style="621" customWidth="1"/>
    <col min="776" max="776" width="26.42578125" style="621" customWidth="1"/>
    <col min="777" max="777" width="3.42578125" style="621" customWidth="1"/>
    <col min="778" max="1017" width="8.85546875" style="621"/>
    <col min="1018" max="1018" width="3.5703125" style="621" customWidth="1"/>
    <col min="1019" max="1019" width="8" style="621" customWidth="1"/>
    <col min="1020" max="1020" width="58.5703125" style="621" customWidth="1"/>
    <col min="1021" max="1021" width="22.7109375" style="621" customWidth="1"/>
    <col min="1022" max="1022" width="0" style="621" hidden="1" customWidth="1"/>
    <col min="1023" max="1023" width="11.42578125" style="621" customWidth="1"/>
    <col min="1024" max="1024" width="15.85546875" style="621" customWidth="1"/>
    <col min="1025" max="1025" width="17.140625" style="621" customWidth="1"/>
    <col min="1026" max="1026" width="15.85546875" style="621" customWidth="1"/>
    <col min="1027" max="1027" width="12.28515625" style="621" customWidth="1"/>
    <col min="1028" max="1028" width="15.28515625" style="621" customWidth="1"/>
    <col min="1029" max="1029" width="15.140625" style="621" customWidth="1"/>
    <col min="1030" max="1030" width="15" style="621" customWidth="1"/>
    <col min="1031" max="1031" width="12.140625" style="621" customWidth="1"/>
    <col min="1032" max="1032" width="26.42578125" style="621" customWidth="1"/>
    <col min="1033" max="1033" width="3.42578125" style="621" customWidth="1"/>
    <col min="1034" max="1273" width="8.85546875" style="621"/>
    <col min="1274" max="1274" width="3.5703125" style="621" customWidth="1"/>
    <col min="1275" max="1275" width="8" style="621" customWidth="1"/>
    <col min="1276" max="1276" width="58.5703125" style="621" customWidth="1"/>
    <col min="1277" max="1277" width="22.7109375" style="621" customWidth="1"/>
    <col min="1278" max="1278" width="0" style="621" hidden="1" customWidth="1"/>
    <col min="1279" max="1279" width="11.42578125" style="621" customWidth="1"/>
    <col min="1280" max="1280" width="15.85546875" style="621" customWidth="1"/>
    <col min="1281" max="1281" width="17.140625" style="621" customWidth="1"/>
    <col min="1282" max="1282" width="15.85546875" style="621" customWidth="1"/>
    <col min="1283" max="1283" width="12.28515625" style="621" customWidth="1"/>
    <col min="1284" max="1284" width="15.28515625" style="621" customWidth="1"/>
    <col min="1285" max="1285" width="15.140625" style="621" customWidth="1"/>
    <col min="1286" max="1286" width="15" style="621" customWidth="1"/>
    <col min="1287" max="1287" width="12.140625" style="621" customWidth="1"/>
    <col min="1288" max="1288" width="26.42578125" style="621" customWidth="1"/>
    <col min="1289" max="1289" width="3.42578125" style="621" customWidth="1"/>
    <col min="1290" max="1529" width="8.85546875" style="621"/>
    <col min="1530" max="1530" width="3.5703125" style="621" customWidth="1"/>
    <col min="1531" max="1531" width="8" style="621" customWidth="1"/>
    <col min="1532" max="1532" width="58.5703125" style="621" customWidth="1"/>
    <col min="1533" max="1533" width="22.7109375" style="621" customWidth="1"/>
    <col min="1534" max="1534" width="0" style="621" hidden="1" customWidth="1"/>
    <col min="1535" max="1535" width="11.42578125" style="621" customWidth="1"/>
    <col min="1536" max="1536" width="15.85546875" style="621" customWidth="1"/>
    <col min="1537" max="1537" width="17.140625" style="621" customWidth="1"/>
    <col min="1538" max="1538" width="15.85546875" style="621" customWidth="1"/>
    <col min="1539" max="1539" width="12.28515625" style="621" customWidth="1"/>
    <col min="1540" max="1540" width="15.28515625" style="621" customWidth="1"/>
    <col min="1541" max="1541" width="15.140625" style="621" customWidth="1"/>
    <col min="1542" max="1542" width="15" style="621" customWidth="1"/>
    <col min="1543" max="1543" width="12.140625" style="621" customWidth="1"/>
    <col min="1544" max="1544" width="26.42578125" style="621" customWidth="1"/>
    <col min="1545" max="1545" width="3.42578125" style="621" customWidth="1"/>
    <col min="1546" max="1785" width="8.85546875" style="621"/>
    <col min="1786" max="1786" width="3.5703125" style="621" customWidth="1"/>
    <col min="1787" max="1787" width="8" style="621" customWidth="1"/>
    <col min="1788" max="1788" width="58.5703125" style="621" customWidth="1"/>
    <col min="1789" max="1789" width="22.7109375" style="621" customWidth="1"/>
    <col min="1790" max="1790" width="0" style="621" hidden="1" customWidth="1"/>
    <col min="1791" max="1791" width="11.42578125" style="621" customWidth="1"/>
    <col min="1792" max="1792" width="15.85546875" style="621" customWidth="1"/>
    <col min="1793" max="1793" width="17.140625" style="621" customWidth="1"/>
    <col min="1794" max="1794" width="15.85546875" style="621" customWidth="1"/>
    <col min="1795" max="1795" width="12.28515625" style="621" customWidth="1"/>
    <col min="1796" max="1796" width="15.28515625" style="621" customWidth="1"/>
    <col min="1797" max="1797" width="15.140625" style="621" customWidth="1"/>
    <col min="1798" max="1798" width="15" style="621" customWidth="1"/>
    <col min="1799" max="1799" width="12.140625" style="621" customWidth="1"/>
    <col min="1800" max="1800" width="26.42578125" style="621" customWidth="1"/>
    <col min="1801" max="1801" width="3.42578125" style="621" customWidth="1"/>
    <col min="1802" max="2041" width="8.85546875" style="621"/>
    <col min="2042" max="2042" width="3.5703125" style="621" customWidth="1"/>
    <col min="2043" max="2043" width="8" style="621" customWidth="1"/>
    <col min="2044" max="2044" width="58.5703125" style="621" customWidth="1"/>
    <col min="2045" max="2045" width="22.7109375" style="621" customWidth="1"/>
    <col min="2046" max="2046" width="0" style="621" hidden="1" customWidth="1"/>
    <col min="2047" max="2047" width="11.42578125" style="621" customWidth="1"/>
    <col min="2048" max="2048" width="15.85546875" style="621" customWidth="1"/>
    <col min="2049" max="2049" width="17.140625" style="621" customWidth="1"/>
    <col min="2050" max="2050" width="15.85546875" style="621" customWidth="1"/>
    <col min="2051" max="2051" width="12.28515625" style="621" customWidth="1"/>
    <col min="2052" max="2052" width="15.28515625" style="621" customWidth="1"/>
    <col min="2053" max="2053" width="15.140625" style="621" customWidth="1"/>
    <col min="2054" max="2054" width="15" style="621" customWidth="1"/>
    <col min="2055" max="2055" width="12.140625" style="621" customWidth="1"/>
    <col min="2056" max="2056" width="26.42578125" style="621" customWidth="1"/>
    <col min="2057" max="2057" width="3.42578125" style="621" customWidth="1"/>
    <col min="2058" max="2297" width="8.85546875" style="621"/>
    <col min="2298" max="2298" width="3.5703125" style="621" customWidth="1"/>
    <col min="2299" max="2299" width="8" style="621" customWidth="1"/>
    <col min="2300" max="2300" width="58.5703125" style="621" customWidth="1"/>
    <col min="2301" max="2301" width="22.7109375" style="621" customWidth="1"/>
    <col min="2302" max="2302" width="0" style="621" hidden="1" customWidth="1"/>
    <col min="2303" max="2303" width="11.42578125" style="621" customWidth="1"/>
    <col min="2304" max="2304" width="15.85546875" style="621" customWidth="1"/>
    <col min="2305" max="2305" width="17.140625" style="621" customWidth="1"/>
    <col min="2306" max="2306" width="15.85546875" style="621" customWidth="1"/>
    <col min="2307" max="2307" width="12.28515625" style="621" customWidth="1"/>
    <col min="2308" max="2308" width="15.28515625" style="621" customWidth="1"/>
    <col min="2309" max="2309" width="15.140625" style="621" customWidth="1"/>
    <col min="2310" max="2310" width="15" style="621" customWidth="1"/>
    <col min="2311" max="2311" width="12.140625" style="621" customWidth="1"/>
    <col min="2312" max="2312" width="26.42578125" style="621" customWidth="1"/>
    <col min="2313" max="2313" width="3.42578125" style="621" customWidth="1"/>
    <col min="2314" max="2553" width="8.85546875" style="621"/>
    <col min="2554" max="2554" width="3.5703125" style="621" customWidth="1"/>
    <col min="2555" max="2555" width="8" style="621" customWidth="1"/>
    <col min="2556" max="2556" width="58.5703125" style="621" customWidth="1"/>
    <col min="2557" max="2557" width="22.7109375" style="621" customWidth="1"/>
    <col min="2558" max="2558" width="0" style="621" hidden="1" customWidth="1"/>
    <col min="2559" max="2559" width="11.42578125" style="621" customWidth="1"/>
    <col min="2560" max="2560" width="15.85546875" style="621" customWidth="1"/>
    <col min="2561" max="2561" width="17.140625" style="621" customWidth="1"/>
    <col min="2562" max="2562" width="15.85546875" style="621" customWidth="1"/>
    <col min="2563" max="2563" width="12.28515625" style="621" customWidth="1"/>
    <col min="2564" max="2564" width="15.28515625" style="621" customWidth="1"/>
    <col min="2565" max="2565" width="15.140625" style="621" customWidth="1"/>
    <col min="2566" max="2566" width="15" style="621" customWidth="1"/>
    <col min="2567" max="2567" width="12.140625" style="621" customWidth="1"/>
    <col min="2568" max="2568" width="26.42578125" style="621" customWidth="1"/>
    <col min="2569" max="2569" width="3.42578125" style="621" customWidth="1"/>
    <col min="2570" max="2809" width="8.85546875" style="621"/>
    <col min="2810" max="2810" width="3.5703125" style="621" customWidth="1"/>
    <col min="2811" max="2811" width="8" style="621" customWidth="1"/>
    <col min="2812" max="2812" width="58.5703125" style="621" customWidth="1"/>
    <col min="2813" max="2813" width="22.7109375" style="621" customWidth="1"/>
    <col min="2814" max="2814" width="0" style="621" hidden="1" customWidth="1"/>
    <col min="2815" max="2815" width="11.42578125" style="621" customWidth="1"/>
    <col min="2816" max="2816" width="15.85546875" style="621" customWidth="1"/>
    <col min="2817" max="2817" width="17.140625" style="621" customWidth="1"/>
    <col min="2818" max="2818" width="15.85546875" style="621" customWidth="1"/>
    <col min="2819" max="2819" width="12.28515625" style="621" customWidth="1"/>
    <col min="2820" max="2820" width="15.28515625" style="621" customWidth="1"/>
    <col min="2821" max="2821" width="15.140625" style="621" customWidth="1"/>
    <col min="2822" max="2822" width="15" style="621" customWidth="1"/>
    <col min="2823" max="2823" width="12.140625" style="621" customWidth="1"/>
    <col min="2824" max="2824" width="26.42578125" style="621" customWidth="1"/>
    <col min="2825" max="2825" width="3.42578125" style="621" customWidth="1"/>
    <col min="2826" max="3065" width="8.85546875" style="621"/>
    <col min="3066" max="3066" width="3.5703125" style="621" customWidth="1"/>
    <col min="3067" max="3067" width="8" style="621" customWidth="1"/>
    <col min="3068" max="3068" width="58.5703125" style="621" customWidth="1"/>
    <col min="3069" max="3069" width="22.7109375" style="621" customWidth="1"/>
    <col min="3070" max="3070" width="0" style="621" hidden="1" customWidth="1"/>
    <col min="3071" max="3071" width="11.42578125" style="621" customWidth="1"/>
    <col min="3072" max="3072" width="15.85546875" style="621" customWidth="1"/>
    <col min="3073" max="3073" width="17.140625" style="621" customWidth="1"/>
    <col min="3074" max="3074" width="15.85546875" style="621" customWidth="1"/>
    <col min="3075" max="3075" width="12.28515625" style="621" customWidth="1"/>
    <col min="3076" max="3076" width="15.28515625" style="621" customWidth="1"/>
    <col min="3077" max="3077" width="15.140625" style="621" customWidth="1"/>
    <col min="3078" max="3078" width="15" style="621" customWidth="1"/>
    <col min="3079" max="3079" width="12.140625" style="621" customWidth="1"/>
    <col min="3080" max="3080" width="26.42578125" style="621" customWidth="1"/>
    <col min="3081" max="3081" width="3.42578125" style="621" customWidth="1"/>
    <col min="3082" max="3321" width="8.85546875" style="621"/>
    <col min="3322" max="3322" width="3.5703125" style="621" customWidth="1"/>
    <col min="3323" max="3323" width="8" style="621" customWidth="1"/>
    <col min="3324" max="3324" width="58.5703125" style="621" customWidth="1"/>
    <col min="3325" max="3325" width="22.7109375" style="621" customWidth="1"/>
    <col min="3326" max="3326" width="0" style="621" hidden="1" customWidth="1"/>
    <col min="3327" max="3327" width="11.42578125" style="621" customWidth="1"/>
    <col min="3328" max="3328" width="15.85546875" style="621" customWidth="1"/>
    <col min="3329" max="3329" width="17.140625" style="621" customWidth="1"/>
    <col min="3330" max="3330" width="15.85546875" style="621" customWidth="1"/>
    <col min="3331" max="3331" width="12.28515625" style="621" customWidth="1"/>
    <col min="3332" max="3332" width="15.28515625" style="621" customWidth="1"/>
    <col min="3333" max="3333" width="15.140625" style="621" customWidth="1"/>
    <col min="3334" max="3334" width="15" style="621" customWidth="1"/>
    <col min="3335" max="3335" width="12.140625" style="621" customWidth="1"/>
    <col min="3336" max="3336" width="26.42578125" style="621" customWidth="1"/>
    <col min="3337" max="3337" width="3.42578125" style="621" customWidth="1"/>
    <col min="3338" max="3577" width="8.85546875" style="621"/>
    <col min="3578" max="3578" width="3.5703125" style="621" customWidth="1"/>
    <col min="3579" max="3579" width="8" style="621" customWidth="1"/>
    <col min="3580" max="3580" width="58.5703125" style="621" customWidth="1"/>
    <col min="3581" max="3581" width="22.7109375" style="621" customWidth="1"/>
    <col min="3582" max="3582" width="0" style="621" hidden="1" customWidth="1"/>
    <col min="3583" max="3583" width="11.42578125" style="621" customWidth="1"/>
    <col min="3584" max="3584" width="15.85546875" style="621" customWidth="1"/>
    <col min="3585" max="3585" width="17.140625" style="621" customWidth="1"/>
    <col min="3586" max="3586" width="15.85546875" style="621" customWidth="1"/>
    <col min="3587" max="3587" width="12.28515625" style="621" customWidth="1"/>
    <col min="3588" max="3588" width="15.28515625" style="621" customWidth="1"/>
    <col min="3589" max="3589" width="15.140625" style="621" customWidth="1"/>
    <col min="3590" max="3590" width="15" style="621" customWidth="1"/>
    <col min="3591" max="3591" width="12.140625" style="621" customWidth="1"/>
    <col min="3592" max="3592" width="26.42578125" style="621" customWidth="1"/>
    <col min="3593" max="3593" width="3.42578125" style="621" customWidth="1"/>
    <col min="3594" max="3833" width="8.85546875" style="621"/>
    <col min="3834" max="3834" width="3.5703125" style="621" customWidth="1"/>
    <col min="3835" max="3835" width="8" style="621" customWidth="1"/>
    <col min="3836" max="3836" width="58.5703125" style="621" customWidth="1"/>
    <col min="3837" max="3837" width="22.7109375" style="621" customWidth="1"/>
    <col min="3838" max="3838" width="0" style="621" hidden="1" customWidth="1"/>
    <col min="3839" max="3839" width="11.42578125" style="621" customWidth="1"/>
    <col min="3840" max="3840" width="15.85546875" style="621" customWidth="1"/>
    <col min="3841" max="3841" width="17.140625" style="621" customWidth="1"/>
    <col min="3842" max="3842" width="15.85546875" style="621" customWidth="1"/>
    <col min="3843" max="3843" width="12.28515625" style="621" customWidth="1"/>
    <col min="3844" max="3844" width="15.28515625" style="621" customWidth="1"/>
    <col min="3845" max="3845" width="15.140625" style="621" customWidth="1"/>
    <col min="3846" max="3846" width="15" style="621" customWidth="1"/>
    <col min="3847" max="3847" width="12.140625" style="621" customWidth="1"/>
    <col min="3848" max="3848" width="26.42578125" style="621" customWidth="1"/>
    <col min="3849" max="3849" width="3.42578125" style="621" customWidth="1"/>
    <col min="3850" max="4089" width="8.85546875" style="621"/>
    <col min="4090" max="4090" width="3.5703125" style="621" customWidth="1"/>
    <col min="4091" max="4091" width="8" style="621" customWidth="1"/>
    <col min="4092" max="4092" width="58.5703125" style="621" customWidth="1"/>
    <col min="4093" max="4093" width="22.7109375" style="621" customWidth="1"/>
    <col min="4094" max="4094" width="0" style="621" hidden="1" customWidth="1"/>
    <col min="4095" max="4095" width="11.42578125" style="621" customWidth="1"/>
    <col min="4096" max="4096" width="15.85546875" style="621" customWidth="1"/>
    <col min="4097" max="4097" width="17.140625" style="621" customWidth="1"/>
    <col min="4098" max="4098" width="15.85546875" style="621" customWidth="1"/>
    <col min="4099" max="4099" width="12.28515625" style="621" customWidth="1"/>
    <col min="4100" max="4100" width="15.28515625" style="621" customWidth="1"/>
    <col min="4101" max="4101" width="15.140625" style="621" customWidth="1"/>
    <col min="4102" max="4102" width="15" style="621" customWidth="1"/>
    <col min="4103" max="4103" width="12.140625" style="621" customWidth="1"/>
    <col min="4104" max="4104" width="26.42578125" style="621" customWidth="1"/>
    <col min="4105" max="4105" width="3.42578125" style="621" customWidth="1"/>
    <col min="4106" max="4345" width="8.85546875" style="621"/>
    <col min="4346" max="4346" width="3.5703125" style="621" customWidth="1"/>
    <col min="4347" max="4347" width="8" style="621" customWidth="1"/>
    <col min="4348" max="4348" width="58.5703125" style="621" customWidth="1"/>
    <col min="4349" max="4349" width="22.7109375" style="621" customWidth="1"/>
    <col min="4350" max="4350" width="0" style="621" hidden="1" customWidth="1"/>
    <col min="4351" max="4351" width="11.42578125" style="621" customWidth="1"/>
    <col min="4352" max="4352" width="15.85546875" style="621" customWidth="1"/>
    <col min="4353" max="4353" width="17.140625" style="621" customWidth="1"/>
    <col min="4354" max="4354" width="15.85546875" style="621" customWidth="1"/>
    <col min="4355" max="4355" width="12.28515625" style="621" customWidth="1"/>
    <col min="4356" max="4356" width="15.28515625" style="621" customWidth="1"/>
    <col min="4357" max="4357" width="15.140625" style="621" customWidth="1"/>
    <col min="4358" max="4358" width="15" style="621" customWidth="1"/>
    <col min="4359" max="4359" width="12.140625" style="621" customWidth="1"/>
    <col min="4360" max="4360" width="26.42578125" style="621" customWidth="1"/>
    <col min="4361" max="4361" width="3.42578125" style="621" customWidth="1"/>
    <col min="4362" max="4601" width="8.85546875" style="621"/>
    <col min="4602" max="4602" width="3.5703125" style="621" customWidth="1"/>
    <col min="4603" max="4603" width="8" style="621" customWidth="1"/>
    <col min="4604" max="4604" width="58.5703125" style="621" customWidth="1"/>
    <col min="4605" max="4605" width="22.7109375" style="621" customWidth="1"/>
    <col min="4606" max="4606" width="0" style="621" hidden="1" customWidth="1"/>
    <col min="4607" max="4607" width="11.42578125" style="621" customWidth="1"/>
    <col min="4608" max="4608" width="15.85546875" style="621" customWidth="1"/>
    <col min="4609" max="4609" width="17.140625" style="621" customWidth="1"/>
    <col min="4610" max="4610" width="15.85546875" style="621" customWidth="1"/>
    <col min="4611" max="4611" width="12.28515625" style="621" customWidth="1"/>
    <col min="4612" max="4612" width="15.28515625" style="621" customWidth="1"/>
    <col min="4613" max="4613" width="15.140625" style="621" customWidth="1"/>
    <col min="4614" max="4614" width="15" style="621" customWidth="1"/>
    <col min="4615" max="4615" width="12.140625" style="621" customWidth="1"/>
    <col min="4616" max="4616" width="26.42578125" style="621" customWidth="1"/>
    <col min="4617" max="4617" width="3.42578125" style="621" customWidth="1"/>
    <col min="4618" max="4857" width="8.85546875" style="621"/>
    <col min="4858" max="4858" width="3.5703125" style="621" customWidth="1"/>
    <col min="4859" max="4859" width="8" style="621" customWidth="1"/>
    <col min="4860" max="4860" width="58.5703125" style="621" customWidth="1"/>
    <col min="4861" max="4861" width="22.7109375" style="621" customWidth="1"/>
    <col min="4862" max="4862" width="0" style="621" hidden="1" customWidth="1"/>
    <col min="4863" max="4863" width="11.42578125" style="621" customWidth="1"/>
    <col min="4864" max="4864" width="15.85546875" style="621" customWidth="1"/>
    <col min="4865" max="4865" width="17.140625" style="621" customWidth="1"/>
    <col min="4866" max="4866" width="15.85546875" style="621" customWidth="1"/>
    <col min="4867" max="4867" width="12.28515625" style="621" customWidth="1"/>
    <col min="4868" max="4868" width="15.28515625" style="621" customWidth="1"/>
    <col min="4869" max="4869" width="15.140625" style="621" customWidth="1"/>
    <col min="4870" max="4870" width="15" style="621" customWidth="1"/>
    <col min="4871" max="4871" width="12.140625" style="621" customWidth="1"/>
    <col min="4872" max="4872" width="26.42578125" style="621" customWidth="1"/>
    <col min="4873" max="4873" width="3.42578125" style="621" customWidth="1"/>
    <col min="4874" max="5113" width="8.85546875" style="621"/>
    <col min="5114" max="5114" width="3.5703125" style="621" customWidth="1"/>
    <col min="5115" max="5115" width="8" style="621" customWidth="1"/>
    <col min="5116" max="5116" width="58.5703125" style="621" customWidth="1"/>
    <col min="5117" max="5117" width="22.7109375" style="621" customWidth="1"/>
    <col min="5118" max="5118" width="0" style="621" hidden="1" customWidth="1"/>
    <col min="5119" max="5119" width="11.42578125" style="621" customWidth="1"/>
    <col min="5120" max="5120" width="15.85546875" style="621" customWidth="1"/>
    <col min="5121" max="5121" width="17.140625" style="621" customWidth="1"/>
    <col min="5122" max="5122" width="15.85546875" style="621" customWidth="1"/>
    <col min="5123" max="5123" width="12.28515625" style="621" customWidth="1"/>
    <col min="5124" max="5124" width="15.28515625" style="621" customWidth="1"/>
    <col min="5125" max="5125" width="15.140625" style="621" customWidth="1"/>
    <col min="5126" max="5126" width="15" style="621" customWidth="1"/>
    <col min="5127" max="5127" width="12.140625" style="621" customWidth="1"/>
    <col min="5128" max="5128" width="26.42578125" style="621" customWidth="1"/>
    <col min="5129" max="5129" width="3.42578125" style="621" customWidth="1"/>
    <col min="5130" max="5369" width="8.85546875" style="621"/>
    <col min="5370" max="5370" width="3.5703125" style="621" customWidth="1"/>
    <col min="5371" max="5371" width="8" style="621" customWidth="1"/>
    <col min="5372" max="5372" width="58.5703125" style="621" customWidth="1"/>
    <col min="5373" max="5373" width="22.7109375" style="621" customWidth="1"/>
    <col min="5374" max="5374" width="0" style="621" hidden="1" customWidth="1"/>
    <col min="5375" max="5375" width="11.42578125" style="621" customWidth="1"/>
    <col min="5376" max="5376" width="15.85546875" style="621" customWidth="1"/>
    <col min="5377" max="5377" width="17.140625" style="621" customWidth="1"/>
    <col min="5378" max="5378" width="15.85546875" style="621" customWidth="1"/>
    <col min="5379" max="5379" width="12.28515625" style="621" customWidth="1"/>
    <col min="5380" max="5380" width="15.28515625" style="621" customWidth="1"/>
    <col min="5381" max="5381" width="15.140625" style="621" customWidth="1"/>
    <col min="5382" max="5382" width="15" style="621" customWidth="1"/>
    <col min="5383" max="5383" width="12.140625" style="621" customWidth="1"/>
    <col min="5384" max="5384" width="26.42578125" style="621" customWidth="1"/>
    <col min="5385" max="5385" width="3.42578125" style="621" customWidth="1"/>
    <col min="5386" max="5625" width="8.85546875" style="621"/>
    <col min="5626" max="5626" width="3.5703125" style="621" customWidth="1"/>
    <col min="5627" max="5627" width="8" style="621" customWidth="1"/>
    <col min="5628" max="5628" width="58.5703125" style="621" customWidth="1"/>
    <col min="5629" max="5629" width="22.7109375" style="621" customWidth="1"/>
    <col min="5630" max="5630" width="0" style="621" hidden="1" customWidth="1"/>
    <col min="5631" max="5631" width="11.42578125" style="621" customWidth="1"/>
    <col min="5632" max="5632" width="15.85546875" style="621" customWidth="1"/>
    <col min="5633" max="5633" width="17.140625" style="621" customWidth="1"/>
    <col min="5634" max="5634" width="15.85546875" style="621" customWidth="1"/>
    <col min="5635" max="5635" width="12.28515625" style="621" customWidth="1"/>
    <col min="5636" max="5636" width="15.28515625" style="621" customWidth="1"/>
    <col min="5637" max="5637" width="15.140625" style="621" customWidth="1"/>
    <col min="5638" max="5638" width="15" style="621" customWidth="1"/>
    <col min="5639" max="5639" width="12.140625" style="621" customWidth="1"/>
    <col min="5640" max="5640" width="26.42578125" style="621" customWidth="1"/>
    <col min="5641" max="5641" width="3.42578125" style="621" customWidth="1"/>
    <col min="5642" max="5881" width="8.85546875" style="621"/>
    <col min="5882" max="5882" width="3.5703125" style="621" customWidth="1"/>
    <col min="5883" max="5883" width="8" style="621" customWidth="1"/>
    <col min="5884" max="5884" width="58.5703125" style="621" customWidth="1"/>
    <col min="5885" max="5885" width="22.7109375" style="621" customWidth="1"/>
    <col min="5886" max="5886" width="0" style="621" hidden="1" customWidth="1"/>
    <col min="5887" max="5887" width="11.42578125" style="621" customWidth="1"/>
    <col min="5888" max="5888" width="15.85546875" style="621" customWidth="1"/>
    <col min="5889" max="5889" width="17.140625" style="621" customWidth="1"/>
    <col min="5890" max="5890" width="15.85546875" style="621" customWidth="1"/>
    <col min="5891" max="5891" width="12.28515625" style="621" customWidth="1"/>
    <col min="5892" max="5892" width="15.28515625" style="621" customWidth="1"/>
    <col min="5893" max="5893" width="15.140625" style="621" customWidth="1"/>
    <col min="5894" max="5894" width="15" style="621" customWidth="1"/>
    <col min="5895" max="5895" width="12.140625" style="621" customWidth="1"/>
    <col min="5896" max="5896" width="26.42578125" style="621" customWidth="1"/>
    <col min="5897" max="5897" width="3.42578125" style="621" customWidth="1"/>
    <col min="5898" max="6137" width="8.85546875" style="621"/>
    <col min="6138" max="6138" width="3.5703125" style="621" customWidth="1"/>
    <col min="6139" max="6139" width="8" style="621" customWidth="1"/>
    <col min="6140" max="6140" width="58.5703125" style="621" customWidth="1"/>
    <col min="6141" max="6141" width="22.7109375" style="621" customWidth="1"/>
    <col min="6142" max="6142" width="0" style="621" hidden="1" customWidth="1"/>
    <col min="6143" max="6143" width="11.42578125" style="621" customWidth="1"/>
    <col min="6144" max="6144" width="15.85546875" style="621" customWidth="1"/>
    <col min="6145" max="6145" width="17.140625" style="621" customWidth="1"/>
    <col min="6146" max="6146" width="15.85546875" style="621" customWidth="1"/>
    <col min="6147" max="6147" width="12.28515625" style="621" customWidth="1"/>
    <col min="6148" max="6148" width="15.28515625" style="621" customWidth="1"/>
    <col min="6149" max="6149" width="15.140625" style="621" customWidth="1"/>
    <col min="6150" max="6150" width="15" style="621" customWidth="1"/>
    <col min="6151" max="6151" width="12.140625" style="621" customWidth="1"/>
    <col min="6152" max="6152" width="26.42578125" style="621" customWidth="1"/>
    <col min="6153" max="6153" width="3.42578125" style="621" customWidth="1"/>
    <col min="6154" max="6393" width="8.85546875" style="621"/>
    <col min="6394" max="6394" width="3.5703125" style="621" customWidth="1"/>
    <col min="6395" max="6395" width="8" style="621" customWidth="1"/>
    <col min="6396" max="6396" width="58.5703125" style="621" customWidth="1"/>
    <col min="6397" max="6397" width="22.7109375" style="621" customWidth="1"/>
    <col min="6398" max="6398" width="0" style="621" hidden="1" customWidth="1"/>
    <col min="6399" max="6399" width="11.42578125" style="621" customWidth="1"/>
    <col min="6400" max="6400" width="15.85546875" style="621" customWidth="1"/>
    <col min="6401" max="6401" width="17.140625" style="621" customWidth="1"/>
    <col min="6402" max="6402" width="15.85546875" style="621" customWidth="1"/>
    <col min="6403" max="6403" width="12.28515625" style="621" customWidth="1"/>
    <col min="6404" max="6404" width="15.28515625" style="621" customWidth="1"/>
    <col min="6405" max="6405" width="15.140625" style="621" customWidth="1"/>
    <col min="6406" max="6406" width="15" style="621" customWidth="1"/>
    <col min="6407" max="6407" width="12.140625" style="621" customWidth="1"/>
    <col min="6408" max="6408" width="26.42578125" style="621" customWidth="1"/>
    <col min="6409" max="6409" width="3.42578125" style="621" customWidth="1"/>
    <col min="6410" max="6649" width="8.85546875" style="621"/>
    <col min="6650" max="6650" width="3.5703125" style="621" customWidth="1"/>
    <col min="6651" max="6651" width="8" style="621" customWidth="1"/>
    <col min="6652" max="6652" width="58.5703125" style="621" customWidth="1"/>
    <col min="6653" max="6653" width="22.7109375" style="621" customWidth="1"/>
    <col min="6654" max="6654" width="0" style="621" hidden="1" customWidth="1"/>
    <col min="6655" max="6655" width="11.42578125" style="621" customWidth="1"/>
    <col min="6656" max="6656" width="15.85546875" style="621" customWidth="1"/>
    <col min="6657" max="6657" width="17.140625" style="621" customWidth="1"/>
    <col min="6658" max="6658" width="15.85546875" style="621" customWidth="1"/>
    <col min="6659" max="6659" width="12.28515625" style="621" customWidth="1"/>
    <col min="6660" max="6660" width="15.28515625" style="621" customWidth="1"/>
    <col min="6661" max="6661" width="15.140625" style="621" customWidth="1"/>
    <col min="6662" max="6662" width="15" style="621" customWidth="1"/>
    <col min="6663" max="6663" width="12.140625" style="621" customWidth="1"/>
    <col min="6664" max="6664" width="26.42578125" style="621" customWidth="1"/>
    <col min="6665" max="6665" width="3.42578125" style="621" customWidth="1"/>
    <col min="6666" max="6905" width="8.85546875" style="621"/>
    <col min="6906" max="6906" width="3.5703125" style="621" customWidth="1"/>
    <col min="6907" max="6907" width="8" style="621" customWidth="1"/>
    <col min="6908" max="6908" width="58.5703125" style="621" customWidth="1"/>
    <col min="6909" max="6909" width="22.7109375" style="621" customWidth="1"/>
    <col min="6910" max="6910" width="0" style="621" hidden="1" customWidth="1"/>
    <col min="6911" max="6911" width="11.42578125" style="621" customWidth="1"/>
    <col min="6912" max="6912" width="15.85546875" style="621" customWidth="1"/>
    <col min="6913" max="6913" width="17.140625" style="621" customWidth="1"/>
    <col min="6914" max="6914" width="15.85546875" style="621" customWidth="1"/>
    <col min="6915" max="6915" width="12.28515625" style="621" customWidth="1"/>
    <col min="6916" max="6916" width="15.28515625" style="621" customWidth="1"/>
    <col min="6917" max="6917" width="15.140625" style="621" customWidth="1"/>
    <col min="6918" max="6918" width="15" style="621" customWidth="1"/>
    <col min="6919" max="6919" width="12.140625" style="621" customWidth="1"/>
    <col min="6920" max="6920" width="26.42578125" style="621" customWidth="1"/>
    <col min="6921" max="6921" width="3.42578125" style="621" customWidth="1"/>
    <col min="6922" max="7161" width="8.85546875" style="621"/>
    <col min="7162" max="7162" width="3.5703125" style="621" customWidth="1"/>
    <col min="7163" max="7163" width="8" style="621" customWidth="1"/>
    <col min="7164" max="7164" width="58.5703125" style="621" customWidth="1"/>
    <col min="7165" max="7165" width="22.7109375" style="621" customWidth="1"/>
    <col min="7166" max="7166" width="0" style="621" hidden="1" customWidth="1"/>
    <col min="7167" max="7167" width="11.42578125" style="621" customWidth="1"/>
    <col min="7168" max="7168" width="15.85546875" style="621" customWidth="1"/>
    <col min="7169" max="7169" width="17.140625" style="621" customWidth="1"/>
    <col min="7170" max="7170" width="15.85546875" style="621" customWidth="1"/>
    <col min="7171" max="7171" width="12.28515625" style="621" customWidth="1"/>
    <col min="7172" max="7172" width="15.28515625" style="621" customWidth="1"/>
    <col min="7173" max="7173" width="15.140625" style="621" customWidth="1"/>
    <col min="7174" max="7174" width="15" style="621" customWidth="1"/>
    <col min="7175" max="7175" width="12.140625" style="621" customWidth="1"/>
    <col min="7176" max="7176" width="26.42578125" style="621" customWidth="1"/>
    <col min="7177" max="7177" width="3.42578125" style="621" customWidth="1"/>
    <col min="7178" max="7417" width="8.85546875" style="621"/>
    <col min="7418" max="7418" width="3.5703125" style="621" customWidth="1"/>
    <col min="7419" max="7419" width="8" style="621" customWidth="1"/>
    <col min="7420" max="7420" width="58.5703125" style="621" customWidth="1"/>
    <col min="7421" max="7421" width="22.7109375" style="621" customWidth="1"/>
    <col min="7422" max="7422" width="0" style="621" hidden="1" customWidth="1"/>
    <col min="7423" max="7423" width="11.42578125" style="621" customWidth="1"/>
    <col min="7424" max="7424" width="15.85546875" style="621" customWidth="1"/>
    <col min="7425" max="7425" width="17.140625" style="621" customWidth="1"/>
    <col min="7426" max="7426" width="15.85546875" style="621" customWidth="1"/>
    <col min="7427" max="7427" width="12.28515625" style="621" customWidth="1"/>
    <col min="7428" max="7428" width="15.28515625" style="621" customWidth="1"/>
    <col min="7429" max="7429" width="15.140625" style="621" customWidth="1"/>
    <col min="7430" max="7430" width="15" style="621" customWidth="1"/>
    <col min="7431" max="7431" width="12.140625" style="621" customWidth="1"/>
    <col min="7432" max="7432" width="26.42578125" style="621" customWidth="1"/>
    <col min="7433" max="7433" width="3.42578125" style="621" customWidth="1"/>
    <col min="7434" max="7673" width="8.85546875" style="621"/>
    <col min="7674" max="7674" width="3.5703125" style="621" customWidth="1"/>
    <col min="7675" max="7675" width="8" style="621" customWidth="1"/>
    <col min="7676" max="7676" width="58.5703125" style="621" customWidth="1"/>
    <col min="7677" max="7677" width="22.7109375" style="621" customWidth="1"/>
    <col min="7678" max="7678" width="0" style="621" hidden="1" customWidth="1"/>
    <col min="7679" max="7679" width="11.42578125" style="621" customWidth="1"/>
    <col min="7680" max="7680" width="15.85546875" style="621" customWidth="1"/>
    <col min="7681" max="7681" width="17.140625" style="621" customWidth="1"/>
    <col min="7682" max="7682" width="15.85546875" style="621" customWidth="1"/>
    <col min="7683" max="7683" width="12.28515625" style="621" customWidth="1"/>
    <col min="7684" max="7684" width="15.28515625" style="621" customWidth="1"/>
    <col min="7685" max="7685" width="15.140625" style="621" customWidth="1"/>
    <col min="7686" max="7686" width="15" style="621" customWidth="1"/>
    <col min="7687" max="7687" width="12.140625" style="621" customWidth="1"/>
    <col min="7688" max="7688" width="26.42578125" style="621" customWidth="1"/>
    <col min="7689" max="7689" width="3.42578125" style="621" customWidth="1"/>
    <col min="7690" max="7929" width="8.85546875" style="621"/>
    <col min="7930" max="7930" width="3.5703125" style="621" customWidth="1"/>
    <col min="7931" max="7931" width="8" style="621" customWidth="1"/>
    <col min="7932" max="7932" width="58.5703125" style="621" customWidth="1"/>
    <col min="7933" max="7933" width="22.7109375" style="621" customWidth="1"/>
    <col min="7934" max="7934" width="0" style="621" hidden="1" customWidth="1"/>
    <col min="7935" max="7935" width="11.42578125" style="621" customWidth="1"/>
    <col min="7936" max="7936" width="15.85546875" style="621" customWidth="1"/>
    <col min="7937" max="7937" width="17.140625" style="621" customWidth="1"/>
    <col min="7938" max="7938" width="15.85546875" style="621" customWidth="1"/>
    <col min="7939" max="7939" width="12.28515625" style="621" customWidth="1"/>
    <col min="7940" max="7940" width="15.28515625" style="621" customWidth="1"/>
    <col min="7941" max="7941" width="15.140625" style="621" customWidth="1"/>
    <col min="7942" max="7942" width="15" style="621" customWidth="1"/>
    <col min="7943" max="7943" width="12.140625" style="621" customWidth="1"/>
    <col min="7944" max="7944" width="26.42578125" style="621" customWidth="1"/>
    <col min="7945" max="7945" width="3.42578125" style="621" customWidth="1"/>
    <col min="7946" max="8185" width="8.85546875" style="621"/>
    <col min="8186" max="8186" width="3.5703125" style="621" customWidth="1"/>
    <col min="8187" max="8187" width="8" style="621" customWidth="1"/>
    <col min="8188" max="8188" width="58.5703125" style="621" customWidth="1"/>
    <col min="8189" max="8189" width="22.7109375" style="621" customWidth="1"/>
    <col min="8190" max="8190" width="0" style="621" hidden="1" customWidth="1"/>
    <col min="8191" max="8191" width="11.42578125" style="621" customWidth="1"/>
    <col min="8192" max="8192" width="15.85546875" style="621" customWidth="1"/>
    <col min="8193" max="8193" width="17.140625" style="621" customWidth="1"/>
    <col min="8194" max="8194" width="15.85546875" style="621" customWidth="1"/>
    <col min="8195" max="8195" width="12.28515625" style="621" customWidth="1"/>
    <col min="8196" max="8196" width="15.28515625" style="621" customWidth="1"/>
    <col min="8197" max="8197" width="15.140625" style="621" customWidth="1"/>
    <col min="8198" max="8198" width="15" style="621" customWidth="1"/>
    <col min="8199" max="8199" width="12.140625" style="621" customWidth="1"/>
    <col min="8200" max="8200" width="26.42578125" style="621" customWidth="1"/>
    <col min="8201" max="8201" width="3.42578125" style="621" customWidth="1"/>
    <col min="8202" max="8441" width="8.85546875" style="621"/>
    <col min="8442" max="8442" width="3.5703125" style="621" customWidth="1"/>
    <col min="8443" max="8443" width="8" style="621" customWidth="1"/>
    <col min="8444" max="8444" width="58.5703125" style="621" customWidth="1"/>
    <col min="8445" max="8445" width="22.7109375" style="621" customWidth="1"/>
    <col min="8446" max="8446" width="0" style="621" hidden="1" customWidth="1"/>
    <col min="8447" max="8447" width="11.42578125" style="621" customWidth="1"/>
    <col min="8448" max="8448" width="15.85546875" style="621" customWidth="1"/>
    <col min="8449" max="8449" width="17.140625" style="621" customWidth="1"/>
    <col min="8450" max="8450" width="15.85546875" style="621" customWidth="1"/>
    <col min="8451" max="8451" width="12.28515625" style="621" customWidth="1"/>
    <col min="8452" max="8452" width="15.28515625" style="621" customWidth="1"/>
    <col min="8453" max="8453" width="15.140625" style="621" customWidth="1"/>
    <col min="8454" max="8454" width="15" style="621" customWidth="1"/>
    <col min="8455" max="8455" width="12.140625" style="621" customWidth="1"/>
    <col min="8456" max="8456" width="26.42578125" style="621" customWidth="1"/>
    <col min="8457" max="8457" width="3.42578125" style="621" customWidth="1"/>
    <col min="8458" max="8697" width="8.85546875" style="621"/>
    <col min="8698" max="8698" width="3.5703125" style="621" customWidth="1"/>
    <col min="8699" max="8699" width="8" style="621" customWidth="1"/>
    <col min="8700" max="8700" width="58.5703125" style="621" customWidth="1"/>
    <col min="8701" max="8701" width="22.7109375" style="621" customWidth="1"/>
    <col min="8702" max="8702" width="0" style="621" hidden="1" customWidth="1"/>
    <col min="8703" max="8703" width="11.42578125" style="621" customWidth="1"/>
    <col min="8704" max="8704" width="15.85546875" style="621" customWidth="1"/>
    <col min="8705" max="8705" width="17.140625" style="621" customWidth="1"/>
    <col min="8706" max="8706" width="15.85546875" style="621" customWidth="1"/>
    <col min="8707" max="8707" width="12.28515625" style="621" customWidth="1"/>
    <col min="8708" max="8708" width="15.28515625" style="621" customWidth="1"/>
    <col min="8709" max="8709" width="15.140625" style="621" customWidth="1"/>
    <col min="8710" max="8710" width="15" style="621" customWidth="1"/>
    <col min="8711" max="8711" width="12.140625" style="621" customWidth="1"/>
    <col min="8712" max="8712" width="26.42578125" style="621" customWidth="1"/>
    <col min="8713" max="8713" width="3.42578125" style="621" customWidth="1"/>
    <col min="8714" max="8953" width="8.85546875" style="621"/>
    <col min="8954" max="8954" width="3.5703125" style="621" customWidth="1"/>
    <col min="8955" max="8955" width="8" style="621" customWidth="1"/>
    <col min="8956" max="8956" width="58.5703125" style="621" customWidth="1"/>
    <col min="8957" max="8957" width="22.7109375" style="621" customWidth="1"/>
    <col min="8958" max="8958" width="0" style="621" hidden="1" customWidth="1"/>
    <col min="8959" max="8959" width="11.42578125" style="621" customWidth="1"/>
    <col min="8960" max="8960" width="15.85546875" style="621" customWidth="1"/>
    <col min="8961" max="8961" width="17.140625" style="621" customWidth="1"/>
    <col min="8962" max="8962" width="15.85546875" style="621" customWidth="1"/>
    <col min="8963" max="8963" width="12.28515625" style="621" customWidth="1"/>
    <col min="8964" max="8964" width="15.28515625" style="621" customWidth="1"/>
    <col min="8965" max="8965" width="15.140625" style="621" customWidth="1"/>
    <col min="8966" max="8966" width="15" style="621" customWidth="1"/>
    <col min="8967" max="8967" width="12.140625" style="621" customWidth="1"/>
    <col min="8968" max="8968" width="26.42578125" style="621" customWidth="1"/>
    <col min="8969" max="8969" width="3.42578125" style="621" customWidth="1"/>
    <col min="8970" max="9209" width="8.85546875" style="621"/>
    <col min="9210" max="9210" width="3.5703125" style="621" customWidth="1"/>
    <col min="9211" max="9211" width="8" style="621" customWidth="1"/>
    <col min="9212" max="9212" width="58.5703125" style="621" customWidth="1"/>
    <col min="9213" max="9213" width="22.7109375" style="621" customWidth="1"/>
    <col min="9214" max="9214" width="0" style="621" hidden="1" customWidth="1"/>
    <col min="9215" max="9215" width="11.42578125" style="621" customWidth="1"/>
    <col min="9216" max="9216" width="15.85546875" style="621" customWidth="1"/>
    <col min="9217" max="9217" width="17.140625" style="621" customWidth="1"/>
    <col min="9218" max="9218" width="15.85546875" style="621" customWidth="1"/>
    <col min="9219" max="9219" width="12.28515625" style="621" customWidth="1"/>
    <col min="9220" max="9220" width="15.28515625" style="621" customWidth="1"/>
    <col min="9221" max="9221" width="15.140625" style="621" customWidth="1"/>
    <col min="9222" max="9222" width="15" style="621" customWidth="1"/>
    <col min="9223" max="9223" width="12.140625" style="621" customWidth="1"/>
    <col min="9224" max="9224" width="26.42578125" style="621" customWidth="1"/>
    <col min="9225" max="9225" width="3.42578125" style="621" customWidth="1"/>
    <col min="9226" max="9465" width="8.85546875" style="621"/>
    <col min="9466" max="9466" width="3.5703125" style="621" customWidth="1"/>
    <col min="9467" max="9467" width="8" style="621" customWidth="1"/>
    <col min="9468" max="9468" width="58.5703125" style="621" customWidth="1"/>
    <col min="9469" max="9469" width="22.7109375" style="621" customWidth="1"/>
    <col min="9470" max="9470" width="0" style="621" hidden="1" customWidth="1"/>
    <col min="9471" max="9471" width="11.42578125" style="621" customWidth="1"/>
    <col min="9472" max="9472" width="15.85546875" style="621" customWidth="1"/>
    <col min="9473" max="9473" width="17.140625" style="621" customWidth="1"/>
    <col min="9474" max="9474" width="15.85546875" style="621" customWidth="1"/>
    <col min="9475" max="9475" width="12.28515625" style="621" customWidth="1"/>
    <col min="9476" max="9476" width="15.28515625" style="621" customWidth="1"/>
    <col min="9477" max="9477" width="15.140625" style="621" customWidth="1"/>
    <col min="9478" max="9478" width="15" style="621" customWidth="1"/>
    <col min="9479" max="9479" width="12.140625" style="621" customWidth="1"/>
    <col min="9480" max="9480" width="26.42578125" style="621" customWidth="1"/>
    <col min="9481" max="9481" width="3.42578125" style="621" customWidth="1"/>
    <col min="9482" max="9721" width="8.85546875" style="621"/>
    <col min="9722" max="9722" width="3.5703125" style="621" customWidth="1"/>
    <col min="9723" max="9723" width="8" style="621" customWidth="1"/>
    <col min="9724" max="9724" width="58.5703125" style="621" customWidth="1"/>
    <col min="9725" max="9725" width="22.7109375" style="621" customWidth="1"/>
    <col min="9726" max="9726" width="0" style="621" hidden="1" customWidth="1"/>
    <col min="9727" max="9727" width="11.42578125" style="621" customWidth="1"/>
    <col min="9728" max="9728" width="15.85546875" style="621" customWidth="1"/>
    <col min="9729" max="9729" width="17.140625" style="621" customWidth="1"/>
    <col min="9730" max="9730" width="15.85546875" style="621" customWidth="1"/>
    <col min="9731" max="9731" width="12.28515625" style="621" customWidth="1"/>
    <col min="9732" max="9732" width="15.28515625" style="621" customWidth="1"/>
    <col min="9733" max="9733" width="15.140625" style="621" customWidth="1"/>
    <col min="9734" max="9734" width="15" style="621" customWidth="1"/>
    <col min="9735" max="9735" width="12.140625" style="621" customWidth="1"/>
    <col min="9736" max="9736" width="26.42578125" style="621" customWidth="1"/>
    <col min="9737" max="9737" width="3.42578125" style="621" customWidth="1"/>
    <col min="9738" max="9977" width="8.85546875" style="621"/>
    <col min="9978" max="9978" width="3.5703125" style="621" customWidth="1"/>
    <col min="9979" max="9979" width="8" style="621" customWidth="1"/>
    <col min="9980" max="9980" width="58.5703125" style="621" customWidth="1"/>
    <col min="9981" max="9981" width="22.7109375" style="621" customWidth="1"/>
    <col min="9982" max="9982" width="0" style="621" hidden="1" customWidth="1"/>
    <col min="9983" max="9983" width="11.42578125" style="621" customWidth="1"/>
    <col min="9984" max="9984" width="15.85546875" style="621" customWidth="1"/>
    <col min="9985" max="9985" width="17.140625" style="621" customWidth="1"/>
    <col min="9986" max="9986" width="15.85546875" style="621" customWidth="1"/>
    <col min="9987" max="9987" width="12.28515625" style="621" customWidth="1"/>
    <col min="9988" max="9988" width="15.28515625" style="621" customWidth="1"/>
    <col min="9989" max="9989" width="15.140625" style="621" customWidth="1"/>
    <col min="9990" max="9990" width="15" style="621" customWidth="1"/>
    <col min="9991" max="9991" width="12.140625" style="621" customWidth="1"/>
    <col min="9992" max="9992" width="26.42578125" style="621" customWidth="1"/>
    <col min="9993" max="9993" width="3.42578125" style="621" customWidth="1"/>
    <col min="9994" max="10233" width="8.85546875" style="621"/>
    <col min="10234" max="10234" width="3.5703125" style="621" customWidth="1"/>
    <col min="10235" max="10235" width="8" style="621" customWidth="1"/>
    <col min="10236" max="10236" width="58.5703125" style="621" customWidth="1"/>
    <col min="10237" max="10237" width="22.7109375" style="621" customWidth="1"/>
    <col min="10238" max="10238" width="0" style="621" hidden="1" customWidth="1"/>
    <col min="10239" max="10239" width="11.42578125" style="621" customWidth="1"/>
    <col min="10240" max="10240" width="15.85546875" style="621" customWidth="1"/>
    <col min="10241" max="10241" width="17.140625" style="621" customWidth="1"/>
    <col min="10242" max="10242" width="15.85546875" style="621" customWidth="1"/>
    <col min="10243" max="10243" width="12.28515625" style="621" customWidth="1"/>
    <col min="10244" max="10244" width="15.28515625" style="621" customWidth="1"/>
    <col min="10245" max="10245" width="15.140625" style="621" customWidth="1"/>
    <col min="10246" max="10246" width="15" style="621" customWidth="1"/>
    <col min="10247" max="10247" width="12.140625" style="621" customWidth="1"/>
    <col min="10248" max="10248" width="26.42578125" style="621" customWidth="1"/>
    <col min="10249" max="10249" width="3.42578125" style="621" customWidth="1"/>
    <col min="10250" max="10489" width="8.85546875" style="621"/>
    <col min="10490" max="10490" width="3.5703125" style="621" customWidth="1"/>
    <col min="10491" max="10491" width="8" style="621" customWidth="1"/>
    <col min="10492" max="10492" width="58.5703125" style="621" customWidth="1"/>
    <col min="10493" max="10493" width="22.7109375" style="621" customWidth="1"/>
    <col min="10494" max="10494" width="0" style="621" hidden="1" customWidth="1"/>
    <col min="10495" max="10495" width="11.42578125" style="621" customWidth="1"/>
    <col min="10496" max="10496" width="15.85546875" style="621" customWidth="1"/>
    <col min="10497" max="10497" width="17.140625" style="621" customWidth="1"/>
    <col min="10498" max="10498" width="15.85546875" style="621" customWidth="1"/>
    <col min="10499" max="10499" width="12.28515625" style="621" customWidth="1"/>
    <col min="10500" max="10500" width="15.28515625" style="621" customWidth="1"/>
    <col min="10501" max="10501" width="15.140625" style="621" customWidth="1"/>
    <col min="10502" max="10502" width="15" style="621" customWidth="1"/>
    <col min="10503" max="10503" width="12.140625" style="621" customWidth="1"/>
    <col min="10504" max="10504" width="26.42578125" style="621" customWidth="1"/>
    <col min="10505" max="10505" width="3.42578125" style="621" customWidth="1"/>
    <col min="10506" max="10745" width="8.85546875" style="621"/>
    <col min="10746" max="10746" width="3.5703125" style="621" customWidth="1"/>
    <col min="10747" max="10747" width="8" style="621" customWidth="1"/>
    <col min="10748" max="10748" width="58.5703125" style="621" customWidth="1"/>
    <col min="10749" max="10749" width="22.7109375" style="621" customWidth="1"/>
    <col min="10750" max="10750" width="0" style="621" hidden="1" customWidth="1"/>
    <col min="10751" max="10751" width="11.42578125" style="621" customWidth="1"/>
    <col min="10752" max="10752" width="15.85546875" style="621" customWidth="1"/>
    <col min="10753" max="10753" width="17.140625" style="621" customWidth="1"/>
    <col min="10754" max="10754" width="15.85546875" style="621" customWidth="1"/>
    <col min="10755" max="10755" width="12.28515625" style="621" customWidth="1"/>
    <col min="10756" max="10756" width="15.28515625" style="621" customWidth="1"/>
    <col min="10757" max="10757" width="15.140625" style="621" customWidth="1"/>
    <col min="10758" max="10758" width="15" style="621" customWidth="1"/>
    <col min="10759" max="10759" width="12.140625" style="621" customWidth="1"/>
    <col min="10760" max="10760" width="26.42578125" style="621" customWidth="1"/>
    <col min="10761" max="10761" width="3.42578125" style="621" customWidth="1"/>
    <col min="10762" max="11001" width="8.85546875" style="621"/>
    <col min="11002" max="11002" width="3.5703125" style="621" customWidth="1"/>
    <col min="11003" max="11003" width="8" style="621" customWidth="1"/>
    <col min="11004" max="11004" width="58.5703125" style="621" customWidth="1"/>
    <col min="11005" max="11005" width="22.7109375" style="621" customWidth="1"/>
    <col min="11006" max="11006" width="0" style="621" hidden="1" customWidth="1"/>
    <col min="11007" max="11007" width="11.42578125" style="621" customWidth="1"/>
    <col min="11008" max="11008" width="15.85546875" style="621" customWidth="1"/>
    <col min="11009" max="11009" width="17.140625" style="621" customWidth="1"/>
    <col min="11010" max="11010" width="15.85546875" style="621" customWidth="1"/>
    <col min="11011" max="11011" width="12.28515625" style="621" customWidth="1"/>
    <col min="11012" max="11012" width="15.28515625" style="621" customWidth="1"/>
    <col min="11013" max="11013" width="15.140625" style="621" customWidth="1"/>
    <col min="11014" max="11014" width="15" style="621" customWidth="1"/>
    <col min="11015" max="11015" width="12.140625" style="621" customWidth="1"/>
    <col min="11016" max="11016" width="26.42578125" style="621" customWidth="1"/>
    <col min="11017" max="11017" width="3.42578125" style="621" customWidth="1"/>
    <col min="11018" max="11257" width="8.85546875" style="621"/>
    <col min="11258" max="11258" width="3.5703125" style="621" customWidth="1"/>
    <col min="11259" max="11259" width="8" style="621" customWidth="1"/>
    <col min="11260" max="11260" width="58.5703125" style="621" customWidth="1"/>
    <col min="11261" max="11261" width="22.7109375" style="621" customWidth="1"/>
    <col min="11262" max="11262" width="0" style="621" hidden="1" customWidth="1"/>
    <col min="11263" max="11263" width="11.42578125" style="621" customWidth="1"/>
    <col min="11264" max="11264" width="15.85546875" style="621" customWidth="1"/>
    <col min="11265" max="11265" width="17.140625" style="621" customWidth="1"/>
    <col min="11266" max="11266" width="15.85546875" style="621" customWidth="1"/>
    <col min="11267" max="11267" width="12.28515625" style="621" customWidth="1"/>
    <col min="11268" max="11268" width="15.28515625" style="621" customWidth="1"/>
    <col min="11269" max="11269" width="15.140625" style="621" customWidth="1"/>
    <col min="11270" max="11270" width="15" style="621" customWidth="1"/>
    <col min="11271" max="11271" width="12.140625" style="621" customWidth="1"/>
    <col min="11272" max="11272" width="26.42578125" style="621" customWidth="1"/>
    <col min="11273" max="11273" width="3.42578125" style="621" customWidth="1"/>
    <col min="11274" max="11513" width="8.85546875" style="621"/>
    <col min="11514" max="11514" width="3.5703125" style="621" customWidth="1"/>
    <col min="11515" max="11515" width="8" style="621" customWidth="1"/>
    <col min="11516" max="11516" width="58.5703125" style="621" customWidth="1"/>
    <col min="11517" max="11517" width="22.7109375" style="621" customWidth="1"/>
    <col min="11518" max="11518" width="0" style="621" hidden="1" customWidth="1"/>
    <col min="11519" max="11519" width="11.42578125" style="621" customWidth="1"/>
    <col min="11520" max="11520" width="15.85546875" style="621" customWidth="1"/>
    <col min="11521" max="11521" width="17.140625" style="621" customWidth="1"/>
    <col min="11522" max="11522" width="15.85546875" style="621" customWidth="1"/>
    <col min="11523" max="11523" width="12.28515625" style="621" customWidth="1"/>
    <col min="11524" max="11524" width="15.28515625" style="621" customWidth="1"/>
    <col min="11525" max="11525" width="15.140625" style="621" customWidth="1"/>
    <col min="11526" max="11526" width="15" style="621" customWidth="1"/>
    <col min="11527" max="11527" width="12.140625" style="621" customWidth="1"/>
    <col min="11528" max="11528" width="26.42578125" style="621" customWidth="1"/>
    <col min="11529" max="11529" width="3.42578125" style="621" customWidth="1"/>
    <col min="11530" max="11769" width="8.85546875" style="621"/>
    <col min="11770" max="11770" width="3.5703125" style="621" customWidth="1"/>
    <col min="11771" max="11771" width="8" style="621" customWidth="1"/>
    <col min="11772" max="11772" width="58.5703125" style="621" customWidth="1"/>
    <col min="11773" max="11773" width="22.7109375" style="621" customWidth="1"/>
    <col min="11774" max="11774" width="0" style="621" hidden="1" customWidth="1"/>
    <col min="11775" max="11775" width="11.42578125" style="621" customWidth="1"/>
    <col min="11776" max="11776" width="15.85546875" style="621" customWidth="1"/>
    <col min="11777" max="11777" width="17.140625" style="621" customWidth="1"/>
    <col min="11778" max="11778" width="15.85546875" style="621" customWidth="1"/>
    <col min="11779" max="11779" width="12.28515625" style="621" customWidth="1"/>
    <col min="11780" max="11780" width="15.28515625" style="621" customWidth="1"/>
    <col min="11781" max="11781" width="15.140625" style="621" customWidth="1"/>
    <col min="11782" max="11782" width="15" style="621" customWidth="1"/>
    <col min="11783" max="11783" width="12.140625" style="621" customWidth="1"/>
    <col min="11784" max="11784" width="26.42578125" style="621" customWidth="1"/>
    <col min="11785" max="11785" width="3.42578125" style="621" customWidth="1"/>
    <col min="11786" max="12025" width="8.85546875" style="621"/>
    <col min="12026" max="12026" width="3.5703125" style="621" customWidth="1"/>
    <col min="12027" max="12027" width="8" style="621" customWidth="1"/>
    <col min="12028" max="12028" width="58.5703125" style="621" customWidth="1"/>
    <col min="12029" max="12029" width="22.7109375" style="621" customWidth="1"/>
    <col min="12030" max="12030" width="0" style="621" hidden="1" customWidth="1"/>
    <col min="12031" max="12031" width="11.42578125" style="621" customWidth="1"/>
    <col min="12032" max="12032" width="15.85546875" style="621" customWidth="1"/>
    <col min="12033" max="12033" width="17.140625" style="621" customWidth="1"/>
    <col min="12034" max="12034" width="15.85546875" style="621" customWidth="1"/>
    <col min="12035" max="12035" width="12.28515625" style="621" customWidth="1"/>
    <col min="12036" max="12036" width="15.28515625" style="621" customWidth="1"/>
    <col min="12037" max="12037" width="15.140625" style="621" customWidth="1"/>
    <col min="12038" max="12038" width="15" style="621" customWidth="1"/>
    <col min="12039" max="12039" width="12.140625" style="621" customWidth="1"/>
    <col min="12040" max="12040" width="26.42578125" style="621" customWidth="1"/>
    <col min="12041" max="12041" width="3.42578125" style="621" customWidth="1"/>
    <col min="12042" max="12281" width="8.85546875" style="621"/>
    <col min="12282" max="12282" width="3.5703125" style="621" customWidth="1"/>
    <col min="12283" max="12283" width="8" style="621" customWidth="1"/>
    <col min="12284" max="12284" width="58.5703125" style="621" customWidth="1"/>
    <col min="12285" max="12285" width="22.7109375" style="621" customWidth="1"/>
    <col min="12286" max="12286" width="0" style="621" hidden="1" customWidth="1"/>
    <col min="12287" max="12287" width="11.42578125" style="621" customWidth="1"/>
    <col min="12288" max="12288" width="15.85546875" style="621" customWidth="1"/>
    <col min="12289" max="12289" width="17.140625" style="621" customWidth="1"/>
    <col min="12290" max="12290" width="15.85546875" style="621" customWidth="1"/>
    <col min="12291" max="12291" width="12.28515625" style="621" customWidth="1"/>
    <col min="12292" max="12292" width="15.28515625" style="621" customWidth="1"/>
    <col min="12293" max="12293" width="15.140625" style="621" customWidth="1"/>
    <col min="12294" max="12294" width="15" style="621" customWidth="1"/>
    <col min="12295" max="12295" width="12.140625" style="621" customWidth="1"/>
    <col min="12296" max="12296" width="26.42578125" style="621" customWidth="1"/>
    <col min="12297" max="12297" width="3.42578125" style="621" customWidth="1"/>
    <col min="12298" max="12537" width="8.85546875" style="621"/>
    <col min="12538" max="12538" width="3.5703125" style="621" customWidth="1"/>
    <col min="12539" max="12539" width="8" style="621" customWidth="1"/>
    <col min="12540" max="12540" width="58.5703125" style="621" customWidth="1"/>
    <col min="12541" max="12541" width="22.7109375" style="621" customWidth="1"/>
    <col min="12542" max="12542" width="0" style="621" hidden="1" customWidth="1"/>
    <col min="12543" max="12543" width="11.42578125" style="621" customWidth="1"/>
    <col min="12544" max="12544" width="15.85546875" style="621" customWidth="1"/>
    <col min="12545" max="12545" width="17.140625" style="621" customWidth="1"/>
    <col min="12546" max="12546" width="15.85546875" style="621" customWidth="1"/>
    <col min="12547" max="12547" width="12.28515625" style="621" customWidth="1"/>
    <col min="12548" max="12548" width="15.28515625" style="621" customWidth="1"/>
    <col min="12549" max="12549" width="15.140625" style="621" customWidth="1"/>
    <col min="12550" max="12550" width="15" style="621" customWidth="1"/>
    <col min="12551" max="12551" width="12.140625" style="621" customWidth="1"/>
    <col min="12552" max="12552" width="26.42578125" style="621" customWidth="1"/>
    <col min="12553" max="12553" width="3.42578125" style="621" customWidth="1"/>
    <col min="12554" max="12793" width="8.85546875" style="621"/>
    <col min="12794" max="12794" width="3.5703125" style="621" customWidth="1"/>
    <col min="12795" max="12795" width="8" style="621" customWidth="1"/>
    <col min="12796" max="12796" width="58.5703125" style="621" customWidth="1"/>
    <col min="12797" max="12797" width="22.7109375" style="621" customWidth="1"/>
    <col min="12798" max="12798" width="0" style="621" hidden="1" customWidth="1"/>
    <col min="12799" max="12799" width="11.42578125" style="621" customWidth="1"/>
    <col min="12800" max="12800" width="15.85546875" style="621" customWidth="1"/>
    <col min="12801" max="12801" width="17.140625" style="621" customWidth="1"/>
    <col min="12802" max="12802" width="15.85546875" style="621" customWidth="1"/>
    <col min="12803" max="12803" width="12.28515625" style="621" customWidth="1"/>
    <col min="12804" max="12804" width="15.28515625" style="621" customWidth="1"/>
    <col min="12805" max="12805" width="15.140625" style="621" customWidth="1"/>
    <col min="12806" max="12806" width="15" style="621" customWidth="1"/>
    <col min="12807" max="12807" width="12.140625" style="621" customWidth="1"/>
    <col min="12808" max="12808" width="26.42578125" style="621" customWidth="1"/>
    <col min="12809" max="12809" width="3.42578125" style="621" customWidth="1"/>
    <col min="12810" max="13049" width="8.85546875" style="621"/>
    <col min="13050" max="13050" width="3.5703125" style="621" customWidth="1"/>
    <col min="13051" max="13051" width="8" style="621" customWidth="1"/>
    <col min="13052" max="13052" width="58.5703125" style="621" customWidth="1"/>
    <col min="13053" max="13053" width="22.7109375" style="621" customWidth="1"/>
    <col min="13054" max="13054" width="0" style="621" hidden="1" customWidth="1"/>
    <col min="13055" max="13055" width="11.42578125" style="621" customWidth="1"/>
    <col min="13056" max="13056" width="15.85546875" style="621" customWidth="1"/>
    <col min="13057" max="13057" width="17.140625" style="621" customWidth="1"/>
    <col min="13058" max="13058" width="15.85546875" style="621" customWidth="1"/>
    <col min="13059" max="13059" width="12.28515625" style="621" customWidth="1"/>
    <col min="13060" max="13060" width="15.28515625" style="621" customWidth="1"/>
    <col min="13061" max="13061" width="15.140625" style="621" customWidth="1"/>
    <col min="13062" max="13062" width="15" style="621" customWidth="1"/>
    <col min="13063" max="13063" width="12.140625" style="621" customWidth="1"/>
    <col min="13064" max="13064" width="26.42578125" style="621" customWidth="1"/>
    <col min="13065" max="13065" width="3.42578125" style="621" customWidth="1"/>
    <col min="13066" max="13305" width="8.85546875" style="621"/>
    <col min="13306" max="13306" width="3.5703125" style="621" customWidth="1"/>
    <col min="13307" max="13307" width="8" style="621" customWidth="1"/>
    <col min="13308" max="13308" width="58.5703125" style="621" customWidth="1"/>
    <col min="13309" max="13309" width="22.7109375" style="621" customWidth="1"/>
    <col min="13310" max="13310" width="0" style="621" hidden="1" customWidth="1"/>
    <col min="13311" max="13311" width="11.42578125" style="621" customWidth="1"/>
    <col min="13312" max="13312" width="15.85546875" style="621" customWidth="1"/>
    <col min="13313" max="13313" width="17.140625" style="621" customWidth="1"/>
    <col min="13314" max="13314" width="15.85546875" style="621" customWidth="1"/>
    <col min="13315" max="13315" width="12.28515625" style="621" customWidth="1"/>
    <col min="13316" max="13316" width="15.28515625" style="621" customWidth="1"/>
    <col min="13317" max="13317" width="15.140625" style="621" customWidth="1"/>
    <col min="13318" max="13318" width="15" style="621" customWidth="1"/>
    <col min="13319" max="13319" width="12.140625" style="621" customWidth="1"/>
    <col min="13320" max="13320" width="26.42578125" style="621" customWidth="1"/>
    <col min="13321" max="13321" width="3.42578125" style="621" customWidth="1"/>
    <col min="13322" max="13561" width="8.85546875" style="621"/>
    <col min="13562" max="13562" width="3.5703125" style="621" customWidth="1"/>
    <col min="13563" max="13563" width="8" style="621" customWidth="1"/>
    <col min="13564" max="13564" width="58.5703125" style="621" customWidth="1"/>
    <col min="13565" max="13565" width="22.7109375" style="621" customWidth="1"/>
    <col min="13566" max="13566" width="0" style="621" hidden="1" customWidth="1"/>
    <col min="13567" max="13567" width="11.42578125" style="621" customWidth="1"/>
    <col min="13568" max="13568" width="15.85546875" style="621" customWidth="1"/>
    <col min="13569" max="13569" width="17.140625" style="621" customWidth="1"/>
    <col min="13570" max="13570" width="15.85546875" style="621" customWidth="1"/>
    <col min="13571" max="13571" width="12.28515625" style="621" customWidth="1"/>
    <col min="13572" max="13572" width="15.28515625" style="621" customWidth="1"/>
    <col min="13573" max="13573" width="15.140625" style="621" customWidth="1"/>
    <col min="13574" max="13574" width="15" style="621" customWidth="1"/>
    <col min="13575" max="13575" width="12.140625" style="621" customWidth="1"/>
    <col min="13576" max="13576" width="26.42578125" style="621" customWidth="1"/>
    <col min="13577" max="13577" width="3.42578125" style="621" customWidth="1"/>
    <col min="13578" max="13817" width="8.85546875" style="621"/>
    <col min="13818" max="13818" width="3.5703125" style="621" customWidth="1"/>
    <col min="13819" max="13819" width="8" style="621" customWidth="1"/>
    <col min="13820" max="13820" width="58.5703125" style="621" customWidth="1"/>
    <col min="13821" max="13821" width="22.7109375" style="621" customWidth="1"/>
    <col min="13822" max="13822" width="0" style="621" hidden="1" customWidth="1"/>
    <col min="13823" max="13823" width="11.42578125" style="621" customWidth="1"/>
    <col min="13824" max="13824" width="15.85546875" style="621" customWidth="1"/>
    <col min="13825" max="13825" width="17.140625" style="621" customWidth="1"/>
    <col min="13826" max="13826" width="15.85546875" style="621" customWidth="1"/>
    <col min="13827" max="13827" width="12.28515625" style="621" customWidth="1"/>
    <col min="13828" max="13828" width="15.28515625" style="621" customWidth="1"/>
    <col min="13829" max="13829" width="15.140625" style="621" customWidth="1"/>
    <col min="13830" max="13830" width="15" style="621" customWidth="1"/>
    <col min="13831" max="13831" width="12.140625" style="621" customWidth="1"/>
    <col min="13832" max="13832" width="26.42578125" style="621" customWidth="1"/>
    <col min="13833" max="13833" width="3.42578125" style="621" customWidth="1"/>
    <col min="13834" max="14073" width="8.85546875" style="621"/>
    <col min="14074" max="14074" width="3.5703125" style="621" customWidth="1"/>
    <col min="14075" max="14075" width="8" style="621" customWidth="1"/>
    <col min="14076" max="14076" width="58.5703125" style="621" customWidth="1"/>
    <col min="14077" max="14077" width="22.7109375" style="621" customWidth="1"/>
    <col min="14078" max="14078" width="0" style="621" hidden="1" customWidth="1"/>
    <col min="14079" max="14079" width="11.42578125" style="621" customWidth="1"/>
    <col min="14080" max="14080" width="15.85546875" style="621" customWidth="1"/>
    <col min="14081" max="14081" width="17.140625" style="621" customWidth="1"/>
    <col min="14082" max="14082" width="15.85546875" style="621" customWidth="1"/>
    <col min="14083" max="14083" width="12.28515625" style="621" customWidth="1"/>
    <col min="14084" max="14084" width="15.28515625" style="621" customWidth="1"/>
    <col min="14085" max="14085" width="15.140625" style="621" customWidth="1"/>
    <col min="14086" max="14086" width="15" style="621" customWidth="1"/>
    <col min="14087" max="14087" width="12.140625" style="621" customWidth="1"/>
    <col min="14088" max="14088" width="26.42578125" style="621" customWidth="1"/>
    <col min="14089" max="14089" width="3.42578125" style="621" customWidth="1"/>
    <col min="14090" max="14329" width="8.85546875" style="621"/>
    <col min="14330" max="14330" width="3.5703125" style="621" customWidth="1"/>
    <col min="14331" max="14331" width="8" style="621" customWidth="1"/>
    <col min="14332" max="14332" width="58.5703125" style="621" customWidth="1"/>
    <col min="14333" max="14333" width="22.7109375" style="621" customWidth="1"/>
    <col min="14334" max="14334" width="0" style="621" hidden="1" customWidth="1"/>
    <col min="14335" max="14335" width="11.42578125" style="621" customWidth="1"/>
    <col min="14336" max="14336" width="15.85546875" style="621" customWidth="1"/>
    <col min="14337" max="14337" width="17.140625" style="621" customWidth="1"/>
    <col min="14338" max="14338" width="15.85546875" style="621" customWidth="1"/>
    <col min="14339" max="14339" width="12.28515625" style="621" customWidth="1"/>
    <col min="14340" max="14340" width="15.28515625" style="621" customWidth="1"/>
    <col min="14341" max="14341" width="15.140625" style="621" customWidth="1"/>
    <col min="14342" max="14342" width="15" style="621" customWidth="1"/>
    <col min="14343" max="14343" width="12.140625" style="621" customWidth="1"/>
    <col min="14344" max="14344" width="26.42578125" style="621" customWidth="1"/>
    <col min="14345" max="14345" width="3.42578125" style="621" customWidth="1"/>
    <col min="14346" max="14585" width="8.85546875" style="621"/>
    <col min="14586" max="14586" width="3.5703125" style="621" customWidth="1"/>
    <col min="14587" max="14587" width="8" style="621" customWidth="1"/>
    <col min="14588" max="14588" width="58.5703125" style="621" customWidth="1"/>
    <col min="14589" max="14589" width="22.7109375" style="621" customWidth="1"/>
    <col min="14590" max="14590" width="0" style="621" hidden="1" customWidth="1"/>
    <col min="14591" max="14591" width="11.42578125" style="621" customWidth="1"/>
    <col min="14592" max="14592" width="15.85546875" style="621" customWidth="1"/>
    <col min="14593" max="14593" width="17.140625" style="621" customWidth="1"/>
    <col min="14594" max="14594" width="15.85546875" style="621" customWidth="1"/>
    <col min="14595" max="14595" width="12.28515625" style="621" customWidth="1"/>
    <col min="14596" max="14596" width="15.28515625" style="621" customWidth="1"/>
    <col min="14597" max="14597" width="15.140625" style="621" customWidth="1"/>
    <col min="14598" max="14598" width="15" style="621" customWidth="1"/>
    <col min="14599" max="14599" width="12.140625" style="621" customWidth="1"/>
    <col min="14600" max="14600" width="26.42578125" style="621" customWidth="1"/>
    <col min="14601" max="14601" width="3.42578125" style="621" customWidth="1"/>
    <col min="14602" max="14841" width="8.85546875" style="621"/>
    <col min="14842" max="14842" width="3.5703125" style="621" customWidth="1"/>
    <col min="14843" max="14843" width="8" style="621" customWidth="1"/>
    <col min="14844" max="14844" width="58.5703125" style="621" customWidth="1"/>
    <col min="14845" max="14845" width="22.7109375" style="621" customWidth="1"/>
    <col min="14846" max="14846" width="0" style="621" hidden="1" customWidth="1"/>
    <col min="14847" max="14847" width="11.42578125" style="621" customWidth="1"/>
    <col min="14848" max="14848" width="15.85546875" style="621" customWidth="1"/>
    <col min="14849" max="14849" width="17.140625" style="621" customWidth="1"/>
    <col min="14850" max="14850" width="15.85546875" style="621" customWidth="1"/>
    <col min="14851" max="14851" width="12.28515625" style="621" customWidth="1"/>
    <col min="14852" max="14852" width="15.28515625" style="621" customWidth="1"/>
    <col min="14853" max="14853" width="15.140625" style="621" customWidth="1"/>
    <col min="14854" max="14854" width="15" style="621" customWidth="1"/>
    <col min="14855" max="14855" width="12.140625" style="621" customWidth="1"/>
    <col min="14856" max="14856" width="26.42578125" style="621" customWidth="1"/>
    <col min="14857" max="14857" width="3.42578125" style="621" customWidth="1"/>
    <col min="14858" max="15097" width="8.85546875" style="621"/>
    <col min="15098" max="15098" width="3.5703125" style="621" customWidth="1"/>
    <col min="15099" max="15099" width="8" style="621" customWidth="1"/>
    <col min="15100" max="15100" width="58.5703125" style="621" customWidth="1"/>
    <col min="15101" max="15101" width="22.7109375" style="621" customWidth="1"/>
    <col min="15102" max="15102" width="0" style="621" hidden="1" customWidth="1"/>
    <col min="15103" max="15103" width="11.42578125" style="621" customWidth="1"/>
    <col min="15104" max="15104" width="15.85546875" style="621" customWidth="1"/>
    <col min="15105" max="15105" width="17.140625" style="621" customWidth="1"/>
    <col min="15106" max="15106" width="15.85546875" style="621" customWidth="1"/>
    <col min="15107" max="15107" width="12.28515625" style="621" customWidth="1"/>
    <col min="15108" max="15108" width="15.28515625" style="621" customWidth="1"/>
    <col min="15109" max="15109" width="15.140625" style="621" customWidth="1"/>
    <col min="15110" max="15110" width="15" style="621" customWidth="1"/>
    <col min="15111" max="15111" width="12.140625" style="621" customWidth="1"/>
    <col min="15112" max="15112" width="26.42578125" style="621" customWidth="1"/>
    <col min="15113" max="15113" width="3.42578125" style="621" customWidth="1"/>
    <col min="15114" max="15353" width="8.85546875" style="621"/>
    <col min="15354" max="15354" width="3.5703125" style="621" customWidth="1"/>
    <col min="15355" max="15355" width="8" style="621" customWidth="1"/>
    <col min="15356" max="15356" width="58.5703125" style="621" customWidth="1"/>
    <col min="15357" max="15357" width="22.7109375" style="621" customWidth="1"/>
    <col min="15358" max="15358" width="0" style="621" hidden="1" customWidth="1"/>
    <col min="15359" max="15359" width="11.42578125" style="621" customWidth="1"/>
    <col min="15360" max="15360" width="15.85546875" style="621" customWidth="1"/>
    <col min="15361" max="15361" width="17.140625" style="621" customWidth="1"/>
    <col min="15362" max="15362" width="15.85546875" style="621" customWidth="1"/>
    <col min="15363" max="15363" width="12.28515625" style="621" customWidth="1"/>
    <col min="15364" max="15364" width="15.28515625" style="621" customWidth="1"/>
    <col min="15365" max="15365" width="15.140625" style="621" customWidth="1"/>
    <col min="15366" max="15366" width="15" style="621" customWidth="1"/>
    <col min="15367" max="15367" width="12.140625" style="621" customWidth="1"/>
    <col min="15368" max="15368" width="26.42578125" style="621" customWidth="1"/>
    <col min="15369" max="15369" width="3.42578125" style="621" customWidth="1"/>
    <col min="15370" max="15609" width="8.85546875" style="621"/>
    <col min="15610" max="15610" width="3.5703125" style="621" customWidth="1"/>
    <col min="15611" max="15611" width="8" style="621" customWidth="1"/>
    <col min="15612" max="15612" width="58.5703125" style="621" customWidth="1"/>
    <col min="15613" max="15613" width="22.7109375" style="621" customWidth="1"/>
    <col min="15614" max="15614" width="0" style="621" hidden="1" customWidth="1"/>
    <col min="15615" max="15615" width="11.42578125" style="621" customWidth="1"/>
    <col min="15616" max="15616" width="15.85546875" style="621" customWidth="1"/>
    <col min="15617" max="15617" width="17.140625" style="621" customWidth="1"/>
    <col min="15618" max="15618" width="15.85546875" style="621" customWidth="1"/>
    <col min="15619" max="15619" width="12.28515625" style="621" customWidth="1"/>
    <col min="15620" max="15620" width="15.28515625" style="621" customWidth="1"/>
    <col min="15621" max="15621" width="15.140625" style="621" customWidth="1"/>
    <col min="15622" max="15622" width="15" style="621" customWidth="1"/>
    <col min="15623" max="15623" width="12.140625" style="621" customWidth="1"/>
    <col min="15624" max="15624" width="26.42578125" style="621" customWidth="1"/>
    <col min="15625" max="15625" width="3.42578125" style="621" customWidth="1"/>
    <col min="15626" max="15865" width="8.85546875" style="621"/>
    <col min="15866" max="15866" width="3.5703125" style="621" customWidth="1"/>
    <col min="15867" max="15867" width="8" style="621" customWidth="1"/>
    <col min="15868" max="15868" width="58.5703125" style="621" customWidth="1"/>
    <col min="15869" max="15869" width="22.7109375" style="621" customWidth="1"/>
    <col min="15870" max="15870" width="0" style="621" hidden="1" customWidth="1"/>
    <col min="15871" max="15871" width="11.42578125" style="621" customWidth="1"/>
    <col min="15872" max="15872" width="15.85546875" style="621" customWidth="1"/>
    <col min="15873" max="15873" width="17.140625" style="621" customWidth="1"/>
    <col min="15874" max="15874" width="15.85546875" style="621" customWidth="1"/>
    <col min="15875" max="15875" width="12.28515625" style="621" customWidth="1"/>
    <col min="15876" max="15876" width="15.28515625" style="621" customWidth="1"/>
    <col min="15877" max="15877" width="15.140625" style="621" customWidth="1"/>
    <col min="15878" max="15878" width="15" style="621" customWidth="1"/>
    <col min="15879" max="15879" width="12.140625" style="621" customWidth="1"/>
    <col min="15880" max="15880" width="26.42578125" style="621" customWidth="1"/>
    <col min="15881" max="15881" width="3.42578125" style="621" customWidth="1"/>
    <col min="15882" max="16121" width="8.85546875" style="621"/>
    <col min="16122" max="16122" width="3.5703125" style="621" customWidth="1"/>
    <col min="16123" max="16123" width="8" style="621" customWidth="1"/>
    <col min="16124" max="16124" width="58.5703125" style="621" customWidth="1"/>
    <col min="16125" max="16125" width="22.7109375" style="621" customWidth="1"/>
    <col min="16126" max="16126" width="0" style="621" hidden="1" customWidth="1"/>
    <col min="16127" max="16127" width="11.42578125" style="621" customWidth="1"/>
    <col min="16128" max="16128" width="15.85546875" style="621" customWidth="1"/>
    <col min="16129" max="16129" width="17.140625" style="621" customWidth="1"/>
    <col min="16130" max="16130" width="15.85546875" style="621" customWidth="1"/>
    <col min="16131" max="16131" width="12.28515625" style="621" customWidth="1"/>
    <col min="16132" max="16132" width="15.28515625" style="621" customWidth="1"/>
    <col min="16133" max="16133" width="15.140625" style="621" customWidth="1"/>
    <col min="16134" max="16134" width="15" style="621" customWidth="1"/>
    <col min="16135" max="16135" width="12.140625" style="621" customWidth="1"/>
    <col min="16136" max="16136" width="26.42578125" style="621" customWidth="1"/>
    <col min="16137" max="16137" width="3.42578125" style="621" customWidth="1"/>
    <col min="16138" max="16384" width="8.85546875" style="621"/>
  </cols>
  <sheetData>
    <row r="1" spans="2:10" ht="18" customHeight="1">
      <c r="B1" s="1770"/>
      <c r="C1" s="1770"/>
      <c r="D1" s="1770"/>
      <c r="E1" s="1770"/>
      <c r="F1" s="1770"/>
      <c r="G1" s="1770"/>
      <c r="H1" s="1770"/>
    </row>
    <row r="2" spans="2:10" ht="24" customHeight="1">
      <c r="B2" s="1771" t="s">
        <v>2620</v>
      </c>
      <c r="C2" s="1771"/>
      <c r="D2" s="1771"/>
      <c r="E2" s="1771"/>
      <c r="F2" s="1771"/>
      <c r="G2" s="1771"/>
      <c r="H2" s="1771"/>
    </row>
    <row r="3" spans="2:10" s="686" customFormat="1" ht="24" customHeight="1">
      <c r="B3" s="1771" t="s">
        <v>2621</v>
      </c>
      <c r="C3" s="1771"/>
      <c r="D3" s="1771"/>
      <c r="E3" s="1771"/>
      <c r="F3" s="1771"/>
      <c r="G3" s="1771"/>
      <c r="H3" s="1771"/>
    </row>
    <row r="4" spans="2:10" ht="24" customHeight="1">
      <c r="B4" s="1771" t="s">
        <v>4091</v>
      </c>
      <c r="C4" s="1771"/>
      <c r="D4" s="1771"/>
      <c r="E4" s="1771"/>
      <c r="F4" s="1771"/>
      <c r="G4" s="1771"/>
      <c r="H4" s="1771"/>
    </row>
    <row r="5" spans="2:10" ht="14.25" customHeight="1">
      <c r="B5" s="1637"/>
      <c r="C5" s="1640"/>
      <c r="D5" s="1639"/>
      <c r="E5" s="1638"/>
      <c r="F5" s="1637"/>
      <c r="G5" s="1637"/>
      <c r="H5" s="1637"/>
    </row>
    <row r="6" spans="2:10" ht="23.25" customHeight="1">
      <c r="B6" s="1636" t="s">
        <v>2622</v>
      </c>
      <c r="C6" s="1635"/>
    </row>
    <row r="7" spans="2:10" ht="23.25" customHeight="1">
      <c r="B7" s="1772" t="s">
        <v>4233</v>
      </c>
      <c r="C7" s="1772"/>
      <c r="D7" s="1634"/>
      <c r="E7" s="1634"/>
      <c r="F7" s="1774" t="s">
        <v>4232</v>
      </c>
      <c r="G7" s="1774"/>
    </row>
    <row r="8" spans="2:10" ht="14.25" customHeight="1">
      <c r="B8" s="706"/>
      <c r="C8" s="1587"/>
    </row>
    <row r="9" spans="2:10" s="18" customFormat="1" ht="27.75" customHeight="1">
      <c r="B9" s="1725" t="s">
        <v>6</v>
      </c>
      <c r="C9" s="1773" t="s">
        <v>7</v>
      </c>
      <c r="D9" s="1768" t="s">
        <v>8</v>
      </c>
      <c r="E9" s="1768"/>
      <c r="F9" s="1768"/>
      <c r="G9" s="1768"/>
      <c r="H9" s="1769" t="s">
        <v>11</v>
      </c>
    </row>
    <row r="10" spans="2:10" s="832" customFormat="1" ht="66.75" customHeight="1">
      <c r="B10" s="1725"/>
      <c r="C10" s="1773"/>
      <c r="D10" s="1633" t="s">
        <v>14</v>
      </c>
      <c r="E10" s="1633" t="s">
        <v>2557</v>
      </c>
      <c r="F10" s="1632" t="s">
        <v>2558</v>
      </c>
      <c r="G10" s="1632" t="s">
        <v>2559</v>
      </c>
      <c r="H10" s="1769"/>
    </row>
    <row r="11" spans="2:10" s="832" customFormat="1" ht="21" customHeight="1">
      <c r="B11" s="1627" t="s">
        <v>18</v>
      </c>
      <c r="C11" s="1627" t="s">
        <v>19</v>
      </c>
      <c r="D11" s="1631" t="s">
        <v>20</v>
      </c>
      <c r="E11" s="1630" t="s">
        <v>21</v>
      </c>
      <c r="F11" s="1629" t="s">
        <v>22</v>
      </c>
      <c r="G11" s="1628" t="s">
        <v>23</v>
      </c>
      <c r="H11" s="1627" t="s">
        <v>24</v>
      </c>
    </row>
    <row r="12" spans="2:10" ht="19.5" customHeight="1">
      <c r="B12" s="1626"/>
      <c r="C12" s="1625"/>
      <c r="D12" s="1624"/>
      <c r="E12" s="1623"/>
      <c r="F12" s="1622"/>
      <c r="G12" s="1622"/>
      <c r="H12" s="1622"/>
    </row>
    <row r="13" spans="2:10" s="1599" customFormat="1" ht="21" customHeight="1">
      <c r="B13" s="1605" t="s">
        <v>92</v>
      </c>
      <c r="C13" s="1621" t="s">
        <v>93</v>
      </c>
      <c r="D13" s="1603">
        <v>2824446537000</v>
      </c>
      <c r="E13" s="1603">
        <f>+E14+E18+E144+E177+E188+E203+E210+E214</f>
        <v>2210205479205.8701</v>
      </c>
      <c r="F13" s="1601">
        <f>+E13/D13*100</f>
        <v>78.252693058706328</v>
      </c>
      <c r="G13" s="1601">
        <f>(G14+G18+G144+G177+G188+G203+G210+G214)/8</f>
        <v>69.950845956055105</v>
      </c>
      <c r="H13" s="1600"/>
      <c r="J13" s="1620"/>
    </row>
    <row r="14" spans="2:10" s="1599" customFormat="1" ht="21" customHeight="1">
      <c r="B14" s="1605"/>
      <c r="C14" s="1614" t="s">
        <v>2384</v>
      </c>
      <c r="D14" s="1613">
        <v>5000000000</v>
      </c>
      <c r="E14" s="1613">
        <v>0</v>
      </c>
      <c r="F14" s="1601">
        <f>+E14/D14*100</f>
        <v>0</v>
      </c>
      <c r="G14" s="1601">
        <f>+F14</f>
        <v>0</v>
      </c>
      <c r="H14" s="1600"/>
      <c r="J14" s="1620"/>
    </row>
    <row r="15" spans="2:10" s="1599" customFormat="1" ht="21" hidden="1" customHeight="1">
      <c r="B15" s="1605"/>
      <c r="C15" s="867" t="s">
        <v>1414</v>
      </c>
      <c r="D15" s="1613">
        <v>5000000000</v>
      </c>
      <c r="E15" s="1613">
        <v>0</v>
      </c>
      <c r="F15" s="1601">
        <f>+E15/D15*100</f>
        <v>0</v>
      </c>
      <c r="G15" s="1601">
        <f>+F15</f>
        <v>0</v>
      </c>
      <c r="H15" s="1600"/>
      <c r="J15" s="1620"/>
    </row>
    <row r="16" spans="2:10" s="1599" customFormat="1" ht="21" hidden="1" customHeight="1">
      <c r="B16" s="1605"/>
      <c r="C16" s="1612" t="s">
        <v>4231</v>
      </c>
      <c r="D16" s="1611">
        <v>5000000000</v>
      </c>
      <c r="E16" s="1611">
        <v>0</v>
      </c>
      <c r="F16" s="1601">
        <f>+E16/D16*100</f>
        <v>0</v>
      </c>
      <c r="G16" s="1601">
        <f>+F16</f>
        <v>0</v>
      </c>
      <c r="H16" s="1600"/>
      <c r="J16" s="1620"/>
    </row>
    <row r="17" spans="2:10" s="1599" customFormat="1" ht="15" hidden="1" customHeight="1">
      <c r="B17" s="1605"/>
      <c r="C17" s="868"/>
      <c r="D17" s="1615"/>
      <c r="E17" s="1615"/>
      <c r="F17" s="1601"/>
      <c r="G17" s="1601"/>
      <c r="H17" s="1600"/>
      <c r="J17" s="1620"/>
    </row>
    <row r="18" spans="2:10" s="1599" customFormat="1" ht="21" customHeight="1">
      <c r="B18" s="1605"/>
      <c r="C18" s="1614" t="s">
        <v>489</v>
      </c>
      <c r="D18" s="1613">
        <f>+D19+D40+D46+D49+D54+D56+D68+D78+D95+D127+D130</f>
        <v>1734446537000</v>
      </c>
      <c r="E18" s="1613">
        <v>1268334012808.1001</v>
      </c>
      <c r="F18" s="1601">
        <f t="shared" ref="F18:F49" si="0">+E18/D18*100</f>
        <v>73.126152103937699</v>
      </c>
      <c r="G18" s="1601">
        <f>(G19+G40+G46+G49+G54+G56+G68+G78+G95+G127+G130)/11</f>
        <v>58.449211388006688</v>
      </c>
      <c r="H18" s="1600"/>
    </row>
    <row r="19" spans="2:10" s="1599" customFormat="1" ht="21" hidden="1" customHeight="1">
      <c r="B19" s="1605"/>
      <c r="C19" s="1614" t="s">
        <v>1560</v>
      </c>
      <c r="D19" s="1613">
        <f>SUM(D20:D39)</f>
        <v>428345498495</v>
      </c>
      <c r="E19" s="1613">
        <v>329861116268.20001</v>
      </c>
      <c r="F19" s="1601">
        <f t="shared" si="0"/>
        <v>77.008190217283314</v>
      </c>
      <c r="G19" s="1601">
        <f>SUM((G20:G39))/20</f>
        <v>59.250037389285716</v>
      </c>
      <c r="H19" s="1600"/>
      <c r="J19" s="1619" t="e">
        <f>+#REF!/J13*100</f>
        <v>#REF!</v>
      </c>
    </row>
    <row r="20" spans="2:10" s="1592" customFormat="1" ht="21" hidden="1" customHeight="1">
      <c r="B20" s="1605"/>
      <c r="C20" s="1612" t="s">
        <v>2627</v>
      </c>
      <c r="D20" s="1611">
        <v>40000000000</v>
      </c>
      <c r="E20" s="1611">
        <v>37996134593</v>
      </c>
      <c r="F20" s="1601">
        <f t="shared" si="0"/>
        <v>94.990336482499998</v>
      </c>
      <c r="G20" s="1601">
        <v>100</v>
      </c>
      <c r="H20" s="1608"/>
    </row>
    <row r="21" spans="2:10" s="1592" customFormat="1" ht="21" hidden="1" customHeight="1">
      <c r="B21" s="1605"/>
      <c r="C21" s="1612" t="s">
        <v>4230</v>
      </c>
      <c r="D21" s="1611">
        <v>20000000000</v>
      </c>
      <c r="E21" s="1611">
        <v>18381719498.84</v>
      </c>
      <c r="F21" s="1601">
        <f t="shared" si="0"/>
        <v>91.908597494200009</v>
      </c>
      <c r="G21" s="1601">
        <v>95</v>
      </c>
      <c r="H21" s="1608"/>
    </row>
    <row r="22" spans="2:10" s="1592" customFormat="1" ht="21" hidden="1" customHeight="1">
      <c r="B22" s="1605"/>
      <c r="C22" s="1612" t="s">
        <v>4229</v>
      </c>
      <c r="D22" s="1611">
        <v>21650000000</v>
      </c>
      <c r="E22" s="1611">
        <v>20311387200</v>
      </c>
      <c r="F22" s="1601">
        <f t="shared" si="0"/>
        <v>93.817030946882213</v>
      </c>
      <c r="G22" s="1601">
        <v>95</v>
      </c>
      <c r="H22" s="1608"/>
    </row>
    <row r="23" spans="2:10" s="1592" customFormat="1" ht="21" hidden="1" customHeight="1">
      <c r="B23" s="1605"/>
      <c r="C23" s="1612" t="s">
        <v>2630</v>
      </c>
      <c r="D23" s="1611">
        <v>40000000000</v>
      </c>
      <c r="E23" s="1611">
        <v>29739174485.279999</v>
      </c>
      <c r="F23" s="1601">
        <f t="shared" si="0"/>
        <v>74.347936213200001</v>
      </c>
      <c r="G23" s="1601">
        <v>75</v>
      </c>
      <c r="H23" s="1608"/>
    </row>
    <row r="24" spans="2:10" s="1592" customFormat="1" ht="21" hidden="1" customHeight="1">
      <c r="B24" s="1605"/>
      <c r="C24" s="1612" t="s">
        <v>4228</v>
      </c>
      <c r="D24" s="1611">
        <v>35000000000</v>
      </c>
      <c r="E24" s="1611">
        <v>33250261725</v>
      </c>
      <c r="F24" s="1601">
        <f t="shared" si="0"/>
        <v>95.000747785714296</v>
      </c>
      <c r="G24" s="1601">
        <f>+F24</f>
        <v>95.000747785714296</v>
      </c>
      <c r="H24" s="1608"/>
    </row>
    <row r="25" spans="2:10" s="1592" customFormat="1" ht="21" hidden="1" customHeight="1">
      <c r="B25" s="1605"/>
      <c r="C25" s="1612" t="s">
        <v>4227</v>
      </c>
      <c r="D25" s="1611">
        <v>20000000000</v>
      </c>
      <c r="E25" s="1611">
        <v>17578523218.029999</v>
      </c>
      <c r="F25" s="1601">
        <f t="shared" si="0"/>
        <v>87.892616090149986</v>
      </c>
      <c r="G25" s="1601">
        <v>90</v>
      </c>
      <c r="H25" s="1608"/>
    </row>
    <row r="26" spans="2:10" s="1592" customFormat="1" ht="21" hidden="1" customHeight="1">
      <c r="B26" s="1605"/>
      <c r="C26" s="1612" t="s">
        <v>4226</v>
      </c>
      <c r="D26" s="1611">
        <v>6907468000</v>
      </c>
      <c r="E26" s="1611">
        <v>2068702322.1300001</v>
      </c>
      <c r="F26" s="1601">
        <f t="shared" si="0"/>
        <v>29.948778946641518</v>
      </c>
      <c r="G26" s="1601">
        <v>30</v>
      </c>
      <c r="H26" s="1608"/>
    </row>
    <row r="27" spans="2:10" s="1592" customFormat="1" ht="21" hidden="1" customHeight="1">
      <c r="B27" s="1605"/>
      <c r="C27" s="1612" t="s">
        <v>4225</v>
      </c>
      <c r="D27" s="1611">
        <v>200985188495</v>
      </c>
      <c r="E27" s="1611">
        <v>153651468520.17999</v>
      </c>
      <c r="F27" s="1601">
        <f t="shared" si="0"/>
        <v>76.449150144216944</v>
      </c>
      <c r="G27" s="1601">
        <v>80</v>
      </c>
      <c r="H27" s="1608"/>
    </row>
    <row r="28" spans="2:10" s="1592" customFormat="1" ht="21" hidden="1" customHeight="1">
      <c r="B28" s="1605"/>
      <c r="C28" s="1612" t="s">
        <v>2636</v>
      </c>
      <c r="D28" s="1611">
        <v>3671072000</v>
      </c>
      <c r="E28" s="1611">
        <v>1770050310.5</v>
      </c>
      <c r="F28" s="1601">
        <f t="shared" si="0"/>
        <v>48.216169840853027</v>
      </c>
      <c r="G28" s="1601">
        <v>50</v>
      </c>
      <c r="H28" s="1608"/>
    </row>
    <row r="29" spans="2:10" s="1592" customFormat="1" ht="21" hidden="1" customHeight="1">
      <c r="B29" s="1605"/>
      <c r="C29" s="1612" t="s">
        <v>2637</v>
      </c>
      <c r="D29" s="1611">
        <v>3721072000</v>
      </c>
      <c r="E29" s="1611">
        <v>1620870931.04</v>
      </c>
      <c r="F29" s="1601">
        <f t="shared" si="0"/>
        <v>43.559246664402082</v>
      </c>
      <c r="G29" s="1601">
        <v>45</v>
      </c>
      <c r="H29" s="1608"/>
    </row>
    <row r="30" spans="2:10" s="1592" customFormat="1" ht="21" hidden="1" customHeight="1">
      <c r="B30" s="1605"/>
      <c r="C30" s="1612" t="s">
        <v>2638</v>
      </c>
      <c r="D30" s="1611">
        <v>3821232000</v>
      </c>
      <c r="E30" s="1611">
        <v>1727706000</v>
      </c>
      <c r="F30" s="1601">
        <f t="shared" si="0"/>
        <v>45.213323870416659</v>
      </c>
      <c r="G30" s="1601">
        <v>50</v>
      </c>
      <c r="H30" s="1608"/>
    </row>
    <row r="31" spans="2:10" s="1592" customFormat="1" ht="21" hidden="1" customHeight="1">
      <c r="B31" s="1605"/>
      <c r="C31" s="1612" t="s">
        <v>2639</v>
      </c>
      <c r="D31" s="1611">
        <v>634708000</v>
      </c>
      <c r="E31" s="1611">
        <v>500000000</v>
      </c>
      <c r="F31" s="1601">
        <f t="shared" si="0"/>
        <v>78.776382210402261</v>
      </c>
      <c r="G31" s="1601">
        <v>80</v>
      </c>
      <c r="H31" s="1608"/>
    </row>
    <row r="32" spans="2:10" s="1592" customFormat="1" ht="21" hidden="1" customHeight="1">
      <c r="B32" s="1605"/>
      <c r="C32" s="1612" t="s">
        <v>2640</v>
      </c>
      <c r="D32" s="1611">
        <v>3821072000</v>
      </c>
      <c r="E32" s="1611">
        <v>0</v>
      </c>
      <c r="F32" s="1601">
        <f t="shared" si="0"/>
        <v>0</v>
      </c>
      <c r="G32" s="1601">
        <f>+F32</f>
        <v>0</v>
      </c>
      <c r="H32" s="1608"/>
    </row>
    <row r="33" spans="2:8" s="1592" customFormat="1" ht="21" hidden="1" customHeight="1">
      <c r="B33" s="1605"/>
      <c r="C33" s="1612" t="s">
        <v>2641</v>
      </c>
      <c r="D33" s="1611">
        <v>3745000000</v>
      </c>
      <c r="E33" s="1611">
        <v>1771001353.0799999</v>
      </c>
      <c r="F33" s="1601">
        <f t="shared" si="0"/>
        <v>47.289755756475301</v>
      </c>
      <c r="G33" s="1601">
        <v>50</v>
      </c>
      <c r="H33" s="1608"/>
    </row>
    <row r="34" spans="2:8" s="1592" customFormat="1" ht="21" hidden="1" customHeight="1">
      <c r="B34" s="1605"/>
      <c r="C34" s="1612" t="s">
        <v>4224</v>
      </c>
      <c r="D34" s="1611">
        <v>1818090000</v>
      </c>
      <c r="E34" s="1611">
        <v>360060633.38999999</v>
      </c>
      <c r="F34" s="1601">
        <f t="shared" si="0"/>
        <v>19.804334955365245</v>
      </c>
      <c r="G34" s="1601">
        <v>20</v>
      </c>
      <c r="H34" s="1608"/>
    </row>
    <row r="35" spans="2:8" s="1592" customFormat="1" ht="21" hidden="1" customHeight="1">
      <c r="B35" s="1605"/>
      <c r="C35" s="1612" t="s">
        <v>2643</v>
      </c>
      <c r="D35" s="1611">
        <v>5271072000</v>
      </c>
      <c r="E35" s="1611">
        <v>5000000000</v>
      </c>
      <c r="F35" s="1601">
        <f t="shared" si="0"/>
        <v>94.857364877580878</v>
      </c>
      <c r="G35" s="1601">
        <v>100</v>
      </c>
      <c r="H35" s="1608"/>
    </row>
    <row r="36" spans="2:8" s="1592" customFormat="1" ht="21" hidden="1" customHeight="1">
      <c r="B36" s="1605"/>
      <c r="C36" s="1612" t="s">
        <v>4223</v>
      </c>
      <c r="D36" s="1611">
        <v>5271072000</v>
      </c>
      <c r="E36" s="1611">
        <v>2549041949.9299998</v>
      </c>
      <c r="F36" s="1601">
        <f t="shared" si="0"/>
        <v>48.359080466554047</v>
      </c>
      <c r="G36" s="1601">
        <v>50</v>
      </c>
      <c r="H36" s="1608"/>
    </row>
    <row r="37" spans="2:8" s="1592" customFormat="1" ht="21" hidden="1" customHeight="1">
      <c r="B37" s="1605"/>
      <c r="C37" s="1612" t="s">
        <v>4222</v>
      </c>
      <c r="D37" s="1611">
        <v>626308000</v>
      </c>
      <c r="E37" s="1611">
        <v>289052677.80000001</v>
      </c>
      <c r="F37" s="1601">
        <f t="shared" si="0"/>
        <v>46.151841873327506</v>
      </c>
      <c r="G37" s="1601">
        <v>50</v>
      </c>
      <c r="H37" s="1608"/>
    </row>
    <row r="38" spans="2:8" s="1592" customFormat="1" ht="21" hidden="1" customHeight="1">
      <c r="B38" s="1605"/>
      <c r="C38" s="1612" t="s">
        <v>2646</v>
      </c>
      <c r="D38" s="1611">
        <v>4326072000</v>
      </c>
      <c r="E38" s="1611">
        <v>1295960850</v>
      </c>
      <c r="F38" s="1601">
        <f t="shared" si="0"/>
        <v>29.956987539735813</v>
      </c>
      <c r="G38" s="1601">
        <v>30</v>
      </c>
      <c r="H38" s="1608"/>
    </row>
    <row r="39" spans="2:8" s="1592" customFormat="1" ht="21" hidden="1" customHeight="1">
      <c r="B39" s="1605"/>
      <c r="C39" s="1612" t="s">
        <v>2648</v>
      </c>
      <c r="D39" s="1611">
        <v>7076072000</v>
      </c>
      <c r="E39" s="1611">
        <v>0</v>
      </c>
      <c r="F39" s="1601">
        <f t="shared" si="0"/>
        <v>0</v>
      </c>
      <c r="G39" s="1601">
        <f>+F39</f>
        <v>0</v>
      </c>
      <c r="H39" s="1608"/>
    </row>
    <row r="40" spans="2:8" s="1599" customFormat="1" ht="21" hidden="1" customHeight="1">
      <c r="B40" s="1605"/>
      <c r="C40" s="1614" t="s">
        <v>2656</v>
      </c>
      <c r="D40" s="1613">
        <v>58272566000</v>
      </c>
      <c r="E40" s="1613">
        <v>18569772348.900002</v>
      </c>
      <c r="F40" s="1601">
        <f t="shared" si="0"/>
        <v>31.867092224667093</v>
      </c>
      <c r="G40" s="1601">
        <f>SUM((G41:G45))/5</f>
        <v>28</v>
      </c>
      <c r="H40" s="1600"/>
    </row>
    <row r="41" spans="2:8" s="1592" customFormat="1" ht="21" hidden="1" customHeight="1">
      <c r="B41" s="1605"/>
      <c r="C41" s="1612" t="s">
        <v>4221</v>
      </c>
      <c r="D41" s="1611">
        <v>2200000000</v>
      </c>
      <c r="E41" s="1611">
        <v>961880000</v>
      </c>
      <c r="F41" s="1601">
        <f t="shared" si="0"/>
        <v>43.721818181818186</v>
      </c>
      <c r="G41" s="1601">
        <v>50</v>
      </c>
      <c r="H41" s="1608"/>
    </row>
    <row r="42" spans="2:8" s="1592" customFormat="1" ht="21" hidden="1" customHeight="1">
      <c r="B42" s="1605"/>
      <c r="C42" s="1612" t="s">
        <v>4220</v>
      </c>
      <c r="D42" s="1611">
        <v>49107296000</v>
      </c>
      <c r="E42" s="1611">
        <v>16513723517.25</v>
      </c>
      <c r="F42" s="1601">
        <f t="shared" si="0"/>
        <v>33.627841201539582</v>
      </c>
      <c r="G42" s="1601">
        <v>35</v>
      </c>
      <c r="H42" s="1608"/>
    </row>
    <row r="43" spans="2:8" s="1592" customFormat="1" ht="21" hidden="1" customHeight="1">
      <c r="B43" s="1605"/>
      <c r="C43" s="1612" t="s">
        <v>2657</v>
      </c>
      <c r="D43" s="1611">
        <v>2255090000</v>
      </c>
      <c r="E43" s="1611">
        <v>759266831.64999998</v>
      </c>
      <c r="F43" s="1601">
        <f t="shared" si="0"/>
        <v>33.669025699639484</v>
      </c>
      <c r="G43" s="1601">
        <v>35</v>
      </c>
      <c r="H43" s="1608"/>
    </row>
    <row r="44" spans="2:8" s="1592" customFormat="1" ht="21" hidden="1" customHeight="1">
      <c r="B44" s="1605"/>
      <c r="C44" s="1612" t="s">
        <v>4219</v>
      </c>
      <c r="D44" s="1611">
        <v>2355090000</v>
      </c>
      <c r="E44" s="1611">
        <v>184952000</v>
      </c>
      <c r="F44" s="1601">
        <f t="shared" si="0"/>
        <v>7.8532879847479293</v>
      </c>
      <c r="G44" s="1601">
        <v>10</v>
      </c>
      <c r="H44" s="1608"/>
    </row>
    <row r="45" spans="2:8" s="1592" customFormat="1" ht="21" hidden="1" customHeight="1">
      <c r="B45" s="1605"/>
      <c r="C45" s="1612" t="s">
        <v>4218</v>
      </c>
      <c r="D45" s="1611">
        <v>2355090000</v>
      </c>
      <c r="E45" s="1611">
        <v>149950000</v>
      </c>
      <c r="F45" s="1601">
        <f t="shared" si="0"/>
        <v>6.3670602821972828</v>
      </c>
      <c r="G45" s="1601">
        <v>10</v>
      </c>
      <c r="H45" s="1608"/>
    </row>
    <row r="46" spans="2:8" s="1599" customFormat="1" ht="21" hidden="1" customHeight="1">
      <c r="B46" s="1605"/>
      <c r="C46" s="1614" t="s">
        <v>2658</v>
      </c>
      <c r="D46" s="1613">
        <f>+D47+D48</f>
        <v>39873638000</v>
      </c>
      <c r="E46" s="1613">
        <v>33723731156.330002</v>
      </c>
      <c r="F46" s="1601">
        <f t="shared" si="0"/>
        <v>84.576509312568874</v>
      </c>
      <c r="G46" s="1601">
        <f>SUM((G47:G48))/2</f>
        <v>47.5</v>
      </c>
      <c r="H46" s="1600"/>
    </row>
    <row r="47" spans="2:8" s="1592" customFormat="1" ht="21" hidden="1" customHeight="1">
      <c r="B47" s="1605"/>
      <c r="C47" s="1612" t="s">
        <v>4217</v>
      </c>
      <c r="D47" s="1611">
        <v>38348900000</v>
      </c>
      <c r="E47" s="1611">
        <v>33662382156.330002</v>
      </c>
      <c r="F47" s="1601">
        <f t="shared" si="0"/>
        <v>87.779263958888009</v>
      </c>
      <c r="G47" s="1601">
        <v>90</v>
      </c>
      <c r="H47" s="1608"/>
    </row>
    <row r="48" spans="2:8" s="1592" customFormat="1" ht="21" hidden="1" customHeight="1">
      <c r="B48" s="1605"/>
      <c r="C48" s="1612" t="s">
        <v>4216</v>
      </c>
      <c r="D48" s="1611">
        <v>1524738000</v>
      </c>
      <c r="E48" s="1611">
        <v>61349000</v>
      </c>
      <c r="F48" s="1601">
        <f t="shared" si="0"/>
        <v>4.0235765095380325</v>
      </c>
      <c r="G48" s="1601">
        <v>5</v>
      </c>
      <c r="H48" s="1608"/>
    </row>
    <row r="49" spans="2:8" s="1599" customFormat="1" ht="21" hidden="1" customHeight="1">
      <c r="B49" s="1605"/>
      <c r="C49" s="1614" t="s">
        <v>2660</v>
      </c>
      <c r="D49" s="1613">
        <f>SUM(D50:D53)</f>
        <v>70599634000</v>
      </c>
      <c r="E49" s="1613">
        <v>14353088537.059999</v>
      </c>
      <c r="F49" s="1601">
        <f t="shared" si="0"/>
        <v>20.330259130040247</v>
      </c>
      <c r="G49" s="1601">
        <f>SUM((G50:G53))/4</f>
        <v>60</v>
      </c>
      <c r="H49" s="1600"/>
    </row>
    <row r="50" spans="2:8" s="1592" customFormat="1" ht="21" hidden="1" customHeight="1">
      <c r="B50" s="1605"/>
      <c r="C50" s="1612" t="s">
        <v>4215</v>
      </c>
      <c r="D50" s="1611">
        <v>10000000000</v>
      </c>
      <c r="E50" s="1611">
        <v>9555735000</v>
      </c>
      <c r="F50" s="1601">
        <f t="shared" ref="F50:F81" si="1">+E50/D50*100</f>
        <v>95.55735</v>
      </c>
      <c r="G50" s="1601">
        <v>100</v>
      </c>
      <c r="H50" s="1608"/>
    </row>
    <row r="51" spans="2:8" s="1592" customFormat="1" ht="21" hidden="1" customHeight="1">
      <c r="B51" s="1605"/>
      <c r="C51" s="1612" t="s">
        <v>2661</v>
      </c>
      <c r="D51" s="1611">
        <v>57551236000</v>
      </c>
      <c r="E51" s="1611">
        <v>3124419433</v>
      </c>
      <c r="F51" s="1601">
        <f t="shared" si="1"/>
        <v>5.4289354150447782</v>
      </c>
      <c r="G51" s="1601">
        <v>10</v>
      </c>
      <c r="H51" s="1608"/>
    </row>
    <row r="52" spans="2:8" s="1592" customFormat="1" ht="21" hidden="1" customHeight="1">
      <c r="B52" s="1605"/>
      <c r="C52" s="1612" t="s">
        <v>4214</v>
      </c>
      <c r="D52" s="1611">
        <v>2420090000</v>
      </c>
      <c r="E52" s="1611">
        <v>1175936872.96</v>
      </c>
      <c r="F52" s="1601">
        <f t="shared" si="1"/>
        <v>48.590625677557448</v>
      </c>
      <c r="G52" s="1601">
        <v>50</v>
      </c>
      <c r="H52" s="1608"/>
    </row>
    <row r="53" spans="2:8" s="1592" customFormat="1" ht="21" hidden="1" customHeight="1">
      <c r="B53" s="1605"/>
      <c r="C53" s="1612" t="s">
        <v>2663</v>
      </c>
      <c r="D53" s="1611">
        <v>628308000</v>
      </c>
      <c r="E53" s="1611">
        <v>496997231.10000002</v>
      </c>
      <c r="F53" s="1601">
        <f t="shared" si="1"/>
        <v>79.100891776007956</v>
      </c>
      <c r="G53" s="1601">
        <v>80</v>
      </c>
      <c r="H53" s="1608"/>
    </row>
    <row r="54" spans="2:8" s="1599" customFormat="1" ht="21" hidden="1" customHeight="1">
      <c r="B54" s="1605"/>
      <c r="C54" s="1614" t="s">
        <v>2664</v>
      </c>
      <c r="D54" s="1613">
        <f>+D55</f>
        <v>986320000</v>
      </c>
      <c r="E54" s="1613">
        <v>590009400</v>
      </c>
      <c r="F54" s="1601">
        <f t="shared" si="1"/>
        <v>59.819267580501254</v>
      </c>
      <c r="G54" s="1601">
        <v>60</v>
      </c>
      <c r="H54" s="1600"/>
    </row>
    <row r="55" spans="2:8" s="1592" customFormat="1" ht="21" hidden="1" customHeight="1">
      <c r="B55" s="1605"/>
      <c r="C55" s="1612" t="s">
        <v>4213</v>
      </c>
      <c r="D55" s="1611">
        <v>986320000</v>
      </c>
      <c r="E55" s="1611">
        <v>590009400</v>
      </c>
      <c r="F55" s="1601">
        <f t="shared" si="1"/>
        <v>59.819267580501254</v>
      </c>
      <c r="G55" s="1601">
        <v>60</v>
      </c>
      <c r="H55" s="1608"/>
    </row>
    <row r="56" spans="2:8" s="1599" customFormat="1" ht="21" hidden="1" customHeight="1">
      <c r="B56" s="1605"/>
      <c r="C56" s="1614" t="s">
        <v>879</v>
      </c>
      <c r="D56" s="1613">
        <f>SUM(D57:D67)</f>
        <v>38713976000</v>
      </c>
      <c r="E56" s="1613">
        <v>14996901034.530001</v>
      </c>
      <c r="F56" s="1601">
        <f t="shared" si="1"/>
        <v>38.737692647559633</v>
      </c>
      <c r="G56" s="1601">
        <f>SUM((G57:G67))/11</f>
        <v>32.545454545454547</v>
      </c>
      <c r="H56" s="1600"/>
    </row>
    <row r="57" spans="2:8" s="1592" customFormat="1" ht="21" hidden="1" customHeight="1">
      <c r="B57" s="1605"/>
      <c r="C57" s="1612" t="s">
        <v>2667</v>
      </c>
      <c r="D57" s="1611">
        <v>8263856000</v>
      </c>
      <c r="E57" s="1611">
        <v>1889901146.3</v>
      </c>
      <c r="F57" s="1601">
        <f t="shared" si="1"/>
        <v>22.869483039152666</v>
      </c>
      <c r="G57" s="1601">
        <v>30</v>
      </c>
      <c r="H57" s="1608"/>
    </row>
    <row r="58" spans="2:8" s="1592" customFormat="1" ht="21" hidden="1" customHeight="1">
      <c r="B58" s="1605"/>
      <c r="C58" s="1612" t="s">
        <v>4212</v>
      </c>
      <c r="D58" s="1611">
        <v>9444644000</v>
      </c>
      <c r="E58" s="1611">
        <v>6563653716.46</v>
      </c>
      <c r="F58" s="1601">
        <f t="shared" si="1"/>
        <v>69.496041528510773</v>
      </c>
      <c r="G58" s="1601">
        <v>70</v>
      </c>
      <c r="H58" s="1608"/>
    </row>
    <row r="59" spans="2:8" s="1592" customFormat="1" ht="21" hidden="1" customHeight="1">
      <c r="B59" s="1605"/>
      <c r="C59" s="1612" t="s">
        <v>4211</v>
      </c>
      <c r="D59" s="1611">
        <v>4288096000</v>
      </c>
      <c r="E59" s="1611">
        <v>827382842.03999996</v>
      </c>
      <c r="F59" s="1601">
        <f t="shared" si="1"/>
        <v>19.294876841376684</v>
      </c>
      <c r="G59" s="1601">
        <v>20</v>
      </c>
      <c r="H59" s="1608"/>
    </row>
    <row r="60" spans="2:8" s="1592" customFormat="1" ht="21" hidden="1" customHeight="1">
      <c r="B60" s="1605"/>
      <c r="C60" s="1612" t="s">
        <v>4210</v>
      </c>
      <c r="D60" s="1611">
        <v>1993448000</v>
      </c>
      <c r="E60" s="1611">
        <v>1067047956</v>
      </c>
      <c r="F60" s="1601">
        <f t="shared" si="1"/>
        <v>53.527754724477383</v>
      </c>
      <c r="G60" s="1601">
        <v>55</v>
      </c>
      <c r="H60" s="1608"/>
    </row>
    <row r="61" spans="2:8" s="1592" customFormat="1" ht="21" hidden="1" customHeight="1">
      <c r="B61" s="1605"/>
      <c r="C61" s="1612" t="s">
        <v>4209</v>
      </c>
      <c r="D61" s="1611">
        <v>5942524000</v>
      </c>
      <c r="E61" s="1611">
        <v>3631379000</v>
      </c>
      <c r="F61" s="1601">
        <f t="shared" si="1"/>
        <v>61.108360689834825</v>
      </c>
      <c r="G61" s="1601">
        <v>65</v>
      </c>
      <c r="H61" s="1608"/>
    </row>
    <row r="62" spans="2:8" s="1592" customFormat="1" ht="21" hidden="1" customHeight="1">
      <c r="B62" s="1605"/>
      <c r="C62" s="1612" t="s">
        <v>2668</v>
      </c>
      <c r="D62" s="1611">
        <v>568308000</v>
      </c>
      <c r="E62" s="1611">
        <v>213548465.52000001</v>
      </c>
      <c r="F62" s="1601">
        <f t="shared" si="1"/>
        <v>37.576185012352461</v>
      </c>
      <c r="G62" s="1601">
        <v>40</v>
      </c>
      <c r="H62" s="1608"/>
    </row>
    <row r="63" spans="2:8" s="1592" customFormat="1" ht="21" hidden="1" customHeight="1">
      <c r="B63" s="1605"/>
      <c r="C63" s="1612" t="s">
        <v>2669</v>
      </c>
      <c r="D63" s="1611">
        <v>1352436000</v>
      </c>
      <c r="E63" s="1611">
        <v>16864000</v>
      </c>
      <c r="F63" s="1601">
        <f t="shared" si="1"/>
        <v>1.2469351599632073</v>
      </c>
      <c r="G63" s="1601">
        <v>2</v>
      </c>
      <c r="H63" s="1608"/>
    </row>
    <row r="64" spans="2:8" s="1592" customFormat="1" ht="21" hidden="1" customHeight="1">
      <c r="B64" s="1605"/>
      <c r="C64" s="1612" t="s">
        <v>2670</v>
      </c>
      <c r="D64" s="1611">
        <v>1352108000</v>
      </c>
      <c r="E64" s="1611">
        <v>0</v>
      </c>
      <c r="F64" s="1601">
        <f t="shared" si="1"/>
        <v>0</v>
      </c>
      <c r="G64" s="1601">
        <f>+F64</f>
        <v>0</v>
      </c>
      <c r="H64" s="1608"/>
    </row>
    <row r="65" spans="2:8" s="1592" customFormat="1" ht="21" hidden="1" customHeight="1">
      <c r="B65" s="1605"/>
      <c r="C65" s="1612" t="s">
        <v>2671</v>
      </c>
      <c r="D65" s="1611">
        <v>3361072000</v>
      </c>
      <c r="E65" s="1611">
        <v>25000000</v>
      </c>
      <c r="F65" s="1601">
        <f t="shared" si="1"/>
        <v>0.74381030813978399</v>
      </c>
      <c r="G65" s="1601">
        <v>1</v>
      </c>
      <c r="H65" s="1608"/>
    </row>
    <row r="66" spans="2:8" s="1592" customFormat="1" ht="21" hidden="1" customHeight="1">
      <c r="B66" s="1605"/>
      <c r="C66" s="1612" t="s">
        <v>4208</v>
      </c>
      <c r="D66" s="1611">
        <v>1578976000</v>
      </c>
      <c r="E66" s="1611">
        <v>572038000</v>
      </c>
      <c r="F66" s="1601">
        <f t="shared" si="1"/>
        <v>36.228416391382765</v>
      </c>
      <c r="G66" s="1601">
        <v>40</v>
      </c>
      <c r="H66" s="1608"/>
    </row>
    <row r="67" spans="2:8" s="1592" customFormat="1" ht="21" hidden="1" customHeight="1">
      <c r="B67" s="1605"/>
      <c r="C67" s="1612" t="s">
        <v>2672</v>
      </c>
      <c r="D67" s="1611">
        <v>568508000</v>
      </c>
      <c r="E67" s="1611">
        <v>190085908.21000001</v>
      </c>
      <c r="F67" s="1601">
        <f t="shared" si="1"/>
        <v>33.435924949165184</v>
      </c>
      <c r="G67" s="1601">
        <v>35</v>
      </c>
      <c r="H67" s="1608"/>
    </row>
    <row r="68" spans="2:8" s="1599" customFormat="1" ht="21" hidden="1" customHeight="1">
      <c r="B68" s="1605"/>
      <c r="C68" s="1614" t="s">
        <v>490</v>
      </c>
      <c r="D68" s="1613">
        <f>SUM(D69:D77)</f>
        <v>107792112000</v>
      </c>
      <c r="E68" s="1613">
        <v>59106259169.940002</v>
      </c>
      <c r="F68" s="1601">
        <f t="shared" si="1"/>
        <v>54.833566272400347</v>
      </c>
      <c r="G68" s="1601">
        <f>SUM((G69:G77))/9</f>
        <v>71.666666666666671</v>
      </c>
      <c r="H68" s="1600"/>
    </row>
    <row r="69" spans="2:8" s="1592" customFormat="1" ht="21" hidden="1" customHeight="1">
      <c r="B69" s="1605"/>
      <c r="C69" s="1612" t="s">
        <v>4207</v>
      </c>
      <c r="D69" s="1611">
        <v>13454928000</v>
      </c>
      <c r="E69" s="1611">
        <v>11517515869.07</v>
      </c>
      <c r="F69" s="1601">
        <f t="shared" si="1"/>
        <v>85.600724649511321</v>
      </c>
      <c r="G69" s="1601">
        <v>90</v>
      </c>
      <c r="H69" s="1608"/>
    </row>
    <row r="70" spans="2:8" s="1592" customFormat="1" ht="21" hidden="1" customHeight="1">
      <c r="B70" s="1605"/>
      <c r="C70" s="1612" t="s">
        <v>4206</v>
      </c>
      <c r="D70" s="1611">
        <v>1749320000</v>
      </c>
      <c r="E70" s="1611">
        <v>1063191300</v>
      </c>
      <c r="F70" s="1601">
        <f t="shared" si="1"/>
        <v>60.777404934488835</v>
      </c>
      <c r="G70" s="1601">
        <v>60</v>
      </c>
      <c r="H70" s="1608"/>
    </row>
    <row r="71" spans="2:8" s="1592" customFormat="1" ht="21" hidden="1" customHeight="1">
      <c r="B71" s="1605"/>
      <c r="C71" s="1612" t="s">
        <v>4205</v>
      </c>
      <c r="D71" s="1611">
        <v>63922684000</v>
      </c>
      <c r="E71" s="1611">
        <v>23499460605.150002</v>
      </c>
      <c r="F71" s="1601">
        <f t="shared" si="1"/>
        <v>36.762318373787309</v>
      </c>
      <c r="G71" s="1601">
        <v>40</v>
      </c>
      <c r="H71" s="1608"/>
    </row>
    <row r="72" spans="2:8" s="1592" customFormat="1" ht="21" hidden="1" customHeight="1">
      <c r="B72" s="1605"/>
      <c r="C72" s="1612" t="s">
        <v>4204</v>
      </c>
      <c r="D72" s="1611">
        <v>10000000000</v>
      </c>
      <c r="E72" s="1611">
        <v>8928064960.2700005</v>
      </c>
      <c r="F72" s="1601">
        <f t="shared" si="1"/>
        <v>89.280649602699995</v>
      </c>
      <c r="G72" s="1601">
        <v>90</v>
      </c>
      <c r="H72" s="1608"/>
    </row>
    <row r="73" spans="2:8" s="1592" customFormat="1" ht="21" hidden="1" customHeight="1">
      <c r="B73" s="1605"/>
      <c r="C73" s="1612" t="s">
        <v>4203</v>
      </c>
      <c r="D73" s="1611">
        <v>5000000000</v>
      </c>
      <c r="E73" s="1611">
        <v>4622628400</v>
      </c>
      <c r="F73" s="1601">
        <f t="shared" si="1"/>
        <v>92.452567999999999</v>
      </c>
      <c r="G73" s="1601">
        <v>95</v>
      </c>
      <c r="H73" s="1608"/>
    </row>
    <row r="74" spans="2:8" s="1592" customFormat="1" ht="21" hidden="1" customHeight="1">
      <c r="B74" s="1605"/>
      <c r="C74" s="1612" t="s">
        <v>4202</v>
      </c>
      <c r="D74" s="1611">
        <v>1000000000</v>
      </c>
      <c r="E74" s="1611">
        <v>700180100</v>
      </c>
      <c r="F74" s="1601">
        <f t="shared" si="1"/>
        <v>70.018010000000004</v>
      </c>
      <c r="G74" s="1601">
        <v>70</v>
      </c>
      <c r="H74" s="1608"/>
    </row>
    <row r="75" spans="2:8" s="1592" customFormat="1" ht="21" hidden="1" customHeight="1">
      <c r="B75" s="1605"/>
      <c r="C75" s="1612" t="s">
        <v>4201</v>
      </c>
      <c r="D75" s="1611">
        <v>8000000000</v>
      </c>
      <c r="E75" s="1611">
        <v>6908098526.1000004</v>
      </c>
      <c r="F75" s="1601">
        <f t="shared" si="1"/>
        <v>86.351231576250015</v>
      </c>
      <c r="G75" s="1601">
        <v>90</v>
      </c>
      <c r="H75" s="1608"/>
    </row>
    <row r="76" spans="2:8" s="1592" customFormat="1" ht="21" hidden="1" customHeight="1">
      <c r="B76" s="1605"/>
      <c r="C76" s="1612" t="s">
        <v>4200</v>
      </c>
      <c r="D76" s="1611">
        <v>3408072000</v>
      </c>
      <c r="E76" s="1611">
        <v>874519409.35000002</v>
      </c>
      <c r="F76" s="1601">
        <f t="shared" si="1"/>
        <v>25.660238673067941</v>
      </c>
      <c r="G76" s="1601">
        <v>30</v>
      </c>
      <c r="H76" s="1608"/>
    </row>
    <row r="77" spans="2:8" s="1592" customFormat="1" ht="21" hidden="1" customHeight="1">
      <c r="B77" s="1605"/>
      <c r="C77" s="1612" t="s">
        <v>4199</v>
      </c>
      <c r="D77" s="1611">
        <v>1257108000</v>
      </c>
      <c r="E77" s="1611">
        <v>992600000</v>
      </c>
      <c r="F77" s="1601">
        <f t="shared" si="1"/>
        <v>78.959007499753397</v>
      </c>
      <c r="G77" s="1601">
        <v>80</v>
      </c>
      <c r="H77" s="1608"/>
    </row>
    <row r="78" spans="2:8" s="1599" customFormat="1" ht="21" hidden="1" customHeight="1">
      <c r="B78" s="1605"/>
      <c r="C78" s="1614" t="s">
        <v>2675</v>
      </c>
      <c r="D78" s="1613">
        <f>SUM(D79:D94)</f>
        <v>303115286505</v>
      </c>
      <c r="E78" s="1613">
        <v>244978616769.32001</v>
      </c>
      <c r="F78" s="1601">
        <f t="shared" si="1"/>
        <v>80.820277853350362</v>
      </c>
      <c r="G78" s="1601">
        <f>SUM((G79:G94))/16</f>
        <v>52.3125</v>
      </c>
      <c r="H78" s="1600"/>
    </row>
    <row r="79" spans="2:8" s="1592" customFormat="1" ht="21" hidden="1" customHeight="1">
      <c r="B79" s="1605"/>
      <c r="C79" s="1612" t="s">
        <v>4198</v>
      </c>
      <c r="D79" s="1611">
        <v>10000000000</v>
      </c>
      <c r="E79" s="1611">
        <v>9183736564.3899994</v>
      </c>
      <c r="F79" s="1601">
        <f t="shared" si="1"/>
        <v>91.8373656439</v>
      </c>
      <c r="G79" s="1601">
        <v>90</v>
      </c>
      <c r="H79" s="1608"/>
    </row>
    <row r="80" spans="2:8" s="1592" customFormat="1" ht="21" hidden="1" customHeight="1">
      <c r="B80" s="1605"/>
      <c r="C80" s="1612" t="s">
        <v>4197</v>
      </c>
      <c r="D80" s="1611">
        <v>80197772000</v>
      </c>
      <c r="E80" s="1611">
        <v>79020598909.919998</v>
      </c>
      <c r="F80" s="1601">
        <f t="shared" si="1"/>
        <v>98.532162352240903</v>
      </c>
      <c r="G80" s="1601">
        <v>100</v>
      </c>
      <c r="H80" s="1608"/>
    </row>
    <row r="81" spans="2:10" s="1592" customFormat="1" ht="21" hidden="1" customHeight="1">
      <c r="B81" s="1605"/>
      <c r="C81" s="1612" t="s">
        <v>4196</v>
      </c>
      <c r="D81" s="1611">
        <v>1498604000</v>
      </c>
      <c r="E81" s="1611">
        <v>703557535</v>
      </c>
      <c r="F81" s="1601">
        <f t="shared" si="1"/>
        <v>46.947528166213353</v>
      </c>
      <c r="G81" s="1601">
        <v>50</v>
      </c>
      <c r="H81" s="1608"/>
    </row>
    <row r="82" spans="2:10" s="1592" customFormat="1" ht="21" hidden="1" customHeight="1">
      <c r="B82" s="1605"/>
      <c r="C82" s="1612" t="s">
        <v>4195</v>
      </c>
      <c r="D82" s="1611">
        <v>4000000000</v>
      </c>
      <c r="E82" s="1611">
        <v>2637086668.5700002</v>
      </c>
      <c r="F82" s="1601">
        <f t="shared" ref="F82:F103" si="2">+E82/D82*100</f>
        <v>65.927166714250006</v>
      </c>
      <c r="G82" s="1601">
        <v>70</v>
      </c>
      <c r="H82" s="1608"/>
    </row>
    <row r="83" spans="2:10" s="1592" customFormat="1" ht="21" hidden="1" customHeight="1">
      <c r="B83" s="1605"/>
      <c r="C83" s="1612" t="s">
        <v>2677</v>
      </c>
      <c r="D83" s="1611">
        <v>26352296000</v>
      </c>
      <c r="E83" s="1611">
        <v>15513959336.93</v>
      </c>
      <c r="F83" s="1601">
        <f t="shared" si="2"/>
        <v>58.871376281330477</v>
      </c>
      <c r="G83" s="1601">
        <v>60</v>
      </c>
      <c r="H83" s="1608"/>
    </row>
    <row r="84" spans="2:10" s="1592" customFormat="1" ht="21" hidden="1" customHeight="1">
      <c r="B84" s="1605"/>
      <c r="C84" s="1612" t="s">
        <v>4194</v>
      </c>
      <c r="D84" s="1611">
        <v>42858452000</v>
      </c>
      <c r="E84" s="1611">
        <v>28763374040.940002</v>
      </c>
      <c r="F84" s="1601">
        <f t="shared" si="2"/>
        <v>67.112489366018167</v>
      </c>
      <c r="G84" s="1601">
        <v>70</v>
      </c>
      <c r="H84" s="1608"/>
    </row>
    <row r="85" spans="2:10" s="1592" customFormat="1" ht="21" hidden="1" customHeight="1">
      <c r="B85" s="1605"/>
      <c r="C85" s="1612" t="s">
        <v>4193</v>
      </c>
      <c r="D85" s="1611">
        <v>25000000000</v>
      </c>
      <c r="E85" s="1611">
        <v>17723992001.939999</v>
      </c>
      <c r="F85" s="1601">
        <f t="shared" si="2"/>
        <v>70.89596800775999</v>
      </c>
      <c r="G85" s="1601">
        <v>70</v>
      </c>
      <c r="H85" s="1608"/>
    </row>
    <row r="86" spans="2:10" s="1592" customFormat="1" ht="21" hidden="1" customHeight="1">
      <c r="B86" s="1605"/>
      <c r="C86" s="1612" t="s">
        <v>4192</v>
      </c>
      <c r="D86" s="1611">
        <v>86136868505</v>
      </c>
      <c r="E86" s="1611">
        <v>83725073634.020004</v>
      </c>
      <c r="F86" s="1601">
        <f t="shared" si="2"/>
        <v>97.20004347402066</v>
      </c>
      <c r="G86" s="1601">
        <v>100</v>
      </c>
      <c r="H86" s="1608"/>
    </row>
    <row r="87" spans="2:10" s="1592" customFormat="1" ht="21" hidden="1" customHeight="1">
      <c r="B87" s="1605"/>
      <c r="C87" s="1612" t="s">
        <v>2678</v>
      </c>
      <c r="D87" s="1611">
        <v>2900000000</v>
      </c>
      <c r="E87" s="1611">
        <v>2638043197.3299999</v>
      </c>
      <c r="F87" s="1601">
        <f t="shared" si="2"/>
        <v>90.96700680448275</v>
      </c>
      <c r="G87" s="1601">
        <v>90</v>
      </c>
      <c r="H87" s="1608"/>
    </row>
    <row r="88" spans="2:10" s="1592" customFormat="1" ht="21" hidden="1" customHeight="1">
      <c r="B88" s="1605"/>
      <c r="C88" s="1612" t="s">
        <v>2679</v>
      </c>
      <c r="D88" s="1611">
        <v>2235072000</v>
      </c>
      <c r="E88" s="1611">
        <v>0</v>
      </c>
      <c r="F88" s="1601">
        <f t="shared" si="2"/>
        <v>0</v>
      </c>
      <c r="G88" s="1601">
        <f>+F88</f>
        <v>0</v>
      </c>
      <c r="H88" s="1608"/>
    </row>
    <row r="89" spans="2:10" s="1592" customFormat="1" ht="21" hidden="1" customHeight="1">
      <c r="B89" s="1605"/>
      <c r="C89" s="1612" t="s">
        <v>4191</v>
      </c>
      <c r="D89" s="1611">
        <v>3018090000</v>
      </c>
      <c r="E89" s="1611">
        <v>1955107871.6700001</v>
      </c>
      <c r="F89" s="1601">
        <f t="shared" si="2"/>
        <v>64.779641152848328</v>
      </c>
      <c r="G89" s="1601">
        <v>70</v>
      </c>
      <c r="H89" s="1608"/>
    </row>
    <row r="90" spans="2:10" s="1592" customFormat="1" ht="21" hidden="1" customHeight="1">
      <c r="B90" s="1605"/>
      <c r="C90" s="1612" t="s">
        <v>2681</v>
      </c>
      <c r="D90" s="1611">
        <v>3401072000</v>
      </c>
      <c r="E90" s="1611">
        <v>0</v>
      </c>
      <c r="F90" s="1601">
        <f t="shared" si="2"/>
        <v>0</v>
      </c>
      <c r="G90" s="1601">
        <f>+F90</f>
        <v>0</v>
      </c>
      <c r="H90" s="1608"/>
    </row>
    <row r="91" spans="2:10" s="1592" customFormat="1" ht="21" hidden="1" customHeight="1">
      <c r="B91" s="1605"/>
      <c r="C91" s="1612" t="s">
        <v>2682</v>
      </c>
      <c r="D91" s="1611">
        <v>1644590000</v>
      </c>
      <c r="E91" s="1611">
        <v>0</v>
      </c>
      <c r="F91" s="1601">
        <f t="shared" si="2"/>
        <v>0</v>
      </c>
      <c r="G91" s="1601">
        <f>+F91</f>
        <v>0</v>
      </c>
      <c r="H91" s="1608"/>
    </row>
    <row r="92" spans="2:10" s="1592" customFormat="1" ht="21" hidden="1" customHeight="1">
      <c r="B92" s="1605"/>
      <c r="C92" s="1612" t="s">
        <v>2683</v>
      </c>
      <c r="D92" s="1611">
        <v>2418090000</v>
      </c>
      <c r="E92" s="1611">
        <v>896948008.61000001</v>
      </c>
      <c r="F92" s="1601">
        <f t="shared" si="2"/>
        <v>37.093243370180595</v>
      </c>
      <c r="G92" s="1601">
        <v>40</v>
      </c>
      <c r="H92" s="1608"/>
    </row>
    <row r="93" spans="2:10" s="1592" customFormat="1" ht="21" hidden="1" customHeight="1">
      <c r="B93" s="1605"/>
      <c r="C93" s="1612" t="s">
        <v>2684</v>
      </c>
      <c r="D93" s="1611">
        <v>2693090000</v>
      </c>
      <c r="E93" s="1611">
        <v>34000000</v>
      </c>
      <c r="F93" s="1601">
        <f t="shared" si="2"/>
        <v>1.262490299247333</v>
      </c>
      <c r="G93" s="1601">
        <v>2</v>
      </c>
      <c r="H93" s="1608"/>
    </row>
    <row r="94" spans="2:10" s="1592" customFormat="1" ht="21" hidden="1" customHeight="1">
      <c r="B94" s="1605"/>
      <c r="C94" s="1612" t="s">
        <v>4190</v>
      </c>
      <c r="D94" s="1611">
        <v>8761290000</v>
      </c>
      <c r="E94" s="1611">
        <v>2183139000</v>
      </c>
      <c r="F94" s="1601">
        <f t="shared" si="2"/>
        <v>24.918008649411217</v>
      </c>
      <c r="G94" s="1601">
        <v>25</v>
      </c>
      <c r="H94" s="1608"/>
      <c r="J94" s="1618">
        <f>594673648000-D95</f>
        <v>0</v>
      </c>
    </row>
    <row r="95" spans="2:10" s="1599" customFormat="1" ht="21" hidden="1" customHeight="1">
      <c r="B95" s="1605"/>
      <c r="C95" s="1614" t="s">
        <v>2690</v>
      </c>
      <c r="D95" s="1613">
        <f>SUM(D96:D126)</f>
        <v>594673648000</v>
      </c>
      <c r="E95" s="1613">
        <f>SUM(E96:E126)</f>
        <v>476658765460.28003</v>
      </c>
      <c r="F95" s="1601">
        <f t="shared" si="2"/>
        <v>80.154680985675697</v>
      </c>
      <c r="G95" s="1601">
        <f>SUM((G96:G126))/30</f>
        <v>69.166666666666671</v>
      </c>
      <c r="H95" s="1600"/>
    </row>
    <row r="96" spans="2:10" s="1592" customFormat="1" ht="21" hidden="1" customHeight="1">
      <c r="B96" s="1605"/>
      <c r="C96" s="1612" t="s">
        <v>4189</v>
      </c>
      <c r="D96" s="1611">
        <v>10000000000</v>
      </c>
      <c r="E96" s="1611">
        <v>9551687777.1200008</v>
      </c>
      <c r="F96" s="1601">
        <f t="shared" si="2"/>
        <v>95.516877771200001</v>
      </c>
      <c r="G96" s="1601">
        <v>100</v>
      </c>
      <c r="H96" s="1608"/>
    </row>
    <row r="97" spans="2:8" s="1592" customFormat="1" ht="21" hidden="1" customHeight="1">
      <c r="B97" s="1605"/>
      <c r="C97" s="1612" t="s">
        <v>4188</v>
      </c>
      <c r="D97" s="1611">
        <v>12950000000</v>
      </c>
      <c r="E97" s="1611">
        <v>12151249311.34</v>
      </c>
      <c r="F97" s="1601">
        <f t="shared" si="2"/>
        <v>93.8320410142085</v>
      </c>
      <c r="G97" s="1601">
        <v>100</v>
      </c>
      <c r="H97" s="1608"/>
    </row>
    <row r="98" spans="2:8" s="1592" customFormat="1" ht="21" hidden="1" customHeight="1">
      <c r="B98" s="1605"/>
      <c r="C98" s="1612" t="s">
        <v>2692</v>
      </c>
      <c r="D98" s="1611">
        <v>40000000000</v>
      </c>
      <c r="E98" s="1611">
        <v>37609500987.360001</v>
      </c>
      <c r="F98" s="1601">
        <f t="shared" si="2"/>
        <v>94.023752468400005</v>
      </c>
      <c r="G98" s="1601">
        <v>100</v>
      </c>
      <c r="H98" s="1608"/>
    </row>
    <row r="99" spans="2:8" s="1592" customFormat="1" ht="21" hidden="1" customHeight="1">
      <c r="B99" s="1605"/>
      <c r="C99" s="1612" t="s">
        <v>4187</v>
      </c>
      <c r="D99" s="1611">
        <v>3000000000</v>
      </c>
      <c r="E99" s="1611">
        <v>2854892736.8699999</v>
      </c>
      <c r="F99" s="1601">
        <f t="shared" si="2"/>
        <v>95.163091229000003</v>
      </c>
      <c r="G99" s="1601">
        <v>100</v>
      </c>
      <c r="H99" s="1608"/>
    </row>
    <row r="100" spans="2:8" s="1592" customFormat="1" ht="21" hidden="1" customHeight="1">
      <c r="B100" s="1605"/>
      <c r="C100" s="1612" t="s">
        <v>4186</v>
      </c>
      <c r="D100" s="1611">
        <v>10000000000</v>
      </c>
      <c r="E100" s="1611">
        <v>9189008253.6300011</v>
      </c>
      <c r="F100" s="1601">
        <f t="shared" si="2"/>
        <v>91.890082536300014</v>
      </c>
      <c r="G100" s="1601">
        <v>100</v>
      </c>
      <c r="H100" s="1608"/>
    </row>
    <row r="101" spans="2:8" s="1592" customFormat="1" ht="21" hidden="1" customHeight="1">
      <c r="B101" s="1605"/>
      <c r="C101" s="1612" t="s">
        <v>4185</v>
      </c>
      <c r="D101" s="1611">
        <v>10000000000</v>
      </c>
      <c r="E101" s="1611">
        <v>9609284728.5400009</v>
      </c>
      <c r="F101" s="1601">
        <f t="shared" si="2"/>
        <v>96.092847285400012</v>
      </c>
      <c r="G101" s="1601">
        <v>100</v>
      </c>
      <c r="H101" s="1608"/>
    </row>
    <row r="102" spans="2:8" s="1592" customFormat="1" ht="21" hidden="1" customHeight="1">
      <c r="B102" s="1605"/>
      <c r="C102" s="1612" t="s">
        <v>4184</v>
      </c>
      <c r="D102" s="1611">
        <v>30000000000</v>
      </c>
      <c r="E102" s="1611">
        <v>28012142295</v>
      </c>
      <c r="F102" s="1601">
        <f t="shared" si="2"/>
        <v>93.373807649999989</v>
      </c>
      <c r="G102" s="1601">
        <v>100</v>
      </c>
      <c r="H102" s="1608"/>
    </row>
    <row r="103" spans="2:8" s="1592" customFormat="1" ht="21" hidden="1" customHeight="1">
      <c r="B103" s="1605"/>
      <c r="C103" s="1612" t="s">
        <v>2693</v>
      </c>
      <c r="D103" s="1611">
        <v>3000000000</v>
      </c>
      <c r="E103" s="1611">
        <v>2846928518.1500001</v>
      </c>
      <c r="F103" s="1601">
        <f t="shared" si="2"/>
        <v>94.897617271666661</v>
      </c>
      <c r="G103" s="1601">
        <v>100</v>
      </c>
      <c r="H103" s="1608"/>
    </row>
    <row r="104" spans="2:8" s="1592" customFormat="1" ht="21" hidden="1" customHeight="1">
      <c r="B104" s="1605"/>
      <c r="C104" s="1612" t="s">
        <v>2694</v>
      </c>
      <c r="D104" s="1611">
        <v>5276072000</v>
      </c>
      <c r="E104" s="1611"/>
      <c r="F104" s="1601"/>
      <c r="G104" s="1601"/>
      <c r="H104" s="1608"/>
    </row>
    <row r="105" spans="2:8" s="1592" customFormat="1" ht="21" hidden="1" customHeight="1">
      <c r="B105" s="1605"/>
      <c r="C105" s="1612" t="s">
        <v>4183</v>
      </c>
      <c r="D105" s="1611">
        <v>4000000000</v>
      </c>
      <c r="E105" s="1611">
        <v>3452076054.2800002</v>
      </c>
      <c r="F105" s="1601">
        <f t="shared" ref="F105:F142" si="3">+E105/D105*100</f>
        <v>86.301901357000006</v>
      </c>
      <c r="G105" s="1601">
        <v>90</v>
      </c>
      <c r="H105" s="1608"/>
    </row>
    <row r="106" spans="2:8" s="1592" customFormat="1" ht="21" hidden="1" customHeight="1">
      <c r="B106" s="1605"/>
      <c r="C106" s="1612" t="s">
        <v>4182</v>
      </c>
      <c r="D106" s="1611">
        <v>4000000000</v>
      </c>
      <c r="E106" s="1611">
        <v>3669557493.2000003</v>
      </c>
      <c r="F106" s="1601">
        <f t="shared" si="3"/>
        <v>91.738937329999999</v>
      </c>
      <c r="G106" s="1601">
        <v>95</v>
      </c>
      <c r="H106" s="1608"/>
    </row>
    <row r="107" spans="2:8" s="1592" customFormat="1" ht="21" hidden="1" customHeight="1">
      <c r="B107" s="1605"/>
      <c r="C107" s="1612" t="s">
        <v>4181</v>
      </c>
      <c r="D107" s="1611">
        <v>401836200000</v>
      </c>
      <c r="E107" s="1611">
        <v>328022152399.35999</v>
      </c>
      <c r="F107" s="1601">
        <f t="shared" si="3"/>
        <v>81.630811858005828</v>
      </c>
      <c r="G107" s="1601">
        <v>85</v>
      </c>
      <c r="H107" s="1608"/>
    </row>
    <row r="108" spans="2:8" s="1592" customFormat="1" ht="21" hidden="1" customHeight="1">
      <c r="B108" s="1605"/>
      <c r="C108" s="1612" t="s">
        <v>2695</v>
      </c>
      <c r="D108" s="1611">
        <v>4866072000</v>
      </c>
      <c r="E108" s="1611">
        <v>2667143032.4700003</v>
      </c>
      <c r="F108" s="1601">
        <f t="shared" si="3"/>
        <v>54.811006340843292</v>
      </c>
      <c r="G108" s="1601">
        <v>60</v>
      </c>
      <c r="H108" s="1608"/>
    </row>
    <row r="109" spans="2:8" s="1592" customFormat="1" ht="21" hidden="1" customHeight="1">
      <c r="B109" s="1605"/>
      <c r="C109" s="1612" t="s">
        <v>2696</v>
      </c>
      <c r="D109" s="1611">
        <v>2726072000</v>
      </c>
      <c r="E109" s="1611">
        <v>1798308950.26</v>
      </c>
      <c r="F109" s="1601">
        <f t="shared" si="3"/>
        <v>65.96703793076631</v>
      </c>
      <c r="G109" s="1601">
        <v>70</v>
      </c>
      <c r="H109" s="1608"/>
    </row>
    <row r="110" spans="2:8" s="1592" customFormat="1" ht="21" hidden="1" customHeight="1">
      <c r="B110" s="1605"/>
      <c r="C110" s="1612" t="s">
        <v>2697</v>
      </c>
      <c r="D110" s="1611">
        <v>5231072000</v>
      </c>
      <c r="E110" s="1611">
        <v>2181575880.1500001</v>
      </c>
      <c r="F110" s="1601">
        <f t="shared" si="3"/>
        <v>41.704183772465761</v>
      </c>
      <c r="G110" s="1601">
        <v>50</v>
      </c>
      <c r="H110" s="1608"/>
    </row>
    <row r="111" spans="2:8" s="1592" customFormat="1" ht="21" hidden="1" customHeight="1">
      <c r="B111" s="1605"/>
      <c r="C111" s="1612" t="s">
        <v>2698</v>
      </c>
      <c r="D111" s="1611">
        <v>5262072000</v>
      </c>
      <c r="E111" s="1611">
        <v>2185814581.0300002</v>
      </c>
      <c r="F111" s="1601">
        <f t="shared" si="3"/>
        <v>41.53904737582458</v>
      </c>
      <c r="G111" s="1601">
        <v>50</v>
      </c>
      <c r="H111" s="1608"/>
    </row>
    <row r="112" spans="2:8" s="1592" customFormat="1" ht="21" hidden="1" customHeight="1">
      <c r="B112" s="1605"/>
      <c r="C112" s="1612" t="s">
        <v>2699</v>
      </c>
      <c r="D112" s="1611">
        <v>3271072000</v>
      </c>
      <c r="E112" s="1611">
        <v>2840802554.3699999</v>
      </c>
      <c r="F112" s="1601">
        <f t="shared" si="3"/>
        <v>86.84622516318808</v>
      </c>
      <c r="G112" s="1601">
        <v>90</v>
      </c>
      <c r="H112" s="1608"/>
    </row>
    <row r="113" spans="2:8" s="1592" customFormat="1" ht="21" hidden="1" customHeight="1">
      <c r="B113" s="1605"/>
      <c r="C113" s="1617" t="s">
        <v>2700</v>
      </c>
      <c r="D113" s="1611">
        <v>2771072000</v>
      </c>
      <c r="E113" s="1611">
        <v>2500000000</v>
      </c>
      <c r="F113" s="1601">
        <f t="shared" si="3"/>
        <v>90.21779296965218</v>
      </c>
      <c r="G113" s="1601">
        <v>90</v>
      </c>
      <c r="H113" s="1608"/>
    </row>
    <row r="114" spans="2:8" s="1592" customFormat="1" ht="21" hidden="1" customHeight="1">
      <c r="B114" s="1605"/>
      <c r="C114" s="1612" t="s">
        <v>2701</v>
      </c>
      <c r="D114" s="1611">
        <v>5274072000</v>
      </c>
      <c r="E114" s="1611">
        <v>2172179603.5799999</v>
      </c>
      <c r="F114" s="1601">
        <f t="shared" si="3"/>
        <v>41.186005871364664</v>
      </c>
      <c r="G114" s="1601">
        <v>50</v>
      </c>
      <c r="H114" s="1608"/>
    </row>
    <row r="115" spans="2:8" s="1592" customFormat="1" ht="21" hidden="1" customHeight="1">
      <c r="B115" s="1605"/>
      <c r="C115" s="1612" t="s">
        <v>2702</v>
      </c>
      <c r="D115" s="1611">
        <v>1768090000</v>
      </c>
      <c r="E115" s="1611">
        <v>1424729630.3299999</v>
      </c>
      <c r="F115" s="1601">
        <f t="shared" si="3"/>
        <v>80.580153178288427</v>
      </c>
      <c r="G115" s="1601">
        <v>80</v>
      </c>
      <c r="H115" s="1608"/>
    </row>
    <row r="116" spans="2:8" s="1592" customFormat="1" ht="21" hidden="1" customHeight="1">
      <c r="B116" s="1605"/>
      <c r="C116" s="1617" t="s">
        <v>2703</v>
      </c>
      <c r="D116" s="1611">
        <v>2671072000</v>
      </c>
      <c r="E116" s="1611">
        <v>2240520000</v>
      </c>
      <c r="F116" s="1601">
        <f t="shared" si="3"/>
        <v>83.880928705778061</v>
      </c>
      <c r="G116" s="1601">
        <v>85</v>
      </c>
      <c r="H116" s="1608"/>
    </row>
    <row r="117" spans="2:8" s="1592" customFormat="1" ht="21" hidden="1" customHeight="1">
      <c r="B117" s="1605"/>
      <c r="C117" s="1612" t="s">
        <v>2704</v>
      </c>
      <c r="D117" s="1611">
        <v>2669072000</v>
      </c>
      <c r="E117" s="1611">
        <v>0</v>
      </c>
      <c r="F117" s="1601">
        <f t="shared" si="3"/>
        <v>0</v>
      </c>
      <c r="G117" s="1601">
        <f>+F117</f>
        <v>0</v>
      </c>
      <c r="H117" s="1608"/>
    </row>
    <row r="118" spans="2:8" s="1592" customFormat="1" ht="21" hidden="1" customHeight="1">
      <c r="B118" s="1605"/>
      <c r="C118" s="1612" t="s">
        <v>2705</v>
      </c>
      <c r="D118" s="1611">
        <v>2671072000</v>
      </c>
      <c r="E118" s="1611">
        <v>2028003991.8299999</v>
      </c>
      <c r="F118" s="1601">
        <f t="shared" si="3"/>
        <v>75.924722052793783</v>
      </c>
      <c r="G118" s="1601">
        <v>80</v>
      </c>
      <c r="H118" s="1608"/>
    </row>
    <row r="119" spans="2:8" s="1592" customFormat="1" ht="21" hidden="1" customHeight="1">
      <c r="B119" s="1605"/>
      <c r="C119" s="1612" t="s">
        <v>2706</v>
      </c>
      <c r="D119" s="1611">
        <v>3226072000</v>
      </c>
      <c r="E119" s="1611">
        <v>2847630000</v>
      </c>
      <c r="F119" s="1601">
        <f t="shared" si="3"/>
        <v>88.269263674214343</v>
      </c>
      <c r="G119" s="1601">
        <v>90</v>
      </c>
      <c r="H119" s="1608"/>
    </row>
    <row r="120" spans="2:8" s="1592" customFormat="1" ht="21" hidden="1" customHeight="1">
      <c r="B120" s="1605"/>
      <c r="C120" s="1612" t="s">
        <v>2707</v>
      </c>
      <c r="D120" s="1611">
        <v>2761072000</v>
      </c>
      <c r="E120" s="1611">
        <v>0</v>
      </c>
      <c r="F120" s="1601">
        <f t="shared" si="3"/>
        <v>0</v>
      </c>
      <c r="G120" s="1601">
        <f>+F120</f>
        <v>0</v>
      </c>
      <c r="H120" s="1608"/>
    </row>
    <row r="121" spans="2:8" s="1592" customFormat="1" ht="21" hidden="1" customHeight="1">
      <c r="B121" s="1605"/>
      <c r="C121" s="1612" t="s">
        <v>2708</v>
      </c>
      <c r="D121" s="1611">
        <v>1668090000</v>
      </c>
      <c r="E121" s="1611">
        <v>0</v>
      </c>
      <c r="F121" s="1601">
        <f t="shared" si="3"/>
        <v>0</v>
      </c>
      <c r="G121" s="1601">
        <f>+F121</f>
        <v>0</v>
      </c>
      <c r="H121" s="1608"/>
    </row>
    <row r="122" spans="2:8" s="1592" customFormat="1" ht="21" hidden="1" customHeight="1">
      <c r="B122" s="1605"/>
      <c r="C122" s="1612" t="s">
        <v>2709</v>
      </c>
      <c r="D122" s="1611">
        <v>1768090000</v>
      </c>
      <c r="E122" s="1611">
        <v>0</v>
      </c>
      <c r="F122" s="1601">
        <f t="shared" si="3"/>
        <v>0</v>
      </c>
      <c r="G122" s="1601">
        <f>+F122</f>
        <v>0</v>
      </c>
      <c r="H122" s="1608"/>
    </row>
    <row r="123" spans="2:8" s="1592" customFormat="1" ht="21" hidden="1" customHeight="1">
      <c r="B123" s="1605"/>
      <c r="C123" s="1612" t="s">
        <v>2710</v>
      </c>
      <c r="D123" s="1611">
        <v>1142008000</v>
      </c>
      <c r="E123" s="1611">
        <v>581291943.62</v>
      </c>
      <c r="F123" s="1601">
        <f t="shared" si="3"/>
        <v>50.900864409005898</v>
      </c>
      <c r="G123" s="1601">
        <v>50</v>
      </c>
      <c r="H123" s="1608"/>
    </row>
    <row r="124" spans="2:8" s="1592" customFormat="1" ht="21" hidden="1" customHeight="1">
      <c r="B124" s="1605"/>
      <c r="C124" s="1612" t="s">
        <v>2711</v>
      </c>
      <c r="D124" s="1611">
        <v>3271072000</v>
      </c>
      <c r="E124" s="1611">
        <v>2222284737.79</v>
      </c>
      <c r="F124" s="1601">
        <f t="shared" si="3"/>
        <v>67.937506046641587</v>
      </c>
      <c r="G124" s="1601">
        <v>70</v>
      </c>
      <c r="H124" s="1608"/>
    </row>
    <row r="125" spans="2:8" s="1592" customFormat="1" ht="21" hidden="1" customHeight="1">
      <c r="B125" s="1605"/>
      <c r="C125" s="1612" t="s">
        <v>2712</v>
      </c>
      <c r="D125" s="1611">
        <v>5326072000</v>
      </c>
      <c r="E125" s="1611">
        <v>0</v>
      </c>
      <c r="F125" s="1601">
        <f t="shared" si="3"/>
        <v>0</v>
      </c>
      <c r="G125" s="1601">
        <f>+F125</f>
        <v>0</v>
      </c>
      <c r="H125" s="1608"/>
    </row>
    <row r="126" spans="2:8" s="1592" customFormat="1" ht="21" hidden="1" customHeight="1">
      <c r="B126" s="1605"/>
      <c r="C126" s="1612" t="s">
        <v>4180</v>
      </c>
      <c r="D126" s="1611">
        <v>2268090000</v>
      </c>
      <c r="E126" s="1611">
        <v>2000000000</v>
      </c>
      <c r="F126" s="1601">
        <f t="shared" si="3"/>
        <v>88.179922313488447</v>
      </c>
      <c r="G126" s="1601">
        <v>90</v>
      </c>
      <c r="H126" s="1608"/>
    </row>
    <row r="127" spans="2:8" s="1592" customFormat="1" ht="21" hidden="1" customHeight="1">
      <c r="B127" s="1605"/>
      <c r="C127" s="1614" t="s">
        <v>2720</v>
      </c>
      <c r="D127" s="1613">
        <f>+D128+D129</f>
        <v>80123858000</v>
      </c>
      <c r="E127" s="1613">
        <v>65788745765.540001</v>
      </c>
      <c r="F127" s="1601">
        <f t="shared" si="3"/>
        <v>82.108809295653245</v>
      </c>
      <c r="G127" s="1601">
        <f>SUM((G128:G129))/2</f>
        <v>87.5</v>
      </c>
      <c r="H127" s="1608"/>
    </row>
    <row r="128" spans="2:8" s="1599" customFormat="1" ht="21" hidden="1" customHeight="1">
      <c r="B128" s="1605"/>
      <c r="C128" s="1612" t="s">
        <v>2721</v>
      </c>
      <c r="D128" s="1611">
        <v>77123858000</v>
      </c>
      <c r="E128" s="1611">
        <v>63076860194.540001</v>
      </c>
      <c r="F128" s="1601">
        <f t="shared" si="3"/>
        <v>81.786443041451591</v>
      </c>
      <c r="G128" s="1601">
        <v>85</v>
      </c>
      <c r="H128" s="1600"/>
    </row>
    <row r="129" spans="2:8" s="1592" customFormat="1" ht="21" hidden="1" customHeight="1">
      <c r="B129" s="1605"/>
      <c r="C129" s="1612" t="s">
        <v>2722</v>
      </c>
      <c r="D129" s="1611">
        <v>3000000000</v>
      </c>
      <c r="E129" s="1611">
        <v>2711885571</v>
      </c>
      <c r="F129" s="1601">
        <f t="shared" si="3"/>
        <v>90.396185700000004</v>
      </c>
      <c r="G129" s="1601">
        <v>90</v>
      </c>
      <c r="H129" s="1608"/>
    </row>
    <row r="130" spans="2:8" s="1592" customFormat="1" ht="21" hidden="1" customHeight="1">
      <c r="B130" s="1605"/>
      <c r="C130" s="1614" t="s">
        <v>4179</v>
      </c>
      <c r="D130" s="1613">
        <f>SUM(D131:D142)</f>
        <v>11950000000</v>
      </c>
      <c r="E130" s="1613">
        <f>SUM(E131:E142)</f>
        <v>9707006898</v>
      </c>
      <c r="F130" s="1601">
        <f t="shared" si="3"/>
        <v>81.230183246861927</v>
      </c>
      <c r="G130" s="1601">
        <f>SUM((G131:G142))/12</f>
        <v>75</v>
      </c>
      <c r="H130" s="1608"/>
    </row>
    <row r="131" spans="2:8" s="1599" customFormat="1" ht="21" hidden="1" customHeight="1">
      <c r="B131" s="1605"/>
      <c r="C131" s="1612" t="s">
        <v>2724</v>
      </c>
      <c r="D131" s="1611">
        <v>2000000000</v>
      </c>
      <c r="E131" s="1611">
        <v>1715876766</v>
      </c>
      <c r="F131" s="1601">
        <f t="shared" si="3"/>
        <v>85.793838300000004</v>
      </c>
      <c r="G131" s="1601">
        <v>90</v>
      </c>
      <c r="H131" s="1600"/>
    </row>
    <row r="132" spans="2:8" s="1592" customFormat="1" ht="21" hidden="1" customHeight="1">
      <c r="B132" s="1605"/>
      <c r="C132" s="1612" t="s">
        <v>2725</v>
      </c>
      <c r="D132" s="1611">
        <v>1000000000</v>
      </c>
      <c r="E132" s="1611">
        <v>739141073</v>
      </c>
      <c r="F132" s="1601">
        <f t="shared" si="3"/>
        <v>73.914107299999998</v>
      </c>
      <c r="G132" s="1601">
        <v>75</v>
      </c>
      <c r="H132" s="1608"/>
    </row>
    <row r="133" spans="2:8" s="1592" customFormat="1" ht="21" hidden="1" customHeight="1">
      <c r="B133" s="1605"/>
      <c r="C133" s="1612" t="s">
        <v>2726</v>
      </c>
      <c r="D133" s="1611">
        <v>1800000000</v>
      </c>
      <c r="E133" s="1611">
        <v>1361525285</v>
      </c>
      <c r="F133" s="1601">
        <f t="shared" si="3"/>
        <v>75.640293611111105</v>
      </c>
      <c r="G133" s="1601">
        <v>75</v>
      </c>
      <c r="H133" s="1608"/>
    </row>
    <row r="134" spans="2:8" s="1592" customFormat="1" ht="21" hidden="1" customHeight="1">
      <c r="B134" s="1605"/>
      <c r="C134" s="1612" t="s">
        <v>4178</v>
      </c>
      <c r="D134" s="1611">
        <v>1000000000</v>
      </c>
      <c r="E134" s="1611">
        <v>828217820</v>
      </c>
      <c r="F134" s="1601">
        <f t="shared" si="3"/>
        <v>82.821781999999999</v>
      </c>
      <c r="G134" s="1601">
        <v>85</v>
      </c>
      <c r="H134" s="1608"/>
    </row>
    <row r="135" spans="2:8" s="1592" customFormat="1" ht="21" hidden="1" customHeight="1">
      <c r="B135" s="1605"/>
      <c r="C135" s="1612" t="s">
        <v>4177</v>
      </c>
      <c r="D135" s="1611">
        <v>400000000</v>
      </c>
      <c r="E135" s="1611">
        <v>232240000</v>
      </c>
      <c r="F135" s="1601">
        <f t="shared" si="3"/>
        <v>58.06</v>
      </c>
      <c r="G135" s="1601">
        <v>60</v>
      </c>
      <c r="H135" s="1608"/>
    </row>
    <row r="136" spans="2:8" s="1592" customFormat="1" ht="21" hidden="1" customHeight="1">
      <c r="B136" s="1605"/>
      <c r="C136" s="1612" t="s">
        <v>4176</v>
      </c>
      <c r="D136" s="1611">
        <v>400000000</v>
      </c>
      <c r="E136" s="1611">
        <v>398767800</v>
      </c>
      <c r="F136" s="1601">
        <f t="shared" si="3"/>
        <v>99.691949999999991</v>
      </c>
      <c r="G136" s="1601">
        <v>100</v>
      </c>
      <c r="H136" s="1608"/>
    </row>
    <row r="137" spans="2:8" s="1592" customFormat="1" ht="21" hidden="1" customHeight="1">
      <c r="B137" s="1605"/>
      <c r="C137" s="1612" t="s">
        <v>4175</v>
      </c>
      <c r="D137" s="1611">
        <v>900000000</v>
      </c>
      <c r="E137" s="1611">
        <v>896545000</v>
      </c>
      <c r="F137" s="1601">
        <f t="shared" si="3"/>
        <v>99.61611111111111</v>
      </c>
      <c r="G137" s="1601">
        <v>100</v>
      </c>
      <c r="H137" s="1608"/>
    </row>
    <row r="138" spans="2:8" s="1592" customFormat="1" ht="21" hidden="1" customHeight="1">
      <c r="B138" s="1605"/>
      <c r="C138" s="1612" t="s">
        <v>4174</v>
      </c>
      <c r="D138" s="1611">
        <v>2000000000</v>
      </c>
      <c r="E138" s="1611">
        <v>1871800000</v>
      </c>
      <c r="F138" s="1601">
        <f t="shared" si="3"/>
        <v>93.589999999999989</v>
      </c>
      <c r="G138" s="1601">
        <v>95</v>
      </c>
      <c r="H138" s="1608"/>
    </row>
    <row r="139" spans="2:8" s="1592" customFormat="1" ht="21" hidden="1" customHeight="1">
      <c r="B139" s="1605"/>
      <c r="C139" s="1612" t="s">
        <v>4173</v>
      </c>
      <c r="D139" s="1611">
        <v>400000000</v>
      </c>
      <c r="E139" s="1611">
        <v>70301574</v>
      </c>
      <c r="F139" s="1601">
        <f t="shared" si="3"/>
        <v>17.575393500000001</v>
      </c>
      <c r="G139" s="1601">
        <v>20</v>
      </c>
      <c r="H139" s="1608"/>
    </row>
    <row r="140" spans="2:8" s="1592" customFormat="1" ht="21" hidden="1" customHeight="1">
      <c r="B140" s="1605"/>
      <c r="C140" s="1612" t="s">
        <v>4172</v>
      </c>
      <c r="D140" s="1611">
        <v>650000000</v>
      </c>
      <c r="E140" s="1611">
        <v>639435700</v>
      </c>
      <c r="F140" s="1601">
        <f t="shared" si="3"/>
        <v>98.374723076923075</v>
      </c>
      <c r="G140" s="1601">
        <v>100</v>
      </c>
      <c r="H140" s="1608"/>
    </row>
    <row r="141" spans="2:8" s="1592" customFormat="1" ht="21" hidden="1" customHeight="1">
      <c r="B141" s="1605"/>
      <c r="C141" s="1612" t="s">
        <v>4171</v>
      </c>
      <c r="D141" s="1611">
        <v>1000000000</v>
      </c>
      <c r="E141" s="1611">
        <v>953155880</v>
      </c>
      <c r="F141" s="1601">
        <f t="shared" si="3"/>
        <v>95.315587999999991</v>
      </c>
      <c r="G141" s="1601">
        <v>100</v>
      </c>
      <c r="H141" s="1608"/>
    </row>
    <row r="142" spans="2:8" s="1592" customFormat="1" ht="21" hidden="1" customHeight="1">
      <c r="B142" s="1605"/>
      <c r="C142" s="1612" t="s">
        <v>4170</v>
      </c>
      <c r="D142" s="1611">
        <v>400000000</v>
      </c>
      <c r="E142" s="1611">
        <v>0</v>
      </c>
      <c r="F142" s="1601">
        <f t="shared" si="3"/>
        <v>0</v>
      </c>
      <c r="G142" s="1601">
        <f>+F142</f>
        <v>0</v>
      </c>
      <c r="H142" s="1608"/>
    </row>
    <row r="143" spans="2:8" s="1592" customFormat="1" ht="21" hidden="1" customHeight="1">
      <c r="B143" s="1605"/>
      <c r="C143" s="868"/>
      <c r="D143" s="1615"/>
      <c r="E143" s="1615"/>
      <c r="F143" s="1601"/>
      <c r="G143" s="1601"/>
      <c r="H143" s="1608"/>
    </row>
    <row r="144" spans="2:8" s="1592" customFormat="1" ht="21" customHeight="1">
      <c r="B144" s="1605"/>
      <c r="C144" s="1614" t="s">
        <v>518</v>
      </c>
      <c r="D144" s="1613">
        <f>+D145+D149+D151+D153+D167</f>
        <v>100000000000</v>
      </c>
      <c r="E144" s="1613">
        <v>62481950602</v>
      </c>
      <c r="F144" s="1601">
        <f t="shared" ref="F144:F175" si="4">+E144/D144*100</f>
        <v>62.481950602000005</v>
      </c>
      <c r="G144" s="1601">
        <f>(G145+G149+G151+G167)/5</f>
        <v>22.240889593767388</v>
      </c>
      <c r="H144" s="1608"/>
    </row>
    <row r="145" spans="2:8" s="1599" customFormat="1" ht="21" hidden="1" customHeight="1">
      <c r="B145" s="1605"/>
      <c r="C145" s="1614" t="s">
        <v>519</v>
      </c>
      <c r="D145" s="1613">
        <f>SUM(D146:D148)</f>
        <v>3794250000</v>
      </c>
      <c r="E145" s="1613">
        <v>1846383500</v>
      </c>
      <c r="F145" s="1601">
        <f t="shared" si="4"/>
        <v>48.662673782697503</v>
      </c>
      <c r="G145" s="1601">
        <f>SUM((G146:G148))/3</f>
        <v>51.666666666666664</v>
      </c>
      <c r="H145" s="1600"/>
    </row>
    <row r="146" spans="2:8" s="1599" customFormat="1" ht="21" hidden="1" customHeight="1">
      <c r="B146" s="1605"/>
      <c r="C146" s="1617" t="s">
        <v>4169</v>
      </c>
      <c r="D146" s="1611">
        <v>1690500000</v>
      </c>
      <c r="E146" s="1611">
        <v>1049050900</v>
      </c>
      <c r="F146" s="1601">
        <f t="shared" si="4"/>
        <v>62.055658089322684</v>
      </c>
      <c r="G146" s="1601">
        <v>65</v>
      </c>
      <c r="H146" s="1600"/>
    </row>
    <row r="147" spans="2:8" s="1592" customFormat="1" ht="21" hidden="1" customHeight="1">
      <c r="B147" s="1605"/>
      <c r="C147" s="1612" t="s">
        <v>2731</v>
      </c>
      <c r="D147" s="1611">
        <v>894250000</v>
      </c>
      <c r="E147" s="1611">
        <v>797332600</v>
      </c>
      <c r="F147" s="1601">
        <f t="shared" si="4"/>
        <v>89.162158233156276</v>
      </c>
      <c r="G147" s="1601">
        <v>90</v>
      </c>
      <c r="H147" s="1608"/>
    </row>
    <row r="148" spans="2:8" s="1592" customFormat="1" ht="21" hidden="1" customHeight="1">
      <c r="B148" s="1605"/>
      <c r="C148" s="1612" t="s">
        <v>4168</v>
      </c>
      <c r="D148" s="1611">
        <v>1209500000</v>
      </c>
      <c r="E148" s="1611">
        <v>0</v>
      </c>
      <c r="F148" s="1601">
        <f t="shared" si="4"/>
        <v>0</v>
      </c>
      <c r="G148" s="1601">
        <f>+F148</f>
        <v>0</v>
      </c>
      <c r="H148" s="1608"/>
    </row>
    <row r="149" spans="2:8" s="1592" customFormat="1" ht="21" hidden="1" customHeight="1">
      <c r="B149" s="1605"/>
      <c r="C149" s="1614" t="s">
        <v>2732</v>
      </c>
      <c r="D149" s="1613">
        <f>SUM(D150)</f>
        <v>515000000</v>
      </c>
      <c r="E149" s="1613">
        <v>23276200</v>
      </c>
      <c r="F149" s="1601">
        <f t="shared" si="4"/>
        <v>4.5196504854368937</v>
      </c>
      <c r="G149" s="1601">
        <v>5</v>
      </c>
      <c r="H149" s="1608"/>
    </row>
    <row r="150" spans="2:8" s="1599" customFormat="1" ht="21" hidden="1" customHeight="1">
      <c r="B150" s="1605"/>
      <c r="C150" s="1612" t="s">
        <v>2733</v>
      </c>
      <c r="D150" s="1611">
        <v>515000000</v>
      </c>
      <c r="E150" s="1611">
        <v>23276200</v>
      </c>
      <c r="F150" s="1601">
        <f t="shared" si="4"/>
        <v>4.5196504854368937</v>
      </c>
      <c r="G150" s="1601">
        <v>5</v>
      </c>
      <c r="H150" s="1600"/>
    </row>
    <row r="151" spans="2:8" s="1592" customFormat="1" ht="21" hidden="1" customHeight="1">
      <c r="B151" s="1605"/>
      <c r="C151" s="1614" t="s">
        <v>3259</v>
      </c>
      <c r="D151" s="1613">
        <f>D152</f>
        <v>5263500000</v>
      </c>
      <c r="E151" s="1613">
        <v>158343000</v>
      </c>
      <c r="F151" s="1601">
        <f t="shared" si="4"/>
        <v>3.0083214591051584</v>
      </c>
      <c r="G151" s="1601">
        <v>5</v>
      </c>
      <c r="H151" s="1608"/>
    </row>
    <row r="152" spans="2:8" s="1599" customFormat="1" ht="21" hidden="1" customHeight="1">
      <c r="B152" s="1605"/>
      <c r="C152" s="1612" t="s">
        <v>4167</v>
      </c>
      <c r="D152" s="1611">
        <v>5263500000</v>
      </c>
      <c r="E152" s="1611">
        <v>158343000</v>
      </c>
      <c r="F152" s="1601">
        <f t="shared" si="4"/>
        <v>3.0083214591051584</v>
      </c>
      <c r="G152" s="1601">
        <v>5</v>
      </c>
      <c r="H152" s="1600"/>
    </row>
    <row r="153" spans="2:8" s="1592" customFormat="1" ht="21" hidden="1" customHeight="1">
      <c r="B153" s="1616"/>
      <c r="C153" s="1614" t="s">
        <v>2734</v>
      </c>
      <c r="D153" s="1613">
        <f>SUM(D154:D166)</f>
        <v>75944600000</v>
      </c>
      <c r="E153" s="1613">
        <v>52146073040</v>
      </c>
      <c r="F153" s="1601">
        <f t="shared" si="4"/>
        <v>68.663305936169266</v>
      </c>
      <c r="G153" s="1601">
        <f>SUM((G154:G166))/13</f>
        <v>73.878970121517895</v>
      </c>
      <c r="H153" s="1608"/>
    </row>
    <row r="154" spans="2:8" s="1599" customFormat="1" ht="21" hidden="1" customHeight="1">
      <c r="B154" s="1605"/>
      <c r="C154" s="1612" t="s">
        <v>4166</v>
      </c>
      <c r="D154" s="1611">
        <v>4402200000</v>
      </c>
      <c r="E154" s="1611">
        <v>4132058986</v>
      </c>
      <c r="F154" s="1601">
        <f t="shared" si="4"/>
        <v>93.86349975012493</v>
      </c>
      <c r="G154" s="1601">
        <v>100</v>
      </c>
      <c r="H154" s="1600"/>
    </row>
    <row r="155" spans="2:8" s="1592" customFormat="1" ht="21" hidden="1" customHeight="1">
      <c r="B155" s="1616"/>
      <c r="C155" s="1612" t="s">
        <v>4165</v>
      </c>
      <c r="D155" s="1611">
        <v>4044350000</v>
      </c>
      <c r="E155" s="1611">
        <v>3805968738</v>
      </c>
      <c r="F155" s="1601">
        <f t="shared" si="4"/>
        <v>94.105820168877571</v>
      </c>
      <c r="G155" s="1601">
        <v>100</v>
      </c>
      <c r="H155" s="1608"/>
    </row>
    <row r="156" spans="2:8" s="1592" customFormat="1" ht="21" hidden="1" customHeight="1">
      <c r="B156" s="1616"/>
      <c r="C156" s="1612" t="s">
        <v>2736</v>
      </c>
      <c r="D156" s="1611">
        <v>10617500000</v>
      </c>
      <c r="E156" s="1611">
        <v>2041170299</v>
      </c>
      <c r="F156" s="1601">
        <f t="shared" si="4"/>
        <v>19.224584874028729</v>
      </c>
      <c r="G156" s="1601">
        <v>20</v>
      </c>
      <c r="H156" s="1608"/>
    </row>
    <row r="157" spans="2:8" s="1592" customFormat="1" ht="21" hidden="1" customHeight="1">
      <c r="B157" s="1616"/>
      <c r="C157" s="1612" t="s">
        <v>4164</v>
      </c>
      <c r="D157" s="1611">
        <v>4632250000</v>
      </c>
      <c r="E157" s="1611">
        <v>3553969512</v>
      </c>
      <c r="F157" s="1601">
        <f t="shared" si="4"/>
        <v>76.722316627988562</v>
      </c>
      <c r="G157" s="1601">
        <v>80</v>
      </c>
      <c r="H157" s="1608"/>
    </row>
    <row r="158" spans="2:8" s="1592" customFormat="1" ht="21" hidden="1" customHeight="1">
      <c r="B158" s="1616"/>
      <c r="C158" s="1612" t="s">
        <v>4163</v>
      </c>
      <c r="D158" s="1611">
        <v>6157500000</v>
      </c>
      <c r="E158" s="1611">
        <v>5416967930</v>
      </c>
      <c r="F158" s="1601">
        <f t="shared" si="4"/>
        <v>87.97349460008121</v>
      </c>
      <c r="G158" s="1601">
        <v>90</v>
      </c>
      <c r="H158" s="1608"/>
    </row>
    <row r="159" spans="2:8" s="1592" customFormat="1" ht="21" hidden="1" customHeight="1">
      <c r="B159" s="1616"/>
      <c r="C159" s="1612" t="s">
        <v>2737</v>
      </c>
      <c r="D159" s="1611">
        <v>4356750000</v>
      </c>
      <c r="E159" s="1611">
        <v>18586400</v>
      </c>
      <c r="F159" s="1601">
        <f t="shared" si="4"/>
        <v>0.42661157973259883</v>
      </c>
      <c r="G159" s="1601">
        <f>+F159</f>
        <v>0.42661157973259883</v>
      </c>
      <c r="H159" s="1608"/>
    </row>
    <row r="160" spans="2:8" s="1592" customFormat="1" ht="21" hidden="1" customHeight="1">
      <c r="B160" s="1616"/>
      <c r="C160" s="1612" t="s">
        <v>2738</v>
      </c>
      <c r="D160" s="1611">
        <v>4432450000</v>
      </c>
      <c r="E160" s="1611">
        <v>2647705931</v>
      </c>
      <c r="F160" s="1601">
        <f t="shared" si="4"/>
        <v>59.734592178140758</v>
      </c>
      <c r="G160" s="1601">
        <v>60</v>
      </c>
      <c r="H160" s="1608"/>
    </row>
    <row r="161" spans="2:8" s="1592" customFormat="1" ht="21" hidden="1" customHeight="1">
      <c r="B161" s="1616"/>
      <c r="C161" s="1612" t="s">
        <v>4162</v>
      </c>
      <c r="D161" s="1611">
        <v>5478000000</v>
      </c>
      <c r="E161" s="1611">
        <v>2053115755</v>
      </c>
      <c r="F161" s="1601">
        <f t="shared" si="4"/>
        <v>37.479294541803576</v>
      </c>
      <c r="G161" s="1601">
        <v>40</v>
      </c>
      <c r="H161" s="1608"/>
    </row>
    <row r="162" spans="2:8" s="1592" customFormat="1" ht="21" hidden="1" customHeight="1">
      <c r="B162" s="1616"/>
      <c r="C162" s="1612" t="s">
        <v>2739</v>
      </c>
      <c r="D162" s="1611">
        <v>10807250000</v>
      </c>
      <c r="E162" s="1611">
        <v>8936786919</v>
      </c>
      <c r="F162" s="1601">
        <f t="shared" si="4"/>
        <v>82.692515848157484</v>
      </c>
      <c r="G162" s="1601">
        <v>90</v>
      </c>
      <c r="H162" s="1608"/>
    </row>
    <row r="163" spans="2:8" s="1592" customFormat="1" ht="21" hidden="1" customHeight="1">
      <c r="B163" s="1616"/>
      <c r="C163" s="1617" t="s">
        <v>2740</v>
      </c>
      <c r="D163" s="1611">
        <v>6303350000</v>
      </c>
      <c r="E163" s="1611">
        <v>5712686714</v>
      </c>
      <c r="F163" s="1601">
        <f t="shared" si="4"/>
        <v>90.629375078331364</v>
      </c>
      <c r="G163" s="1601">
        <v>95</v>
      </c>
      <c r="H163" s="1608"/>
    </row>
    <row r="164" spans="2:8" s="1592" customFormat="1" ht="21" hidden="1" customHeight="1">
      <c r="B164" s="1616"/>
      <c r="C164" s="1612" t="s">
        <v>4161</v>
      </c>
      <c r="D164" s="1611">
        <v>4480250000</v>
      </c>
      <c r="E164" s="1611">
        <v>4034676579</v>
      </c>
      <c r="F164" s="1601">
        <f t="shared" si="4"/>
        <v>90.054719691981475</v>
      </c>
      <c r="G164" s="1601">
        <v>90</v>
      </c>
      <c r="H164" s="1608"/>
    </row>
    <row r="165" spans="2:8" s="1592" customFormat="1" ht="21" hidden="1" customHeight="1">
      <c r="B165" s="1616"/>
      <c r="C165" s="1612" t="s">
        <v>2741</v>
      </c>
      <c r="D165" s="1611">
        <v>4433250000</v>
      </c>
      <c r="E165" s="1611">
        <v>4166031177</v>
      </c>
      <c r="F165" s="1601">
        <f t="shared" si="4"/>
        <v>93.972394451023504</v>
      </c>
      <c r="G165" s="1601">
        <v>95</v>
      </c>
      <c r="H165" s="1608"/>
    </row>
    <row r="166" spans="2:8" s="1592" customFormat="1" ht="21" hidden="1" customHeight="1">
      <c r="B166" s="1616"/>
      <c r="C166" s="1617" t="s">
        <v>4160</v>
      </c>
      <c r="D166" s="1611">
        <v>5799500000</v>
      </c>
      <c r="E166" s="1611">
        <v>5626348100</v>
      </c>
      <c r="F166" s="1601">
        <f t="shared" si="4"/>
        <v>97.01436503146823</v>
      </c>
      <c r="G166" s="1601">
        <v>100</v>
      </c>
      <c r="H166" s="1608"/>
    </row>
    <row r="167" spans="2:8" s="1592" customFormat="1" ht="21" hidden="1" customHeight="1">
      <c r="B167" s="1616"/>
      <c r="C167" s="1614" t="s">
        <v>2742</v>
      </c>
      <c r="D167" s="1613">
        <f>SUM(D168:D175)</f>
        <v>14482650000</v>
      </c>
      <c r="E167" s="1613">
        <v>8307874862</v>
      </c>
      <c r="F167" s="1601">
        <f t="shared" si="4"/>
        <v>57.364328089127333</v>
      </c>
      <c r="G167" s="1601">
        <f>SUM((G168:G175))/8</f>
        <v>49.537781302170281</v>
      </c>
      <c r="H167" s="1608"/>
    </row>
    <row r="168" spans="2:8" s="1599" customFormat="1" ht="21" hidden="1" customHeight="1">
      <c r="B168" s="1605"/>
      <c r="C168" s="1612" t="s">
        <v>2743</v>
      </c>
      <c r="D168" s="1611">
        <v>3102000000</v>
      </c>
      <c r="E168" s="1611">
        <v>1867432722</v>
      </c>
      <c r="F168" s="1601">
        <f t="shared" si="4"/>
        <v>60.200925918762096</v>
      </c>
      <c r="G168" s="1601">
        <v>60</v>
      </c>
      <c r="H168" s="1600"/>
    </row>
    <row r="169" spans="2:8" s="1592" customFormat="1" ht="21" hidden="1" customHeight="1">
      <c r="B169" s="1616"/>
      <c r="C169" s="1612" t="s">
        <v>2744</v>
      </c>
      <c r="D169" s="1611">
        <v>2300500000</v>
      </c>
      <c r="E169" s="1611">
        <v>2056791858</v>
      </c>
      <c r="F169" s="1601">
        <f t="shared" si="4"/>
        <v>89.406296805042388</v>
      </c>
      <c r="G169" s="1601">
        <v>90</v>
      </c>
      <c r="H169" s="1608"/>
    </row>
    <row r="170" spans="2:8" s="1592" customFormat="1" ht="21" hidden="1" customHeight="1">
      <c r="B170" s="1616"/>
      <c r="C170" s="1612" t="s">
        <v>2745</v>
      </c>
      <c r="D170" s="1611">
        <v>536900000</v>
      </c>
      <c r="E170" s="1611">
        <v>342196300</v>
      </c>
      <c r="F170" s="1601">
        <f t="shared" si="4"/>
        <v>63.735574594896626</v>
      </c>
      <c r="G170" s="1601">
        <v>65</v>
      </c>
      <c r="H170" s="1608"/>
    </row>
    <row r="171" spans="2:8" s="1592" customFormat="1" ht="21" hidden="1" customHeight="1">
      <c r="B171" s="1616"/>
      <c r="C171" s="1612" t="s">
        <v>4159</v>
      </c>
      <c r="D171" s="1611">
        <v>1133000000</v>
      </c>
      <c r="E171" s="1611">
        <v>1826000</v>
      </c>
      <c r="F171" s="1601">
        <f t="shared" si="4"/>
        <v>0.16116504854368932</v>
      </c>
      <c r="G171" s="1601">
        <v>1</v>
      </c>
      <c r="H171" s="1608"/>
    </row>
    <row r="172" spans="2:8" s="1592" customFormat="1" ht="21" hidden="1" customHeight="1">
      <c r="B172" s="1616"/>
      <c r="C172" s="1612" t="s">
        <v>4158</v>
      </c>
      <c r="D172" s="1611">
        <v>3339000000</v>
      </c>
      <c r="E172" s="1611">
        <v>3227493882</v>
      </c>
      <c r="F172" s="1601">
        <f t="shared" si="4"/>
        <v>96.660493620844562</v>
      </c>
      <c r="G172" s="1601">
        <v>100</v>
      </c>
      <c r="H172" s="1608"/>
    </row>
    <row r="173" spans="2:8" s="1592" customFormat="1" ht="21" hidden="1" customHeight="1">
      <c r="B173" s="1616"/>
      <c r="C173" s="1612" t="s">
        <v>2746</v>
      </c>
      <c r="D173" s="1611">
        <v>2316250000</v>
      </c>
      <c r="E173" s="1611">
        <v>0</v>
      </c>
      <c r="F173" s="1601">
        <f t="shared" si="4"/>
        <v>0</v>
      </c>
      <c r="G173" s="1601">
        <f>+F173</f>
        <v>0</v>
      </c>
      <c r="H173" s="1608"/>
    </row>
    <row r="174" spans="2:8" s="1592" customFormat="1" ht="21" hidden="1" customHeight="1">
      <c r="B174" s="1616"/>
      <c r="C174" s="1612" t="s">
        <v>4157</v>
      </c>
      <c r="D174" s="1611">
        <v>748750000</v>
      </c>
      <c r="E174" s="1611">
        <v>2263100</v>
      </c>
      <c r="F174" s="1601">
        <f t="shared" si="4"/>
        <v>0.30225041736227043</v>
      </c>
      <c r="G174" s="1601">
        <f>+F174</f>
        <v>0.30225041736227043</v>
      </c>
      <c r="H174" s="1608"/>
    </row>
    <row r="175" spans="2:8" s="1592" customFormat="1" ht="21" hidden="1" customHeight="1">
      <c r="B175" s="1616"/>
      <c r="C175" s="1612" t="s">
        <v>2747</v>
      </c>
      <c r="D175" s="1611">
        <v>1006250000</v>
      </c>
      <c r="E175" s="1611">
        <v>809871000</v>
      </c>
      <c r="F175" s="1601">
        <f t="shared" si="4"/>
        <v>80.484074534161493</v>
      </c>
      <c r="G175" s="1601">
        <v>80</v>
      </c>
      <c r="H175" s="1608"/>
    </row>
    <row r="176" spans="2:8" s="1592" customFormat="1" ht="15" hidden="1" customHeight="1">
      <c r="B176" s="1616"/>
      <c r="C176" s="868"/>
      <c r="D176" s="1615"/>
      <c r="E176" s="1615"/>
      <c r="F176" s="1601"/>
      <c r="G176" s="1601"/>
      <c r="H176" s="1608"/>
    </row>
    <row r="177" spans="2:8" s="1592" customFormat="1" ht="21" customHeight="1">
      <c r="B177" s="1605"/>
      <c r="C177" s="1614" t="s">
        <v>724</v>
      </c>
      <c r="D177" s="1613">
        <f>+D178+D182</f>
        <v>47000000000</v>
      </c>
      <c r="E177" s="1613">
        <v>46348960628.830002</v>
      </c>
      <c r="F177" s="1601">
        <f t="shared" ref="F177:F186" si="5">+E177/D177*100</f>
        <v>98.614809848574467</v>
      </c>
      <c r="G177" s="1601">
        <f>(G178+G182)/2</f>
        <v>98.75</v>
      </c>
      <c r="H177" s="1608"/>
    </row>
    <row r="178" spans="2:8" s="1599" customFormat="1" ht="21" hidden="1" customHeight="1">
      <c r="B178" s="1605"/>
      <c r="C178" s="1614" t="s">
        <v>2867</v>
      </c>
      <c r="D178" s="1613">
        <f>+D179+D180+D181</f>
        <v>10165716250</v>
      </c>
      <c r="E178" s="1613">
        <v>9994568929.8299999</v>
      </c>
      <c r="F178" s="1601">
        <f t="shared" si="5"/>
        <v>98.316426349496027</v>
      </c>
      <c r="G178" s="1601">
        <f>SUM((G179:G181))/3</f>
        <v>100</v>
      </c>
      <c r="H178" s="1600"/>
    </row>
    <row r="179" spans="2:8" s="1599" customFormat="1" ht="21" hidden="1" customHeight="1">
      <c r="B179" s="1605"/>
      <c r="C179" s="1612" t="s">
        <v>4156</v>
      </c>
      <c r="D179" s="1611">
        <v>8667278000</v>
      </c>
      <c r="E179" s="1611">
        <v>8504105177.8299999</v>
      </c>
      <c r="F179" s="1601">
        <f t="shared" si="5"/>
        <v>98.117369465130807</v>
      </c>
      <c r="G179" s="1601">
        <v>100</v>
      </c>
      <c r="H179" s="1600"/>
    </row>
    <row r="180" spans="2:8" s="1592" customFormat="1" ht="21" hidden="1" customHeight="1">
      <c r="B180" s="1605"/>
      <c r="C180" s="1617" t="s">
        <v>4155</v>
      </c>
      <c r="D180" s="1611">
        <v>899600000</v>
      </c>
      <c r="E180" s="1611">
        <v>893362318</v>
      </c>
      <c r="F180" s="1601">
        <f t="shared" si="5"/>
        <v>99.306616051578473</v>
      </c>
      <c r="G180" s="1601">
        <v>100</v>
      </c>
      <c r="H180" s="1608"/>
    </row>
    <row r="181" spans="2:8" s="1592" customFormat="1" ht="21" hidden="1" customHeight="1">
      <c r="B181" s="1605"/>
      <c r="C181" s="1612" t="s">
        <v>4154</v>
      </c>
      <c r="D181" s="1611">
        <v>598838250</v>
      </c>
      <c r="E181" s="1611">
        <v>597101434</v>
      </c>
      <c r="F181" s="1601">
        <f t="shared" si="5"/>
        <v>99.709969094325558</v>
      </c>
      <c r="G181" s="1601">
        <v>100</v>
      </c>
      <c r="H181" s="1608"/>
    </row>
    <row r="182" spans="2:8" s="1592" customFormat="1" ht="21" hidden="1" customHeight="1">
      <c r="B182" s="1605"/>
      <c r="C182" s="1614" t="s">
        <v>2865</v>
      </c>
      <c r="D182" s="1613">
        <f>+D183+D184+D185+D186</f>
        <v>36834283750</v>
      </c>
      <c r="E182" s="1613">
        <v>36354391699</v>
      </c>
      <c r="F182" s="1601">
        <f t="shared" si="5"/>
        <v>98.697159270811113</v>
      </c>
      <c r="G182" s="1601">
        <f>SUM((G183:G186))/4</f>
        <v>97.5</v>
      </c>
      <c r="H182" s="1608"/>
    </row>
    <row r="183" spans="2:8" s="1599" customFormat="1" ht="24" hidden="1" customHeight="1">
      <c r="B183" s="1605"/>
      <c r="C183" s="862" t="s">
        <v>4153</v>
      </c>
      <c r="D183" s="1611">
        <v>7040690000</v>
      </c>
      <c r="E183" s="1611">
        <v>7040690000</v>
      </c>
      <c r="F183" s="1601">
        <f t="shared" si="5"/>
        <v>100</v>
      </c>
      <c r="G183" s="1601">
        <f>+F183</f>
        <v>100</v>
      </c>
      <c r="H183" s="1600"/>
    </row>
    <row r="184" spans="2:8" s="1592" customFormat="1" ht="21" hidden="1" customHeight="1">
      <c r="B184" s="1605"/>
      <c r="C184" s="1612" t="s">
        <v>4152</v>
      </c>
      <c r="D184" s="1611">
        <v>1077830000</v>
      </c>
      <c r="E184" s="1611">
        <v>1062966920</v>
      </c>
      <c r="F184" s="1601">
        <f t="shared" si="5"/>
        <v>98.621018156852188</v>
      </c>
      <c r="G184" s="1601">
        <v>100</v>
      </c>
      <c r="H184" s="1608"/>
    </row>
    <row r="185" spans="2:8" s="1592" customFormat="1" ht="21" hidden="1" customHeight="1">
      <c r="B185" s="1605"/>
      <c r="C185" s="1612" t="s">
        <v>4151</v>
      </c>
      <c r="D185" s="1611">
        <v>2477180000</v>
      </c>
      <c r="E185" s="1611">
        <v>2170597727</v>
      </c>
      <c r="F185" s="1601">
        <f t="shared" si="5"/>
        <v>87.623738565627036</v>
      </c>
      <c r="G185" s="1601">
        <v>90</v>
      </c>
      <c r="H185" s="1608"/>
    </row>
    <row r="186" spans="2:8" s="1592" customFormat="1" ht="21" hidden="1" customHeight="1">
      <c r="B186" s="1605"/>
      <c r="C186" s="1612" t="s">
        <v>4150</v>
      </c>
      <c r="D186" s="1611">
        <v>26238583750</v>
      </c>
      <c r="E186" s="1611">
        <v>26080137052</v>
      </c>
      <c r="F186" s="1601">
        <f t="shared" si="5"/>
        <v>99.396130905883979</v>
      </c>
      <c r="G186" s="1601">
        <v>100</v>
      </c>
      <c r="H186" s="1608"/>
    </row>
    <row r="187" spans="2:8" s="1592" customFormat="1" ht="15" hidden="1" customHeight="1">
      <c r="B187" s="1605"/>
      <c r="C187" s="868"/>
      <c r="D187" s="1615"/>
      <c r="E187" s="1615"/>
      <c r="F187" s="1601"/>
      <c r="G187" s="1601"/>
      <c r="H187" s="1608"/>
    </row>
    <row r="188" spans="2:8" s="1592" customFormat="1" ht="21" customHeight="1">
      <c r="B188" s="1605"/>
      <c r="C188" s="1614" t="s">
        <v>2417</v>
      </c>
      <c r="D188" s="1613">
        <f>+D189+D195+D197</f>
        <v>716516173000</v>
      </c>
      <c r="E188" s="1613">
        <v>611637968477.94006</v>
      </c>
      <c r="F188" s="1601">
        <f t="shared" ref="F188:F201" si="6">+E188/D188*100</f>
        <v>85.362758235736308</v>
      </c>
      <c r="G188" s="1601">
        <f>(G189+G195+G197)/3</f>
        <v>95.166666666666671</v>
      </c>
      <c r="H188" s="1608"/>
    </row>
    <row r="189" spans="2:8" s="1599" customFormat="1" ht="21" hidden="1" customHeight="1">
      <c r="B189" s="1605"/>
      <c r="C189" s="1614" t="s">
        <v>558</v>
      </c>
      <c r="D189" s="1613">
        <f>+D190+D191+D192+D193+D194</f>
        <v>138307457000</v>
      </c>
      <c r="E189" s="1613">
        <v>123855083704.94</v>
      </c>
      <c r="F189" s="1601">
        <f t="shared" si="6"/>
        <v>89.55054658039154</v>
      </c>
      <c r="G189" s="1601">
        <f>SUM((G190:G194))/5</f>
        <v>98</v>
      </c>
      <c r="H189" s="1600"/>
    </row>
    <row r="190" spans="2:8" s="1599" customFormat="1" ht="21" hidden="1" customHeight="1">
      <c r="B190" s="1605"/>
      <c r="C190" s="1612" t="s">
        <v>4149</v>
      </c>
      <c r="D190" s="1611">
        <v>1889000000</v>
      </c>
      <c r="E190" s="1611">
        <v>1793687000</v>
      </c>
      <c r="F190" s="1601">
        <f t="shared" si="6"/>
        <v>94.954314452091054</v>
      </c>
      <c r="G190" s="1601">
        <v>100</v>
      </c>
      <c r="H190" s="1600"/>
    </row>
    <row r="191" spans="2:8" s="1592" customFormat="1" ht="21" hidden="1" customHeight="1">
      <c r="B191" s="1605"/>
      <c r="C191" s="1612" t="s">
        <v>4148</v>
      </c>
      <c r="D191" s="1611">
        <v>7954000000</v>
      </c>
      <c r="E191" s="1611">
        <v>7652062940</v>
      </c>
      <c r="F191" s="1601">
        <f t="shared" si="6"/>
        <v>96.203959517224035</v>
      </c>
      <c r="G191" s="1601">
        <v>100</v>
      </c>
      <c r="H191" s="1608"/>
    </row>
    <row r="192" spans="2:8" s="1592" customFormat="1" ht="21" hidden="1" customHeight="1">
      <c r="B192" s="1605"/>
      <c r="C192" s="1612" t="s">
        <v>4147</v>
      </c>
      <c r="D192" s="1611">
        <v>88290457000</v>
      </c>
      <c r="E192" s="1611">
        <v>75376275545</v>
      </c>
      <c r="F192" s="1601">
        <f t="shared" si="6"/>
        <v>85.373072137343215</v>
      </c>
      <c r="G192" s="1601">
        <v>90</v>
      </c>
      <c r="H192" s="1608"/>
    </row>
    <row r="193" spans="2:8" s="1592" customFormat="1" ht="21" hidden="1" customHeight="1">
      <c r="B193" s="1605"/>
      <c r="C193" s="1612" t="s">
        <v>4146</v>
      </c>
      <c r="D193" s="1611">
        <v>31424000000</v>
      </c>
      <c r="E193" s="1611">
        <v>30975690647</v>
      </c>
      <c r="F193" s="1601">
        <f t="shared" si="6"/>
        <v>98.573353637347253</v>
      </c>
      <c r="G193" s="1601">
        <v>100</v>
      </c>
      <c r="H193" s="1608"/>
    </row>
    <row r="194" spans="2:8" s="1592" customFormat="1" ht="21" hidden="1" customHeight="1">
      <c r="B194" s="1605"/>
      <c r="C194" s="1612" t="s">
        <v>4145</v>
      </c>
      <c r="D194" s="1611">
        <v>8750000000</v>
      </c>
      <c r="E194" s="1611">
        <v>8057367572.9400005</v>
      </c>
      <c r="F194" s="1601">
        <f t="shared" si="6"/>
        <v>92.084200833600008</v>
      </c>
      <c r="G194" s="1601">
        <v>100</v>
      </c>
      <c r="H194" s="1608"/>
    </row>
    <row r="195" spans="2:8" s="1592" customFormat="1" ht="21" hidden="1" customHeight="1">
      <c r="B195" s="1605"/>
      <c r="C195" s="1614" t="s">
        <v>4144</v>
      </c>
      <c r="D195" s="1613">
        <f>+D196</f>
        <v>106124000000</v>
      </c>
      <c r="E195" s="1613">
        <v>106065952544</v>
      </c>
      <c r="F195" s="1601">
        <f t="shared" si="6"/>
        <v>99.945302235121176</v>
      </c>
      <c r="G195" s="1601">
        <v>100</v>
      </c>
      <c r="H195" s="1608"/>
    </row>
    <row r="196" spans="2:8" s="1599" customFormat="1" ht="21" hidden="1" customHeight="1">
      <c r="B196" s="1605"/>
      <c r="C196" s="1612" t="s">
        <v>4143</v>
      </c>
      <c r="D196" s="1611">
        <v>106124000000</v>
      </c>
      <c r="E196" s="1611">
        <v>106065952544</v>
      </c>
      <c r="F196" s="1601">
        <f t="shared" si="6"/>
        <v>99.945302235121176</v>
      </c>
      <c r="G196" s="1601">
        <v>100</v>
      </c>
      <c r="H196" s="1600"/>
    </row>
    <row r="197" spans="2:8" s="1592" customFormat="1" ht="24" hidden="1" customHeight="1">
      <c r="B197" s="1605"/>
      <c r="C197" s="867" t="s">
        <v>4142</v>
      </c>
      <c r="D197" s="1613">
        <f>+D198+D199+D200+D201</f>
        <v>472084716000</v>
      </c>
      <c r="E197" s="1613">
        <v>381716932229</v>
      </c>
      <c r="F197" s="1601">
        <f t="shared" si="6"/>
        <v>80.857718814391774</v>
      </c>
      <c r="G197" s="1601">
        <f>SUM((G198:G201))/4</f>
        <v>87.5</v>
      </c>
      <c r="H197" s="1608"/>
    </row>
    <row r="198" spans="2:8" s="1599" customFormat="1" ht="21" hidden="1" customHeight="1">
      <c r="B198" s="1605"/>
      <c r="C198" s="1612" t="s">
        <v>4141</v>
      </c>
      <c r="D198" s="1611">
        <v>111632635000</v>
      </c>
      <c r="E198" s="1611">
        <v>87630252556</v>
      </c>
      <c r="F198" s="1601">
        <f t="shared" si="6"/>
        <v>78.498776416054312</v>
      </c>
      <c r="G198" s="1601">
        <v>80</v>
      </c>
      <c r="H198" s="1600"/>
    </row>
    <row r="199" spans="2:8" s="1592" customFormat="1" ht="21" hidden="1" customHeight="1">
      <c r="B199" s="1605"/>
      <c r="C199" s="1612" t="s">
        <v>4140</v>
      </c>
      <c r="D199" s="1611">
        <v>178817187000</v>
      </c>
      <c r="E199" s="1611">
        <v>136813421562</v>
      </c>
      <c r="F199" s="1601">
        <f t="shared" si="6"/>
        <v>76.510219099912362</v>
      </c>
      <c r="G199" s="1601">
        <v>80</v>
      </c>
      <c r="H199" s="1608"/>
    </row>
    <row r="200" spans="2:8" s="1592" customFormat="1" ht="21" hidden="1" customHeight="1">
      <c r="B200" s="1605"/>
      <c r="C200" s="1612" t="s">
        <v>4139</v>
      </c>
      <c r="D200" s="1611">
        <v>161810894000</v>
      </c>
      <c r="E200" s="1611">
        <v>137842373361</v>
      </c>
      <c r="F200" s="1601">
        <f t="shared" si="6"/>
        <v>85.187325743963811</v>
      </c>
      <c r="G200" s="1601">
        <v>90</v>
      </c>
      <c r="H200" s="1608"/>
    </row>
    <row r="201" spans="2:8" s="1592" customFormat="1" ht="21" hidden="1" customHeight="1">
      <c r="B201" s="1605"/>
      <c r="C201" s="1612" t="s">
        <v>4138</v>
      </c>
      <c r="D201" s="1611">
        <v>19824000000</v>
      </c>
      <c r="E201" s="1611">
        <v>19430884750</v>
      </c>
      <c r="F201" s="1601">
        <f t="shared" si="6"/>
        <v>98.016973113397896</v>
      </c>
      <c r="G201" s="1601">
        <v>100</v>
      </c>
      <c r="H201" s="1608"/>
    </row>
    <row r="202" spans="2:8" s="1592" customFormat="1" ht="15" hidden="1" customHeight="1">
      <c r="B202" s="1605"/>
      <c r="C202" s="868"/>
      <c r="D202" s="1615"/>
      <c r="E202" s="1615"/>
      <c r="F202" s="1601"/>
      <c r="G202" s="1601"/>
      <c r="H202" s="1608"/>
    </row>
    <row r="203" spans="2:8" s="1592" customFormat="1" ht="21" customHeight="1">
      <c r="B203" s="1605"/>
      <c r="C203" s="1614" t="s">
        <v>351</v>
      </c>
      <c r="D203" s="1613">
        <f>+D204+D206</f>
        <v>76750000</v>
      </c>
      <c r="E203" s="1613">
        <v>51295264</v>
      </c>
      <c r="F203" s="1601">
        <f t="shared" ref="F203:F208" si="7">+E203/D203*100</f>
        <v>66.834220195439741</v>
      </c>
      <c r="G203" s="1601">
        <f>170/2</f>
        <v>85</v>
      </c>
      <c r="H203" s="1608"/>
    </row>
    <row r="204" spans="2:8" s="1592" customFormat="1" ht="21" hidden="1" customHeight="1">
      <c r="B204" s="1605"/>
      <c r="C204" s="1614" t="s">
        <v>887</v>
      </c>
      <c r="D204" s="1613">
        <v>16200000</v>
      </c>
      <c r="E204" s="1613">
        <v>16200000</v>
      </c>
      <c r="F204" s="1601">
        <f t="shared" si="7"/>
        <v>100</v>
      </c>
      <c r="G204" s="1601">
        <f>+F204</f>
        <v>100</v>
      </c>
      <c r="H204" s="1608"/>
    </row>
    <row r="205" spans="2:8" s="1599" customFormat="1" ht="21" hidden="1" customHeight="1">
      <c r="B205" s="1605"/>
      <c r="C205" s="1612" t="s">
        <v>4137</v>
      </c>
      <c r="D205" s="1611">
        <v>16200000</v>
      </c>
      <c r="E205" s="1611">
        <v>16200000</v>
      </c>
      <c r="F205" s="1601">
        <f t="shared" si="7"/>
        <v>100</v>
      </c>
      <c r="G205" s="1601">
        <f>+F205</f>
        <v>100</v>
      </c>
      <c r="H205" s="1600"/>
    </row>
    <row r="206" spans="2:8" s="1592" customFormat="1" ht="21" hidden="1" customHeight="1">
      <c r="B206" s="1605"/>
      <c r="C206" s="1614" t="s">
        <v>888</v>
      </c>
      <c r="D206" s="1613">
        <v>60550000</v>
      </c>
      <c r="E206" s="1613">
        <v>35095264</v>
      </c>
      <c r="F206" s="1601">
        <f t="shared" si="7"/>
        <v>57.960799339388934</v>
      </c>
      <c r="G206" s="1601">
        <v>70</v>
      </c>
      <c r="H206" s="1608"/>
    </row>
    <row r="207" spans="2:8" s="1599" customFormat="1" ht="21" hidden="1" customHeight="1">
      <c r="B207" s="1605"/>
      <c r="C207" s="1612" t="s">
        <v>4136</v>
      </c>
      <c r="D207" s="1611">
        <v>20550000</v>
      </c>
      <c r="E207" s="1611">
        <v>20405000</v>
      </c>
      <c r="F207" s="1601">
        <f t="shared" si="7"/>
        <v>99.294403892944032</v>
      </c>
      <c r="G207" s="1601">
        <v>100</v>
      </c>
      <c r="H207" s="1600"/>
    </row>
    <row r="208" spans="2:8" s="1592" customFormat="1" ht="21" hidden="1" customHeight="1">
      <c r="B208" s="1616"/>
      <c r="C208" s="1612" t="s">
        <v>2535</v>
      </c>
      <c r="D208" s="1611">
        <v>40000000</v>
      </c>
      <c r="E208" s="1611">
        <v>14690264</v>
      </c>
      <c r="F208" s="1601">
        <f t="shared" si="7"/>
        <v>36.725659999999998</v>
      </c>
      <c r="G208" s="1601">
        <v>40</v>
      </c>
      <c r="H208" s="1608"/>
    </row>
    <row r="209" spans="1:8" s="1592" customFormat="1" ht="15" hidden="1" customHeight="1">
      <c r="B209" s="1616"/>
      <c r="C209" s="868"/>
      <c r="D209" s="1615"/>
      <c r="E209" s="1615"/>
      <c r="F209" s="1601"/>
      <c r="G209" s="1601"/>
      <c r="H209" s="1608"/>
    </row>
    <row r="210" spans="1:8" s="1592" customFormat="1" ht="21" customHeight="1">
      <c r="B210" s="1605"/>
      <c r="C210" s="1614" t="s">
        <v>366</v>
      </c>
      <c r="D210" s="1613">
        <f>+D211</f>
        <v>1000000000</v>
      </c>
      <c r="E210" s="1613">
        <v>998214425</v>
      </c>
      <c r="F210" s="1601">
        <f>+E210/D210*100</f>
        <v>99.821442500000003</v>
      </c>
      <c r="G210" s="1601">
        <v>100</v>
      </c>
      <c r="H210" s="1608"/>
    </row>
    <row r="211" spans="1:8" s="1599" customFormat="1" ht="21" hidden="1" customHeight="1">
      <c r="B211" s="1605"/>
      <c r="C211" s="1614" t="s">
        <v>4135</v>
      </c>
      <c r="D211" s="1613">
        <f>+D212</f>
        <v>1000000000</v>
      </c>
      <c r="E211" s="1613">
        <v>998214425</v>
      </c>
      <c r="F211" s="1601">
        <f>+E211/D211*100</f>
        <v>99.821442500000003</v>
      </c>
      <c r="G211" s="1601">
        <v>100</v>
      </c>
      <c r="H211" s="1600"/>
    </row>
    <row r="212" spans="1:8" s="1599" customFormat="1" ht="21" hidden="1" customHeight="1">
      <c r="B212" s="1605"/>
      <c r="C212" s="1612" t="s">
        <v>4134</v>
      </c>
      <c r="D212" s="1611">
        <v>1000000000</v>
      </c>
      <c r="E212" s="1611">
        <v>998214425</v>
      </c>
      <c r="F212" s="1601">
        <f>+E212/D212*100</f>
        <v>99.821442500000003</v>
      </c>
      <c r="G212" s="1601">
        <v>100</v>
      </c>
      <c r="H212" s="1600"/>
    </row>
    <row r="213" spans="1:8" s="1592" customFormat="1" ht="15" hidden="1" customHeight="1">
      <c r="B213" s="1605"/>
      <c r="C213" s="1610"/>
      <c r="D213" s="1603"/>
      <c r="E213" s="1609"/>
      <c r="F213" s="1601"/>
      <c r="G213" s="1601"/>
      <c r="H213" s="1608"/>
    </row>
    <row r="214" spans="1:8" s="1599" customFormat="1" ht="21" hidden="1" customHeight="1">
      <c r="B214" s="1605"/>
      <c r="C214" s="1604" t="s">
        <v>2783</v>
      </c>
      <c r="D214" s="1607">
        <f>+D215</f>
        <v>220407077000</v>
      </c>
      <c r="E214" s="1606">
        <f>+E215</f>
        <v>220353077000</v>
      </c>
      <c r="F214" s="1601">
        <f>+E214/D214*100</f>
        <v>99.975499879252965</v>
      </c>
      <c r="G214" s="1601">
        <v>100</v>
      </c>
      <c r="H214" s="1600"/>
    </row>
    <row r="215" spans="1:8" s="1599" customFormat="1" ht="21" hidden="1" customHeight="1">
      <c r="B215" s="1605"/>
      <c r="C215" s="1604" t="s">
        <v>375</v>
      </c>
      <c r="D215" s="1603">
        <f>+D216</f>
        <v>220407077000</v>
      </c>
      <c r="E215" s="1602">
        <f>+E216</f>
        <v>220353077000</v>
      </c>
      <c r="F215" s="1601">
        <f>+E215/D215*100</f>
        <v>99.975499879252965</v>
      </c>
      <c r="G215" s="1601">
        <v>100</v>
      </c>
      <c r="H215" s="1600"/>
    </row>
    <row r="216" spans="1:8" s="1592" customFormat="1" ht="21" hidden="1" customHeight="1">
      <c r="B216" s="1598"/>
      <c r="C216" s="1597" t="s">
        <v>376</v>
      </c>
      <c r="D216" s="1596">
        <v>220407077000</v>
      </c>
      <c r="E216" s="1595">
        <v>220353077000</v>
      </c>
      <c r="F216" s="1594">
        <f>+E216/D216*100</f>
        <v>99.975499879252965</v>
      </c>
      <c r="G216" s="1594">
        <v>100</v>
      </c>
      <c r="H216" s="1593"/>
    </row>
    <row r="217" spans="1:8" s="656" customFormat="1" ht="21" customHeight="1">
      <c r="B217" s="1591"/>
      <c r="C217" s="672" t="s">
        <v>2753</v>
      </c>
      <c r="D217" s="1590">
        <f>+D214+D210+D203+D188+D177+D144+D18+D14</f>
        <v>2824446537000</v>
      </c>
      <c r="E217" s="1590">
        <f>+E13</f>
        <v>2210205479205.8701</v>
      </c>
      <c r="F217" s="1589">
        <f>+E217/D217*100</f>
        <v>78.252693058706328</v>
      </c>
      <c r="G217" s="1589">
        <f>(G214+G210++G203+G188+G177+G144+G18+G14)/8</f>
        <v>69.950845956055105</v>
      </c>
      <c r="H217" s="1588"/>
    </row>
    <row r="218" spans="1:8" ht="19.5" customHeight="1">
      <c r="A218" s="675"/>
      <c r="H218" s="675"/>
    </row>
    <row r="219" spans="1:8" ht="19.5" customHeight="1">
      <c r="B219" s="680"/>
      <c r="C219" s="1587"/>
    </row>
    <row r="220" spans="1:8" ht="19.5" customHeight="1">
      <c r="B220" s="680"/>
      <c r="C220" s="1586"/>
    </row>
    <row r="221" spans="1:8" ht="19.5" customHeight="1">
      <c r="B221" s="680"/>
      <c r="C221" s="1585"/>
    </row>
    <row r="222" spans="1:8" ht="19.5" customHeight="1">
      <c r="B222" s="680"/>
      <c r="C222" s="706"/>
    </row>
    <row r="223" spans="1:8" ht="36" customHeight="1">
      <c r="C223" s="1584"/>
    </row>
    <row r="224" spans="1:8" ht="28.5" customHeight="1">
      <c r="B224" s="621"/>
      <c r="C224" s="1583"/>
    </row>
    <row r="225" spans="3:5" ht="36" customHeight="1">
      <c r="C225" s="1582"/>
      <c r="E225" s="1581"/>
    </row>
    <row r="226" spans="3:5" ht="36" customHeight="1">
      <c r="C226" s="1580"/>
    </row>
  </sheetData>
  <mergeCells count="10">
    <mergeCell ref="D9:G9"/>
    <mergeCell ref="H9:H10"/>
    <mergeCell ref="B1:H1"/>
    <mergeCell ref="B2:H2"/>
    <mergeCell ref="B3:H3"/>
    <mergeCell ref="B4:H4"/>
    <mergeCell ref="B7:C7"/>
    <mergeCell ref="B9:B10"/>
    <mergeCell ref="C9:C10"/>
    <mergeCell ref="F7:G7"/>
  </mergeCells>
  <printOptions horizontalCentered="1"/>
  <pageMargins left="0.70866141732283472" right="0" top="0.39370078740157483" bottom="0.19685039370078741" header="0" footer="0"/>
  <pageSetup paperSize="258" fitToHeight="0" orientation="landscape" r:id="rId1"/>
  <rowBreaks count="1" manualBreakCount="1">
    <brk id="213" min="1" max="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69"/>
  <sheetViews>
    <sheetView tabSelected="1" view="pageBreakPreview" zoomScale="85" zoomScaleNormal="85" zoomScaleSheetLayoutView="85" workbookViewId="0">
      <selection activeCell="B9" sqref="B9:B10"/>
    </sheetView>
  </sheetViews>
  <sheetFormatPr defaultColWidth="8.85546875" defaultRowHeight="36" customHeight="1"/>
  <cols>
    <col min="1" max="1" width="3.5703125" style="621" customWidth="1"/>
    <col min="2" max="2" width="8" style="685" customWidth="1"/>
    <col min="3" max="3" width="60.5703125" style="686" customWidth="1"/>
    <col min="4" max="4" width="19.140625" style="681" customWidth="1"/>
    <col min="5" max="5" width="22.7109375" style="687" hidden="1" customWidth="1"/>
    <col min="6" max="6" width="10" style="688" customWidth="1"/>
    <col min="7" max="7" width="10.140625" style="621" customWidth="1"/>
    <col min="8" max="14" width="8.5703125" style="621" customWidth="1"/>
    <col min="15" max="15" width="7.140625" style="621" customWidth="1"/>
    <col min="16" max="16" width="3.42578125" style="621" customWidth="1"/>
    <col min="17" max="256" width="8.85546875" style="621"/>
    <col min="257" max="257" width="3.5703125" style="621" customWidth="1"/>
    <col min="258" max="258" width="8" style="621" customWidth="1"/>
    <col min="259" max="259" width="58.5703125" style="621" customWidth="1"/>
    <col min="260" max="260" width="22.7109375" style="621" customWidth="1"/>
    <col min="261" max="261" width="0" style="621" hidden="1" customWidth="1"/>
    <col min="262" max="262" width="11.42578125" style="621" customWidth="1"/>
    <col min="263" max="263" width="15.85546875" style="621" customWidth="1"/>
    <col min="264" max="264" width="17.140625" style="621" customWidth="1"/>
    <col min="265" max="265" width="15.85546875" style="621" customWidth="1"/>
    <col min="266" max="266" width="12.28515625" style="621" customWidth="1"/>
    <col min="267" max="267" width="15.28515625" style="621" customWidth="1"/>
    <col min="268" max="268" width="15.140625" style="621" customWidth="1"/>
    <col min="269" max="269" width="15" style="621" customWidth="1"/>
    <col min="270" max="270" width="12.140625" style="621" customWidth="1"/>
    <col min="271" max="271" width="26.42578125" style="621" customWidth="1"/>
    <col min="272" max="272" width="3.42578125" style="621" customWidth="1"/>
    <col min="273" max="512" width="8.85546875" style="621"/>
    <col min="513" max="513" width="3.5703125" style="621" customWidth="1"/>
    <col min="514" max="514" width="8" style="621" customWidth="1"/>
    <col min="515" max="515" width="58.5703125" style="621" customWidth="1"/>
    <col min="516" max="516" width="22.7109375" style="621" customWidth="1"/>
    <col min="517" max="517" width="0" style="621" hidden="1" customWidth="1"/>
    <col min="518" max="518" width="11.42578125" style="621" customWidth="1"/>
    <col min="519" max="519" width="15.85546875" style="621" customWidth="1"/>
    <col min="520" max="520" width="17.140625" style="621" customWidth="1"/>
    <col min="521" max="521" width="15.85546875" style="621" customWidth="1"/>
    <col min="522" max="522" width="12.28515625" style="621" customWidth="1"/>
    <col min="523" max="523" width="15.28515625" style="621" customWidth="1"/>
    <col min="524" max="524" width="15.140625" style="621" customWidth="1"/>
    <col min="525" max="525" width="15" style="621" customWidth="1"/>
    <col min="526" max="526" width="12.140625" style="621" customWidth="1"/>
    <col min="527" max="527" width="26.42578125" style="621" customWidth="1"/>
    <col min="528" max="528" width="3.42578125" style="621" customWidth="1"/>
    <col min="529" max="768" width="8.85546875" style="621"/>
    <col min="769" max="769" width="3.5703125" style="621" customWidth="1"/>
    <col min="770" max="770" width="8" style="621" customWidth="1"/>
    <col min="771" max="771" width="58.5703125" style="621" customWidth="1"/>
    <col min="772" max="772" width="22.7109375" style="621" customWidth="1"/>
    <col min="773" max="773" width="0" style="621" hidden="1" customWidth="1"/>
    <col min="774" max="774" width="11.42578125" style="621" customWidth="1"/>
    <col min="775" max="775" width="15.85546875" style="621" customWidth="1"/>
    <col min="776" max="776" width="17.140625" style="621" customWidth="1"/>
    <col min="777" max="777" width="15.85546875" style="621" customWidth="1"/>
    <col min="778" max="778" width="12.28515625" style="621" customWidth="1"/>
    <col min="779" max="779" width="15.28515625" style="621" customWidth="1"/>
    <col min="780" max="780" width="15.140625" style="621" customWidth="1"/>
    <col min="781" max="781" width="15" style="621" customWidth="1"/>
    <col min="782" max="782" width="12.140625" style="621" customWidth="1"/>
    <col min="783" max="783" width="26.42578125" style="621" customWidth="1"/>
    <col min="784" max="784" width="3.42578125" style="621" customWidth="1"/>
    <col min="785" max="1024" width="8.85546875" style="621"/>
    <col min="1025" max="1025" width="3.5703125" style="621" customWidth="1"/>
    <col min="1026" max="1026" width="8" style="621" customWidth="1"/>
    <col min="1027" max="1027" width="58.5703125" style="621" customWidth="1"/>
    <col min="1028" max="1028" width="22.7109375" style="621" customWidth="1"/>
    <col min="1029" max="1029" width="0" style="621" hidden="1" customWidth="1"/>
    <col min="1030" max="1030" width="11.42578125" style="621" customWidth="1"/>
    <col min="1031" max="1031" width="15.85546875" style="621" customWidth="1"/>
    <col min="1032" max="1032" width="17.140625" style="621" customWidth="1"/>
    <col min="1033" max="1033" width="15.85546875" style="621" customWidth="1"/>
    <col min="1034" max="1034" width="12.28515625" style="621" customWidth="1"/>
    <col min="1035" max="1035" width="15.28515625" style="621" customWidth="1"/>
    <col min="1036" max="1036" width="15.140625" style="621" customWidth="1"/>
    <col min="1037" max="1037" width="15" style="621" customWidth="1"/>
    <col min="1038" max="1038" width="12.140625" style="621" customWidth="1"/>
    <col min="1039" max="1039" width="26.42578125" style="621" customWidth="1"/>
    <col min="1040" max="1040" width="3.42578125" style="621" customWidth="1"/>
    <col min="1041" max="1280" width="8.85546875" style="621"/>
    <col min="1281" max="1281" width="3.5703125" style="621" customWidth="1"/>
    <col min="1282" max="1282" width="8" style="621" customWidth="1"/>
    <col min="1283" max="1283" width="58.5703125" style="621" customWidth="1"/>
    <col min="1284" max="1284" width="22.7109375" style="621" customWidth="1"/>
    <col min="1285" max="1285" width="0" style="621" hidden="1" customWidth="1"/>
    <col min="1286" max="1286" width="11.42578125" style="621" customWidth="1"/>
    <col min="1287" max="1287" width="15.85546875" style="621" customWidth="1"/>
    <col min="1288" max="1288" width="17.140625" style="621" customWidth="1"/>
    <col min="1289" max="1289" width="15.85546875" style="621" customWidth="1"/>
    <col min="1290" max="1290" width="12.28515625" style="621" customWidth="1"/>
    <col min="1291" max="1291" width="15.28515625" style="621" customWidth="1"/>
    <col min="1292" max="1292" width="15.140625" style="621" customWidth="1"/>
    <col min="1293" max="1293" width="15" style="621" customWidth="1"/>
    <col min="1294" max="1294" width="12.140625" style="621" customWidth="1"/>
    <col min="1295" max="1295" width="26.42578125" style="621" customWidth="1"/>
    <col min="1296" max="1296" width="3.42578125" style="621" customWidth="1"/>
    <col min="1297" max="1536" width="8.85546875" style="621"/>
    <col min="1537" max="1537" width="3.5703125" style="621" customWidth="1"/>
    <col min="1538" max="1538" width="8" style="621" customWidth="1"/>
    <col min="1539" max="1539" width="58.5703125" style="621" customWidth="1"/>
    <col min="1540" max="1540" width="22.7109375" style="621" customWidth="1"/>
    <col min="1541" max="1541" width="0" style="621" hidden="1" customWidth="1"/>
    <col min="1542" max="1542" width="11.42578125" style="621" customWidth="1"/>
    <col min="1543" max="1543" width="15.85546875" style="621" customWidth="1"/>
    <col min="1544" max="1544" width="17.140625" style="621" customWidth="1"/>
    <col min="1545" max="1545" width="15.85546875" style="621" customWidth="1"/>
    <col min="1546" max="1546" width="12.28515625" style="621" customWidth="1"/>
    <col min="1547" max="1547" width="15.28515625" style="621" customWidth="1"/>
    <col min="1548" max="1548" width="15.140625" style="621" customWidth="1"/>
    <col min="1549" max="1549" width="15" style="621" customWidth="1"/>
    <col min="1550" max="1550" width="12.140625" style="621" customWidth="1"/>
    <col min="1551" max="1551" width="26.42578125" style="621" customWidth="1"/>
    <col min="1552" max="1552" width="3.42578125" style="621" customWidth="1"/>
    <col min="1553" max="1792" width="8.85546875" style="621"/>
    <col min="1793" max="1793" width="3.5703125" style="621" customWidth="1"/>
    <col min="1794" max="1794" width="8" style="621" customWidth="1"/>
    <col min="1795" max="1795" width="58.5703125" style="621" customWidth="1"/>
    <col min="1796" max="1796" width="22.7109375" style="621" customWidth="1"/>
    <col min="1797" max="1797" width="0" style="621" hidden="1" customWidth="1"/>
    <col min="1798" max="1798" width="11.42578125" style="621" customWidth="1"/>
    <col min="1799" max="1799" width="15.85546875" style="621" customWidth="1"/>
    <col min="1800" max="1800" width="17.140625" style="621" customWidth="1"/>
    <col min="1801" max="1801" width="15.85546875" style="621" customWidth="1"/>
    <col min="1802" max="1802" width="12.28515625" style="621" customWidth="1"/>
    <col min="1803" max="1803" width="15.28515625" style="621" customWidth="1"/>
    <col min="1804" max="1804" width="15.140625" style="621" customWidth="1"/>
    <col min="1805" max="1805" width="15" style="621" customWidth="1"/>
    <col min="1806" max="1806" width="12.140625" style="621" customWidth="1"/>
    <col min="1807" max="1807" width="26.42578125" style="621" customWidth="1"/>
    <col min="1808" max="1808" width="3.42578125" style="621" customWidth="1"/>
    <col min="1809" max="2048" width="8.85546875" style="621"/>
    <col min="2049" max="2049" width="3.5703125" style="621" customWidth="1"/>
    <col min="2050" max="2050" width="8" style="621" customWidth="1"/>
    <col min="2051" max="2051" width="58.5703125" style="621" customWidth="1"/>
    <col min="2052" max="2052" width="22.7109375" style="621" customWidth="1"/>
    <col min="2053" max="2053" width="0" style="621" hidden="1" customWidth="1"/>
    <col min="2054" max="2054" width="11.42578125" style="621" customWidth="1"/>
    <col min="2055" max="2055" width="15.85546875" style="621" customWidth="1"/>
    <col min="2056" max="2056" width="17.140625" style="621" customWidth="1"/>
    <col min="2057" max="2057" width="15.85546875" style="621" customWidth="1"/>
    <col min="2058" max="2058" width="12.28515625" style="621" customWidth="1"/>
    <col min="2059" max="2059" width="15.28515625" style="621" customWidth="1"/>
    <col min="2060" max="2060" width="15.140625" style="621" customWidth="1"/>
    <col min="2061" max="2061" width="15" style="621" customWidth="1"/>
    <col min="2062" max="2062" width="12.140625" style="621" customWidth="1"/>
    <col min="2063" max="2063" width="26.42578125" style="621" customWidth="1"/>
    <col min="2064" max="2064" width="3.42578125" style="621" customWidth="1"/>
    <col min="2065" max="2304" width="8.85546875" style="621"/>
    <col min="2305" max="2305" width="3.5703125" style="621" customWidth="1"/>
    <col min="2306" max="2306" width="8" style="621" customWidth="1"/>
    <col min="2307" max="2307" width="58.5703125" style="621" customWidth="1"/>
    <col min="2308" max="2308" width="22.7109375" style="621" customWidth="1"/>
    <col min="2309" max="2309" width="0" style="621" hidden="1" customWidth="1"/>
    <col min="2310" max="2310" width="11.42578125" style="621" customWidth="1"/>
    <col min="2311" max="2311" width="15.85546875" style="621" customWidth="1"/>
    <col min="2312" max="2312" width="17.140625" style="621" customWidth="1"/>
    <col min="2313" max="2313" width="15.85546875" style="621" customWidth="1"/>
    <col min="2314" max="2314" width="12.28515625" style="621" customWidth="1"/>
    <col min="2315" max="2315" width="15.28515625" style="621" customWidth="1"/>
    <col min="2316" max="2316" width="15.140625" style="621" customWidth="1"/>
    <col min="2317" max="2317" width="15" style="621" customWidth="1"/>
    <col min="2318" max="2318" width="12.140625" style="621" customWidth="1"/>
    <col min="2319" max="2319" width="26.42578125" style="621" customWidth="1"/>
    <col min="2320" max="2320" width="3.42578125" style="621" customWidth="1"/>
    <col min="2321" max="2560" width="8.85546875" style="621"/>
    <col min="2561" max="2561" width="3.5703125" style="621" customWidth="1"/>
    <col min="2562" max="2562" width="8" style="621" customWidth="1"/>
    <col min="2563" max="2563" width="58.5703125" style="621" customWidth="1"/>
    <col min="2564" max="2564" width="22.7109375" style="621" customWidth="1"/>
    <col min="2565" max="2565" width="0" style="621" hidden="1" customWidth="1"/>
    <col min="2566" max="2566" width="11.42578125" style="621" customWidth="1"/>
    <col min="2567" max="2567" width="15.85546875" style="621" customWidth="1"/>
    <col min="2568" max="2568" width="17.140625" style="621" customWidth="1"/>
    <col min="2569" max="2569" width="15.85546875" style="621" customWidth="1"/>
    <col min="2570" max="2570" width="12.28515625" style="621" customWidth="1"/>
    <col min="2571" max="2571" width="15.28515625" style="621" customWidth="1"/>
    <col min="2572" max="2572" width="15.140625" style="621" customWidth="1"/>
    <col min="2573" max="2573" width="15" style="621" customWidth="1"/>
    <col min="2574" max="2574" width="12.140625" style="621" customWidth="1"/>
    <col min="2575" max="2575" width="26.42578125" style="621" customWidth="1"/>
    <col min="2576" max="2576" width="3.42578125" style="621" customWidth="1"/>
    <col min="2577" max="2816" width="8.85546875" style="621"/>
    <col min="2817" max="2817" width="3.5703125" style="621" customWidth="1"/>
    <col min="2818" max="2818" width="8" style="621" customWidth="1"/>
    <col min="2819" max="2819" width="58.5703125" style="621" customWidth="1"/>
    <col min="2820" max="2820" width="22.7109375" style="621" customWidth="1"/>
    <col min="2821" max="2821" width="0" style="621" hidden="1" customWidth="1"/>
    <col min="2822" max="2822" width="11.42578125" style="621" customWidth="1"/>
    <col min="2823" max="2823" width="15.85546875" style="621" customWidth="1"/>
    <col min="2824" max="2824" width="17.140625" style="621" customWidth="1"/>
    <col min="2825" max="2825" width="15.85546875" style="621" customWidth="1"/>
    <col min="2826" max="2826" width="12.28515625" style="621" customWidth="1"/>
    <col min="2827" max="2827" width="15.28515625" style="621" customWidth="1"/>
    <col min="2828" max="2828" width="15.140625" style="621" customWidth="1"/>
    <col min="2829" max="2829" width="15" style="621" customWidth="1"/>
    <col min="2830" max="2830" width="12.140625" style="621" customWidth="1"/>
    <col min="2831" max="2831" width="26.42578125" style="621" customWidth="1"/>
    <col min="2832" max="2832" width="3.42578125" style="621" customWidth="1"/>
    <col min="2833" max="3072" width="8.85546875" style="621"/>
    <col min="3073" max="3073" width="3.5703125" style="621" customWidth="1"/>
    <col min="3074" max="3074" width="8" style="621" customWidth="1"/>
    <col min="3075" max="3075" width="58.5703125" style="621" customWidth="1"/>
    <col min="3076" max="3076" width="22.7109375" style="621" customWidth="1"/>
    <col min="3077" max="3077" width="0" style="621" hidden="1" customWidth="1"/>
    <col min="3078" max="3078" width="11.42578125" style="621" customWidth="1"/>
    <col min="3079" max="3079" width="15.85546875" style="621" customWidth="1"/>
    <col min="3080" max="3080" width="17.140625" style="621" customWidth="1"/>
    <col min="3081" max="3081" width="15.85546875" style="621" customWidth="1"/>
    <col min="3082" max="3082" width="12.28515625" style="621" customWidth="1"/>
    <col min="3083" max="3083" width="15.28515625" style="621" customWidth="1"/>
    <col min="3084" max="3084" width="15.140625" style="621" customWidth="1"/>
    <col min="3085" max="3085" width="15" style="621" customWidth="1"/>
    <col min="3086" max="3086" width="12.140625" style="621" customWidth="1"/>
    <col min="3087" max="3087" width="26.42578125" style="621" customWidth="1"/>
    <col min="3088" max="3088" width="3.42578125" style="621" customWidth="1"/>
    <col min="3089" max="3328" width="8.85546875" style="621"/>
    <col min="3329" max="3329" width="3.5703125" style="621" customWidth="1"/>
    <col min="3330" max="3330" width="8" style="621" customWidth="1"/>
    <col min="3331" max="3331" width="58.5703125" style="621" customWidth="1"/>
    <col min="3332" max="3332" width="22.7109375" style="621" customWidth="1"/>
    <col min="3333" max="3333" width="0" style="621" hidden="1" customWidth="1"/>
    <col min="3334" max="3334" width="11.42578125" style="621" customWidth="1"/>
    <col min="3335" max="3335" width="15.85546875" style="621" customWidth="1"/>
    <col min="3336" max="3336" width="17.140625" style="621" customWidth="1"/>
    <col min="3337" max="3337" width="15.85546875" style="621" customWidth="1"/>
    <col min="3338" max="3338" width="12.28515625" style="621" customWidth="1"/>
    <col min="3339" max="3339" width="15.28515625" style="621" customWidth="1"/>
    <col min="3340" max="3340" width="15.140625" style="621" customWidth="1"/>
    <col min="3341" max="3341" width="15" style="621" customWidth="1"/>
    <col min="3342" max="3342" width="12.140625" style="621" customWidth="1"/>
    <col min="3343" max="3343" width="26.42578125" style="621" customWidth="1"/>
    <col min="3344" max="3344" width="3.42578125" style="621" customWidth="1"/>
    <col min="3345" max="3584" width="8.85546875" style="621"/>
    <col min="3585" max="3585" width="3.5703125" style="621" customWidth="1"/>
    <col min="3586" max="3586" width="8" style="621" customWidth="1"/>
    <col min="3587" max="3587" width="58.5703125" style="621" customWidth="1"/>
    <col min="3588" max="3588" width="22.7109375" style="621" customWidth="1"/>
    <col min="3589" max="3589" width="0" style="621" hidden="1" customWidth="1"/>
    <col min="3590" max="3590" width="11.42578125" style="621" customWidth="1"/>
    <col min="3591" max="3591" width="15.85546875" style="621" customWidth="1"/>
    <col min="3592" max="3592" width="17.140625" style="621" customWidth="1"/>
    <col min="3593" max="3593" width="15.85546875" style="621" customWidth="1"/>
    <col min="3594" max="3594" width="12.28515625" style="621" customWidth="1"/>
    <col min="3595" max="3595" width="15.28515625" style="621" customWidth="1"/>
    <col min="3596" max="3596" width="15.140625" style="621" customWidth="1"/>
    <col min="3597" max="3597" width="15" style="621" customWidth="1"/>
    <col min="3598" max="3598" width="12.140625" style="621" customWidth="1"/>
    <col min="3599" max="3599" width="26.42578125" style="621" customWidth="1"/>
    <col min="3600" max="3600" width="3.42578125" style="621" customWidth="1"/>
    <col min="3601" max="3840" width="8.85546875" style="621"/>
    <col min="3841" max="3841" width="3.5703125" style="621" customWidth="1"/>
    <col min="3842" max="3842" width="8" style="621" customWidth="1"/>
    <col min="3843" max="3843" width="58.5703125" style="621" customWidth="1"/>
    <col min="3844" max="3844" width="22.7109375" style="621" customWidth="1"/>
    <col min="3845" max="3845" width="0" style="621" hidden="1" customWidth="1"/>
    <col min="3846" max="3846" width="11.42578125" style="621" customWidth="1"/>
    <col min="3847" max="3847" width="15.85546875" style="621" customWidth="1"/>
    <col min="3848" max="3848" width="17.140625" style="621" customWidth="1"/>
    <col min="3849" max="3849" width="15.85546875" style="621" customWidth="1"/>
    <col min="3850" max="3850" width="12.28515625" style="621" customWidth="1"/>
    <col min="3851" max="3851" width="15.28515625" style="621" customWidth="1"/>
    <col min="3852" max="3852" width="15.140625" style="621" customWidth="1"/>
    <col min="3853" max="3853" width="15" style="621" customWidth="1"/>
    <col min="3854" max="3854" width="12.140625" style="621" customWidth="1"/>
    <col min="3855" max="3855" width="26.42578125" style="621" customWidth="1"/>
    <col min="3856" max="3856" width="3.42578125" style="621" customWidth="1"/>
    <col min="3857" max="4096" width="8.85546875" style="621"/>
    <col min="4097" max="4097" width="3.5703125" style="621" customWidth="1"/>
    <col min="4098" max="4098" width="8" style="621" customWidth="1"/>
    <col min="4099" max="4099" width="58.5703125" style="621" customWidth="1"/>
    <col min="4100" max="4100" width="22.7109375" style="621" customWidth="1"/>
    <col min="4101" max="4101" width="0" style="621" hidden="1" customWidth="1"/>
    <col min="4102" max="4102" width="11.42578125" style="621" customWidth="1"/>
    <col min="4103" max="4103" width="15.85546875" style="621" customWidth="1"/>
    <col min="4104" max="4104" width="17.140625" style="621" customWidth="1"/>
    <col min="4105" max="4105" width="15.85546875" style="621" customWidth="1"/>
    <col min="4106" max="4106" width="12.28515625" style="621" customWidth="1"/>
    <col min="4107" max="4107" width="15.28515625" style="621" customWidth="1"/>
    <col min="4108" max="4108" width="15.140625" style="621" customWidth="1"/>
    <col min="4109" max="4109" width="15" style="621" customWidth="1"/>
    <col min="4110" max="4110" width="12.140625" style="621" customWidth="1"/>
    <col min="4111" max="4111" width="26.42578125" style="621" customWidth="1"/>
    <col min="4112" max="4112" width="3.42578125" style="621" customWidth="1"/>
    <col min="4113" max="4352" width="8.85546875" style="621"/>
    <col min="4353" max="4353" width="3.5703125" style="621" customWidth="1"/>
    <col min="4354" max="4354" width="8" style="621" customWidth="1"/>
    <col min="4355" max="4355" width="58.5703125" style="621" customWidth="1"/>
    <col min="4356" max="4356" width="22.7109375" style="621" customWidth="1"/>
    <col min="4357" max="4357" width="0" style="621" hidden="1" customWidth="1"/>
    <col min="4358" max="4358" width="11.42578125" style="621" customWidth="1"/>
    <col min="4359" max="4359" width="15.85546875" style="621" customWidth="1"/>
    <col min="4360" max="4360" width="17.140625" style="621" customWidth="1"/>
    <col min="4361" max="4361" width="15.85546875" style="621" customWidth="1"/>
    <col min="4362" max="4362" width="12.28515625" style="621" customWidth="1"/>
    <col min="4363" max="4363" width="15.28515625" style="621" customWidth="1"/>
    <col min="4364" max="4364" width="15.140625" style="621" customWidth="1"/>
    <col min="4365" max="4365" width="15" style="621" customWidth="1"/>
    <col min="4366" max="4366" width="12.140625" style="621" customWidth="1"/>
    <col min="4367" max="4367" width="26.42578125" style="621" customWidth="1"/>
    <col min="4368" max="4368" width="3.42578125" style="621" customWidth="1"/>
    <col min="4369" max="4608" width="8.85546875" style="621"/>
    <col min="4609" max="4609" width="3.5703125" style="621" customWidth="1"/>
    <col min="4610" max="4610" width="8" style="621" customWidth="1"/>
    <col min="4611" max="4611" width="58.5703125" style="621" customWidth="1"/>
    <col min="4612" max="4612" width="22.7109375" style="621" customWidth="1"/>
    <col min="4613" max="4613" width="0" style="621" hidden="1" customWidth="1"/>
    <col min="4614" max="4614" width="11.42578125" style="621" customWidth="1"/>
    <col min="4615" max="4615" width="15.85546875" style="621" customWidth="1"/>
    <col min="4616" max="4616" width="17.140625" style="621" customWidth="1"/>
    <col min="4617" max="4617" width="15.85546875" style="621" customWidth="1"/>
    <col min="4618" max="4618" width="12.28515625" style="621" customWidth="1"/>
    <col min="4619" max="4619" width="15.28515625" style="621" customWidth="1"/>
    <col min="4620" max="4620" width="15.140625" style="621" customWidth="1"/>
    <col min="4621" max="4621" width="15" style="621" customWidth="1"/>
    <col min="4622" max="4622" width="12.140625" style="621" customWidth="1"/>
    <col min="4623" max="4623" width="26.42578125" style="621" customWidth="1"/>
    <col min="4624" max="4624" width="3.42578125" style="621" customWidth="1"/>
    <col min="4625" max="4864" width="8.85546875" style="621"/>
    <col min="4865" max="4865" width="3.5703125" style="621" customWidth="1"/>
    <col min="4866" max="4866" width="8" style="621" customWidth="1"/>
    <col min="4867" max="4867" width="58.5703125" style="621" customWidth="1"/>
    <col min="4868" max="4868" width="22.7109375" style="621" customWidth="1"/>
    <col min="4869" max="4869" width="0" style="621" hidden="1" customWidth="1"/>
    <col min="4870" max="4870" width="11.42578125" style="621" customWidth="1"/>
    <col min="4871" max="4871" width="15.85546875" style="621" customWidth="1"/>
    <col min="4872" max="4872" width="17.140625" style="621" customWidth="1"/>
    <col min="4873" max="4873" width="15.85546875" style="621" customWidth="1"/>
    <col min="4874" max="4874" width="12.28515625" style="621" customWidth="1"/>
    <col min="4875" max="4875" width="15.28515625" style="621" customWidth="1"/>
    <col min="4876" max="4876" width="15.140625" style="621" customWidth="1"/>
    <col min="4877" max="4877" width="15" style="621" customWidth="1"/>
    <col min="4878" max="4878" width="12.140625" style="621" customWidth="1"/>
    <col min="4879" max="4879" width="26.42578125" style="621" customWidth="1"/>
    <col min="4880" max="4880" width="3.42578125" style="621" customWidth="1"/>
    <col min="4881" max="5120" width="8.85546875" style="621"/>
    <col min="5121" max="5121" width="3.5703125" style="621" customWidth="1"/>
    <col min="5122" max="5122" width="8" style="621" customWidth="1"/>
    <col min="5123" max="5123" width="58.5703125" style="621" customWidth="1"/>
    <col min="5124" max="5124" width="22.7109375" style="621" customWidth="1"/>
    <col min="5125" max="5125" width="0" style="621" hidden="1" customWidth="1"/>
    <col min="5126" max="5126" width="11.42578125" style="621" customWidth="1"/>
    <col min="5127" max="5127" width="15.85546875" style="621" customWidth="1"/>
    <col min="5128" max="5128" width="17.140625" style="621" customWidth="1"/>
    <col min="5129" max="5129" width="15.85546875" style="621" customWidth="1"/>
    <col min="5130" max="5130" width="12.28515625" style="621" customWidth="1"/>
    <col min="5131" max="5131" width="15.28515625" style="621" customWidth="1"/>
    <col min="5132" max="5132" width="15.140625" style="621" customWidth="1"/>
    <col min="5133" max="5133" width="15" style="621" customWidth="1"/>
    <col min="5134" max="5134" width="12.140625" style="621" customWidth="1"/>
    <col min="5135" max="5135" width="26.42578125" style="621" customWidth="1"/>
    <col min="5136" max="5136" width="3.42578125" style="621" customWidth="1"/>
    <col min="5137" max="5376" width="8.85546875" style="621"/>
    <col min="5377" max="5377" width="3.5703125" style="621" customWidth="1"/>
    <col min="5378" max="5378" width="8" style="621" customWidth="1"/>
    <col min="5379" max="5379" width="58.5703125" style="621" customWidth="1"/>
    <col min="5380" max="5380" width="22.7109375" style="621" customWidth="1"/>
    <col min="5381" max="5381" width="0" style="621" hidden="1" customWidth="1"/>
    <col min="5382" max="5382" width="11.42578125" style="621" customWidth="1"/>
    <col min="5383" max="5383" width="15.85546875" style="621" customWidth="1"/>
    <col min="5384" max="5384" width="17.140625" style="621" customWidth="1"/>
    <col min="5385" max="5385" width="15.85546875" style="621" customWidth="1"/>
    <col min="5386" max="5386" width="12.28515625" style="621" customWidth="1"/>
    <col min="5387" max="5387" width="15.28515625" style="621" customWidth="1"/>
    <col min="5388" max="5388" width="15.140625" style="621" customWidth="1"/>
    <col min="5389" max="5389" width="15" style="621" customWidth="1"/>
    <col min="5390" max="5390" width="12.140625" style="621" customWidth="1"/>
    <col min="5391" max="5391" width="26.42578125" style="621" customWidth="1"/>
    <col min="5392" max="5392" width="3.42578125" style="621" customWidth="1"/>
    <col min="5393" max="5632" width="8.85546875" style="621"/>
    <col min="5633" max="5633" width="3.5703125" style="621" customWidth="1"/>
    <col min="5634" max="5634" width="8" style="621" customWidth="1"/>
    <col min="5635" max="5635" width="58.5703125" style="621" customWidth="1"/>
    <col min="5636" max="5636" width="22.7109375" style="621" customWidth="1"/>
    <col min="5637" max="5637" width="0" style="621" hidden="1" customWidth="1"/>
    <col min="5638" max="5638" width="11.42578125" style="621" customWidth="1"/>
    <col min="5639" max="5639" width="15.85546875" style="621" customWidth="1"/>
    <col min="5640" max="5640" width="17.140625" style="621" customWidth="1"/>
    <col min="5641" max="5641" width="15.85546875" style="621" customWidth="1"/>
    <col min="5642" max="5642" width="12.28515625" style="621" customWidth="1"/>
    <col min="5643" max="5643" width="15.28515625" style="621" customWidth="1"/>
    <col min="5644" max="5644" width="15.140625" style="621" customWidth="1"/>
    <col min="5645" max="5645" width="15" style="621" customWidth="1"/>
    <col min="5646" max="5646" width="12.140625" style="621" customWidth="1"/>
    <col min="5647" max="5647" width="26.42578125" style="621" customWidth="1"/>
    <col min="5648" max="5648" width="3.42578125" style="621" customWidth="1"/>
    <col min="5649" max="5888" width="8.85546875" style="621"/>
    <col min="5889" max="5889" width="3.5703125" style="621" customWidth="1"/>
    <col min="5890" max="5890" width="8" style="621" customWidth="1"/>
    <col min="5891" max="5891" width="58.5703125" style="621" customWidth="1"/>
    <col min="5892" max="5892" width="22.7109375" style="621" customWidth="1"/>
    <col min="5893" max="5893" width="0" style="621" hidden="1" customWidth="1"/>
    <col min="5894" max="5894" width="11.42578125" style="621" customWidth="1"/>
    <col min="5895" max="5895" width="15.85546875" style="621" customWidth="1"/>
    <col min="5896" max="5896" width="17.140625" style="621" customWidth="1"/>
    <col min="5897" max="5897" width="15.85546875" style="621" customWidth="1"/>
    <col min="5898" max="5898" width="12.28515625" style="621" customWidth="1"/>
    <col min="5899" max="5899" width="15.28515625" style="621" customWidth="1"/>
    <col min="5900" max="5900" width="15.140625" style="621" customWidth="1"/>
    <col min="5901" max="5901" width="15" style="621" customWidth="1"/>
    <col min="5902" max="5902" width="12.140625" style="621" customWidth="1"/>
    <col min="5903" max="5903" width="26.42578125" style="621" customWidth="1"/>
    <col min="5904" max="5904" width="3.42578125" style="621" customWidth="1"/>
    <col min="5905" max="6144" width="8.85546875" style="621"/>
    <col min="6145" max="6145" width="3.5703125" style="621" customWidth="1"/>
    <col min="6146" max="6146" width="8" style="621" customWidth="1"/>
    <col min="6147" max="6147" width="58.5703125" style="621" customWidth="1"/>
    <col min="6148" max="6148" width="22.7109375" style="621" customWidth="1"/>
    <col min="6149" max="6149" width="0" style="621" hidden="1" customWidth="1"/>
    <col min="6150" max="6150" width="11.42578125" style="621" customWidth="1"/>
    <col min="6151" max="6151" width="15.85546875" style="621" customWidth="1"/>
    <col min="6152" max="6152" width="17.140625" style="621" customWidth="1"/>
    <col min="6153" max="6153" width="15.85546875" style="621" customWidth="1"/>
    <col min="6154" max="6154" width="12.28515625" style="621" customWidth="1"/>
    <col min="6155" max="6155" width="15.28515625" style="621" customWidth="1"/>
    <col min="6156" max="6156" width="15.140625" style="621" customWidth="1"/>
    <col min="6157" max="6157" width="15" style="621" customWidth="1"/>
    <col min="6158" max="6158" width="12.140625" style="621" customWidth="1"/>
    <col min="6159" max="6159" width="26.42578125" style="621" customWidth="1"/>
    <col min="6160" max="6160" width="3.42578125" style="621" customWidth="1"/>
    <col min="6161" max="6400" width="8.85546875" style="621"/>
    <col min="6401" max="6401" width="3.5703125" style="621" customWidth="1"/>
    <col min="6402" max="6402" width="8" style="621" customWidth="1"/>
    <col min="6403" max="6403" width="58.5703125" style="621" customWidth="1"/>
    <col min="6404" max="6404" width="22.7109375" style="621" customWidth="1"/>
    <col min="6405" max="6405" width="0" style="621" hidden="1" customWidth="1"/>
    <col min="6406" max="6406" width="11.42578125" style="621" customWidth="1"/>
    <col min="6407" max="6407" width="15.85546875" style="621" customWidth="1"/>
    <col min="6408" max="6408" width="17.140625" style="621" customWidth="1"/>
    <col min="6409" max="6409" width="15.85546875" style="621" customWidth="1"/>
    <col min="6410" max="6410" width="12.28515625" style="621" customWidth="1"/>
    <col min="6411" max="6411" width="15.28515625" style="621" customWidth="1"/>
    <col min="6412" max="6412" width="15.140625" style="621" customWidth="1"/>
    <col min="6413" max="6413" width="15" style="621" customWidth="1"/>
    <col min="6414" max="6414" width="12.140625" style="621" customWidth="1"/>
    <col min="6415" max="6415" width="26.42578125" style="621" customWidth="1"/>
    <col min="6416" max="6416" width="3.42578125" style="621" customWidth="1"/>
    <col min="6417" max="6656" width="8.85546875" style="621"/>
    <col min="6657" max="6657" width="3.5703125" style="621" customWidth="1"/>
    <col min="6658" max="6658" width="8" style="621" customWidth="1"/>
    <col min="6659" max="6659" width="58.5703125" style="621" customWidth="1"/>
    <col min="6660" max="6660" width="22.7109375" style="621" customWidth="1"/>
    <col min="6661" max="6661" width="0" style="621" hidden="1" customWidth="1"/>
    <col min="6662" max="6662" width="11.42578125" style="621" customWidth="1"/>
    <col min="6663" max="6663" width="15.85546875" style="621" customWidth="1"/>
    <col min="6664" max="6664" width="17.140625" style="621" customWidth="1"/>
    <col min="6665" max="6665" width="15.85546875" style="621" customWidth="1"/>
    <col min="6666" max="6666" width="12.28515625" style="621" customWidth="1"/>
    <col min="6667" max="6667" width="15.28515625" style="621" customWidth="1"/>
    <col min="6668" max="6668" width="15.140625" style="621" customWidth="1"/>
    <col min="6669" max="6669" width="15" style="621" customWidth="1"/>
    <col min="6670" max="6670" width="12.140625" style="621" customWidth="1"/>
    <col min="6671" max="6671" width="26.42578125" style="621" customWidth="1"/>
    <col min="6672" max="6672" width="3.42578125" style="621" customWidth="1"/>
    <col min="6673" max="6912" width="8.85546875" style="621"/>
    <col min="6913" max="6913" width="3.5703125" style="621" customWidth="1"/>
    <col min="6914" max="6914" width="8" style="621" customWidth="1"/>
    <col min="6915" max="6915" width="58.5703125" style="621" customWidth="1"/>
    <col min="6916" max="6916" width="22.7109375" style="621" customWidth="1"/>
    <col min="6917" max="6917" width="0" style="621" hidden="1" customWidth="1"/>
    <col min="6918" max="6918" width="11.42578125" style="621" customWidth="1"/>
    <col min="6919" max="6919" width="15.85546875" style="621" customWidth="1"/>
    <col min="6920" max="6920" width="17.140625" style="621" customWidth="1"/>
    <col min="6921" max="6921" width="15.85546875" style="621" customWidth="1"/>
    <col min="6922" max="6922" width="12.28515625" style="621" customWidth="1"/>
    <col min="6923" max="6923" width="15.28515625" style="621" customWidth="1"/>
    <col min="6924" max="6924" width="15.140625" style="621" customWidth="1"/>
    <col min="6925" max="6925" width="15" style="621" customWidth="1"/>
    <col min="6926" max="6926" width="12.140625" style="621" customWidth="1"/>
    <col min="6927" max="6927" width="26.42578125" style="621" customWidth="1"/>
    <col min="6928" max="6928" width="3.42578125" style="621" customWidth="1"/>
    <col min="6929" max="7168" width="8.85546875" style="621"/>
    <col min="7169" max="7169" width="3.5703125" style="621" customWidth="1"/>
    <col min="7170" max="7170" width="8" style="621" customWidth="1"/>
    <col min="7171" max="7171" width="58.5703125" style="621" customWidth="1"/>
    <col min="7172" max="7172" width="22.7109375" style="621" customWidth="1"/>
    <col min="7173" max="7173" width="0" style="621" hidden="1" customWidth="1"/>
    <col min="7174" max="7174" width="11.42578125" style="621" customWidth="1"/>
    <col min="7175" max="7175" width="15.85546875" style="621" customWidth="1"/>
    <col min="7176" max="7176" width="17.140625" style="621" customWidth="1"/>
    <col min="7177" max="7177" width="15.85546875" style="621" customWidth="1"/>
    <col min="7178" max="7178" width="12.28515625" style="621" customWidth="1"/>
    <col min="7179" max="7179" width="15.28515625" style="621" customWidth="1"/>
    <col min="7180" max="7180" width="15.140625" style="621" customWidth="1"/>
    <col min="7181" max="7181" width="15" style="621" customWidth="1"/>
    <col min="7182" max="7182" width="12.140625" style="621" customWidth="1"/>
    <col min="7183" max="7183" width="26.42578125" style="621" customWidth="1"/>
    <col min="7184" max="7184" width="3.42578125" style="621" customWidth="1"/>
    <col min="7185" max="7424" width="8.85546875" style="621"/>
    <col min="7425" max="7425" width="3.5703125" style="621" customWidth="1"/>
    <col min="7426" max="7426" width="8" style="621" customWidth="1"/>
    <col min="7427" max="7427" width="58.5703125" style="621" customWidth="1"/>
    <col min="7428" max="7428" width="22.7109375" style="621" customWidth="1"/>
    <col min="7429" max="7429" width="0" style="621" hidden="1" customWidth="1"/>
    <col min="7430" max="7430" width="11.42578125" style="621" customWidth="1"/>
    <col min="7431" max="7431" width="15.85546875" style="621" customWidth="1"/>
    <col min="7432" max="7432" width="17.140625" style="621" customWidth="1"/>
    <col min="7433" max="7433" width="15.85546875" style="621" customWidth="1"/>
    <col min="7434" max="7434" width="12.28515625" style="621" customWidth="1"/>
    <col min="7435" max="7435" width="15.28515625" style="621" customWidth="1"/>
    <col min="7436" max="7436" width="15.140625" style="621" customWidth="1"/>
    <col min="7437" max="7437" width="15" style="621" customWidth="1"/>
    <col min="7438" max="7438" width="12.140625" style="621" customWidth="1"/>
    <col min="7439" max="7439" width="26.42578125" style="621" customWidth="1"/>
    <col min="7440" max="7440" width="3.42578125" style="621" customWidth="1"/>
    <col min="7441" max="7680" width="8.85546875" style="621"/>
    <col min="7681" max="7681" width="3.5703125" style="621" customWidth="1"/>
    <col min="7682" max="7682" width="8" style="621" customWidth="1"/>
    <col min="7683" max="7683" width="58.5703125" style="621" customWidth="1"/>
    <col min="7684" max="7684" width="22.7109375" style="621" customWidth="1"/>
    <col min="7685" max="7685" width="0" style="621" hidden="1" customWidth="1"/>
    <col min="7686" max="7686" width="11.42578125" style="621" customWidth="1"/>
    <col min="7687" max="7687" width="15.85546875" style="621" customWidth="1"/>
    <col min="7688" max="7688" width="17.140625" style="621" customWidth="1"/>
    <col min="7689" max="7689" width="15.85546875" style="621" customWidth="1"/>
    <col min="7690" max="7690" width="12.28515625" style="621" customWidth="1"/>
    <col min="7691" max="7691" width="15.28515625" style="621" customWidth="1"/>
    <col min="7692" max="7692" width="15.140625" style="621" customWidth="1"/>
    <col min="7693" max="7693" width="15" style="621" customWidth="1"/>
    <col min="7694" max="7694" width="12.140625" style="621" customWidth="1"/>
    <col min="7695" max="7695" width="26.42578125" style="621" customWidth="1"/>
    <col min="7696" max="7696" width="3.42578125" style="621" customWidth="1"/>
    <col min="7697" max="7936" width="8.85546875" style="621"/>
    <col min="7937" max="7937" width="3.5703125" style="621" customWidth="1"/>
    <col min="7938" max="7938" width="8" style="621" customWidth="1"/>
    <col min="7939" max="7939" width="58.5703125" style="621" customWidth="1"/>
    <col min="7940" max="7940" width="22.7109375" style="621" customWidth="1"/>
    <col min="7941" max="7941" width="0" style="621" hidden="1" customWidth="1"/>
    <col min="7942" max="7942" width="11.42578125" style="621" customWidth="1"/>
    <col min="7943" max="7943" width="15.85546875" style="621" customWidth="1"/>
    <col min="7944" max="7944" width="17.140625" style="621" customWidth="1"/>
    <col min="7945" max="7945" width="15.85546875" style="621" customWidth="1"/>
    <col min="7946" max="7946" width="12.28515625" style="621" customWidth="1"/>
    <col min="7947" max="7947" width="15.28515625" style="621" customWidth="1"/>
    <col min="7948" max="7948" width="15.140625" style="621" customWidth="1"/>
    <col min="7949" max="7949" width="15" style="621" customWidth="1"/>
    <col min="7950" max="7950" width="12.140625" style="621" customWidth="1"/>
    <col min="7951" max="7951" width="26.42578125" style="621" customWidth="1"/>
    <col min="7952" max="7952" width="3.42578125" style="621" customWidth="1"/>
    <col min="7953" max="8192" width="8.85546875" style="621"/>
    <col min="8193" max="8193" width="3.5703125" style="621" customWidth="1"/>
    <col min="8194" max="8194" width="8" style="621" customWidth="1"/>
    <col min="8195" max="8195" width="58.5703125" style="621" customWidth="1"/>
    <col min="8196" max="8196" width="22.7109375" style="621" customWidth="1"/>
    <col min="8197" max="8197" width="0" style="621" hidden="1" customWidth="1"/>
    <col min="8198" max="8198" width="11.42578125" style="621" customWidth="1"/>
    <col min="8199" max="8199" width="15.85546875" style="621" customWidth="1"/>
    <col min="8200" max="8200" width="17.140625" style="621" customWidth="1"/>
    <col min="8201" max="8201" width="15.85546875" style="621" customWidth="1"/>
    <col min="8202" max="8202" width="12.28515625" style="621" customWidth="1"/>
    <col min="8203" max="8203" width="15.28515625" style="621" customWidth="1"/>
    <col min="8204" max="8204" width="15.140625" style="621" customWidth="1"/>
    <col min="8205" max="8205" width="15" style="621" customWidth="1"/>
    <col min="8206" max="8206" width="12.140625" style="621" customWidth="1"/>
    <col min="8207" max="8207" width="26.42578125" style="621" customWidth="1"/>
    <col min="8208" max="8208" width="3.42578125" style="621" customWidth="1"/>
    <col min="8209" max="8448" width="8.85546875" style="621"/>
    <col min="8449" max="8449" width="3.5703125" style="621" customWidth="1"/>
    <col min="8450" max="8450" width="8" style="621" customWidth="1"/>
    <col min="8451" max="8451" width="58.5703125" style="621" customWidth="1"/>
    <col min="8452" max="8452" width="22.7109375" style="621" customWidth="1"/>
    <col min="8453" max="8453" width="0" style="621" hidden="1" customWidth="1"/>
    <col min="8454" max="8454" width="11.42578125" style="621" customWidth="1"/>
    <col min="8455" max="8455" width="15.85546875" style="621" customWidth="1"/>
    <col min="8456" max="8456" width="17.140625" style="621" customWidth="1"/>
    <col min="8457" max="8457" width="15.85546875" style="621" customWidth="1"/>
    <col min="8458" max="8458" width="12.28515625" style="621" customWidth="1"/>
    <col min="8459" max="8459" width="15.28515625" style="621" customWidth="1"/>
    <col min="8460" max="8460" width="15.140625" style="621" customWidth="1"/>
    <col min="8461" max="8461" width="15" style="621" customWidth="1"/>
    <col min="8462" max="8462" width="12.140625" style="621" customWidth="1"/>
    <col min="8463" max="8463" width="26.42578125" style="621" customWidth="1"/>
    <col min="8464" max="8464" width="3.42578125" style="621" customWidth="1"/>
    <col min="8465" max="8704" width="8.85546875" style="621"/>
    <col min="8705" max="8705" width="3.5703125" style="621" customWidth="1"/>
    <col min="8706" max="8706" width="8" style="621" customWidth="1"/>
    <col min="8707" max="8707" width="58.5703125" style="621" customWidth="1"/>
    <col min="8708" max="8708" width="22.7109375" style="621" customWidth="1"/>
    <col min="8709" max="8709" width="0" style="621" hidden="1" customWidth="1"/>
    <col min="8710" max="8710" width="11.42578125" style="621" customWidth="1"/>
    <col min="8711" max="8711" width="15.85546875" style="621" customWidth="1"/>
    <col min="8712" max="8712" width="17.140625" style="621" customWidth="1"/>
    <col min="8713" max="8713" width="15.85546875" style="621" customWidth="1"/>
    <col min="8714" max="8714" width="12.28515625" style="621" customWidth="1"/>
    <col min="8715" max="8715" width="15.28515625" style="621" customWidth="1"/>
    <col min="8716" max="8716" width="15.140625" style="621" customWidth="1"/>
    <col min="8717" max="8717" width="15" style="621" customWidth="1"/>
    <col min="8718" max="8718" width="12.140625" style="621" customWidth="1"/>
    <col min="8719" max="8719" width="26.42578125" style="621" customWidth="1"/>
    <col min="8720" max="8720" width="3.42578125" style="621" customWidth="1"/>
    <col min="8721" max="8960" width="8.85546875" style="621"/>
    <col min="8961" max="8961" width="3.5703125" style="621" customWidth="1"/>
    <col min="8962" max="8962" width="8" style="621" customWidth="1"/>
    <col min="8963" max="8963" width="58.5703125" style="621" customWidth="1"/>
    <col min="8964" max="8964" width="22.7109375" style="621" customWidth="1"/>
    <col min="8965" max="8965" width="0" style="621" hidden="1" customWidth="1"/>
    <col min="8966" max="8966" width="11.42578125" style="621" customWidth="1"/>
    <col min="8967" max="8967" width="15.85546875" style="621" customWidth="1"/>
    <col min="8968" max="8968" width="17.140625" style="621" customWidth="1"/>
    <col min="8969" max="8969" width="15.85546875" style="621" customWidth="1"/>
    <col min="8970" max="8970" width="12.28515625" style="621" customWidth="1"/>
    <col min="8971" max="8971" width="15.28515625" style="621" customWidth="1"/>
    <col min="8972" max="8972" width="15.140625" style="621" customWidth="1"/>
    <col min="8973" max="8973" width="15" style="621" customWidth="1"/>
    <col min="8974" max="8974" width="12.140625" style="621" customWidth="1"/>
    <col min="8975" max="8975" width="26.42578125" style="621" customWidth="1"/>
    <col min="8976" max="8976" width="3.42578125" style="621" customWidth="1"/>
    <col min="8977" max="9216" width="8.85546875" style="621"/>
    <col min="9217" max="9217" width="3.5703125" style="621" customWidth="1"/>
    <col min="9218" max="9218" width="8" style="621" customWidth="1"/>
    <col min="9219" max="9219" width="58.5703125" style="621" customWidth="1"/>
    <col min="9220" max="9220" width="22.7109375" style="621" customWidth="1"/>
    <col min="9221" max="9221" width="0" style="621" hidden="1" customWidth="1"/>
    <col min="9222" max="9222" width="11.42578125" style="621" customWidth="1"/>
    <col min="9223" max="9223" width="15.85546875" style="621" customWidth="1"/>
    <col min="9224" max="9224" width="17.140625" style="621" customWidth="1"/>
    <col min="9225" max="9225" width="15.85546875" style="621" customWidth="1"/>
    <col min="9226" max="9226" width="12.28515625" style="621" customWidth="1"/>
    <col min="9227" max="9227" width="15.28515625" style="621" customWidth="1"/>
    <col min="9228" max="9228" width="15.140625" style="621" customWidth="1"/>
    <col min="9229" max="9229" width="15" style="621" customWidth="1"/>
    <col min="9230" max="9230" width="12.140625" style="621" customWidth="1"/>
    <col min="9231" max="9231" width="26.42578125" style="621" customWidth="1"/>
    <col min="9232" max="9232" width="3.42578125" style="621" customWidth="1"/>
    <col min="9233" max="9472" width="8.85546875" style="621"/>
    <col min="9473" max="9473" width="3.5703125" style="621" customWidth="1"/>
    <col min="9474" max="9474" width="8" style="621" customWidth="1"/>
    <col min="9475" max="9475" width="58.5703125" style="621" customWidth="1"/>
    <col min="9476" max="9476" width="22.7109375" style="621" customWidth="1"/>
    <col min="9477" max="9477" width="0" style="621" hidden="1" customWidth="1"/>
    <col min="9478" max="9478" width="11.42578125" style="621" customWidth="1"/>
    <col min="9479" max="9479" width="15.85546875" style="621" customWidth="1"/>
    <col min="9480" max="9480" width="17.140625" style="621" customWidth="1"/>
    <col min="9481" max="9481" width="15.85546875" style="621" customWidth="1"/>
    <col min="9482" max="9482" width="12.28515625" style="621" customWidth="1"/>
    <col min="9483" max="9483" width="15.28515625" style="621" customWidth="1"/>
    <col min="9484" max="9484" width="15.140625" style="621" customWidth="1"/>
    <col min="9485" max="9485" width="15" style="621" customWidth="1"/>
    <col min="9486" max="9486" width="12.140625" style="621" customWidth="1"/>
    <col min="9487" max="9487" width="26.42578125" style="621" customWidth="1"/>
    <col min="9488" max="9488" width="3.42578125" style="621" customWidth="1"/>
    <col min="9489" max="9728" width="8.85546875" style="621"/>
    <col min="9729" max="9729" width="3.5703125" style="621" customWidth="1"/>
    <col min="9730" max="9730" width="8" style="621" customWidth="1"/>
    <col min="9731" max="9731" width="58.5703125" style="621" customWidth="1"/>
    <col min="9732" max="9732" width="22.7109375" style="621" customWidth="1"/>
    <col min="9733" max="9733" width="0" style="621" hidden="1" customWidth="1"/>
    <col min="9734" max="9734" width="11.42578125" style="621" customWidth="1"/>
    <col min="9735" max="9735" width="15.85546875" style="621" customWidth="1"/>
    <col min="9736" max="9736" width="17.140625" style="621" customWidth="1"/>
    <col min="9737" max="9737" width="15.85546875" style="621" customWidth="1"/>
    <col min="9738" max="9738" width="12.28515625" style="621" customWidth="1"/>
    <col min="9739" max="9739" width="15.28515625" style="621" customWidth="1"/>
    <col min="9740" max="9740" width="15.140625" style="621" customWidth="1"/>
    <col min="9741" max="9741" width="15" style="621" customWidth="1"/>
    <col min="9742" max="9742" width="12.140625" style="621" customWidth="1"/>
    <col min="9743" max="9743" width="26.42578125" style="621" customWidth="1"/>
    <col min="9744" max="9744" width="3.42578125" style="621" customWidth="1"/>
    <col min="9745" max="9984" width="8.85546875" style="621"/>
    <col min="9985" max="9985" width="3.5703125" style="621" customWidth="1"/>
    <col min="9986" max="9986" width="8" style="621" customWidth="1"/>
    <col min="9987" max="9987" width="58.5703125" style="621" customWidth="1"/>
    <col min="9988" max="9988" width="22.7109375" style="621" customWidth="1"/>
    <col min="9989" max="9989" width="0" style="621" hidden="1" customWidth="1"/>
    <col min="9990" max="9990" width="11.42578125" style="621" customWidth="1"/>
    <col min="9991" max="9991" width="15.85546875" style="621" customWidth="1"/>
    <col min="9992" max="9992" width="17.140625" style="621" customWidth="1"/>
    <col min="9993" max="9993" width="15.85546875" style="621" customWidth="1"/>
    <col min="9994" max="9994" width="12.28515625" style="621" customWidth="1"/>
    <col min="9995" max="9995" width="15.28515625" style="621" customWidth="1"/>
    <col min="9996" max="9996" width="15.140625" style="621" customWidth="1"/>
    <col min="9997" max="9997" width="15" style="621" customWidth="1"/>
    <col min="9998" max="9998" width="12.140625" style="621" customWidth="1"/>
    <col min="9999" max="9999" width="26.42578125" style="621" customWidth="1"/>
    <col min="10000" max="10000" width="3.42578125" style="621" customWidth="1"/>
    <col min="10001" max="10240" width="8.85546875" style="621"/>
    <col min="10241" max="10241" width="3.5703125" style="621" customWidth="1"/>
    <col min="10242" max="10242" width="8" style="621" customWidth="1"/>
    <col min="10243" max="10243" width="58.5703125" style="621" customWidth="1"/>
    <col min="10244" max="10244" width="22.7109375" style="621" customWidth="1"/>
    <col min="10245" max="10245" width="0" style="621" hidden="1" customWidth="1"/>
    <col min="10246" max="10246" width="11.42578125" style="621" customWidth="1"/>
    <col min="10247" max="10247" width="15.85546875" style="621" customWidth="1"/>
    <col min="10248" max="10248" width="17.140625" style="621" customWidth="1"/>
    <col min="10249" max="10249" width="15.85546875" style="621" customWidth="1"/>
    <col min="10250" max="10250" width="12.28515625" style="621" customWidth="1"/>
    <col min="10251" max="10251" width="15.28515625" style="621" customWidth="1"/>
    <col min="10252" max="10252" width="15.140625" style="621" customWidth="1"/>
    <col min="10253" max="10253" width="15" style="621" customWidth="1"/>
    <col min="10254" max="10254" width="12.140625" style="621" customWidth="1"/>
    <col min="10255" max="10255" width="26.42578125" style="621" customWidth="1"/>
    <col min="10256" max="10256" width="3.42578125" style="621" customWidth="1"/>
    <col min="10257" max="10496" width="8.85546875" style="621"/>
    <col min="10497" max="10497" width="3.5703125" style="621" customWidth="1"/>
    <col min="10498" max="10498" width="8" style="621" customWidth="1"/>
    <col min="10499" max="10499" width="58.5703125" style="621" customWidth="1"/>
    <col min="10500" max="10500" width="22.7109375" style="621" customWidth="1"/>
    <col min="10501" max="10501" width="0" style="621" hidden="1" customWidth="1"/>
    <col min="10502" max="10502" width="11.42578125" style="621" customWidth="1"/>
    <col min="10503" max="10503" width="15.85546875" style="621" customWidth="1"/>
    <col min="10504" max="10504" width="17.140625" style="621" customWidth="1"/>
    <col min="10505" max="10505" width="15.85546875" style="621" customWidth="1"/>
    <col min="10506" max="10506" width="12.28515625" style="621" customWidth="1"/>
    <col min="10507" max="10507" width="15.28515625" style="621" customWidth="1"/>
    <col min="10508" max="10508" width="15.140625" style="621" customWidth="1"/>
    <col min="10509" max="10509" width="15" style="621" customWidth="1"/>
    <col min="10510" max="10510" width="12.140625" style="621" customWidth="1"/>
    <col min="10511" max="10511" width="26.42578125" style="621" customWidth="1"/>
    <col min="10512" max="10512" width="3.42578125" style="621" customWidth="1"/>
    <col min="10513" max="10752" width="8.85546875" style="621"/>
    <col min="10753" max="10753" width="3.5703125" style="621" customWidth="1"/>
    <col min="10754" max="10754" width="8" style="621" customWidth="1"/>
    <col min="10755" max="10755" width="58.5703125" style="621" customWidth="1"/>
    <col min="10756" max="10756" width="22.7109375" style="621" customWidth="1"/>
    <col min="10757" max="10757" width="0" style="621" hidden="1" customWidth="1"/>
    <col min="10758" max="10758" width="11.42578125" style="621" customWidth="1"/>
    <col min="10759" max="10759" width="15.85546875" style="621" customWidth="1"/>
    <col min="10760" max="10760" width="17.140625" style="621" customWidth="1"/>
    <col min="10761" max="10761" width="15.85546875" style="621" customWidth="1"/>
    <col min="10762" max="10762" width="12.28515625" style="621" customWidth="1"/>
    <col min="10763" max="10763" width="15.28515625" style="621" customWidth="1"/>
    <col min="10764" max="10764" width="15.140625" style="621" customWidth="1"/>
    <col min="10765" max="10765" width="15" style="621" customWidth="1"/>
    <col min="10766" max="10766" width="12.140625" style="621" customWidth="1"/>
    <col min="10767" max="10767" width="26.42578125" style="621" customWidth="1"/>
    <col min="10768" max="10768" width="3.42578125" style="621" customWidth="1"/>
    <col min="10769" max="11008" width="8.85546875" style="621"/>
    <col min="11009" max="11009" width="3.5703125" style="621" customWidth="1"/>
    <col min="11010" max="11010" width="8" style="621" customWidth="1"/>
    <col min="11011" max="11011" width="58.5703125" style="621" customWidth="1"/>
    <col min="11012" max="11012" width="22.7109375" style="621" customWidth="1"/>
    <col min="11013" max="11013" width="0" style="621" hidden="1" customWidth="1"/>
    <col min="11014" max="11014" width="11.42578125" style="621" customWidth="1"/>
    <col min="11015" max="11015" width="15.85546875" style="621" customWidth="1"/>
    <col min="11016" max="11016" width="17.140625" style="621" customWidth="1"/>
    <col min="11017" max="11017" width="15.85546875" style="621" customWidth="1"/>
    <col min="11018" max="11018" width="12.28515625" style="621" customWidth="1"/>
    <col min="11019" max="11019" width="15.28515625" style="621" customWidth="1"/>
    <col min="11020" max="11020" width="15.140625" style="621" customWidth="1"/>
    <col min="11021" max="11021" width="15" style="621" customWidth="1"/>
    <col min="11022" max="11022" width="12.140625" style="621" customWidth="1"/>
    <col min="11023" max="11023" width="26.42578125" style="621" customWidth="1"/>
    <col min="11024" max="11024" width="3.42578125" style="621" customWidth="1"/>
    <col min="11025" max="11264" width="8.85546875" style="621"/>
    <col min="11265" max="11265" width="3.5703125" style="621" customWidth="1"/>
    <col min="11266" max="11266" width="8" style="621" customWidth="1"/>
    <col min="11267" max="11267" width="58.5703125" style="621" customWidth="1"/>
    <col min="11268" max="11268" width="22.7109375" style="621" customWidth="1"/>
    <col min="11269" max="11269" width="0" style="621" hidden="1" customWidth="1"/>
    <col min="11270" max="11270" width="11.42578125" style="621" customWidth="1"/>
    <col min="11271" max="11271" width="15.85546875" style="621" customWidth="1"/>
    <col min="11272" max="11272" width="17.140625" style="621" customWidth="1"/>
    <col min="11273" max="11273" width="15.85546875" style="621" customWidth="1"/>
    <col min="11274" max="11274" width="12.28515625" style="621" customWidth="1"/>
    <col min="11275" max="11275" width="15.28515625" style="621" customWidth="1"/>
    <col min="11276" max="11276" width="15.140625" style="621" customWidth="1"/>
    <col min="11277" max="11277" width="15" style="621" customWidth="1"/>
    <col min="11278" max="11278" width="12.140625" style="621" customWidth="1"/>
    <col min="11279" max="11279" width="26.42578125" style="621" customWidth="1"/>
    <col min="11280" max="11280" width="3.42578125" style="621" customWidth="1"/>
    <col min="11281" max="11520" width="8.85546875" style="621"/>
    <col min="11521" max="11521" width="3.5703125" style="621" customWidth="1"/>
    <col min="11522" max="11522" width="8" style="621" customWidth="1"/>
    <col min="11523" max="11523" width="58.5703125" style="621" customWidth="1"/>
    <col min="11524" max="11524" width="22.7109375" style="621" customWidth="1"/>
    <col min="11525" max="11525" width="0" style="621" hidden="1" customWidth="1"/>
    <col min="11526" max="11526" width="11.42578125" style="621" customWidth="1"/>
    <col min="11527" max="11527" width="15.85546875" style="621" customWidth="1"/>
    <col min="11528" max="11528" width="17.140625" style="621" customWidth="1"/>
    <col min="11529" max="11529" width="15.85546875" style="621" customWidth="1"/>
    <col min="11530" max="11530" width="12.28515625" style="621" customWidth="1"/>
    <col min="11531" max="11531" width="15.28515625" style="621" customWidth="1"/>
    <col min="11532" max="11532" width="15.140625" style="621" customWidth="1"/>
    <col min="11533" max="11533" width="15" style="621" customWidth="1"/>
    <col min="11534" max="11534" width="12.140625" style="621" customWidth="1"/>
    <col min="11535" max="11535" width="26.42578125" style="621" customWidth="1"/>
    <col min="11536" max="11536" width="3.42578125" style="621" customWidth="1"/>
    <col min="11537" max="11776" width="8.85546875" style="621"/>
    <col min="11777" max="11777" width="3.5703125" style="621" customWidth="1"/>
    <col min="11778" max="11778" width="8" style="621" customWidth="1"/>
    <col min="11779" max="11779" width="58.5703125" style="621" customWidth="1"/>
    <col min="11780" max="11780" width="22.7109375" style="621" customWidth="1"/>
    <col min="11781" max="11781" width="0" style="621" hidden="1" customWidth="1"/>
    <col min="11782" max="11782" width="11.42578125" style="621" customWidth="1"/>
    <col min="11783" max="11783" width="15.85546875" style="621" customWidth="1"/>
    <col min="11784" max="11784" width="17.140625" style="621" customWidth="1"/>
    <col min="11785" max="11785" width="15.85546875" style="621" customWidth="1"/>
    <col min="11786" max="11786" width="12.28515625" style="621" customWidth="1"/>
    <col min="11787" max="11787" width="15.28515625" style="621" customWidth="1"/>
    <col min="11788" max="11788" width="15.140625" style="621" customWidth="1"/>
    <col min="11789" max="11789" width="15" style="621" customWidth="1"/>
    <col min="11790" max="11790" width="12.140625" style="621" customWidth="1"/>
    <col min="11791" max="11791" width="26.42578125" style="621" customWidth="1"/>
    <col min="11792" max="11792" width="3.42578125" style="621" customWidth="1"/>
    <col min="11793" max="12032" width="8.85546875" style="621"/>
    <col min="12033" max="12033" width="3.5703125" style="621" customWidth="1"/>
    <col min="12034" max="12034" width="8" style="621" customWidth="1"/>
    <col min="12035" max="12035" width="58.5703125" style="621" customWidth="1"/>
    <col min="12036" max="12036" width="22.7109375" style="621" customWidth="1"/>
    <col min="12037" max="12037" width="0" style="621" hidden="1" customWidth="1"/>
    <col min="12038" max="12038" width="11.42578125" style="621" customWidth="1"/>
    <col min="12039" max="12039" width="15.85546875" style="621" customWidth="1"/>
    <col min="12040" max="12040" width="17.140625" style="621" customWidth="1"/>
    <col min="12041" max="12041" width="15.85546875" style="621" customWidth="1"/>
    <col min="12042" max="12042" width="12.28515625" style="621" customWidth="1"/>
    <col min="12043" max="12043" width="15.28515625" style="621" customWidth="1"/>
    <col min="12044" max="12044" width="15.140625" style="621" customWidth="1"/>
    <col min="12045" max="12045" width="15" style="621" customWidth="1"/>
    <col min="12046" max="12046" width="12.140625" style="621" customWidth="1"/>
    <col min="12047" max="12047" width="26.42578125" style="621" customWidth="1"/>
    <col min="12048" max="12048" width="3.42578125" style="621" customWidth="1"/>
    <col min="12049" max="12288" width="8.85546875" style="621"/>
    <col min="12289" max="12289" width="3.5703125" style="621" customWidth="1"/>
    <col min="12290" max="12290" width="8" style="621" customWidth="1"/>
    <col min="12291" max="12291" width="58.5703125" style="621" customWidth="1"/>
    <col min="12292" max="12292" width="22.7109375" style="621" customWidth="1"/>
    <col min="12293" max="12293" width="0" style="621" hidden="1" customWidth="1"/>
    <col min="12294" max="12294" width="11.42578125" style="621" customWidth="1"/>
    <col min="12295" max="12295" width="15.85546875" style="621" customWidth="1"/>
    <col min="12296" max="12296" width="17.140625" style="621" customWidth="1"/>
    <col min="12297" max="12297" width="15.85546875" style="621" customWidth="1"/>
    <col min="12298" max="12298" width="12.28515625" style="621" customWidth="1"/>
    <col min="12299" max="12299" width="15.28515625" style="621" customWidth="1"/>
    <col min="12300" max="12300" width="15.140625" style="621" customWidth="1"/>
    <col min="12301" max="12301" width="15" style="621" customWidth="1"/>
    <col min="12302" max="12302" width="12.140625" style="621" customWidth="1"/>
    <col min="12303" max="12303" width="26.42578125" style="621" customWidth="1"/>
    <col min="12304" max="12304" width="3.42578125" style="621" customWidth="1"/>
    <col min="12305" max="12544" width="8.85546875" style="621"/>
    <col min="12545" max="12545" width="3.5703125" style="621" customWidth="1"/>
    <col min="12546" max="12546" width="8" style="621" customWidth="1"/>
    <col min="12547" max="12547" width="58.5703125" style="621" customWidth="1"/>
    <col min="12548" max="12548" width="22.7109375" style="621" customWidth="1"/>
    <col min="12549" max="12549" width="0" style="621" hidden="1" customWidth="1"/>
    <col min="12550" max="12550" width="11.42578125" style="621" customWidth="1"/>
    <col min="12551" max="12551" width="15.85546875" style="621" customWidth="1"/>
    <col min="12552" max="12552" width="17.140625" style="621" customWidth="1"/>
    <col min="12553" max="12553" width="15.85546875" style="621" customWidth="1"/>
    <col min="12554" max="12554" width="12.28515625" style="621" customWidth="1"/>
    <col min="12555" max="12555" width="15.28515625" style="621" customWidth="1"/>
    <col min="12556" max="12556" width="15.140625" style="621" customWidth="1"/>
    <col min="12557" max="12557" width="15" style="621" customWidth="1"/>
    <col min="12558" max="12558" width="12.140625" style="621" customWidth="1"/>
    <col min="12559" max="12559" width="26.42578125" style="621" customWidth="1"/>
    <col min="12560" max="12560" width="3.42578125" style="621" customWidth="1"/>
    <col min="12561" max="12800" width="8.85546875" style="621"/>
    <col min="12801" max="12801" width="3.5703125" style="621" customWidth="1"/>
    <col min="12802" max="12802" width="8" style="621" customWidth="1"/>
    <col min="12803" max="12803" width="58.5703125" style="621" customWidth="1"/>
    <col min="12804" max="12804" width="22.7109375" style="621" customWidth="1"/>
    <col min="12805" max="12805" width="0" style="621" hidden="1" customWidth="1"/>
    <col min="12806" max="12806" width="11.42578125" style="621" customWidth="1"/>
    <col min="12807" max="12807" width="15.85546875" style="621" customWidth="1"/>
    <col min="12808" max="12808" width="17.140625" style="621" customWidth="1"/>
    <col min="12809" max="12809" width="15.85546875" style="621" customWidth="1"/>
    <col min="12810" max="12810" width="12.28515625" style="621" customWidth="1"/>
    <col min="12811" max="12811" width="15.28515625" style="621" customWidth="1"/>
    <col min="12812" max="12812" width="15.140625" style="621" customWidth="1"/>
    <col min="12813" max="12813" width="15" style="621" customWidth="1"/>
    <col min="12814" max="12814" width="12.140625" style="621" customWidth="1"/>
    <col min="12815" max="12815" width="26.42578125" style="621" customWidth="1"/>
    <col min="12816" max="12816" width="3.42578125" style="621" customWidth="1"/>
    <col min="12817" max="13056" width="8.85546875" style="621"/>
    <col min="13057" max="13057" width="3.5703125" style="621" customWidth="1"/>
    <col min="13058" max="13058" width="8" style="621" customWidth="1"/>
    <col min="13059" max="13059" width="58.5703125" style="621" customWidth="1"/>
    <col min="13060" max="13060" width="22.7109375" style="621" customWidth="1"/>
    <col min="13061" max="13061" width="0" style="621" hidden="1" customWidth="1"/>
    <col min="13062" max="13062" width="11.42578125" style="621" customWidth="1"/>
    <col min="13063" max="13063" width="15.85546875" style="621" customWidth="1"/>
    <col min="13064" max="13064" width="17.140625" style="621" customWidth="1"/>
    <col min="13065" max="13065" width="15.85546875" style="621" customWidth="1"/>
    <col min="13066" max="13066" width="12.28515625" style="621" customWidth="1"/>
    <col min="13067" max="13067" width="15.28515625" style="621" customWidth="1"/>
    <col min="13068" max="13068" width="15.140625" style="621" customWidth="1"/>
    <col min="13069" max="13069" width="15" style="621" customWidth="1"/>
    <col min="13070" max="13070" width="12.140625" style="621" customWidth="1"/>
    <col min="13071" max="13071" width="26.42578125" style="621" customWidth="1"/>
    <col min="13072" max="13072" width="3.42578125" style="621" customWidth="1"/>
    <col min="13073" max="13312" width="8.85546875" style="621"/>
    <col min="13313" max="13313" width="3.5703125" style="621" customWidth="1"/>
    <col min="13314" max="13314" width="8" style="621" customWidth="1"/>
    <col min="13315" max="13315" width="58.5703125" style="621" customWidth="1"/>
    <col min="13316" max="13316" width="22.7109375" style="621" customWidth="1"/>
    <col min="13317" max="13317" width="0" style="621" hidden="1" customWidth="1"/>
    <col min="13318" max="13318" width="11.42578125" style="621" customWidth="1"/>
    <col min="13319" max="13319" width="15.85546875" style="621" customWidth="1"/>
    <col min="13320" max="13320" width="17.140625" style="621" customWidth="1"/>
    <col min="13321" max="13321" width="15.85546875" style="621" customWidth="1"/>
    <col min="13322" max="13322" width="12.28515625" style="621" customWidth="1"/>
    <col min="13323" max="13323" width="15.28515625" style="621" customWidth="1"/>
    <col min="13324" max="13324" width="15.140625" style="621" customWidth="1"/>
    <col min="13325" max="13325" width="15" style="621" customWidth="1"/>
    <col min="13326" max="13326" width="12.140625" style="621" customWidth="1"/>
    <col min="13327" max="13327" width="26.42578125" style="621" customWidth="1"/>
    <col min="13328" max="13328" width="3.42578125" style="621" customWidth="1"/>
    <col min="13329" max="13568" width="8.85546875" style="621"/>
    <col min="13569" max="13569" width="3.5703125" style="621" customWidth="1"/>
    <col min="13570" max="13570" width="8" style="621" customWidth="1"/>
    <col min="13571" max="13571" width="58.5703125" style="621" customWidth="1"/>
    <col min="13572" max="13572" width="22.7109375" style="621" customWidth="1"/>
    <col min="13573" max="13573" width="0" style="621" hidden="1" customWidth="1"/>
    <col min="13574" max="13574" width="11.42578125" style="621" customWidth="1"/>
    <col min="13575" max="13575" width="15.85546875" style="621" customWidth="1"/>
    <col min="13576" max="13576" width="17.140625" style="621" customWidth="1"/>
    <col min="13577" max="13577" width="15.85546875" style="621" customWidth="1"/>
    <col min="13578" max="13578" width="12.28515625" style="621" customWidth="1"/>
    <col min="13579" max="13579" width="15.28515625" style="621" customWidth="1"/>
    <col min="13580" max="13580" width="15.140625" style="621" customWidth="1"/>
    <col min="13581" max="13581" width="15" style="621" customWidth="1"/>
    <col min="13582" max="13582" width="12.140625" style="621" customWidth="1"/>
    <col min="13583" max="13583" width="26.42578125" style="621" customWidth="1"/>
    <col min="13584" max="13584" width="3.42578125" style="621" customWidth="1"/>
    <col min="13585" max="13824" width="8.85546875" style="621"/>
    <col min="13825" max="13825" width="3.5703125" style="621" customWidth="1"/>
    <col min="13826" max="13826" width="8" style="621" customWidth="1"/>
    <col min="13827" max="13827" width="58.5703125" style="621" customWidth="1"/>
    <col min="13828" max="13828" width="22.7109375" style="621" customWidth="1"/>
    <col min="13829" max="13829" width="0" style="621" hidden="1" customWidth="1"/>
    <col min="13830" max="13830" width="11.42578125" style="621" customWidth="1"/>
    <col min="13831" max="13831" width="15.85546875" style="621" customWidth="1"/>
    <col min="13832" max="13832" width="17.140625" style="621" customWidth="1"/>
    <col min="13833" max="13833" width="15.85546875" style="621" customWidth="1"/>
    <col min="13834" max="13834" width="12.28515625" style="621" customWidth="1"/>
    <col min="13835" max="13835" width="15.28515625" style="621" customWidth="1"/>
    <col min="13836" max="13836" width="15.140625" style="621" customWidth="1"/>
    <col min="13837" max="13837" width="15" style="621" customWidth="1"/>
    <col min="13838" max="13838" width="12.140625" style="621" customWidth="1"/>
    <col min="13839" max="13839" width="26.42578125" style="621" customWidth="1"/>
    <col min="13840" max="13840" width="3.42578125" style="621" customWidth="1"/>
    <col min="13841" max="14080" width="8.85546875" style="621"/>
    <col min="14081" max="14081" width="3.5703125" style="621" customWidth="1"/>
    <col min="14082" max="14082" width="8" style="621" customWidth="1"/>
    <col min="14083" max="14083" width="58.5703125" style="621" customWidth="1"/>
    <col min="14084" max="14084" width="22.7109375" style="621" customWidth="1"/>
    <col min="14085" max="14085" width="0" style="621" hidden="1" customWidth="1"/>
    <col min="14086" max="14086" width="11.42578125" style="621" customWidth="1"/>
    <col min="14087" max="14087" width="15.85546875" style="621" customWidth="1"/>
    <col min="14088" max="14088" width="17.140625" style="621" customWidth="1"/>
    <col min="14089" max="14089" width="15.85546875" style="621" customWidth="1"/>
    <col min="14090" max="14090" width="12.28515625" style="621" customWidth="1"/>
    <col min="14091" max="14091" width="15.28515625" style="621" customWidth="1"/>
    <col min="14092" max="14092" width="15.140625" style="621" customWidth="1"/>
    <col min="14093" max="14093" width="15" style="621" customWidth="1"/>
    <col min="14094" max="14094" width="12.140625" style="621" customWidth="1"/>
    <col min="14095" max="14095" width="26.42578125" style="621" customWidth="1"/>
    <col min="14096" max="14096" width="3.42578125" style="621" customWidth="1"/>
    <col min="14097" max="14336" width="8.85546875" style="621"/>
    <col min="14337" max="14337" width="3.5703125" style="621" customWidth="1"/>
    <col min="14338" max="14338" width="8" style="621" customWidth="1"/>
    <col min="14339" max="14339" width="58.5703125" style="621" customWidth="1"/>
    <col min="14340" max="14340" width="22.7109375" style="621" customWidth="1"/>
    <col min="14341" max="14341" width="0" style="621" hidden="1" customWidth="1"/>
    <col min="14342" max="14342" width="11.42578125" style="621" customWidth="1"/>
    <col min="14343" max="14343" width="15.85546875" style="621" customWidth="1"/>
    <col min="14344" max="14344" width="17.140625" style="621" customWidth="1"/>
    <col min="14345" max="14345" width="15.85546875" style="621" customWidth="1"/>
    <col min="14346" max="14346" width="12.28515625" style="621" customWidth="1"/>
    <col min="14347" max="14347" width="15.28515625" style="621" customWidth="1"/>
    <col min="14348" max="14348" width="15.140625" style="621" customWidth="1"/>
    <col min="14349" max="14349" width="15" style="621" customWidth="1"/>
    <col min="14350" max="14350" width="12.140625" style="621" customWidth="1"/>
    <col min="14351" max="14351" width="26.42578125" style="621" customWidth="1"/>
    <col min="14352" max="14352" width="3.42578125" style="621" customWidth="1"/>
    <col min="14353" max="14592" width="8.85546875" style="621"/>
    <col min="14593" max="14593" width="3.5703125" style="621" customWidth="1"/>
    <col min="14594" max="14594" width="8" style="621" customWidth="1"/>
    <col min="14595" max="14595" width="58.5703125" style="621" customWidth="1"/>
    <col min="14596" max="14596" width="22.7109375" style="621" customWidth="1"/>
    <col min="14597" max="14597" width="0" style="621" hidden="1" customWidth="1"/>
    <col min="14598" max="14598" width="11.42578125" style="621" customWidth="1"/>
    <col min="14599" max="14599" width="15.85546875" style="621" customWidth="1"/>
    <col min="14600" max="14600" width="17.140625" style="621" customWidth="1"/>
    <col min="14601" max="14601" width="15.85546875" style="621" customWidth="1"/>
    <col min="14602" max="14602" width="12.28515625" style="621" customWidth="1"/>
    <col min="14603" max="14603" width="15.28515625" style="621" customWidth="1"/>
    <col min="14604" max="14604" width="15.140625" style="621" customWidth="1"/>
    <col min="14605" max="14605" width="15" style="621" customWidth="1"/>
    <col min="14606" max="14606" width="12.140625" style="621" customWidth="1"/>
    <col min="14607" max="14607" width="26.42578125" style="621" customWidth="1"/>
    <col min="14608" max="14608" width="3.42578125" style="621" customWidth="1"/>
    <col min="14609" max="14848" width="8.85546875" style="621"/>
    <col min="14849" max="14849" width="3.5703125" style="621" customWidth="1"/>
    <col min="14850" max="14850" width="8" style="621" customWidth="1"/>
    <col min="14851" max="14851" width="58.5703125" style="621" customWidth="1"/>
    <col min="14852" max="14852" width="22.7109375" style="621" customWidth="1"/>
    <col min="14853" max="14853" width="0" style="621" hidden="1" customWidth="1"/>
    <col min="14854" max="14854" width="11.42578125" style="621" customWidth="1"/>
    <col min="14855" max="14855" width="15.85546875" style="621" customWidth="1"/>
    <col min="14856" max="14856" width="17.140625" style="621" customWidth="1"/>
    <col min="14857" max="14857" width="15.85546875" style="621" customWidth="1"/>
    <col min="14858" max="14858" width="12.28515625" style="621" customWidth="1"/>
    <col min="14859" max="14859" width="15.28515625" style="621" customWidth="1"/>
    <col min="14860" max="14860" width="15.140625" style="621" customWidth="1"/>
    <col min="14861" max="14861" width="15" style="621" customWidth="1"/>
    <col min="14862" max="14862" width="12.140625" style="621" customWidth="1"/>
    <col min="14863" max="14863" width="26.42578125" style="621" customWidth="1"/>
    <col min="14864" max="14864" width="3.42578125" style="621" customWidth="1"/>
    <col min="14865" max="15104" width="8.85546875" style="621"/>
    <col min="15105" max="15105" width="3.5703125" style="621" customWidth="1"/>
    <col min="15106" max="15106" width="8" style="621" customWidth="1"/>
    <col min="15107" max="15107" width="58.5703125" style="621" customWidth="1"/>
    <col min="15108" max="15108" width="22.7109375" style="621" customWidth="1"/>
    <col min="15109" max="15109" width="0" style="621" hidden="1" customWidth="1"/>
    <col min="15110" max="15110" width="11.42578125" style="621" customWidth="1"/>
    <col min="15111" max="15111" width="15.85546875" style="621" customWidth="1"/>
    <col min="15112" max="15112" width="17.140625" style="621" customWidth="1"/>
    <col min="15113" max="15113" width="15.85546875" style="621" customWidth="1"/>
    <col min="15114" max="15114" width="12.28515625" style="621" customWidth="1"/>
    <col min="15115" max="15115" width="15.28515625" style="621" customWidth="1"/>
    <col min="15116" max="15116" width="15.140625" style="621" customWidth="1"/>
    <col min="15117" max="15117" width="15" style="621" customWidth="1"/>
    <col min="15118" max="15118" width="12.140625" style="621" customWidth="1"/>
    <col min="15119" max="15119" width="26.42578125" style="621" customWidth="1"/>
    <col min="15120" max="15120" width="3.42578125" style="621" customWidth="1"/>
    <col min="15121" max="15360" width="8.85546875" style="621"/>
    <col min="15361" max="15361" width="3.5703125" style="621" customWidth="1"/>
    <col min="15362" max="15362" width="8" style="621" customWidth="1"/>
    <col min="15363" max="15363" width="58.5703125" style="621" customWidth="1"/>
    <col min="15364" max="15364" width="22.7109375" style="621" customWidth="1"/>
    <col min="15365" max="15365" width="0" style="621" hidden="1" customWidth="1"/>
    <col min="15366" max="15366" width="11.42578125" style="621" customWidth="1"/>
    <col min="15367" max="15367" width="15.85546875" style="621" customWidth="1"/>
    <col min="15368" max="15368" width="17.140625" style="621" customWidth="1"/>
    <col min="15369" max="15369" width="15.85546875" style="621" customWidth="1"/>
    <col min="15370" max="15370" width="12.28515625" style="621" customWidth="1"/>
    <col min="15371" max="15371" width="15.28515625" style="621" customWidth="1"/>
    <col min="15372" max="15372" width="15.140625" style="621" customWidth="1"/>
    <col min="15373" max="15373" width="15" style="621" customWidth="1"/>
    <col min="15374" max="15374" width="12.140625" style="621" customWidth="1"/>
    <col min="15375" max="15375" width="26.42578125" style="621" customWidth="1"/>
    <col min="15376" max="15376" width="3.42578125" style="621" customWidth="1"/>
    <col min="15377" max="15616" width="8.85546875" style="621"/>
    <col min="15617" max="15617" width="3.5703125" style="621" customWidth="1"/>
    <col min="15618" max="15618" width="8" style="621" customWidth="1"/>
    <col min="15619" max="15619" width="58.5703125" style="621" customWidth="1"/>
    <col min="15620" max="15620" width="22.7109375" style="621" customWidth="1"/>
    <col min="15621" max="15621" width="0" style="621" hidden="1" customWidth="1"/>
    <col min="15622" max="15622" width="11.42578125" style="621" customWidth="1"/>
    <col min="15623" max="15623" width="15.85546875" style="621" customWidth="1"/>
    <col min="15624" max="15624" width="17.140625" style="621" customWidth="1"/>
    <col min="15625" max="15625" width="15.85546875" style="621" customWidth="1"/>
    <col min="15626" max="15626" width="12.28515625" style="621" customWidth="1"/>
    <col min="15627" max="15627" width="15.28515625" style="621" customWidth="1"/>
    <col min="15628" max="15628" width="15.140625" style="621" customWidth="1"/>
    <col min="15629" max="15629" width="15" style="621" customWidth="1"/>
    <col min="15630" max="15630" width="12.140625" style="621" customWidth="1"/>
    <col min="15631" max="15631" width="26.42578125" style="621" customWidth="1"/>
    <col min="15632" max="15632" width="3.42578125" style="621" customWidth="1"/>
    <col min="15633" max="15872" width="8.85546875" style="621"/>
    <col min="15873" max="15873" width="3.5703125" style="621" customWidth="1"/>
    <col min="15874" max="15874" width="8" style="621" customWidth="1"/>
    <col min="15875" max="15875" width="58.5703125" style="621" customWidth="1"/>
    <col min="15876" max="15876" width="22.7109375" style="621" customWidth="1"/>
    <col min="15877" max="15877" width="0" style="621" hidden="1" customWidth="1"/>
    <col min="15878" max="15878" width="11.42578125" style="621" customWidth="1"/>
    <col min="15879" max="15879" width="15.85546875" style="621" customWidth="1"/>
    <col min="15880" max="15880" width="17.140625" style="621" customWidth="1"/>
    <col min="15881" max="15881" width="15.85546875" style="621" customWidth="1"/>
    <col min="15882" max="15882" width="12.28515625" style="621" customWidth="1"/>
    <col min="15883" max="15883" width="15.28515625" style="621" customWidth="1"/>
    <col min="15884" max="15884" width="15.140625" style="621" customWidth="1"/>
    <col min="15885" max="15885" width="15" style="621" customWidth="1"/>
    <col min="15886" max="15886" width="12.140625" style="621" customWidth="1"/>
    <col min="15887" max="15887" width="26.42578125" style="621" customWidth="1"/>
    <col min="15888" max="15888" width="3.42578125" style="621" customWidth="1"/>
    <col min="15889" max="16128" width="8.85546875" style="621"/>
    <col min="16129" max="16129" width="3.5703125" style="621" customWidth="1"/>
    <col min="16130" max="16130" width="8" style="621" customWidth="1"/>
    <col min="16131" max="16131" width="58.5703125" style="621" customWidth="1"/>
    <col min="16132" max="16132" width="22.7109375" style="621" customWidth="1"/>
    <col min="16133" max="16133" width="0" style="621" hidden="1" customWidth="1"/>
    <col min="16134" max="16134" width="11.42578125" style="621" customWidth="1"/>
    <col min="16135" max="16135" width="15.85546875" style="621" customWidth="1"/>
    <col min="16136" max="16136" width="17.140625" style="621" customWidth="1"/>
    <col min="16137" max="16137" width="15.85546875" style="621" customWidth="1"/>
    <col min="16138" max="16138" width="12.28515625" style="621" customWidth="1"/>
    <col min="16139" max="16139" width="15.28515625" style="621" customWidth="1"/>
    <col min="16140" max="16140" width="15.140625" style="621" customWidth="1"/>
    <col min="16141" max="16141" width="15" style="621" customWidth="1"/>
    <col min="16142" max="16142" width="12.140625" style="621" customWidth="1"/>
    <col min="16143" max="16143" width="26.42578125" style="621" customWidth="1"/>
    <col min="16144" max="16144" width="3.42578125" style="621" customWidth="1"/>
    <col min="16145" max="16384" width="8.85546875" style="621"/>
  </cols>
  <sheetData>
    <row r="1" spans="1:16" ht="18" customHeight="1">
      <c r="A1" s="620"/>
      <c r="B1" s="1778"/>
      <c r="C1" s="1778"/>
      <c r="D1" s="1778"/>
      <c r="E1" s="1778"/>
      <c r="F1" s="1778"/>
      <c r="G1" s="1778"/>
      <c r="H1" s="1778"/>
      <c r="I1" s="1778"/>
      <c r="J1" s="1778"/>
      <c r="K1" s="1778"/>
      <c r="L1" s="1778"/>
      <c r="M1" s="1778"/>
      <c r="N1" s="1778"/>
      <c r="O1" s="1778"/>
      <c r="P1" s="620"/>
    </row>
    <row r="2" spans="1:16" s="623" customFormat="1" ht="21" customHeight="1">
      <c r="A2" s="622"/>
      <c r="B2" s="1779" t="s">
        <v>2620</v>
      </c>
      <c r="C2" s="1779"/>
      <c r="D2" s="1779"/>
      <c r="E2" s="1779"/>
      <c r="F2" s="1779"/>
      <c r="G2" s="1779"/>
      <c r="H2" s="1779"/>
      <c r="I2" s="1779"/>
      <c r="J2" s="1779"/>
      <c r="K2" s="1779"/>
      <c r="L2" s="1779"/>
      <c r="M2" s="1779"/>
      <c r="N2" s="1779"/>
      <c r="O2" s="1779"/>
      <c r="P2" s="622"/>
    </row>
    <row r="3" spans="1:16" s="625" customFormat="1" ht="21" customHeight="1">
      <c r="A3" s="624"/>
      <c r="B3" s="1779" t="s">
        <v>2621</v>
      </c>
      <c r="C3" s="1779"/>
      <c r="D3" s="1779"/>
      <c r="E3" s="1779"/>
      <c r="F3" s="1779"/>
      <c r="G3" s="1779"/>
      <c r="H3" s="1779"/>
      <c r="I3" s="1779"/>
      <c r="J3" s="1779"/>
      <c r="K3" s="1779"/>
      <c r="L3" s="1779"/>
      <c r="M3" s="1779"/>
      <c r="N3" s="1779"/>
      <c r="O3" s="1779"/>
      <c r="P3" s="624"/>
    </row>
    <row r="4" spans="1:16" s="623" customFormat="1" ht="21" customHeight="1">
      <c r="A4" s="622"/>
      <c r="B4" s="1779" t="s">
        <v>79</v>
      </c>
      <c r="C4" s="1779"/>
      <c r="D4" s="1779"/>
      <c r="E4" s="1779"/>
      <c r="F4" s="1779"/>
      <c r="G4" s="1779"/>
      <c r="H4" s="1779"/>
      <c r="I4" s="1779"/>
      <c r="J4" s="1779"/>
      <c r="K4" s="1779"/>
      <c r="L4" s="1779"/>
      <c r="M4" s="1779"/>
      <c r="N4" s="1779"/>
      <c r="O4" s="1779"/>
      <c r="P4" s="622"/>
    </row>
    <row r="5" spans="1:16" ht="14.25" customHeight="1">
      <c r="A5" s="620"/>
      <c r="B5" s="626"/>
      <c r="C5" s="627"/>
      <c r="D5" s="628"/>
      <c r="E5" s="629"/>
      <c r="F5" s="626"/>
      <c r="G5" s="626"/>
      <c r="H5" s="626"/>
      <c r="I5" s="626"/>
      <c r="J5" s="626"/>
      <c r="K5" s="626"/>
      <c r="L5" s="626"/>
      <c r="M5" s="626"/>
      <c r="N5" s="626"/>
      <c r="O5" s="626"/>
      <c r="P5" s="620"/>
    </row>
    <row r="6" spans="1:16" ht="29.25" customHeight="1">
      <c r="A6" s="620"/>
      <c r="B6" s="630" t="s">
        <v>2622</v>
      </c>
      <c r="C6" s="631"/>
      <c r="D6" s="632"/>
      <c r="E6" s="633"/>
      <c r="F6" s="634"/>
      <c r="G6" s="620"/>
      <c r="H6" s="620"/>
      <c r="I6" s="620"/>
      <c r="J6" s="620"/>
      <c r="K6" s="620"/>
      <c r="L6" s="620"/>
      <c r="M6" s="620"/>
      <c r="N6" s="620"/>
      <c r="O6" s="620"/>
      <c r="P6" s="620"/>
    </row>
    <row r="7" spans="1:16" ht="29.25" customHeight="1">
      <c r="A7" s="620"/>
      <c r="B7" s="1780" t="s">
        <v>2623</v>
      </c>
      <c r="C7" s="1780"/>
      <c r="D7" s="632"/>
      <c r="E7" s="635"/>
      <c r="F7" s="636"/>
      <c r="G7" s="1781"/>
      <c r="H7" s="1781"/>
      <c r="I7" s="1781"/>
      <c r="J7" s="1781"/>
      <c r="K7" s="1781"/>
      <c r="L7" s="637"/>
      <c r="M7" s="1782" t="s">
        <v>2624</v>
      </c>
      <c r="N7" s="1782"/>
      <c r="P7" s="620"/>
    </row>
    <row r="8" spans="1:16" ht="14.25" customHeight="1">
      <c r="A8" s="620"/>
      <c r="B8" s="637"/>
      <c r="C8" s="638"/>
      <c r="D8" s="632"/>
      <c r="E8" s="633"/>
      <c r="F8" s="634"/>
      <c r="G8" s="620"/>
      <c r="H8" s="620"/>
      <c r="I8" s="620"/>
      <c r="J8" s="620"/>
      <c r="K8" s="620"/>
      <c r="L8" s="620"/>
      <c r="M8" s="620"/>
      <c r="N8" s="620"/>
      <c r="O8" s="620"/>
      <c r="P8" s="620"/>
    </row>
    <row r="9" spans="1:16" ht="36" customHeight="1">
      <c r="A9" s="620"/>
      <c r="B9" s="1786" t="s">
        <v>6</v>
      </c>
      <c r="C9" s="1788" t="s">
        <v>7</v>
      </c>
      <c r="D9" s="1790" t="s">
        <v>8</v>
      </c>
      <c r="E9" s="1791"/>
      <c r="F9" s="1792"/>
      <c r="G9" s="1775" t="s">
        <v>9</v>
      </c>
      <c r="H9" s="1775"/>
      <c r="I9" s="1775"/>
      <c r="J9" s="1775"/>
      <c r="K9" s="1775" t="s">
        <v>10</v>
      </c>
      <c r="L9" s="1775"/>
      <c r="M9" s="1775"/>
      <c r="N9" s="1775"/>
      <c r="O9" s="1776" t="s">
        <v>11</v>
      </c>
    </row>
    <row r="10" spans="1:16" ht="91.5" customHeight="1">
      <c r="A10" s="620"/>
      <c r="B10" s="1787"/>
      <c r="C10" s="1789"/>
      <c r="D10" s="639" t="s">
        <v>2553</v>
      </c>
      <c r="E10" s="640"/>
      <c r="F10" s="641" t="s">
        <v>2554</v>
      </c>
      <c r="G10" s="641" t="s">
        <v>14</v>
      </c>
      <c r="H10" s="641" t="s">
        <v>87</v>
      </c>
      <c r="I10" s="641" t="s">
        <v>2555</v>
      </c>
      <c r="J10" s="641" t="s">
        <v>2556</v>
      </c>
      <c r="K10" s="641" t="s">
        <v>14</v>
      </c>
      <c r="L10" s="641" t="s">
        <v>2557</v>
      </c>
      <c r="M10" s="641" t="s">
        <v>2558</v>
      </c>
      <c r="N10" s="641" t="s">
        <v>2559</v>
      </c>
      <c r="O10" s="1777"/>
    </row>
    <row r="11" spans="1:16" ht="36" customHeight="1">
      <c r="A11" s="620"/>
      <c r="B11" s="642" t="s">
        <v>18</v>
      </c>
      <c r="C11" s="643" t="s">
        <v>19</v>
      </c>
      <c r="D11" s="644" t="s">
        <v>20</v>
      </c>
      <c r="E11" s="645"/>
      <c r="F11" s="646" t="s">
        <v>21</v>
      </c>
      <c r="G11" s="647" t="s">
        <v>22</v>
      </c>
      <c r="H11" s="647" t="s">
        <v>23</v>
      </c>
      <c r="I11" s="647" t="s">
        <v>24</v>
      </c>
      <c r="J11" s="647" t="s">
        <v>25</v>
      </c>
      <c r="K11" s="647" t="s">
        <v>26</v>
      </c>
      <c r="L11" s="647" t="s">
        <v>27</v>
      </c>
      <c r="M11" s="647" t="s">
        <v>28</v>
      </c>
      <c r="N11" s="647" t="s">
        <v>90</v>
      </c>
      <c r="O11" s="647" t="s">
        <v>91</v>
      </c>
    </row>
    <row r="12" spans="1:16" s="656" customFormat="1" ht="21" customHeight="1">
      <c r="A12" s="648"/>
      <c r="B12" s="649" t="s">
        <v>92</v>
      </c>
      <c r="C12" s="650" t="s">
        <v>93</v>
      </c>
      <c r="D12" s="651">
        <f>+D13+D17+D21+D127+D153</f>
        <v>2711275076000</v>
      </c>
      <c r="E12" s="652">
        <v>2853973800000</v>
      </c>
      <c r="F12" s="653">
        <f>D12/E12*100</f>
        <v>94.999998808678626</v>
      </c>
      <c r="G12" s="654"/>
      <c r="H12" s="654"/>
      <c r="I12" s="655"/>
      <c r="J12" s="655"/>
      <c r="K12" s="655"/>
      <c r="L12" s="655"/>
      <c r="M12" s="655"/>
      <c r="N12" s="655"/>
      <c r="O12" s="655"/>
    </row>
    <row r="13" spans="1:16" s="18" customFormat="1" ht="21" customHeight="1">
      <c r="A13" s="16"/>
      <c r="B13" s="320"/>
      <c r="C13" s="657" t="s">
        <v>2384</v>
      </c>
      <c r="D13" s="658">
        <f>+D14</f>
        <v>45239040000</v>
      </c>
      <c r="E13" s="120">
        <v>2853973800000</v>
      </c>
      <c r="F13" s="318">
        <f t="shared" ref="F13:F76" si="0">D13/E13*100</f>
        <v>1.5851245726222156</v>
      </c>
      <c r="G13" s="48"/>
      <c r="H13" s="48"/>
      <c r="I13" s="659"/>
      <c r="J13" s="659"/>
      <c r="K13" s="659"/>
      <c r="L13" s="659"/>
      <c r="M13" s="659"/>
      <c r="N13" s="659"/>
      <c r="O13" s="659"/>
    </row>
    <row r="14" spans="1:16" s="18" customFormat="1" ht="34.5" customHeight="1">
      <c r="A14" s="16"/>
      <c r="B14" s="320"/>
      <c r="C14" s="660" t="s">
        <v>1414</v>
      </c>
      <c r="D14" s="661">
        <v>45239040000</v>
      </c>
      <c r="E14" s="120">
        <v>2853973800000</v>
      </c>
      <c r="F14" s="318">
        <f t="shared" si="0"/>
        <v>1.5851245726222156</v>
      </c>
      <c r="G14" s="48"/>
      <c r="H14" s="48"/>
      <c r="I14" s="659"/>
      <c r="J14" s="659"/>
      <c r="K14" s="659"/>
      <c r="L14" s="659"/>
      <c r="M14" s="659"/>
      <c r="N14" s="659"/>
      <c r="O14" s="659"/>
    </row>
    <row r="15" spans="1:16" s="18" customFormat="1" ht="21" customHeight="1">
      <c r="A15" s="16"/>
      <c r="B15" s="320"/>
      <c r="C15" s="662" t="s">
        <v>2625</v>
      </c>
      <c r="D15" s="661">
        <v>45239040000</v>
      </c>
      <c r="E15" s="120">
        <v>2853973800000</v>
      </c>
      <c r="F15" s="318">
        <f t="shared" si="0"/>
        <v>1.5851245726222156</v>
      </c>
      <c r="G15" s="48"/>
      <c r="H15" s="48"/>
      <c r="I15" s="659"/>
      <c r="J15" s="659"/>
      <c r="K15" s="659"/>
      <c r="L15" s="659"/>
      <c r="M15" s="659"/>
      <c r="N15" s="659"/>
      <c r="O15" s="659"/>
    </row>
    <row r="16" spans="1:16" s="18" customFormat="1" ht="15" customHeight="1">
      <c r="A16" s="16"/>
      <c r="B16" s="320"/>
      <c r="C16" s="662"/>
      <c r="D16" s="661"/>
      <c r="E16" s="120">
        <v>2853973800000</v>
      </c>
      <c r="F16" s="318"/>
      <c r="G16" s="48"/>
      <c r="H16" s="48"/>
      <c r="I16" s="659"/>
      <c r="J16" s="659"/>
      <c r="K16" s="659"/>
      <c r="L16" s="659"/>
      <c r="M16" s="659"/>
      <c r="N16" s="659"/>
      <c r="O16" s="659"/>
    </row>
    <row r="17" spans="1:15" s="18" customFormat="1" ht="21" customHeight="1">
      <c r="A17" s="16"/>
      <c r="B17" s="320"/>
      <c r="C17" s="657" t="s">
        <v>2408</v>
      </c>
      <c r="D17" s="658">
        <f>+D18</f>
        <v>4000000000</v>
      </c>
      <c r="E17" s="120">
        <v>2853973800000</v>
      </c>
      <c r="F17" s="318">
        <f t="shared" si="0"/>
        <v>0.14015545622738373</v>
      </c>
      <c r="G17" s="48"/>
      <c r="H17" s="48"/>
      <c r="I17" s="659"/>
      <c r="J17" s="659"/>
      <c r="K17" s="659"/>
      <c r="L17" s="659"/>
      <c r="M17" s="659"/>
      <c r="N17" s="659"/>
      <c r="O17" s="659"/>
    </row>
    <row r="18" spans="1:15" s="18" customFormat="1" ht="30.75" customHeight="1">
      <c r="A18" s="16"/>
      <c r="B18" s="320"/>
      <c r="C18" s="660" t="s">
        <v>1414</v>
      </c>
      <c r="D18" s="661">
        <v>4000000000</v>
      </c>
      <c r="E18" s="120">
        <v>2853973800000</v>
      </c>
      <c r="F18" s="318">
        <f t="shared" si="0"/>
        <v>0.14015545622738373</v>
      </c>
      <c r="G18" s="48"/>
      <c r="H18" s="48"/>
      <c r="I18" s="659"/>
      <c r="J18" s="659"/>
      <c r="K18" s="659"/>
      <c r="L18" s="659"/>
      <c r="M18" s="659"/>
      <c r="N18" s="659"/>
      <c r="O18" s="659"/>
    </row>
    <row r="19" spans="1:15" s="18" customFormat="1" ht="21" customHeight="1">
      <c r="A19" s="16"/>
      <c r="B19" s="320"/>
      <c r="C19" s="662" t="s">
        <v>2082</v>
      </c>
      <c r="D19" s="661">
        <v>4000000000</v>
      </c>
      <c r="E19" s="120">
        <v>2853973800000</v>
      </c>
      <c r="F19" s="318">
        <f t="shared" si="0"/>
        <v>0.14015545622738373</v>
      </c>
      <c r="G19" s="48"/>
      <c r="H19" s="48"/>
      <c r="I19" s="659"/>
      <c r="J19" s="659"/>
      <c r="K19" s="659"/>
      <c r="L19" s="659"/>
      <c r="M19" s="659"/>
      <c r="N19" s="659"/>
      <c r="O19" s="659"/>
    </row>
    <row r="20" spans="1:15" s="18" customFormat="1" ht="15" customHeight="1">
      <c r="A20" s="16"/>
      <c r="B20" s="320"/>
      <c r="C20" s="662"/>
      <c r="D20" s="661"/>
      <c r="E20" s="120">
        <v>2853973800000</v>
      </c>
      <c r="F20" s="318"/>
      <c r="G20" s="48"/>
      <c r="H20" s="48"/>
      <c r="I20" s="659"/>
      <c r="J20" s="659"/>
      <c r="K20" s="659"/>
      <c r="L20" s="659"/>
      <c r="M20" s="659"/>
      <c r="N20" s="659"/>
      <c r="O20" s="659"/>
    </row>
    <row r="21" spans="1:15" s="18" customFormat="1" ht="34.5" customHeight="1">
      <c r="A21" s="16"/>
      <c r="B21" s="320"/>
      <c r="C21" s="657" t="s">
        <v>2626</v>
      </c>
      <c r="D21" s="658">
        <f>+D22+D52+D54+D56+D60+D63+D70+D73+D86+D88+D118+D121</f>
        <v>970860814488</v>
      </c>
      <c r="E21" s="120">
        <v>2853973800000</v>
      </c>
      <c r="F21" s="318">
        <f>D21/E21*100</f>
        <v>34.017860096963744</v>
      </c>
      <c r="G21" s="48"/>
      <c r="H21" s="48"/>
      <c r="I21" s="659"/>
      <c r="J21" s="659"/>
      <c r="K21" s="659"/>
      <c r="L21" s="659"/>
      <c r="M21" s="659"/>
      <c r="N21" s="659"/>
      <c r="O21" s="659"/>
    </row>
    <row r="22" spans="1:15" s="18" customFormat="1" ht="21" customHeight="1">
      <c r="A22" s="16"/>
      <c r="B22" s="320"/>
      <c r="C22" s="660" t="s">
        <v>1560</v>
      </c>
      <c r="D22" s="661">
        <v>308308132690</v>
      </c>
      <c r="E22" s="120">
        <v>2853973800000</v>
      </c>
      <c r="F22" s="318">
        <f t="shared" si="0"/>
        <v>10.802766748944927</v>
      </c>
      <c r="G22" s="48"/>
      <c r="H22" s="48"/>
      <c r="I22" s="659"/>
      <c r="J22" s="659"/>
      <c r="K22" s="659"/>
      <c r="L22" s="659"/>
      <c r="M22" s="659"/>
      <c r="N22" s="659"/>
      <c r="O22" s="659"/>
    </row>
    <row r="23" spans="1:15" s="656" customFormat="1" ht="21" customHeight="1">
      <c r="A23" s="648"/>
      <c r="B23" s="315"/>
      <c r="C23" s="662" t="s">
        <v>2627</v>
      </c>
      <c r="D23" s="661">
        <v>10022315056</v>
      </c>
      <c r="E23" s="120">
        <v>2853973800000</v>
      </c>
      <c r="F23" s="318">
        <f t="shared" si="0"/>
        <v>0.35117053478206423</v>
      </c>
      <c r="G23" s="40"/>
      <c r="H23" s="40"/>
      <c r="I23" s="663"/>
      <c r="J23" s="663"/>
      <c r="K23" s="663"/>
      <c r="L23" s="663"/>
      <c r="M23" s="663"/>
      <c r="N23" s="663"/>
      <c r="O23" s="663"/>
    </row>
    <row r="24" spans="1:15" s="18" customFormat="1" ht="21" customHeight="1">
      <c r="A24" s="16"/>
      <c r="B24" s="320"/>
      <c r="C24" s="662" t="s">
        <v>2628</v>
      </c>
      <c r="D24" s="661">
        <v>5212119056</v>
      </c>
      <c r="E24" s="120">
        <v>2853973800000</v>
      </c>
      <c r="F24" s="318">
        <f t="shared" si="0"/>
        <v>0.18262673105128016</v>
      </c>
      <c r="G24" s="48"/>
      <c r="H24" s="48"/>
      <c r="I24" s="659"/>
      <c r="J24" s="659"/>
      <c r="K24" s="659"/>
      <c r="L24" s="659"/>
      <c r="M24" s="659"/>
      <c r="N24" s="659"/>
      <c r="O24" s="659"/>
    </row>
    <row r="25" spans="1:15" s="656" customFormat="1" ht="21" customHeight="1">
      <c r="A25" s="648"/>
      <c r="B25" s="315"/>
      <c r="C25" s="662" t="s">
        <v>2629</v>
      </c>
      <c r="D25" s="661">
        <v>15034590056</v>
      </c>
      <c r="E25" s="120">
        <v>2853973800000</v>
      </c>
      <c r="F25" s="318">
        <f t="shared" si="0"/>
        <v>0.52679495712259161</v>
      </c>
      <c r="G25" s="40"/>
      <c r="H25" s="40"/>
      <c r="I25" s="663"/>
      <c r="J25" s="663"/>
      <c r="K25" s="663"/>
      <c r="L25" s="663"/>
      <c r="M25" s="663"/>
      <c r="N25" s="663"/>
      <c r="O25" s="663"/>
    </row>
    <row r="26" spans="1:15" s="18" customFormat="1" ht="21" customHeight="1">
      <c r="A26" s="16"/>
      <c r="B26" s="320"/>
      <c r="C26" s="662" t="s">
        <v>2630</v>
      </c>
      <c r="D26" s="661">
        <v>15034590056</v>
      </c>
      <c r="E26" s="120">
        <v>2853973800000</v>
      </c>
      <c r="F26" s="318">
        <f t="shared" si="0"/>
        <v>0.52679495712259161</v>
      </c>
      <c r="G26" s="48"/>
      <c r="H26" s="48"/>
      <c r="I26" s="659"/>
      <c r="J26" s="659"/>
      <c r="K26" s="659"/>
      <c r="L26" s="659"/>
      <c r="M26" s="659"/>
      <c r="N26" s="659"/>
      <c r="O26" s="659"/>
    </row>
    <row r="27" spans="1:15" s="18" customFormat="1" ht="21" customHeight="1">
      <c r="A27" s="16"/>
      <c r="B27" s="320"/>
      <c r="C27" s="662" t="s">
        <v>2631</v>
      </c>
      <c r="D27" s="661">
        <v>20003970406</v>
      </c>
      <c r="E27" s="120">
        <v>2853973800000</v>
      </c>
      <c r="F27" s="318">
        <f t="shared" si="0"/>
        <v>0.70091639965300312</v>
      </c>
      <c r="G27" s="48"/>
      <c r="H27" s="48"/>
      <c r="I27" s="659"/>
      <c r="J27" s="659"/>
      <c r="K27" s="659"/>
      <c r="L27" s="659"/>
      <c r="M27" s="659"/>
      <c r="N27" s="659"/>
      <c r="O27" s="659"/>
    </row>
    <row r="28" spans="1:15" s="18" customFormat="1" ht="21" customHeight="1">
      <c r="A28" s="16"/>
      <c r="B28" s="320"/>
      <c r="C28" s="662" t="s">
        <v>2632</v>
      </c>
      <c r="D28" s="661">
        <v>10025315056</v>
      </c>
      <c r="E28" s="120">
        <v>2853973800000</v>
      </c>
      <c r="F28" s="318">
        <f t="shared" si="0"/>
        <v>0.35127565137423472</v>
      </c>
      <c r="G28" s="48"/>
      <c r="H28" s="48"/>
      <c r="I28" s="659"/>
      <c r="J28" s="659"/>
      <c r="K28" s="659"/>
      <c r="L28" s="659"/>
      <c r="M28" s="659"/>
      <c r="N28" s="659"/>
      <c r="O28" s="659"/>
    </row>
    <row r="29" spans="1:15" s="18" customFormat="1" ht="21" customHeight="1">
      <c r="A29" s="16"/>
      <c r="B29" s="320"/>
      <c r="C29" s="662" t="s">
        <v>2633</v>
      </c>
      <c r="D29" s="661">
        <v>10001483146</v>
      </c>
      <c r="E29" s="120">
        <v>2853973800000</v>
      </c>
      <c r="F29" s="318">
        <f t="shared" si="0"/>
        <v>0.35044060831952978</v>
      </c>
      <c r="G29" s="48"/>
      <c r="H29" s="48"/>
      <c r="I29" s="659"/>
      <c r="J29" s="659"/>
      <c r="K29" s="659"/>
      <c r="L29" s="659"/>
      <c r="M29" s="659"/>
      <c r="N29" s="659"/>
      <c r="O29" s="659"/>
    </row>
    <row r="30" spans="1:15" s="656" customFormat="1" ht="34.5" customHeight="1">
      <c r="A30" s="648"/>
      <c r="B30" s="315"/>
      <c r="C30" s="662" t="s">
        <v>2634</v>
      </c>
      <c r="D30" s="661">
        <v>10022315056</v>
      </c>
      <c r="E30" s="120">
        <v>2853973800000</v>
      </c>
      <c r="F30" s="318">
        <f t="shared" si="0"/>
        <v>0.35117053478206423</v>
      </c>
      <c r="G30" s="40"/>
      <c r="H30" s="40"/>
      <c r="I30" s="663"/>
      <c r="J30" s="663"/>
      <c r="K30" s="663"/>
      <c r="L30" s="663"/>
      <c r="M30" s="663"/>
      <c r="N30" s="663"/>
      <c r="O30" s="663"/>
    </row>
    <row r="31" spans="1:15" s="18" customFormat="1" ht="21" customHeight="1">
      <c r="A31" s="16"/>
      <c r="B31" s="320"/>
      <c r="C31" s="662" t="s">
        <v>2635</v>
      </c>
      <c r="D31" s="661">
        <v>10025315056</v>
      </c>
      <c r="E31" s="120">
        <v>2853973800000</v>
      </c>
      <c r="F31" s="318">
        <f t="shared" si="0"/>
        <v>0.35127565137423472</v>
      </c>
      <c r="G31" s="48"/>
      <c r="H31" s="48"/>
      <c r="I31" s="659"/>
      <c r="J31" s="659"/>
      <c r="K31" s="659"/>
      <c r="L31" s="659"/>
      <c r="M31" s="659"/>
      <c r="N31" s="659"/>
      <c r="O31" s="659"/>
    </row>
    <row r="32" spans="1:15" s="18" customFormat="1" ht="21" customHeight="1">
      <c r="A32" s="16"/>
      <c r="B32" s="320"/>
      <c r="C32" s="662" t="s">
        <v>2636</v>
      </c>
      <c r="D32" s="661">
        <v>14050972146</v>
      </c>
      <c r="E32" s="120">
        <v>2853973800000</v>
      </c>
      <c r="F32" s="318">
        <f t="shared" si="0"/>
        <v>0.49233010289022278</v>
      </c>
      <c r="G32" s="48"/>
      <c r="H32" s="48"/>
      <c r="I32" s="659"/>
      <c r="J32" s="659"/>
      <c r="K32" s="659"/>
      <c r="L32" s="659"/>
      <c r="M32" s="659"/>
      <c r="N32" s="659"/>
      <c r="O32" s="659"/>
    </row>
    <row r="33" spans="1:15" s="18" customFormat="1" ht="21" customHeight="1">
      <c r="A33" s="16"/>
      <c r="B33" s="320"/>
      <c r="C33" s="662" t="s">
        <v>2637</v>
      </c>
      <c r="D33" s="661">
        <v>9993597146</v>
      </c>
      <c r="E33" s="120">
        <v>2853973800000</v>
      </c>
      <c r="F33" s="318">
        <f t="shared" si="0"/>
        <v>0.35016429183757747</v>
      </c>
      <c r="G33" s="48"/>
      <c r="H33" s="48"/>
      <c r="I33" s="659"/>
      <c r="J33" s="659"/>
      <c r="K33" s="659"/>
      <c r="L33" s="659"/>
      <c r="M33" s="659"/>
      <c r="N33" s="659"/>
      <c r="O33" s="659"/>
    </row>
    <row r="34" spans="1:15" s="18" customFormat="1" ht="21" customHeight="1">
      <c r="A34" s="16"/>
      <c r="B34" s="320"/>
      <c r="C34" s="662" t="s">
        <v>2638</v>
      </c>
      <c r="D34" s="661">
        <v>9911537146</v>
      </c>
      <c r="E34" s="120">
        <v>2853973800000</v>
      </c>
      <c r="F34" s="318">
        <f t="shared" si="0"/>
        <v>0.34728900265307272</v>
      </c>
      <c r="G34" s="48"/>
      <c r="H34" s="48"/>
      <c r="I34" s="659"/>
      <c r="J34" s="659"/>
      <c r="K34" s="659"/>
      <c r="L34" s="659"/>
      <c r="M34" s="659"/>
      <c r="N34" s="659"/>
      <c r="O34" s="659"/>
    </row>
    <row r="35" spans="1:15" s="656" customFormat="1" ht="21" customHeight="1">
      <c r="A35" s="648"/>
      <c r="B35" s="315"/>
      <c r="C35" s="662" t="s">
        <v>2639</v>
      </c>
      <c r="D35" s="661">
        <v>1729543146</v>
      </c>
      <c r="E35" s="120">
        <v>2853973800000</v>
      </c>
      <c r="F35" s="318">
        <f t="shared" si="0"/>
        <v>6.0601227173143632E-2</v>
      </c>
      <c r="G35" s="40"/>
      <c r="H35" s="40"/>
      <c r="I35" s="663"/>
      <c r="J35" s="663"/>
      <c r="K35" s="663"/>
      <c r="L35" s="663"/>
      <c r="M35" s="663"/>
      <c r="N35" s="663"/>
      <c r="O35" s="663"/>
    </row>
    <row r="36" spans="1:15" s="18" customFormat="1" ht="21" customHeight="1">
      <c r="A36" s="16"/>
      <c r="B36" s="320"/>
      <c r="C36" s="662" t="s">
        <v>2640</v>
      </c>
      <c r="D36" s="661">
        <v>16902872146</v>
      </c>
      <c r="E36" s="120">
        <v>2853973800000</v>
      </c>
      <c r="F36" s="318">
        <f t="shared" si="0"/>
        <v>0.5922574392939417</v>
      </c>
      <c r="G36" s="48"/>
      <c r="H36" s="48"/>
      <c r="I36" s="659"/>
      <c r="J36" s="659"/>
      <c r="K36" s="659"/>
      <c r="L36" s="659"/>
      <c r="M36" s="659"/>
      <c r="N36" s="659"/>
      <c r="O36" s="659"/>
    </row>
    <row r="37" spans="1:15" s="18" customFormat="1" ht="36.75" customHeight="1">
      <c r="A37" s="16"/>
      <c r="B37" s="320"/>
      <c r="C37" s="662" t="s">
        <v>2641</v>
      </c>
      <c r="D37" s="661">
        <v>10902872146</v>
      </c>
      <c r="E37" s="120">
        <v>2853973800000</v>
      </c>
      <c r="F37" s="318">
        <f t="shared" si="0"/>
        <v>0.38202425495286607</v>
      </c>
      <c r="G37" s="48"/>
      <c r="H37" s="48"/>
      <c r="I37" s="659"/>
      <c r="J37" s="659"/>
      <c r="K37" s="659"/>
      <c r="L37" s="659"/>
      <c r="M37" s="659"/>
      <c r="N37" s="659"/>
      <c r="O37" s="659"/>
    </row>
    <row r="38" spans="1:15" s="18" customFormat="1" ht="21" customHeight="1">
      <c r="A38" s="16"/>
      <c r="B38" s="320"/>
      <c r="C38" s="662" t="s">
        <v>2642</v>
      </c>
      <c r="D38" s="661">
        <v>1779443146</v>
      </c>
      <c r="E38" s="120">
        <v>2853973800000</v>
      </c>
      <c r="F38" s="318">
        <f t="shared" si="0"/>
        <v>6.2349666489580242E-2</v>
      </c>
      <c r="G38" s="48"/>
      <c r="H38" s="48"/>
      <c r="I38" s="659"/>
      <c r="J38" s="659"/>
      <c r="K38" s="659"/>
      <c r="L38" s="659"/>
      <c r="M38" s="659"/>
      <c r="N38" s="659"/>
      <c r="O38" s="659"/>
    </row>
    <row r="39" spans="1:15" s="18" customFormat="1" ht="21" customHeight="1">
      <c r="A39" s="16"/>
      <c r="B39" s="320"/>
      <c r="C39" s="662" t="s">
        <v>2643</v>
      </c>
      <c r="D39" s="661">
        <v>50795845258</v>
      </c>
      <c r="E39" s="120">
        <v>2853973800000</v>
      </c>
      <c r="F39" s="318">
        <f t="shared" si="0"/>
        <v>1.7798287166476441</v>
      </c>
      <c r="G39" s="48"/>
      <c r="H39" s="48"/>
      <c r="I39" s="659"/>
      <c r="J39" s="659"/>
      <c r="K39" s="659"/>
      <c r="L39" s="659"/>
      <c r="M39" s="659"/>
      <c r="N39" s="659"/>
      <c r="O39" s="659"/>
    </row>
    <row r="40" spans="1:15" s="18" customFormat="1" ht="21" customHeight="1">
      <c r="A40" s="16"/>
      <c r="B40" s="320"/>
      <c r="C40" s="662" t="s">
        <v>2644</v>
      </c>
      <c r="D40" s="661">
        <v>15450872146</v>
      </c>
      <c r="E40" s="120">
        <v>2853973800000</v>
      </c>
      <c r="F40" s="318">
        <f t="shared" si="0"/>
        <v>0.54138100868340133</v>
      </c>
      <c r="G40" s="48"/>
      <c r="H40" s="48"/>
      <c r="I40" s="659"/>
      <c r="J40" s="659"/>
      <c r="K40" s="659"/>
      <c r="L40" s="659"/>
      <c r="M40" s="659"/>
      <c r="N40" s="659"/>
      <c r="O40" s="659"/>
    </row>
    <row r="41" spans="1:15" s="18" customFormat="1" ht="21" customHeight="1">
      <c r="A41" s="16"/>
      <c r="B41" s="320"/>
      <c r="C41" s="664" t="s">
        <v>2645</v>
      </c>
      <c r="D41" s="661">
        <v>1729443146</v>
      </c>
      <c r="E41" s="120">
        <v>2853973800000</v>
      </c>
      <c r="F41" s="318">
        <f t="shared" si="0"/>
        <v>6.0597723286737952E-2</v>
      </c>
      <c r="G41" s="48"/>
      <c r="H41" s="48"/>
      <c r="I41" s="659"/>
      <c r="J41" s="659"/>
      <c r="K41" s="659"/>
      <c r="L41" s="659"/>
      <c r="M41" s="659"/>
      <c r="N41" s="659"/>
      <c r="O41" s="659"/>
    </row>
    <row r="42" spans="1:15" s="18" customFormat="1" ht="21" customHeight="1">
      <c r="A42" s="16"/>
      <c r="B42" s="320"/>
      <c r="C42" s="662" t="s">
        <v>2646</v>
      </c>
      <c r="D42" s="661">
        <v>4652051146</v>
      </c>
      <c r="E42" s="120">
        <v>2853973800000</v>
      </c>
      <c r="F42" s="318">
        <f t="shared" si="0"/>
        <v>0.16300258769018833</v>
      </c>
      <c r="G42" s="48"/>
      <c r="H42" s="48"/>
      <c r="I42" s="659"/>
      <c r="J42" s="659"/>
      <c r="K42" s="659"/>
      <c r="L42" s="659"/>
      <c r="M42" s="659"/>
      <c r="N42" s="659"/>
      <c r="O42" s="659"/>
    </row>
    <row r="43" spans="1:15" s="656" customFormat="1" ht="30.75" customHeight="1">
      <c r="A43" s="648"/>
      <c r="B43" s="315"/>
      <c r="C43" s="662" t="s">
        <v>2647</v>
      </c>
      <c r="D43" s="661">
        <v>5558776146</v>
      </c>
      <c r="E43" s="120">
        <v>2853973800000</v>
      </c>
      <c r="F43" s="318">
        <f t="shared" si="0"/>
        <v>0.19477320170213194</v>
      </c>
      <c r="G43" s="40"/>
      <c r="H43" s="40"/>
      <c r="I43" s="663"/>
      <c r="J43" s="663"/>
      <c r="K43" s="663"/>
      <c r="L43" s="663"/>
      <c r="M43" s="663"/>
      <c r="N43" s="663"/>
      <c r="O43" s="663"/>
    </row>
    <row r="44" spans="1:15" s="18" customFormat="1" ht="21" customHeight="1">
      <c r="A44" s="16"/>
      <c r="B44" s="320"/>
      <c r="C44" s="662" t="s">
        <v>2648</v>
      </c>
      <c r="D44" s="661">
        <v>4003776146</v>
      </c>
      <c r="E44" s="120">
        <v>2853973800000</v>
      </c>
      <c r="F44" s="318">
        <f t="shared" si="0"/>
        <v>0.14028776809373653</v>
      </c>
      <c r="G44" s="48"/>
      <c r="H44" s="48"/>
      <c r="I44" s="659"/>
      <c r="J44" s="659"/>
      <c r="K44" s="659"/>
      <c r="L44" s="659"/>
      <c r="M44" s="659"/>
      <c r="N44" s="659"/>
      <c r="O44" s="659"/>
    </row>
    <row r="45" spans="1:15" s="18" customFormat="1" ht="21" customHeight="1">
      <c r="A45" s="16"/>
      <c r="B45" s="320"/>
      <c r="C45" s="662" t="s">
        <v>2649</v>
      </c>
      <c r="D45" s="661">
        <v>5270885166</v>
      </c>
      <c r="E45" s="120">
        <v>2853973800000</v>
      </c>
      <c r="F45" s="318">
        <f t="shared" si="0"/>
        <v>0.18468582879071982</v>
      </c>
      <c r="G45" s="48"/>
      <c r="H45" s="48"/>
      <c r="I45" s="659"/>
      <c r="J45" s="659"/>
      <c r="K45" s="659"/>
      <c r="L45" s="659"/>
      <c r="M45" s="659"/>
      <c r="N45" s="659"/>
      <c r="O45" s="659"/>
    </row>
    <row r="46" spans="1:15" s="18" customFormat="1" ht="21" customHeight="1">
      <c r="A46" s="16"/>
      <c r="B46" s="320"/>
      <c r="C46" s="662" t="s">
        <v>2650</v>
      </c>
      <c r="D46" s="661">
        <v>15034590056</v>
      </c>
      <c r="E46" s="120">
        <v>2853973800000</v>
      </c>
      <c r="F46" s="318">
        <f t="shared" si="0"/>
        <v>0.52679495712259161</v>
      </c>
      <c r="G46" s="48"/>
      <c r="H46" s="48"/>
      <c r="I46" s="659"/>
      <c r="J46" s="659"/>
      <c r="K46" s="659"/>
      <c r="L46" s="659"/>
      <c r="M46" s="659"/>
      <c r="N46" s="659"/>
      <c r="O46" s="659"/>
    </row>
    <row r="47" spans="1:15" s="18" customFormat="1" ht="21" customHeight="1">
      <c r="A47" s="16"/>
      <c r="B47" s="320"/>
      <c r="C47" s="662" t="s">
        <v>2651</v>
      </c>
      <c r="D47" s="661">
        <v>10025047146</v>
      </c>
      <c r="E47" s="120">
        <v>2853973800000</v>
      </c>
      <c r="F47" s="318">
        <f t="shared" si="0"/>
        <v>0.35126626411216527</v>
      </c>
      <c r="G47" s="48"/>
      <c r="H47" s="48"/>
      <c r="I47" s="659"/>
      <c r="J47" s="659"/>
      <c r="K47" s="659"/>
      <c r="L47" s="659"/>
      <c r="M47" s="659"/>
      <c r="N47" s="659"/>
      <c r="O47" s="659"/>
    </row>
    <row r="48" spans="1:15" s="18" customFormat="1" ht="21" customHeight="1">
      <c r="A48" s="16"/>
      <c r="B48" s="320"/>
      <c r="C48" s="662" t="s">
        <v>2652</v>
      </c>
      <c r="D48" s="661">
        <v>5022851146</v>
      </c>
      <c r="E48" s="120">
        <v>2853973800000</v>
      </c>
      <c r="F48" s="318">
        <f t="shared" si="0"/>
        <v>0.1759949984824668</v>
      </c>
      <c r="G48" s="48"/>
      <c r="H48" s="48"/>
      <c r="I48" s="659"/>
      <c r="J48" s="659"/>
      <c r="K48" s="659"/>
      <c r="L48" s="659"/>
      <c r="M48" s="659"/>
      <c r="N48" s="659"/>
      <c r="O48" s="659"/>
    </row>
    <row r="49" spans="1:15" s="18" customFormat="1" ht="36.75" customHeight="1">
      <c r="A49" s="16"/>
      <c r="B49" s="320"/>
      <c r="C49" s="662" t="s">
        <v>2653</v>
      </c>
      <c r="D49" s="661">
        <v>5022595996</v>
      </c>
      <c r="E49" s="120">
        <v>2853973800000</v>
      </c>
      <c r="F49" s="318">
        <f t="shared" si="0"/>
        <v>0.17598605831630271</v>
      </c>
      <c r="G49" s="48"/>
      <c r="H49" s="48"/>
      <c r="I49" s="659"/>
      <c r="J49" s="659"/>
      <c r="K49" s="659"/>
      <c r="L49" s="659"/>
      <c r="M49" s="659"/>
      <c r="N49" s="659"/>
      <c r="O49" s="659"/>
    </row>
    <row r="50" spans="1:15" s="18" customFormat="1" ht="21" customHeight="1">
      <c r="A50" s="16"/>
      <c r="B50" s="320"/>
      <c r="C50" s="662" t="s">
        <v>2654</v>
      </c>
      <c r="D50" s="661">
        <v>10024510930</v>
      </c>
      <c r="E50" s="120">
        <v>2853973800000</v>
      </c>
      <c r="F50" s="318">
        <f t="shared" si="0"/>
        <v>0.3512474757126362</v>
      </c>
      <c r="G50" s="48"/>
      <c r="H50" s="48"/>
      <c r="I50" s="659"/>
      <c r="J50" s="659"/>
      <c r="K50" s="659"/>
      <c r="L50" s="659"/>
      <c r="M50" s="659"/>
      <c r="N50" s="659"/>
      <c r="O50" s="659"/>
    </row>
    <row r="51" spans="1:15" s="18" customFormat="1" ht="21" customHeight="1">
      <c r="A51" s="16"/>
      <c r="B51" s="320"/>
      <c r="C51" s="662" t="s">
        <v>2655</v>
      </c>
      <c r="D51" s="661">
        <v>5064038296</v>
      </c>
      <c r="E51" s="120">
        <v>2853973800000</v>
      </c>
      <c r="F51" s="318">
        <f t="shared" si="0"/>
        <v>0.17743814943220573</v>
      </c>
      <c r="G51" s="48"/>
      <c r="H51" s="48"/>
      <c r="I51" s="659"/>
      <c r="J51" s="659"/>
      <c r="K51" s="659"/>
      <c r="L51" s="659"/>
      <c r="M51" s="659"/>
      <c r="N51" s="659"/>
      <c r="O51" s="659"/>
    </row>
    <row r="52" spans="1:15" s="656" customFormat="1" ht="21" customHeight="1">
      <c r="A52" s="648"/>
      <c r="B52" s="315"/>
      <c r="C52" s="660" t="s">
        <v>2656</v>
      </c>
      <c r="D52" s="661">
        <v>3937119056</v>
      </c>
      <c r="E52" s="120">
        <v>2853973800000</v>
      </c>
      <c r="F52" s="318">
        <f t="shared" si="0"/>
        <v>0.13795217937880158</v>
      </c>
      <c r="G52" s="40"/>
      <c r="H52" s="40"/>
      <c r="I52" s="663"/>
      <c r="J52" s="663"/>
      <c r="K52" s="663"/>
      <c r="L52" s="663"/>
      <c r="M52" s="663"/>
      <c r="N52" s="663"/>
      <c r="O52" s="663"/>
    </row>
    <row r="53" spans="1:15" s="18" customFormat="1" ht="21" customHeight="1">
      <c r="A53" s="16"/>
      <c r="B53" s="320"/>
      <c r="C53" s="662" t="s">
        <v>2657</v>
      </c>
      <c r="D53" s="661">
        <v>3937119056</v>
      </c>
      <c r="E53" s="120">
        <v>2853973800000</v>
      </c>
      <c r="F53" s="318">
        <f t="shared" si="0"/>
        <v>0.13795217937880158</v>
      </c>
      <c r="G53" s="48"/>
      <c r="H53" s="48"/>
      <c r="I53" s="659"/>
      <c r="J53" s="659"/>
      <c r="K53" s="659"/>
      <c r="L53" s="659"/>
      <c r="M53" s="659"/>
      <c r="N53" s="659"/>
      <c r="O53" s="659"/>
    </row>
    <row r="54" spans="1:15" s="18" customFormat="1" ht="21" customHeight="1">
      <c r="A54" s="16"/>
      <c r="B54" s="320"/>
      <c r="C54" s="660" t="s">
        <v>2658</v>
      </c>
      <c r="D54" s="661">
        <v>6153409646</v>
      </c>
      <c r="E54" s="120">
        <v>2853973800000</v>
      </c>
      <c r="F54" s="318">
        <f t="shared" si="0"/>
        <v>0.21560848407227842</v>
      </c>
      <c r="G54" s="48"/>
      <c r="H54" s="48"/>
      <c r="I54" s="659"/>
      <c r="J54" s="659"/>
      <c r="K54" s="659"/>
      <c r="L54" s="659"/>
      <c r="M54" s="659"/>
      <c r="N54" s="659"/>
      <c r="O54" s="659"/>
    </row>
    <row r="55" spans="1:15" s="18" customFormat="1" ht="21" customHeight="1">
      <c r="A55" s="16"/>
      <c r="B55" s="320"/>
      <c r="C55" s="662" t="s">
        <v>2659</v>
      </c>
      <c r="D55" s="661">
        <v>6153409646</v>
      </c>
      <c r="E55" s="120">
        <v>2853973800000</v>
      </c>
      <c r="F55" s="318">
        <f t="shared" si="0"/>
        <v>0.21560848407227842</v>
      </c>
      <c r="G55" s="48"/>
      <c r="H55" s="48"/>
      <c r="I55" s="659"/>
      <c r="J55" s="659"/>
      <c r="K55" s="659"/>
      <c r="L55" s="659"/>
      <c r="M55" s="659"/>
      <c r="N55" s="659"/>
      <c r="O55" s="659"/>
    </row>
    <row r="56" spans="1:15" s="18" customFormat="1" ht="21" customHeight="1">
      <c r="A56" s="16"/>
      <c r="B56" s="320"/>
      <c r="C56" s="660" t="s">
        <v>2660</v>
      </c>
      <c r="D56" s="661">
        <v>116977616202</v>
      </c>
      <c r="E56" s="120">
        <v>2853973800000</v>
      </c>
      <c r="F56" s="318">
        <f t="shared" si="0"/>
        <v>4.0987627917957763</v>
      </c>
      <c r="G56" s="48"/>
      <c r="H56" s="48"/>
      <c r="I56" s="659"/>
      <c r="J56" s="659"/>
      <c r="K56" s="659"/>
      <c r="L56" s="659"/>
      <c r="M56" s="659"/>
      <c r="N56" s="659"/>
      <c r="O56" s="659"/>
    </row>
    <row r="57" spans="1:15" s="18" customFormat="1" ht="21" customHeight="1">
      <c r="A57" s="16"/>
      <c r="B57" s="320"/>
      <c r="C57" s="662" t="s">
        <v>2661</v>
      </c>
      <c r="D57" s="661">
        <v>107561000000</v>
      </c>
      <c r="E57" s="120">
        <v>2853973800000</v>
      </c>
      <c r="F57" s="318">
        <f t="shared" si="0"/>
        <v>3.7688152568184052</v>
      </c>
      <c r="G57" s="48"/>
      <c r="H57" s="48"/>
      <c r="I57" s="659"/>
      <c r="J57" s="659"/>
      <c r="K57" s="659"/>
      <c r="L57" s="659"/>
      <c r="M57" s="659"/>
      <c r="N57" s="659"/>
      <c r="O57" s="659"/>
    </row>
    <row r="58" spans="1:15" s="18" customFormat="1" ht="21" customHeight="1">
      <c r="A58" s="16"/>
      <c r="B58" s="320"/>
      <c r="C58" s="662" t="s">
        <v>2662</v>
      </c>
      <c r="D58" s="661">
        <v>6232347146</v>
      </c>
      <c r="E58" s="120">
        <v>2853973800000</v>
      </c>
      <c r="F58" s="318">
        <f t="shared" si="0"/>
        <v>0.2183743644037657</v>
      </c>
      <c r="G58" s="48"/>
      <c r="H58" s="48"/>
      <c r="I58" s="659"/>
      <c r="J58" s="659"/>
      <c r="K58" s="659"/>
      <c r="L58" s="659"/>
      <c r="M58" s="659"/>
      <c r="N58" s="659"/>
      <c r="O58" s="659"/>
    </row>
    <row r="59" spans="1:15" s="18" customFormat="1" ht="21" customHeight="1">
      <c r="A59" s="16"/>
      <c r="B59" s="320"/>
      <c r="C59" s="662" t="s">
        <v>2663</v>
      </c>
      <c r="D59" s="661">
        <v>3184269056</v>
      </c>
      <c r="E59" s="120">
        <v>2853973800000</v>
      </c>
      <c r="F59" s="318">
        <f t="shared" si="0"/>
        <v>0.11157317057360512</v>
      </c>
      <c r="G59" s="48"/>
      <c r="H59" s="48"/>
      <c r="I59" s="659"/>
      <c r="J59" s="659"/>
      <c r="K59" s="659"/>
      <c r="L59" s="659"/>
      <c r="M59" s="659"/>
      <c r="N59" s="659"/>
      <c r="O59" s="659"/>
    </row>
    <row r="60" spans="1:15" s="18" customFormat="1" ht="21" customHeight="1">
      <c r="A60" s="16"/>
      <c r="B60" s="320"/>
      <c r="C60" s="660" t="s">
        <v>2664</v>
      </c>
      <c r="D60" s="661">
        <v>11417189901</v>
      </c>
      <c r="E60" s="120">
        <v>2853973800000</v>
      </c>
      <c r="F60" s="318">
        <f t="shared" si="0"/>
        <v>0.40004536485233322</v>
      </c>
      <c r="G60" s="48"/>
      <c r="H60" s="48"/>
      <c r="I60" s="659"/>
      <c r="J60" s="659"/>
      <c r="K60" s="659"/>
      <c r="L60" s="659"/>
      <c r="M60" s="659"/>
      <c r="N60" s="659"/>
      <c r="O60" s="659"/>
    </row>
    <row r="61" spans="1:15" s="18" customFormat="1" ht="21" customHeight="1">
      <c r="A61" s="16"/>
      <c r="B61" s="320"/>
      <c r="C61" s="662" t="s">
        <v>2665</v>
      </c>
      <c r="D61" s="661">
        <v>4212119056</v>
      </c>
      <c r="E61" s="120">
        <v>2853973800000</v>
      </c>
      <c r="F61" s="318">
        <f t="shared" si="0"/>
        <v>0.14758786699443421</v>
      </c>
      <c r="G61" s="48"/>
      <c r="H61" s="48"/>
      <c r="I61" s="659"/>
      <c r="J61" s="659"/>
      <c r="K61" s="659"/>
      <c r="L61" s="659"/>
      <c r="M61" s="659"/>
      <c r="N61" s="659"/>
      <c r="O61" s="659"/>
    </row>
    <row r="62" spans="1:15" s="18" customFormat="1" ht="21" customHeight="1">
      <c r="A62" s="16"/>
      <c r="B62" s="320"/>
      <c r="C62" s="662" t="s">
        <v>2666</v>
      </c>
      <c r="D62" s="661">
        <v>7205070845</v>
      </c>
      <c r="E62" s="120">
        <v>2853973800000</v>
      </c>
      <c r="F62" s="318">
        <f t="shared" si="0"/>
        <v>0.25245749785789906</v>
      </c>
      <c r="G62" s="48"/>
      <c r="H62" s="48"/>
      <c r="I62" s="659"/>
      <c r="J62" s="659"/>
      <c r="K62" s="659"/>
      <c r="L62" s="659"/>
      <c r="M62" s="659"/>
      <c r="N62" s="659"/>
      <c r="O62" s="659"/>
    </row>
    <row r="63" spans="1:15" s="18" customFormat="1" ht="21" customHeight="1">
      <c r="A63" s="16"/>
      <c r="B63" s="320"/>
      <c r="C63" s="660" t="s">
        <v>879</v>
      </c>
      <c r="D63" s="661">
        <v>22154125244</v>
      </c>
      <c r="E63" s="120">
        <v>2853973800000</v>
      </c>
      <c r="F63" s="318">
        <f t="shared" si="0"/>
        <v>0.77625538272285466</v>
      </c>
      <c r="G63" s="48"/>
      <c r="H63" s="48"/>
      <c r="I63" s="659"/>
      <c r="J63" s="659"/>
      <c r="K63" s="659"/>
      <c r="L63" s="659"/>
      <c r="M63" s="659"/>
      <c r="N63" s="659"/>
      <c r="O63" s="659"/>
    </row>
    <row r="64" spans="1:15" s="656" customFormat="1" ht="21" customHeight="1">
      <c r="A64" s="648"/>
      <c r="B64" s="315"/>
      <c r="C64" s="662" t="s">
        <v>2667</v>
      </c>
      <c r="D64" s="661">
        <v>1514410000</v>
      </c>
      <c r="E64" s="120">
        <v>2853973800000</v>
      </c>
      <c r="F64" s="318">
        <f t="shared" si="0"/>
        <v>5.3063206116328046E-2</v>
      </c>
      <c r="G64" s="40"/>
      <c r="H64" s="40"/>
      <c r="I64" s="663"/>
      <c r="J64" s="663"/>
      <c r="K64" s="663"/>
      <c r="L64" s="663"/>
      <c r="M64" s="663"/>
      <c r="N64" s="663"/>
      <c r="O64" s="663"/>
    </row>
    <row r="65" spans="1:15" s="18" customFormat="1" ht="21" customHeight="1">
      <c r="A65" s="16"/>
      <c r="B65" s="320"/>
      <c r="C65" s="662" t="s">
        <v>2668</v>
      </c>
      <c r="D65" s="661">
        <v>1136219930</v>
      </c>
      <c r="E65" s="120">
        <v>2853973800000</v>
      </c>
      <c r="F65" s="318">
        <f t="shared" si="0"/>
        <v>3.9811855665949004E-2</v>
      </c>
      <c r="G65" s="48"/>
      <c r="H65" s="48"/>
      <c r="I65" s="659"/>
      <c r="J65" s="659"/>
      <c r="K65" s="659"/>
      <c r="L65" s="659"/>
      <c r="M65" s="659"/>
      <c r="N65" s="659"/>
      <c r="O65" s="659"/>
    </row>
    <row r="66" spans="1:15" s="18" customFormat="1" ht="21" customHeight="1">
      <c r="A66" s="16"/>
      <c r="B66" s="320"/>
      <c r="C66" s="662" t="s">
        <v>2669</v>
      </c>
      <c r="D66" s="661">
        <v>2855161056</v>
      </c>
      <c r="E66" s="120">
        <v>2853973800000</v>
      </c>
      <c r="F66" s="318">
        <f t="shared" si="0"/>
        <v>0.10004160010158468</v>
      </c>
      <c r="G66" s="48"/>
      <c r="H66" s="48"/>
      <c r="I66" s="659"/>
      <c r="J66" s="659"/>
      <c r="K66" s="659"/>
      <c r="L66" s="659"/>
      <c r="M66" s="659"/>
      <c r="N66" s="659"/>
      <c r="O66" s="659"/>
    </row>
    <row r="67" spans="1:15" s="656" customFormat="1" ht="36.75" customHeight="1">
      <c r="A67" s="648"/>
      <c r="B67" s="315"/>
      <c r="C67" s="662" t="s">
        <v>2670</v>
      </c>
      <c r="D67" s="661">
        <v>2855161056</v>
      </c>
      <c r="E67" s="120">
        <v>2853973800000</v>
      </c>
      <c r="F67" s="318">
        <f t="shared" si="0"/>
        <v>0.10004160010158468</v>
      </c>
      <c r="G67" s="40"/>
      <c r="H67" s="40"/>
      <c r="I67" s="663"/>
      <c r="J67" s="663"/>
      <c r="K67" s="663"/>
      <c r="L67" s="663"/>
      <c r="M67" s="663"/>
      <c r="N67" s="663"/>
      <c r="O67" s="663"/>
    </row>
    <row r="68" spans="1:15" s="18" customFormat="1" ht="36.75" customHeight="1">
      <c r="A68" s="16"/>
      <c r="B68" s="320"/>
      <c r="C68" s="662" t="s">
        <v>2671</v>
      </c>
      <c r="D68" s="661">
        <v>12743872146</v>
      </c>
      <c r="E68" s="120">
        <v>2853973800000</v>
      </c>
      <c r="F68" s="318">
        <f t="shared" si="0"/>
        <v>0.44653080368151943</v>
      </c>
      <c r="G68" s="48"/>
      <c r="H68" s="48"/>
      <c r="I68" s="659"/>
      <c r="J68" s="659"/>
      <c r="K68" s="659"/>
      <c r="L68" s="659"/>
      <c r="M68" s="659"/>
      <c r="N68" s="659"/>
      <c r="O68" s="659"/>
    </row>
    <row r="69" spans="1:15" s="18" customFormat="1" ht="36.75" customHeight="1">
      <c r="A69" s="16"/>
      <c r="B69" s="320"/>
      <c r="C69" s="662" t="s">
        <v>2672</v>
      </c>
      <c r="D69" s="661">
        <v>1049301056</v>
      </c>
      <c r="E69" s="120">
        <v>2853973800000</v>
      </c>
      <c r="F69" s="318">
        <f t="shared" si="0"/>
        <v>3.6766317055888877E-2</v>
      </c>
      <c r="G69" s="48"/>
      <c r="H69" s="48"/>
      <c r="I69" s="659"/>
      <c r="J69" s="659"/>
      <c r="K69" s="659"/>
      <c r="L69" s="659"/>
      <c r="M69" s="659"/>
      <c r="N69" s="659"/>
      <c r="O69" s="659"/>
    </row>
    <row r="70" spans="1:15" s="300" customFormat="1" ht="21" customHeight="1">
      <c r="A70" s="282"/>
      <c r="B70" s="320"/>
      <c r="C70" s="660" t="s">
        <v>490</v>
      </c>
      <c r="D70" s="661">
        <v>9506738112</v>
      </c>
      <c r="E70" s="120">
        <v>2853973800000</v>
      </c>
      <c r="F70" s="318">
        <f t="shared" si="0"/>
        <v>0.33310530433040414</v>
      </c>
      <c r="G70" s="322"/>
      <c r="H70" s="322"/>
      <c r="I70" s="323"/>
      <c r="J70" s="323"/>
      <c r="K70" s="323"/>
      <c r="L70" s="323"/>
      <c r="M70" s="323"/>
      <c r="N70" s="323"/>
      <c r="O70" s="323"/>
    </row>
    <row r="71" spans="1:15" s="18" customFormat="1" ht="21" customHeight="1">
      <c r="A71" s="16"/>
      <c r="B71" s="320"/>
      <c r="C71" s="662" t="s">
        <v>2673</v>
      </c>
      <c r="D71" s="661">
        <v>4378369056</v>
      </c>
      <c r="E71" s="120">
        <v>2853973800000</v>
      </c>
      <c r="F71" s="318">
        <f t="shared" si="0"/>
        <v>0.15341307814388486</v>
      </c>
      <c r="G71" s="48"/>
      <c r="H71" s="48"/>
      <c r="I71" s="659"/>
      <c r="J71" s="659"/>
      <c r="K71" s="659"/>
      <c r="L71" s="659"/>
      <c r="M71" s="659"/>
      <c r="N71" s="659"/>
      <c r="O71" s="659"/>
    </row>
    <row r="72" spans="1:15" s="18" customFormat="1" ht="21" customHeight="1">
      <c r="A72" s="16"/>
      <c r="B72" s="320"/>
      <c r="C72" s="662" t="s">
        <v>2674</v>
      </c>
      <c r="D72" s="661">
        <v>5128369056</v>
      </c>
      <c r="E72" s="120">
        <v>2853973800000</v>
      </c>
      <c r="F72" s="318">
        <f t="shared" si="0"/>
        <v>0.17969222618651931</v>
      </c>
      <c r="G72" s="48"/>
      <c r="H72" s="48"/>
      <c r="I72" s="659"/>
      <c r="J72" s="659"/>
      <c r="K72" s="659"/>
      <c r="L72" s="659"/>
      <c r="M72" s="659"/>
      <c r="N72" s="659"/>
      <c r="O72" s="659"/>
    </row>
    <row r="73" spans="1:15" s="18" customFormat="1" ht="21" customHeight="1">
      <c r="A73" s="16"/>
      <c r="B73" s="320"/>
      <c r="C73" s="660" t="s">
        <v>2675</v>
      </c>
      <c r="D73" s="661">
        <v>117322963233</v>
      </c>
      <c r="E73" s="120">
        <v>2853973800000</v>
      </c>
      <c r="F73" s="318">
        <f t="shared" si="0"/>
        <v>4.1108633594674204</v>
      </c>
      <c r="G73" s="48"/>
      <c r="H73" s="48"/>
      <c r="I73" s="659"/>
      <c r="J73" s="659"/>
      <c r="K73" s="659"/>
      <c r="L73" s="659"/>
      <c r="M73" s="659"/>
      <c r="N73" s="659"/>
      <c r="O73" s="659"/>
    </row>
    <row r="74" spans="1:15" s="18" customFormat="1" ht="21" customHeight="1">
      <c r="A74" s="16"/>
      <c r="B74" s="320"/>
      <c r="C74" s="662" t="s">
        <v>2676</v>
      </c>
      <c r="D74" s="661">
        <v>2525595388</v>
      </c>
      <c r="E74" s="120">
        <v>2853973800000</v>
      </c>
      <c r="F74" s="318">
        <f t="shared" si="0"/>
        <v>8.8493993462729056E-2</v>
      </c>
      <c r="G74" s="48"/>
      <c r="H74" s="48"/>
      <c r="I74" s="659"/>
      <c r="J74" s="659"/>
      <c r="K74" s="659"/>
      <c r="L74" s="659"/>
      <c r="M74" s="659"/>
      <c r="N74" s="659"/>
      <c r="O74" s="659"/>
    </row>
    <row r="75" spans="1:15" s="18" customFormat="1" ht="21" customHeight="1">
      <c r="A75" s="16"/>
      <c r="B75" s="320"/>
      <c r="C75" s="662" t="s">
        <v>2677</v>
      </c>
      <c r="D75" s="661">
        <v>5500000000</v>
      </c>
      <c r="E75" s="120">
        <v>2853973800000</v>
      </c>
      <c r="F75" s="318">
        <f t="shared" si="0"/>
        <v>0.19271375231265261</v>
      </c>
      <c r="G75" s="48"/>
      <c r="H75" s="48"/>
      <c r="I75" s="659"/>
      <c r="J75" s="659"/>
      <c r="K75" s="659"/>
      <c r="L75" s="659"/>
      <c r="M75" s="659"/>
      <c r="N75" s="659"/>
      <c r="O75" s="659"/>
    </row>
    <row r="76" spans="1:15" s="18" customFormat="1" ht="21" customHeight="1">
      <c r="A76" s="16"/>
      <c r="B76" s="320"/>
      <c r="C76" s="662" t="s">
        <v>2678</v>
      </c>
      <c r="D76" s="661">
        <v>15929622146</v>
      </c>
      <c r="E76" s="120">
        <v>2853973800000</v>
      </c>
      <c r="F76" s="318">
        <f t="shared" si="0"/>
        <v>0.5581558648506163</v>
      </c>
      <c r="G76" s="48"/>
      <c r="H76" s="48"/>
      <c r="I76" s="659"/>
      <c r="J76" s="659"/>
      <c r="K76" s="659"/>
      <c r="L76" s="659"/>
      <c r="M76" s="659"/>
      <c r="N76" s="659"/>
      <c r="O76" s="659"/>
    </row>
    <row r="77" spans="1:15" s="18" customFormat="1" ht="36.75" customHeight="1">
      <c r="A77" s="16"/>
      <c r="B77" s="320"/>
      <c r="C77" s="662" t="s">
        <v>2679</v>
      </c>
      <c r="D77" s="661">
        <v>13836622146</v>
      </c>
      <c r="E77" s="120">
        <v>2853973800000</v>
      </c>
      <c r="F77" s="318">
        <f t="shared" ref="F77:F140" si="1">D77/E77*100</f>
        <v>0.48481952237963788</v>
      </c>
      <c r="G77" s="48"/>
      <c r="H77" s="48"/>
      <c r="I77" s="659"/>
      <c r="J77" s="659"/>
      <c r="K77" s="659"/>
      <c r="L77" s="659"/>
      <c r="M77" s="659"/>
      <c r="N77" s="659"/>
      <c r="O77" s="659"/>
    </row>
    <row r="78" spans="1:15" s="18" customFormat="1" ht="21" customHeight="1">
      <c r="A78" s="16"/>
      <c r="B78" s="320"/>
      <c r="C78" s="662" t="s">
        <v>2680</v>
      </c>
      <c r="D78" s="661">
        <v>12152872146</v>
      </c>
      <c r="E78" s="120">
        <v>2853973800000</v>
      </c>
      <c r="F78" s="318">
        <f t="shared" si="1"/>
        <v>0.42582283502392343</v>
      </c>
      <c r="G78" s="48"/>
      <c r="H78" s="48"/>
      <c r="I78" s="659"/>
      <c r="J78" s="659"/>
      <c r="K78" s="659"/>
      <c r="L78" s="659"/>
      <c r="M78" s="659"/>
      <c r="N78" s="659"/>
      <c r="O78" s="659"/>
    </row>
    <row r="79" spans="1:15" s="18" customFormat="1" ht="21" customHeight="1">
      <c r="A79" s="16"/>
      <c r="B79" s="320"/>
      <c r="C79" s="662" t="s">
        <v>2681</v>
      </c>
      <c r="D79" s="661">
        <v>21136622146</v>
      </c>
      <c r="E79" s="120">
        <v>2853973800000</v>
      </c>
      <c r="F79" s="318">
        <f t="shared" si="1"/>
        <v>0.74060322999461314</v>
      </c>
      <c r="G79" s="48"/>
      <c r="H79" s="48"/>
      <c r="I79" s="659"/>
      <c r="J79" s="659"/>
      <c r="K79" s="659"/>
      <c r="L79" s="659"/>
      <c r="M79" s="659"/>
      <c r="N79" s="659"/>
      <c r="O79" s="659"/>
    </row>
    <row r="80" spans="1:15" s="18" customFormat="1" ht="21" customHeight="1">
      <c r="A80" s="16"/>
      <c r="B80" s="320"/>
      <c r="C80" s="662" t="s">
        <v>2682</v>
      </c>
      <c r="D80" s="661">
        <v>2355161056</v>
      </c>
      <c r="E80" s="120">
        <v>2853973800000</v>
      </c>
      <c r="F80" s="318">
        <f t="shared" si="1"/>
        <v>8.252216807316172E-2</v>
      </c>
      <c r="G80" s="48"/>
      <c r="H80" s="48"/>
      <c r="I80" s="659"/>
      <c r="J80" s="659"/>
      <c r="K80" s="659"/>
      <c r="L80" s="659"/>
      <c r="M80" s="659"/>
      <c r="N80" s="659"/>
      <c r="O80" s="659"/>
    </row>
    <row r="81" spans="1:15" s="656" customFormat="1" ht="21" customHeight="1">
      <c r="A81" s="648"/>
      <c r="B81" s="315"/>
      <c r="C81" s="662" t="s">
        <v>2683</v>
      </c>
      <c r="D81" s="661">
        <v>3328369056</v>
      </c>
      <c r="E81" s="120">
        <v>2853973800000</v>
      </c>
      <c r="F81" s="318">
        <f t="shared" si="1"/>
        <v>0.11662227088419662</v>
      </c>
      <c r="G81" s="40"/>
      <c r="H81" s="40"/>
      <c r="I81" s="663"/>
      <c r="J81" s="663"/>
      <c r="K81" s="663"/>
      <c r="L81" s="663"/>
      <c r="M81" s="663"/>
      <c r="N81" s="663"/>
      <c r="O81" s="663"/>
    </row>
    <row r="82" spans="1:15" s="314" customFormat="1" ht="21" customHeight="1">
      <c r="A82" s="492"/>
      <c r="B82" s="315"/>
      <c r="C82" s="662" t="s">
        <v>2684</v>
      </c>
      <c r="D82" s="661">
        <v>2418411056</v>
      </c>
      <c r="E82" s="120">
        <v>2853973800000</v>
      </c>
      <c r="F82" s="318">
        <f t="shared" si="1"/>
        <v>8.4738376224757217E-2</v>
      </c>
      <c r="G82" s="318"/>
      <c r="H82" s="318"/>
      <c r="I82" s="319"/>
      <c r="J82" s="319"/>
      <c r="K82" s="319"/>
      <c r="L82" s="319"/>
      <c r="M82" s="319"/>
      <c r="N82" s="319"/>
      <c r="O82" s="319"/>
    </row>
    <row r="83" spans="1:15" s="18" customFormat="1" ht="21" customHeight="1">
      <c r="A83" s="16"/>
      <c r="B83" s="320"/>
      <c r="C83" s="662" t="s">
        <v>2685</v>
      </c>
      <c r="D83" s="661">
        <v>9541297146</v>
      </c>
      <c r="E83" s="120">
        <v>2853973800000</v>
      </c>
      <c r="F83" s="318">
        <f t="shared" si="1"/>
        <v>0.33431621362466607</v>
      </c>
      <c r="G83" s="48"/>
      <c r="H83" s="48"/>
      <c r="I83" s="659"/>
      <c r="J83" s="659"/>
      <c r="K83" s="659"/>
      <c r="L83" s="659"/>
      <c r="M83" s="659"/>
      <c r="N83" s="659"/>
      <c r="O83" s="659"/>
    </row>
    <row r="84" spans="1:15" s="18" customFormat="1" ht="21" customHeight="1">
      <c r="A84" s="16"/>
      <c r="B84" s="320"/>
      <c r="C84" s="662" t="s">
        <v>2686</v>
      </c>
      <c r="D84" s="661">
        <v>25252387592</v>
      </c>
      <c r="E84" s="120">
        <v>2853973800000</v>
      </c>
      <c r="F84" s="318">
        <f t="shared" si="1"/>
        <v>0.88481497594687097</v>
      </c>
      <c r="G84" s="48"/>
      <c r="H84" s="48"/>
      <c r="I84" s="659"/>
      <c r="J84" s="659"/>
      <c r="K84" s="659"/>
      <c r="L84" s="659"/>
      <c r="M84" s="659"/>
      <c r="N84" s="659"/>
      <c r="O84" s="659"/>
    </row>
    <row r="85" spans="1:15" s="18" customFormat="1" ht="21" customHeight="1">
      <c r="A85" s="16"/>
      <c r="B85" s="320"/>
      <c r="C85" s="662" t="s">
        <v>2687</v>
      </c>
      <c r="D85" s="661">
        <v>3346003355</v>
      </c>
      <c r="E85" s="120">
        <v>2853973800000</v>
      </c>
      <c r="F85" s="318">
        <f t="shared" si="1"/>
        <v>0.11724015668959541</v>
      </c>
      <c r="G85" s="48"/>
      <c r="H85" s="48"/>
      <c r="I85" s="659"/>
      <c r="J85" s="659"/>
      <c r="K85" s="659"/>
      <c r="L85" s="659"/>
      <c r="M85" s="659"/>
      <c r="N85" s="659"/>
      <c r="O85" s="659"/>
    </row>
    <row r="86" spans="1:15" s="656" customFormat="1" ht="21" customHeight="1">
      <c r="A86" s="648"/>
      <c r="B86" s="315"/>
      <c r="C86" s="660" t="s">
        <v>2688</v>
      </c>
      <c r="D86" s="661">
        <v>1521500000</v>
      </c>
      <c r="E86" s="120">
        <v>2853973800000</v>
      </c>
      <c r="F86" s="318">
        <f t="shared" si="1"/>
        <v>5.3311631662491088E-2</v>
      </c>
      <c r="G86" s="40"/>
      <c r="H86" s="40"/>
      <c r="I86" s="663"/>
      <c r="J86" s="663"/>
      <c r="K86" s="663"/>
      <c r="L86" s="663"/>
      <c r="M86" s="663"/>
      <c r="N86" s="663"/>
      <c r="O86" s="663"/>
    </row>
    <row r="87" spans="1:15" s="18" customFormat="1" ht="36.75" customHeight="1">
      <c r="A87" s="16"/>
      <c r="B87" s="320"/>
      <c r="C87" s="662" t="s">
        <v>2689</v>
      </c>
      <c r="D87" s="661">
        <v>1521500000</v>
      </c>
      <c r="E87" s="120">
        <v>2853973800000</v>
      </c>
      <c r="F87" s="318">
        <f t="shared" si="1"/>
        <v>5.3311631662491088E-2</v>
      </c>
      <c r="G87" s="48"/>
      <c r="H87" s="48"/>
      <c r="I87" s="659"/>
      <c r="J87" s="659"/>
      <c r="K87" s="659"/>
      <c r="L87" s="659"/>
      <c r="M87" s="659"/>
      <c r="N87" s="659"/>
      <c r="O87" s="659"/>
    </row>
    <row r="88" spans="1:15" s="656" customFormat="1" ht="21" customHeight="1">
      <c r="A88" s="648"/>
      <c r="B88" s="315"/>
      <c r="C88" s="660" t="s">
        <v>2690</v>
      </c>
      <c r="D88" s="661">
        <v>330203274439</v>
      </c>
      <c r="E88" s="120">
        <v>2853973800000</v>
      </c>
      <c r="F88" s="318">
        <f t="shared" si="1"/>
        <v>11.56994764419351</v>
      </c>
      <c r="G88" s="40"/>
      <c r="H88" s="40"/>
      <c r="I88" s="663"/>
      <c r="J88" s="663"/>
      <c r="K88" s="663"/>
      <c r="L88" s="663"/>
      <c r="M88" s="663"/>
      <c r="N88" s="663"/>
      <c r="O88" s="663"/>
    </row>
    <row r="89" spans="1:15" s="18" customFormat="1" ht="21" customHeight="1">
      <c r="A89" s="16"/>
      <c r="B89" s="320"/>
      <c r="C89" s="662" t="s">
        <v>2691</v>
      </c>
      <c r="D89" s="661">
        <v>5125369056</v>
      </c>
      <c r="E89" s="120">
        <v>2853973800000</v>
      </c>
      <c r="F89" s="318">
        <f t="shared" si="1"/>
        <v>0.17958710959434876</v>
      </c>
      <c r="G89" s="48"/>
      <c r="H89" s="48"/>
      <c r="I89" s="659"/>
      <c r="J89" s="659"/>
      <c r="K89" s="659"/>
      <c r="L89" s="659"/>
      <c r="M89" s="659"/>
      <c r="N89" s="659"/>
      <c r="O89" s="659"/>
    </row>
    <row r="90" spans="1:15" s="656" customFormat="1" ht="21" customHeight="1">
      <c r="A90" s="648"/>
      <c r="B90" s="315"/>
      <c r="C90" s="662" t="s">
        <v>2692</v>
      </c>
      <c r="D90" s="661">
        <v>10220815056</v>
      </c>
      <c r="E90" s="120">
        <v>2853973800000</v>
      </c>
      <c r="F90" s="318">
        <f t="shared" si="1"/>
        <v>0.35812574929734814</v>
      </c>
      <c r="G90" s="40"/>
      <c r="H90" s="40"/>
      <c r="I90" s="663"/>
      <c r="J90" s="663"/>
      <c r="K90" s="663"/>
      <c r="L90" s="663"/>
      <c r="M90" s="663"/>
      <c r="N90" s="663"/>
      <c r="O90" s="663"/>
    </row>
    <row r="91" spans="1:15" s="18" customFormat="1" ht="21" customHeight="1">
      <c r="A91" s="16"/>
      <c r="B91" s="320"/>
      <c r="C91" s="662" t="s">
        <v>2693</v>
      </c>
      <c r="D91" s="661">
        <v>3000000000</v>
      </c>
      <c r="E91" s="120">
        <v>2853973800000</v>
      </c>
      <c r="F91" s="318">
        <f t="shared" si="1"/>
        <v>0.1051165921705378</v>
      </c>
      <c r="G91" s="48"/>
      <c r="H91" s="48"/>
      <c r="I91" s="659"/>
      <c r="J91" s="659"/>
      <c r="K91" s="659"/>
      <c r="L91" s="659"/>
      <c r="M91" s="659"/>
      <c r="N91" s="659"/>
      <c r="O91" s="659"/>
    </row>
    <row r="92" spans="1:15" s="18" customFormat="1" ht="21" customHeight="1">
      <c r="A92" s="16"/>
      <c r="B92" s="320"/>
      <c r="C92" s="662" t="s">
        <v>2694</v>
      </c>
      <c r="D92" s="661">
        <v>15565164000</v>
      </c>
      <c r="E92" s="120">
        <v>2853973800000</v>
      </c>
      <c r="F92" s="318">
        <f t="shared" si="1"/>
        <v>0.5453856654185123</v>
      </c>
      <c r="G92" s="48"/>
      <c r="H92" s="48"/>
      <c r="I92" s="659"/>
      <c r="J92" s="659"/>
      <c r="K92" s="659"/>
      <c r="L92" s="659"/>
      <c r="M92" s="659"/>
      <c r="N92" s="659"/>
      <c r="O92" s="659"/>
    </row>
    <row r="93" spans="1:15" s="18" customFormat="1" ht="21" customHeight="1">
      <c r="A93" s="16"/>
      <c r="B93" s="320"/>
      <c r="C93" s="662" t="s">
        <v>2695</v>
      </c>
      <c r="D93" s="661">
        <v>15981255014</v>
      </c>
      <c r="E93" s="120">
        <v>2853973800000</v>
      </c>
      <c r="F93" s="318">
        <f t="shared" si="1"/>
        <v>0.55996502189333341</v>
      </c>
      <c r="G93" s="48"/>
      <c r="H93" s="48"/>
      <c r="I93" s="659"/>
      <c r="J93" s="659"/>
      <c r="K93" s="659"/>
      <c r="L93" s="659"/>
      <c r="M93" s="659"/>
      <c r="N93" s="659"/>
      <c r="O93" s="659"/>
    </row>
    <row r="94" spans="1:15" s="18" customFormat="1" ht="21" customHeight="1">
      <c r="A94" s="16"/>
      <c r="B94" s="320"/>
      <c r="C94" s="662" t="s">
        <v>2696</v>
      </c>
      <c r="D94" s="661">
        <v>12994696365</v>
      </c>
      <c r="E94" s="120">
        <v>2853973800000</v>
      </c>
      <c r="F94" s="318">
        <f t="shared" si="1"/>
        <v>0.45531939939322497</v>
      </c>
      <c r="G94" s="48"/>
      <c r="H94" s="48"/>
      <c r="I94" s="659"/>
      <c r="J94" s="659"/>
      <c r="K94" s="659"/>
      <c r="L94" s="659"/>
      <c r="M94" s="659"/>
      <c r="N94" s="659"/>
      <c r="O94" s="659"/>
    </row>
    <row r="95" spans="1:15" s="18" customFormat="1" ht="36.75" customHeight="1">
      <c r="A95" s="16"/>
      <c r="B95" s="320"/>
      <c r="C95" s="662" t="s">
        <v>2697</v>
      </c>
      <c r="D95" s="661">
        <v>10488502400</v>
      </c>
      <c r="E95" s="120">
        <v>2853973800000</v>
      </c>
      <c r="F95" s="318">
        <f t="shared" si="1"/>
        <v>0.36750520975350226</v>
      </c>
      <c r="G95" s="48"/>
      <c r="H95" s="48"/>
      <c r="I95" s="659"/>
      <c r="J95" s="659"/>
      <c r="K95" s="659"/>
      <c r="L95" s="659"/>
      <c r="M95" s="659"/>
      <c r="N95" s="659"/>
      <c r="O95" s="659"/>
    </row>
    <row r="96" spans="1:15" s="18" customFormat="1" ht="21" customHeight="1">
      <c r="A96" s="16"/>
      <c r="B96" s="320"/>
      <c r="C96" s="662" t="s">
        <v>2698</v>
      </c>
      <c r="D96" s="661">
        <v>10445572146</v>
      </c>
      <c r="E96" s="120">
        <v>2853973800000</v>
      </c>
      <c r="F96" s="318">
        <f t="shared" si="1"/>
        <v>0.36600098241967044</v>
      </c>
      <c r="G96" s="48"/>
      <c r="H96" s="48"/>
      <c r="I96" s="659"/>
      <c r="J96" s="659"/>
      <c r="K96" s="659"/>
      <c r="L96" s="659"/>
      <c r="M96" s="659"/>
      <c r="N96" s="659"/>
      <c r="O96" s="659"/>
    </row>
    <row r="97" spans="1:15" s="18" customFormat="1" ht="36.75" customHeight="1">
      <c r="A97" s="16"/>
      <c r="B97" s="320"/>
      <c r="C97" s="662" t="s">
        <v>2699</v>
      </c>
      <c r="D97" s="661">
        <v>17448257810</v>
      </c>
      <c r="E97" s="120">
        <v>2853973800000</v>
      </c>
      <c r="F97" s="318">
        <f t="shared" si="1"/>
        <v>0.61136713343339033</v>
      </c>
      <c r="G97" s="48"/>
      <c r="H97" s="48"/>
      <c r="I97" s="659"/>
      <c r="J97" s="659"/>
      <c r="K97" s="659"/>
      <c r="L97" s="659"/>
      <c r="M97" s="659"/>
      <c r="N97" s="659"/>
      <c r="O97" s="659"/>
    </row>
    <row r="98" spans="1:15" s="18" customFormat="1" ht="36.75" customHeight="1">
      <c r="A98" s="16"/>
      <c r="B98" s="320"/>
      <c r="C98" s="662" t="s">
        <v>2700</v>
      </c>
      <c r="D98" s="661">
        <v>48162177530</v>
      </c>
      <c r="E98" s="120">
        <v>2853973800000</v>
      </c>
      <c r="F98" s="318">
        <f t="shared" si="1"/>
        <v>1.6875479911553497</v>
      </c>
      <c r="G98" s="48"/>
      <c r="H98" s="48"/>
      <c r="I98" s="659"/>
      <c r="J98" s="659"/>
      <c r="K98" s="659"/>
      <c r="L98" s="659"/>
      <c r="M98" s="659"/>
      <c r="N98" s="659"/>
      <c r="O98" s="659"/>
    </row>
    <row r="99" spans="1:15" s="18" customFormat="1" ht="21" customHeight="1">
      <c r="A99" s="16"/>
      <c r="B99" s="320"/>
      <c r="C99" s="662" t="s">
        <v>2701</v>
      </c>
      <c r="D99" s="661">
        <v>10443588025</v>
      </c>
      <c r="E99" s="120">
        <v>2853973800000</v>
      </c>
      <c r="F99" s="318">
        <f t="shared" si="1"/>
        <v>0.36593146107367908</v>
      </c>
      <c r="G99" s="48"/>
      <c r="H99" s="48"/>
      <c r="I99" s="659"/>
      <c r="J99" s="659"/>
      <c r="K99" s="659"/>
      <c r="L99" s="659"/>
      <c r="M99" s="659"/>
      <c r="N99" s="659"/>
      <c r="O99" s="659"/>
    </row>
    <row r="100" spans="1:15" s="18" customFormat="1" ht="21" customHeight="1">
      <c r="A100" s="16"/>
      <c r="B100" s="320"/>
      <c r="C100" s="662" t="s">
        <v>2702</v>
      </c>
      <c r="D100" s="661">
        <v>8843597146</v>
      </c>
      <c r="E100" s="120">
        <v>2853973800000</v>
      </c>
      <c r="F100" s="318">
        <f t="shared" si="1"/>
        <v>0.30986959817220466</v>
      </c>
      <c r="G100" s="48"/>
      <c r="H100" s="48"/>
      <c r="I100" s="659"/>
      <c r="J100" s="659"/>
      <c r="K100" s="659"/>
      <c r="L100" s="659"/>
      <c r="M100" s="659"/>
      <c r="N100" s="659"/>
      <c r="O100" s="659"/>
    </row>
    <row r="101" spans="1:15" s="18" customFormat="1" ht="36.75" customHeight="1">
      <c r="A101" s="16"/>
      <c r="B101" s="320"/>
      <c r="C101" s="662" t="s">
        <v>2703</v>
      </c>
      <c r="D101" s="661">
        <v>13052872146</v>
      </c>
      <c r="E101" s="120">
        <v>2853973800000</v>
      </c>
      <c r="F101" s="318">
        <f t="shared" si="1"/>
        <v>0.45735781267508485</v>
      </c>
      <c r="G101" s="48"/>
      <c r="H101" s="48"/>
      <c r="I101" s="659"/>
      <c r="J101" s="659"/>
      <c r="K101" s="659"/>
      <c r="L101" s="659"/>
      <c r="M101" s="659"/>
      <c r="N101" s="659"/>
      <c r="O101" s="659"/>
    </row>
    <row r="102" spans="1:15" s="18" customFormat="1" ht="36.75" customHeight="1">
      <c r="A102" s="16"/>
      <c r="B102" s="320"/>
      <c r="C102" s="662" t="s">
        <v>2704</v>
      </c>
      <c r="D102" s="661">
        <v>13052872146</v>
      </c>
      <c r="E102" s="120">
        <v>2853973800000</v>
      </c>
      <c r="F102" s="318">
        <f t="shared" si="1"/>
        <v>0.45735781267508485</v>
      </c>
      <c r="G102" s="48"/>
      <c r="H102" s="48"/>
      <c r="I102" s="659"/>
      <c r="J102" s="659"/>
      <c r="K102" s="659"/>
      <c r="L102" s="659"/>
      <c r="M102" s="659"/>
      <c r="N102" s="659"/>
      <c r="O102" s="659"/>
    </row>
    <row r="103" spans="1:15" s="18" customFormat="1" ht="21" customHeight="1">
      <c r="A103" s="16"/>
      <c r="B103" s="320"/>
      <c r="C103" s="662" t="s">
        <v>2705</v>
      </c>
      <c r="D103" s="661">
        <v>13052872146</v>
      </c>
      <c r="E103" s="120">
        <v>2853973800000</v>
      </c>
      <c r="F103" s="318">
        <f t="shared" si="1"/>
        <v>0.45735781267508485</v>
      </c>
      <c r="G103" s="48"/>
      <c r="H103" s="48"/>
      <c r="I103" s="659"/>
      <c r="J103" s="659"/>
      <c r="K103" s="659"/>
      <c r="L103" s="659"/>
      <c r="M103" s="659"/>
      <c r="N103" s="659"/>
      <c r="O103" s="659"/>
    </row>
    <row r="104" spans="1:15" s="656" customFormat="1" ht="21" customHeight="1">
      <c r="A104" s="648"/>
      <c r="B104" s="315"/>
      <c r="C104" s="662" t="s">
        <v>2706</v>
      </c>
      <c r="D104" s="661">
        <v>17502872146</v>
      </c>
      <c r="E104" s="120">
        <v>2853973800000</v>
      </c>
      <c r="F104" s="318">
        <f t="shared" si="1"/>
        <v>0.61328075772804924</v>
      </c>
      <c r="G104" s="40"/>
      <c r="H104" s="40"/>
      <c r="I104" s="663"/>
      <c r="J104" s="663"/>
      <c r="K104" s="663"/>
      <c r="L104" s="663"/>
      <c r="M104" s="663"/>
      <c r="N104" s="663"/>
      <c r="O104" s="663"/>
    </row>
    <row r="105" spans="1:15" s="18" customFormat="1" ht="21" customHeight="1">
      <c r="A105" s="16"/>
      <c r="B105" s="320"/>
      <c r="C105" s="662" t="s">
        <v>2707</v>
      </c>
      <c r="D105" s="661">
        <v>13186622146</v>
      </c>
      <c r="E105" s="120">
        <v>2853973800000</v>
      </c>
      <c r="F105" s="318">
        <f t="shared" si="1"/>
        <v>0.46204426074268795</v>
      </c>
      <c r="G105" s="48"/>
      <c r="H105" s="48"/>
      <c r="I105" s="659"/>
      <c r="J105" s="659"/>
      <c r="K105" s="659"/>
      <c r="L105" s="659"/>
      <c r="M105" s="659"/>
      <c r="N105" s="659"/>
      <c r="O105" s="659"/>
    </row>
    <row r="106" spans="1:15" s="18" customFormat="1" ht="21" customHeight="1">
      <c r="A106" s="16"/>
      <c r="B106" s="320"/>
      <c r="C106" s="662" t="s">
        <v>2708</v>
      </c>
      <c r="D106" s="661">
        <v>1218411056</v>
      </c>
      <c r="E106" s="120">
        <v>2853973800000</v>
      </c>
      <c r="F106" s="318">
        <f t="shared" si="1"/>
        <v>4.2691739356542094E-2</v>
      </c>
      <c r="G106" s="48"/>
      <c r="H106" s="48"/>
      <c r="I106" s="659"/>
      <c r="J106" s="659"/>
      <c r="K106" s="659"/>
      <c r="L106" s="659"/>
      <c r="M106" s="659"/>
      <c r="N106" s="659"/>
      <c r="O106" s="659"/>
    </row>
    <row r="107" spans="1:15" s="18" customFormat="1" ht="21" customHeight="1">
      <c r="A107" s="16"/>
      <c r="B107" s="320"/>
      <c r="C107" s="662" t="s">
        <v>2709</v>
      </c>
      <c r="D107" s="661">
        <v>1621411056</v>
      </c>
      <c r="E107" s="120">
        <v>2853973800000</v>
      </c>
      <c r="F107" s="318">
        <f t="shared" si="1"/>
        <v>5.6812401571451003E-2</v>
      </c>
      <c r="G107" s="48"/>
      <c r="H107" s="48"/>
      <c r="I107" s="659"/>
      <c r="J107" s="659"/>
      <c r="K107" s="659"/>
      <c r="L107" s="659"/>
      <c r="M107" s="659"/>
      <c r="N107" s="659"/>
      <c r="O107" s="659"/>
    </row>
    <row r="108" spans="1:15" s="18" customFormat="1" ht="21" customHeight="1">
      <c r="A108" s="16"/>
      <c r="B108" s="320"/>
      <c r="C108" s="662" t="s">
        <v>2710</v>
      </c>
      <c r="D108" s="661">
        <v>3230369056</v>
      </c>
      <c r="E108" s="120">
        <v>2853973800000</v>
      </c>
      <c r="F108" s="318">
        <f t="shared" si="1"/>
        <v>0.11318846220662573</v>
      </c>
      <c r="G108" s="48"/>
      <c r="H108" s="48"/>
      <c r="I108" s="659"/>
      <c r="J108" s="659"/>
      <c r="K108" s="659"/>
      <c r="L108" s="659"/>
      <c r="M108" s="659"/>
      <c r="N108" s="659"/>
      <c r="O108" s="659"/>
    </row>
    <row r="109" spans="1:15" s="18" customFormat="1" ht="21" customHeight="1">
      <c r="A109" s="16"/>
      <c r="B109" s="320"/>
      <c r="C109" s="662" t="s">
        <v>2711</v>
      </c>
      <c r="D109" s="661">
        <v>12452872146</v>
      </c>
      <c r="E109" s="120">
        <v>2853973800000</v>
      </c>
      <c r="F109" s="318">
        <f t="shared" si="1"/>
        <v>0.43633449424097726</v>
      </c>
      <c r="G109" s="48"/>
      <c r="H109" s="48"/>
      <c r="I109" s="659"/>
      <c r="J109" s="659"/>
      <c r="K109" s="659"/>
      <c r="L109" s="659"/>
      <c r="M109" s="659"/>
      <c r="N109" s="659"/>
      <c r="O109" s="659"/>
    </row>
    <row r="110" spans="1:15" s="18" customFormat="1" ht="21" customHeight="1">
      <c r="A110" s="16"/>
      <c r="B110" s="320"/>
      <c r="C110" s="662" t="s">
        <v>2712</v>
      </c>
      <c r="D110" s="661">
        <v>15634322146</v>
      </c>
      <c r="E110" s="120">
        <v>2853973800000</v>
      </c>
      <c r="F110" s="318">
        <f t="shared" si="1"/>
        <v>0.5478088882946297</v>
      </c>
      <c r="G110" s="48"/>
      <c r="H110" s="48"/>
      <c r="I110" s="659"/>
      <c r="J110" s="659"/>
      <c r="K110" s="659"/>
      <c r="L110" s="659"/>
      <c r="M110" s="659"/>
      <c r="N110" s="659"/>
      <c r="O110" s="659"/>
    </row>
    <row r="111" spans="1:15" s="18" customFormat="1" ht="21" customHeight="1">
      <c r="A111" s="16"/>
      <c r="B111" s="320"/>
      <c r="C111" s="662" t="s">
        <v>2713</v>
      </c>
      <c r="D111" s="661">
        <v>28462147146</v>
      </c>
      <c r="E111" s="120">
        <v>2853973800000</v>
      </c>
      <c r="F111" s="318">
        <f t="shared" si="1"/>
        <v>0.99728130461463949</v>
      </c>
      <c r="G111" s="48"/>
      <c r="H111" s="48"/>
      <c r="I111" s="659"/>
      <c r="J111" s="659"/>
      <c r="K111" s="659"/>
      <c r="L111" s="659"/>
      <c r="M111" s="659"/>
      <c r="N111" s="659"/>
      <c r="O111" s="659"/>
    </row>
    <row r="112" spans="1:15" s="18" customFormat="1" ht="21" customHeight="1">
      <c r="A112" s="16"/>
      <c r="B112" s="320"/>
      <c r="C112" s="662" t="s">
        <v>2714</v>
      </c>
      <c r="D112" s="661">
        <v>9748633596</v>
      </c>
      <c r="E112" s="120">
        <v>2853973800000</v>
      </c>
      <c r="F112" s="318">
        <f t="shared" si="1"/>
        <v>0.34158104731024508</v>
      </c>
      <c r="G112" s="48"/>
      <c r="H112" s="48"/>
      <c r="I112" s="659"/>
      <c r="J112" s="659"/>
      <c r="K112" s="659"/>
      <c r="L112" s="659"/>
      <c r="M112" s="659"/>
      <c r="N112" s="659"/>
      <c r="O112" s="659"/>
    </row>
    <row r="113" spans="1:15" s="656" customFormat="1" ht="21" customHeight="1">
      <c r="A113" s="648"/>
      <c r="B113" s="315"/>
      <c r="C113" s="662" t="s">
        <v>2715</v>
      </c>
      <c r="D113" s="661">
        <v>2280171146</v>
      </c>
      <c r="E113" s="120">
        <v>2853973800000</v>
      </c>
      <c r="F113" s="318">
        <f t="shared" si="1"/>
        <v>7.9894606811036606E-2</v>
      </c>
      <c r="G113" s="40"/>
      <c r="H113" s="40"/>
      <c r="I113" s="663"/>
      <c r="J113" s="663"/>
      <c r="K113" s="663"/>
      <c r="L113" s="663"/>
      <c r="M113" s="663"/>
      <c r="N113" s="663"/>
      <c r="O113" s="663"/>
    </row>
    <row r="114" spans="1:15" s="18" customFormat="1" ht="21" customHeight="1">
      <c r="A114" s="16"/>
      <c r="B114" s="320"/>
      <c r="C114" s="662" t="s">
        <v>2716</v>
      </c>
      <c r="D114" s="661">
        <v>1774165071</v>
      </c>
      <c r="E114" s="120">
        <v>2853973800000</v>
      </c>
      <c r="F114" s="318">
        <f t="shared" si="1"/>
        <v>6.2164728737173408E-2</v>
      </c>
      <c r="G114" s="48"/>
      <c r="H114" s="48"/>
      <c r="I114" s="659"/>
      <c r="J114" s="659"/>
      <c r="K114" s="659"/>
      <c r="L114" s="659"/>
      <c r="M114" s="659"/>
      <c r="N114" s="659"/>
      <c r="O114" s="659"/>
    </row>
    <row r="115" spans="1:15" s="18" customFormat="1" ht="21" customHeight="1">
      <c r="A115" s="16"/>
      <c r="B115" s="320"/>
      <c r="C115" s="662" t="s">
        <v>2717</v>
      </c>
      <c r="D115" s="661">
        <v>6015033146</v>
      </c>
      <c r="E115" s="120">
        <v>2853973800000</v>
      </c>
      <c r="F115" s="318">
        <f t="shared" si="1"/>
        <v>0.21075992870011631</v>
      </c>
      <c r="G115" s="48"/>
      <c r="H115" s="48"/>
      <c r="I115" s="659"/>
      <c r="J115" s="659"/>
      <c r="K115" s="659"/>
      <c r="L115" s="659"/>
      <c r="M115" s="659"/>
      <c r="N115" s="659"/>
      <c r="O115" s="659"/>
    </row>
    <row r="116" spans="1:15" s="314" customFormat="1" ht="21" customHeight="1">
      <c r="A116" s="492"/>
      <c r="B116" s="315"/>
      <c r="C116" s="662" t="s">
        <v>2718</v>
      </c>
      <c r="D116" s="661">
        <v>2150000000</v>
      </c>
      <c r="E116" s="120">
        <v>2853973800000</v>
      </c>
      <c r="F116" s="318">
        <f t="shared" si="1"/>
        <v>7.5333557722218752E-2</v>
      </c>
      <c r="G116" s="318"/>
      <c r="H116" s="318"/>
      <c r="I116" s="319"/>
      <c r="J116" s="319"/>
      <c r="K116" s="319"/>
      <c r="L116" s="319"/>
      <c r="M116" s="319"/>
      <c r="N116" s="319"/>
      <c r="O116" s="319"/>
    </row>
    <row r="117" spans="1:15" s="18" customFormat="1" ht="21" customHeight="1">
      <c r="A117" s="16"/>
      <c r="B117" s="320"/>
      <c r="C117" s="662" t="s">
        <v>2719</v>
      </c>
      <c r="D117" s="661">
        <v>7048633596</v>
      </c>
      <c r="E117" s="120">
        <v>2853973800000</v>
      </c>
      <c r="F117" s="318">
        <f t="shared" si="1"/>
        <v>0.24697611435676109</v>
      </c>
      <c r="G117" s="48"/>
      <c r="H117" s="48"/>
      <c r="I117" s="659"/>
      <c r="J117" s="659"/>
      <c r="K117" s="659"/>
      <c r="L117" s="659"/>
      <c r="M117" s="659"/>
      <c r="N117" s="659"/>
      <c r="O117" s="659"/>
    </row>
    <row r="118" spans="1:15" s="18" customFormat="1" ht="21" customHeight="1">
      <c r="A118" s="16"/>
      <c r="B118" s="320"/>
      <c r="C118" s="660" t="s">
        <v>2720</v>
      </c>
      <c r="D118" s="661">
        <v>39223315056</v>
      </c>
      <c r="E118" s="120">
        <v>2853973800000</v>
      </c>
      <c r="F118" s="318">
        <f t="shared" si="1"/>
        <v>1.3743404041060221</v>
      </c>
      <c r="G118" s="48"/>
      <c r="H118" s="48"/>
      <c r="I118" s="659"/>
      <c r="J118" s="659"/>
      <c r="K118" s="659"/>
      <c r="L118" s="659"/>
      <c r="M118" s="659"/>
      <c r="N118" s="659"/>
      <c r="O118" s="659"/>
    </row>
    <row r="119" spans="1:15" s="18" customFormat="1" ht="21" customHeight="1">
      <c r="A119" s="16"/>
      <c r="B119" s="320"/>
      <c r="C119" s="662" t="s">
        <v>2721</v>
      </c>
      <c r="D119" s="661">
        <v>25722825776</v>
      </c>
      <c r="E119" s="115">
        <v>2853973800000</v>
      </c>
      <c r="F119" s="322">
        <f t="shared" si="1"/>
        <v>0.90129859552319647</v>
      </c>
      <c r="G119" s="48"/>
      <c r="H119" s="48"/>
      <c r="I119" s="659"/>
      <c r="J119" s="659"/>
      <c r="K119" s="659"/>
      <c r="L119" s="659"/>
      <c r="M119" s="659"/>
      <c r="N119" s="659"/>
      <c r="O119" s="659"/>
    </row>
    <row r="120" spans="1:15" s="18" customFormat="1" ht="36.75" customHeight="1">
      <c r="A120" s="16"/>
      <c r="B120" s="320"/>
      <c r="C120" s="662" t="s">
        <v>2722</v>
      </c>
      <c r="D120" s="661">
        <v>13500489280</v>
      </c>
      <c r="E120" s="115">
        <v>2853973800000</v>
      </c>
      <c r="F120" s="322">
        <f t="shared" si="1"/>
        <v>0.4730418085828258</v>
      </c>
      <c r="G120" s="48"/>
      <c r="H120" s="48"/>
      <c r="I120" s="659"/>
      <c r="J120" s="659"/>
      <c r="K120" s="659"/>
      <c r="L120" s="659"/>
      <c r="M120" s="659"/>
      <c r="N120" s="659"/>
      <c r="O120" s="659"/>
    </row>
    <row r="121" spans="1:15" s="656" customFormat="1" ht="21" customHeight="1">
      <c r="A121" s="648"/>
      <c r="B121" s="315"/>
      <c r="C121" s="660" t="s">
        <v>2723</v>
      </c>
      <c r="D121" s="661">
        <v>4135430909</v>
      </c>
      <c r="E121" s="120">
        <v>2853973800000</v>
      </c>
      <c r="F121" s="318">
        <f t="shared" si="1"/>
        <v>0.14490080143692979</v>
      </c>
      <c r="G121" s="40"/>
      <c r="H121" s="40"/>
      <c r="I121" s="663"/>
      <c r="J121" s="663"/>
      <c r="K121" s="663"/>
      <c r="L121" s="663"/>
      <c r="M121" s="663"/>
      <c r="N121" s="663"/>
      <c r="O121" s="663"/>
    </row>
    <row r="122" spans="1:15" s="18" customFormat="1" ht="21" customHeight="1">
      <c r="A122" s="16"/>
      <c r="B122" s="320"/>
      <c r="C122" s="662" t="s">
        <v>2724</v>
      </c>
      <c r="D122" s="661">
        <v>2071163480</v>
      </c>
      <c r="E122" s="115">
        <v>2853973800000</v>
      </c>
      <c r="F122" s="322">
        <f t="shared" si="1"/>
        <v>7.2571215615223936E-2</v>
      </c>
      <c r="G122" s="48"/>
      <c r="H122" s="48"/>
      <c r="I122" s="659"/>
      <c r="J122" s="659"/>
      <c r="K122" s="659"/>
      <c r="L122" s="659"/>
      <c r="M122" s="659"/>
      <c r="N122" s="659"/>
      <c r="O122" s="659"/>
    </row>
    <row r="123" spans="1:15" s="18" customFormat="1" ht="21" customHeight="1">
      <c r="A123" s="16"/>
      <c r="B123" s="320"/>
      <c r="C123" s="662" t="s">
        <v>2725</v>
      </c>
      <c r="D123" s="661">
        <v>481689865</v>
      </c>
      <c r="E123" s="115">
        <v>2853973800000</v>
      </c>
      <c r="F123" s="322">
        <f t="shared" si="1"/>
        <v>1.687786569729547E-2</v>
      </c>
      <c r="G123" s="48"/>
      <c r="H123" s="48"/>
      <c r="I123" s="659"/>
      <c r="J123" s="659"/>
      <c r="K123" s="659"/>
      <c r="L123" s="659"/>
      <c r="M123" s="659"/>
      <c r="N123" s="659"/>
      <c r="O123" s="659"/>
    </row>
    <row r="124" spans="1:15" s="18" customFormat="1" ht="21" customHeight="1">
      <c r="A124" s="16"/>
      <c r="B124" s="320"/>
      <c r="C124" s="662" t="s">
        <v>2726</v>
      </c>
      <c r="D124" s="661">
        <v>1238240252</v>
      </c>
      <c r="E124" s="115">
        <v>2853973800000</v>
      </c>
      <c r="F124" s="322">
        <f t="shared" si="1"/>
        <v>4.3386531859542651E-2</v>
      </c>
      <c r="G124" s="48"/>
      <c r="H124" s="48"/>
      <c r="I124" s="659"/>
      <c r="J124" s="659"/>
      <c r="K124" s="659"/>
      <c r="L124" s="659"/>
      <c r="M124" s="659"/>
      <c r="N124" s="659"/>
      <c r="O124" s="659"/>
    </row>
    <row r="125" spans="1:15" s="18" customFormat="1" ht="36.75" customHeight="1">
      <c r="A125" s="16"/>
      <c r="B125" s="320"/>
      <c r="C125" s="662" t="s">
        <v>2727</v>
      </c>
      <c r="D125" s="661">
        <v>344337312</v>
      </c>
      <c r="E125" s="115">
        <v>2853973800000</v>
      </c>
      <c r="F125" s="322">
        <f t="shared" si="1"/>
        <v>1.2065188264867743E-2</v>
      </c>
      <c r="G125" s="48"/>
      <c r="H125" s="48"/>
      <c r="I125" s="659"/>
      <c r="J125" s="659"/>
      <c r="K125" s="659"/>
      <c r="L125" s="659"/>
      <c r="M125" s="659"/>
      <c r="N125" s="659"/>
      <c r="O125" s="659"/>
    </row>
    <row r="126" spans="1:15" s="18" customFormat="1" ht="15" customHeight="1">
      <c r="A126" s="16"/>
      <c r="B126" s="320"/>
      <c r="C126" s="662"/>
      <c r="D126" s="661"/>
      <c r="E126" s="115">
        <v>2853973800000</v>
      </c>
      <c r="F126" s="322"/>
      <c r="G126" s="48"/>
      <c r="H126" s="48"/>
      <c r="I126" s="659"/>
      <c r="J126" s="659"/>
      <c r="K126" s="659"/>
      <c r="L126" s="659"/>
      <c r="M126" s="659"/>
      <c r="N126" s="659"/>
      <c r="O126" s="659"/>
    </row>
    <row r="127" spans="1:15" s="18" customFormat="1" ht="21" customHeight="1">
      <c r="A127" s="16"/>
      <c r="B127" s="320"/>
      <c r="C127" s="657" t="s">
        <v>518</v>
      </c>
      <c r="D127" s="658">
        <f>+D128+D133+D135+D143+D149</f>
        <v>50000000000</v>
      </c>
      <c r="E127" s="120">
        <v>2853973800000</v>
      </c>
      <c r="F127" s="318">
        <f t="shared" si="1"/>
        <v>1.7519432028422968</v>
      </c>
      <c r="G127" s="48"/>
      <c r="H127" s="48"/>
      <c r="I127" s="659"/>
      <c r="J127" s="659"/>
      <c r="K127" s="659"/>
      <c r="L127" s="659"/>
      <c r="M127" s="659"/>
      <c r="N127" s="659"/>
      <c r="O127" s="659"/>
    </row>
    <row r="128" spans="1:15" s="656" customFormat="1" ht="21" customHeight="1">
      <c r="A128" s="648"/>
      <c r="B128" s="315"/>
      <c r="C128" s="660" t="s">
        <v>519</v>
      </c>
      <c r="D128" s="661">
        <v>5350000000</v>
      </c>
      <c r="E128" s="120">
        <v>2853973800000</v>
      </c>
      <c r="F128" s="318">
        <f t="shared" si="1"/>
        <v>0.18745792270412576</v>
      </c>
      <c r="G128" s="40"/>
      <c r="H128" s="40"/>
      <c r="I128" s="663"/>
      <c r="J128" s="663"/>
      <c r="K128" s="663"/>
      <c r="L128" s="663"/>
      <c r="M128" s="663"/>
      <c r="N128" s="663"/>
      <c r="O128" s="663"/>
    </row>
    <row r="129" spans="1:15" s="18" customFormat="1" ht="36.75" customHeight="1">
      <c r="A129" s="16"/>
      <c r="B129" s="320"/>
      <c r="C129" s="662" t="s">
        <v>2728</v>
      </c>
      <c r="D129" s="661">
        <v>2500000000</v>
      </c>
      <c r="E129" s="115">
        <v>2853973800000</v>
      </c>
      <c r="F129" s="322">
        <f t="shared" si="1"/>
        <v>8.7597160142114827E-2</v>
      </c>
      <c r="G129" s="48"/>
      <c r="H129" s="48"/>
      <c r="I129" s="659"/>
      <c r="J129" s="659"/>
      <c r="K129" s="659"/>
      <c r="L129" s="659"/>
      <c r="M129" s="659"/>
      <c r="N129" s="659"/>
      <c r="O129" s="659"/>
    </row>
    <row r="130" spans="1:15" s="18" customFormat="1" ht="21" customHeight="1">
      <c r="A130" s="16"/>
      <c r="B130" s="320"/>
      <c r="C130" s="662" t="s">
        <v>2729</v>
      </c>
      <c r="D130" s="661">
        <v>1200000000</v>
      </c>
      <c r="E130" s="115">
        <v>2853973800000</v>
      </c>
      <c r="F130" s="322">
        <f t="shared" si="1"/>
        <v>4.2046636868215123E-2</v>
      </c>
      <c r="G130" s="48"/>
      <c r="H130" s="48"/>
      <c r="I130" s="659"/>
      <c r="J130" s="659"/>
      <c r="K130" s="659"/>
      <c r="L130" s="659"/>
      <c r="M130" s="659"/>
      <c r="N130" s="659"/>
      <c r="O130" s="659"/>
    </row>
    <row r="131" spans="1:15" s="18" customFormat="1" ht="36.75" customHeight="1">
      <c r="A131" s="16"/>
      <c r="B131" s="320"/>
      <c r="C131" s="662" t="s">
        <v>2730</v>
      </c>
      <c r="D131" s="661">
        <v>750000000</v>
      </c>
      <c r="E131" s="115">
        <v>2853973800000</v>
      </c>
      <c r="F131" s="322">
        <f t="shared" si="1"/>
        <v>2.627914804263445E-2</v>
      </c>
      <c r="G131" s="48"/>
      <c r="H131" s="48"/>
      <c r="I131" s="659"/>
      <c r="J131" s="659"/>
      <c r="K131" s="659"/>
      <c r="L131" s="659"/>
      <c r="M131" s="659"/>
      <c r="N131" s="659"/>
      <c r="O131" s="659"/>
    </row>
    <row r="132" spans="1:15" s="300" customFormat="1" ht="21" customHeight="1">
      <c r="A132" s="282"/>
      <c r="B132" s="320"/>
      <c r="C132" s="662" t="s">
        <v>2731</v>
      </c>
      <c r="D132" s="661">
        <v>900000000</v>
      </c>
      <c r="E132" s="115">
        <v>2853973800000</v>
      </c>
      <c r="F132" s="322">
        <f t="shared" si="1"/>
        <v>3.1534977651161339E-2</v>
      </c>
      <c r="G132" s="322"/>
      <c r="H132" s="322"/>
      <c r="I132" s="323"/>
      <c r="J132" s="323"/>
      <c r="K132" s="323"/>
      <c r="L132" s="323"/>
      <c r="M132" s="323"/>
      <c r="N132" s="323"/>
      <c r="O132" s="323"/>
    </row>
    <row r="133" spans="1:15" s="18" customFormat="1" ht="21" customHeight="1">
      <c r="A133" s="16"/>
      <c r="B133" s="320"/>
      <c r="C133" s="660" t="s">
        <v>2732</v>
      </c>
      <c r="D133" s="661">
        <v>3894000000</v>
      </c>
      <c r="E133" s="120">
        <v>2853973800000</v>
      </c>
      <c r="F133" s="318">
        <f t="shared" si="1"/>
        <v>0.13644133663735805</v>
      </c>
      <c r="G133" s="48"/>
      <c r="H133" s="48"/>
      <c r="I133" s="659"/>
      <c r="J133" s="659"/>
      <c r="K133" s="659"/>
      <c r="L133" s="659"/>
      <c r="M133" s="659"/>
      <c r="N133" s="659"/>
      <c r="O133" s="659"/>
    </row>
    <row r="134" spans="1:15" s="18" customFormat="1" ht="21" customHeight="1">
      <c r="A134" s="16"/>
      <c r="B134" s="320"/>
      <c r="C134" s="662" t="s">
        <v>2733</v>
      </c>
      <c r="D134" s="661">
        <v>3894000000</v>
      </c>
      <c r="E134" s="115">
        <v>2853973800000</v>
      </c>
      <c r="F134" s="322">
        <f t="shared" si="1"/>
        <v>0.13644133663735805</v>
      </c>
      <c r="G134" s="48"/>
      <c r="H134" s="48"/>
      <c r="I134" s="659"/>
      <c r="J134" s="659"/>
      <c r="K134" s="659"/>
      <c r="L134" s="659"/>
      <c r="M134" s="659"/>
      <c r="N134" s="659"/>
      <c r="O134" s="659"/>
    </row>
    <row r="135" spans="1:15" s="656" customFormat="1" ht="21" customHeight="1">
      <c r="A135" s="648"/>
      <c r="B135" s="315"/>
      <c r="C135" s="660" t="s">
        <v>2734</v>
      </c>
      <c r="D135" s="661">
        <v>27783925000</v>
      </c>
      <c r="E135" s="120">
        <v>2853973800000</v>
      </c>
      <c r="F135" s="318">
        <f t="shared" si="1"/>
        <v>0.9735171710406032</v>
      </c>
      <c r="G135" s="40"/>
      <c r="H135" s="40"/>
      <c r="I135" s="663"/>
      <c r="J135" s="663"/>
      <c r="K135" s="663"/>
      <c r="L135" s="663"/>
      <c r="M135" s="663"/>
      <c r="N135" s="663"/>
      <c r="O135" s="663"/>
    </row>
    <row r="136" spans="1:15" s="18" customFormat="1" ht="36.75" customHeight="1">
      <c r="A136" s="16"/>
      <c r="B136" s="320"/>
      <c r="C136" s="662" t="s">
        <v>2735</v>
      </c>
      <c r="D136" s="661">
        <v>3000000000</v>
      </c>
      <c r="E136" s="115">
        <v>2853973800000</v>
      </c>
      <c r="F136" s="322">
        <f t="shared" si="1"/>
        <v>0.1051165921705378</v>
      </c>
      <c r="G136" s="48"/>
      <c r="H136" s="48"/>
      <c r="I136" s="659"/>
      <c r="J136" s="659"/>
      <c r="K136" s="659"/>
      <c r="L136" s="659"/>
      <c r="M136" s="659"/>
      <c r="N136" s="659"/>
      <c r="O136" s="659"/>
    </row>
    <row r="137" spans="1:15" s="18" customFormat="1" ht="21" customHeight="1">
      <c r="A137" s="16"/>
      <c r="B137" s="320"/>
      <c r="C137" s="662" t="s">
        <v>2736</v>
      </c>
      <c r="D137" s="661">
        <v>6500000000</v>
      </c>
      <c r="E137" s="115">
        <v>2853973800000</v>
      </c>
      <c r="F137" s="322">
        <f t="shared" si="1"/>
        <v>0.22775261636949856</v>
      </c>
      <c r="G137" s="48"/>
      <c r="H137" s="48"/>
      <c r="I137" s="659"/>
      <c r="J137" s="659"/>
      <c r="K137" s="659"/>
      <c r="L137" s="659"/>
      <c r="M137" s="659"/>
      <c r="N137" s="659"/>
      <c r="O137" s="659"/>
    </row>
    <row r="138" spans="1:15" s="18" customFormat="1" ht="21" customHeight="1">
      <c r="A138" s="16"/>
      <c r="B138" s="320"/>
      <c r="C138" s="662" t="s">
        <v>2737</v>
      </c>
      <c r="D138" s="661">
        <v>2994925000</v>
      </c>
      <c r="E138" s="115">
        <v>2853973800000</v>
      </c>
      <c r="F138" s="322">
        <f t="shared" si="1"/>
        <v>0.1049387699354493</v>
      </c>
      <c r="G138" s="48"/>
      <c r="H138" s="48"/>
      <c r="I138" s="659"/>
      <c r="J138" s="659"/>
      <c r="K138" s="659"/>
      <c r="L138" s="659"/>
      <c r="M138" s="659"/>
      <c r="N138" s="659"/>
      <c r="O138" s="659"/>
    </row>
    <row r="139" spans="1:15" s="18" customFormat="1" ht="21" customHeight="1">
      <c r="A139" s="16"/>
      <c r="B139" s="320"/>
      <c r="C139" s="662" t="s">
        <v>2738</v>
      </c>
      <c r="D139" s="661">
        <v>2500000000</v>
      </c>
      <c r="E139" s="115">
        <v>2853973800000</v>
      </c>
      <c r="F139" s="322">
        <f t="shared" si="1"/>
        <v>8.7597160142114827E-2</v>
      </c>
      <c r="G139" s="48"/>
      <c r="H139" s="48"/>
      <c r="I139" s="659"/>
      <c r="J139" s="659"/>
      <c r="K139" s="659"/>
      <c r="L139" s="659"/>
      <c r="M139" s="659"/>
      <c r="N139" s="659"/>
      <c r="O139" s="659"/>
    </row>
    <row r="140" spans="1:15" s="18" customFormat="1" ht="21" customHeight="1">
      <c r="A140" s="16"/>
      <c r="B140" s="320"/>
      <c r="C140" s="662" t="s">
        <v>2739</v>
      </c>
      <c r="D140" s="661">
        <v>6500000000</v>
      </c>
      <c r="E140" s="115">
        <v>2853973800000</v>
      </c>
      <c r="F140" s="322">
        <f t="shared" si="1"/>
        <v>0.22775261636949856</v>
      </c>
      <c r="G140" s="48"/>
      <c r="H140" s="48"/>
      <c r="I140" s="659"/>
      <c r="J140" s="659"/>
      <c r="K140" s="659"/>
      <c r="L140" s="659"/>
      <c r="M140" s="659"/>
      <c r="N140" s="659"/>
      <c r="O140" s="659"/>
    </row>
    <row r="141" spans="1:15" s="18" customFormat="1" ht="36.75" customHeight="1">
      <c r="A141" s="16"/>
      <c r="B141" s="320"/>
      <c r="C141" s="662" t="s">
        <v>2740</v>
      </c>
      <c r="D141" s="661">
        <v>3289000000</v>
      </c>
      <c r="E141" s="115">
        <v>2853973800000</v>
      </c>
      <c r="F141" s="322">
        <f t="shared" ref="F141:F162" si="2">D141/E141*100</f>
        <v>0.11524282388296626</v>
      </c>
      <c r="G141" s="48"/>
      <c r="H141" s="48"/>
      <c r="I141" s="659"/>
      <c r="J141" s="659"/>
      <c r="K141" s="659"/>
      <c r="L141" s="659"/>
      <c r="M141" s="659"/>
      <c r="N141" s="659"/>
      <c r="O141" s="659"/>
    </row>
    <row r="142" spans="1:15" s="18" customFormat="1" ht="21" customHeight="1">
      <c r="A142" s="16"/>
      <c r="B142" s="320"/>
      <c r="C142" s="662" t="s">
        <v>2741</v>
      </c>
      <c r="D142" s="661">
        <v>3000000000</v>
      </c>
      <c r="E142" s="115">
        <v>2853973800000</v>
      </c>
      <c r="F142" s="322">
        <f t="shared" si="2"/>
        <v>0.1051165921705378</v>
      </c>
      <c r="G142" s="48"/>
      <c r="H142" s="48"/>
      <c r="I142" s="659"/>
      <c r="J142" s="659"/>
      <c r="K142" s="659"/>
      <c r="L142" s="659"/>
      <c r="M142" s="659"/>
      <c r="N142" s="659"/>
      <c r="O142" s="659"/>
    </row>
    <row r="143" spans="1:15" s="314" customFormat="1" ht="21" customHeight="1">
      <c r="A143" s="492"/>
      <c r="B143" s="315"/>
      <c r="C143" s="660" t="s">
        <v>2742</v>
      </c>
      <c r="D143" s="661">
        <v>12848775000</v>
      </c>
      <c r="E143" s="120">
        <v>2853973800000</v>
      </c>
      <c r="F143" s="318">
        <f t="shared" si="2"/>
        <v>0.45020648052200063</v>
      </c>
      <c r="G143" s="318"/>
      <c r="H143" s="318"/>
      <c r="I143" s="319"/>
      <c r="J143" s="319"/>
      <c r="K143" s="319"/>
      <c r="L143" s="319"/>
      <c r="M143" s="319"/>
      <c r="N143" s="319"/>
      <c r="O143" s="319"/>
    </row>
    <row r="144" spans="1:15" s="18" customFormat="1" ht="21" customHeight="1">
      <c r="A144" s="16"/>
      <c r="B144" s="320"/>
      <c r="C144" s="662" t="s">
        <v>2743</v>
      </c>
      <c r="D144" s="661">
        <v>1148550000</v>
      </c>
      <c r="E144" s="115">
        <v>2853973800000</v>
      </c>
      <c r="F144" s="322">
        <f t="shared" si="2"/>
        <v>4.0243887312490394E-2</v>
      </c>
      <c r="G144" s="48"/>
      <c r="H144" s="48"/>
      <c r="I144" s="659"/>
      <c r="J144" s="659"/>
      <c r="K144" s="659"/>
      <c r="L144" s="659"/>
      <c r="M144" s="659"/>
      <c r="N144" s="659"/>
      <c r="O144" s="659"/>
    </row>
    <row r="145" spans="1:15" s="18" customFormat="1" ht="21" customHeight="1">
      <c r="A145" s="16"/>
      <c r="B145" s="320"/>
      <c r="C145" s="662" t="s">
        <v>2744</v>
      </c>
      <c r="D145" s="661">
        <v>2000025000</v>
      </c>
      <c r="E145" s="115">
        <v>2853973800000</v>
      </c>
      <c r="F145" s="322">
        <f t="shared" si="2"/>
        <v>7.0078604085293275E-2</v>
      </c>
      <c r="G145" s="48"/>
      <c r="H145" s="48"/>
      <c r="I145" s="659"/>
      <c r="J145" s="659"/>
      <c r="K145" s="659"/>
      <c r="L145" s="659"/>
      <c r="M145" s="659"/>
      <c r="N145" s="659"/>
      <c r="O145" s="659"/>
    </row>
    <row r="146" spans="1:15" s="18" customFormat="1" ht="21" customHeight="1">
      <c r="A146" s="16"/>
      <c r="B146" s="320"/>
      <c r="C146" s="662" t="s">
        <v>2745</v>
      </c>
      <c r="D146" s="661">
        <v>734000000</v>
      </c>
      <c r="E146" s="115">
        <v>2853973800000</v>
      </c>
      <c r="F146" s="322">
        <f t="shared" si="2"/>
        <v>2.5718526217724913E-2</v>
      </c>
      <c r="G146" s="48"/>
      <c r="H146" s="48"/>
      <c r="I146" s="659"/>
      <c r="J146" s="659"/>
      <c r="K146" s="659"/>
      <c r="L146" s="659"/>
      <c r="M146" s="659"/>
      <c r="N146" s="659"/>
      <c r="O146" s="659"/>
    </row>
    <row r="147" spans="1:15" s="18" customFormat="1" ht="21" customHeight="1">
      <c r="A147" s="16"/>
      <c r="B147" s="320"/>
      <c r="C147" s="662" t="s">
        <v>2746</v>
      </c>
      <c r="D147" s="661">
        <v>1947500000</v>
      </c>
      <c r="E147" s="115">
        <v>2853973800000</v>
      </c>
      <c r="F147" s="322">
        <f t="shared" si="2"/>
        <v>6.8238187750707446E-2</v>
      </c>
      <c r="G147" s="48"/>
      <c r="H147" s="48"/>
      <c r="I147" s="659"/>
      <c r="J147" s="659"/>
      <c r="K147" s="659"/>
      <c r="L147" s="659"/>
      <c r="M147" s="659"/>
      <c r="N147" s="659"/>
      <c r="O147" s="659"/>
    </row>
    <row r="148" spans="1:15" s="18" customFormat="1" ht="21" customHeight="1">
      <c r="A148" s="16"/>
      <c r="B148" s="320"/>
      <c r="C148" s="662" t="s">
        <v>2747</v>
      </c>
      <c r="D148" s="661">
        <v>1221200000</v>
      </c>
      <c r="E148" s="115">
        <v>2853973800000</v>
      </c>
      <c r="F148" s="322">
        <f t="shared" si="2"/>
        <v>4.278946078622025E-2</v>
      </c>
      <c r="G148" s="48"/>
      <c r="H148" s="48"/>
      <c r="I148" s="659"/>
      <c r="J148" s="659"/>
      <c r="K148" s="659"/>
      <c r="L148" s="659"/>
      <c r="M148" s="659"/>
      <c r="N148" s="659"/>
      <c r="O148" s="659"/>
    </row>
    <row r="149" spans="1:15" s="656" customFormat="1" ht="21" customHeight="1">
      <c r="A149" s="648"/>
      <c r="B149" s="315"/>
      <c r="C149" s="660" t="s">
        <v>2748</v>
      </c>
      <c r="D149" s="661">
        <v>123300000</v>
      </c>
      <c r="E149" s="120">
        <v>2853973800000</v>
      </c>
      <c r="F149" s="318">
        <f t="shared" si="2"/>
        <v>4.3202919382091028E-3</v>
      </c>
      <c r="G149" s="40"/>
      <c r="H149" s="40"/>
      <c r="I149" s="663"/>
      <c r="J149" s="663"/>
      <c r="K149" s="663"/>
      <c r="L149" s="663"/>
      <c r="M149" s="663"/>
      <c r="N149" s="663"/>
      <c r="O149" s="663"/>
    </row>
    <row r="150" spans="1:15" s="18" customFormat="1" ht="36.75" customHeight="1">
      <c r="A150" s="16"/>
      <c r="B150" s="320"/>
      <c r="C150" s="662" t="s">
        <v>2749</v>
      </c>
      <c r="D150" s="661">
        <v>123300000</v>
      </c>
      <c r="E150" s="115">
        <v>2853973800000</v>
      </c>
      <c r="F150" s="322">
        <f t="shared" si="2"/>
        <v>4.3202919382091028E-3</v>
      </c>
      <c r="G150" s="48"/>
      <c r="H150" s="48"/>
      <c r="I150" s="659"/>
      <c r="J150" s="659"/>
      <c r="K150" s="659"/>
      <c r="L150" s="659"/>
      <c r="M150" s="659"/>
      <c r="N150" s="659"/>
      <c r="O150" s="659"/>
    </row>
    <row r="151" spans="1:15" s="18" customFormat="1" ht="21" customHeight="1">
      <c r="A151" s="16"/>
      <c r="B151" s="320"/>
      <c r="C151" s="662"/>
      <c r="D151" s="661"/>
      <c r="E151" s="115">
        <v>2853973800000</v>
      </c>
      <c r="F151" s="322"/>
      <c r="G151" s="48"/>
      <c r="H151" s="48"/>
      <c r="I151" s="659"/>
      <c r="J151" s="659"/>
      <c r="K151" s="659"/>
      <c r="L151" s="659"/>
      <c r="M151" s="659"/>
      <c r="N151" s="659"/>
      <c r="O151" s="659"/>
    </row>
    <row r="152" spans="1:15" s="656" customFormat="1" ht="21" customHeight="1">
      <c r="A152" s="648"/>
      <c r="B152" s="315"/>
      <c r="C152" s="657" t="s">
        <v>372</v>
      </c>
      <c r="D152" s="658">
        <f>+D153</f>
        <v>1641175221512</v>
      </c>
      <c r="E152" s="120">
        <v>2853973800000</v>
      </c>
      <c r="F152" s="318">
        <f t="shared" si="2"/>
        <v>57.50491548002298</v>
      </c>
      <c r="G152" s="40"/>
      <c r="H152" s="40"/>
      <c r="I152" s="663"/>
      <c r="J152" s="663"/>
      <c r="K152" s="663"/>
      <c r="L152" s="663"/>
      <c r="M152" s="663"/>
      <c r="N152" s="663"/>
      <c r="O152" s="663"/>
    </row>
    <row r="153" spans="1:15" s="656" customFormat="1" ht="21" customHeight="1">
      <c r="A153" s="648"/>
      <c r="B153" s="315"/>
      <c r="C153" s="657" t="s">
        <v>373</v>
      </c>
      <c r="D153" s="658">
        <f>+D154</f>
        <v>1641175221512</v>
      </c>
      <c r="E153" s="120">
        <v>2853973800000</v>
      </c>
      <c r="F153" s="318">
        <f t="shared" si="2"/>
        <v>57.50491548002298</v>
      </c>
      <c r="G153" s="40"/>
      <c r="H153" s="40"/>
      <c r="I153" s="663"/>
      <c r="J153" s="663"/>
      <c r="K153" s="663"/>
      <c r="L153" s="663"/>
      <c r="M153" s="663"/>
      <c r="N153" s="663"/>
      <c r="O153" s="663"/>
    </row>
    <row r="154" spans="1:15" s="656" customFormat="1" ht="21" customHeight="1">
      <c r="A154" s="648"/>
      <c r="B154" s="315"/>
      <c r="C154" s="660" t="s">
        <v>374</v>
      </c>
      <c r="D154" s="661">
        <f>+D155</f>
        <v>1641175221512</v>
      </c>
      <c r="E154" s="120">
        <v>2853973800000</v>
      </c>
      <c r="F154" s="318">
        <f t="shared" si="2"/>
        <v>57.50491548002298</v>
      </c>
      <c r="G154" s="40"/>
      <c r="H154" s="40"/>
      <c r="I154" s="663"/>
      <c r="J154" s="663"/>
      <c r="K154" s="663"/>
      <c r="L154" s="663"/>
      <c r="M154" s="663"/>
      <c r="N154" s="663"/>
      <c r="O154" s="663"/>
    </row>
    <row r="155" spans="1:15" s="656" customFormat="1" ht="21" customHeight="1">
      <c r="A155" s="648"/>
      <c r="B155" s="315"/>
      <c r="C155" s="660" t="s">
        <v>375</v>
      </c>
      <c r="D155" s="661">
        <f>+D156</f>
        <v>1641175221512</v>
      </c>
      <c r="E155" s="120">
        <v>2853973800000</v>
      </c>
      <c r="F155" s="318">
        <f t="shared" si="2"/>
        <v>57.50491548002298</v>
      </c>
      <c r="G155" s="40"/>
      <c r="H155" s="40"/>
      <c r="I155" s="663"/>
      <c r="J155" s="663"/>
      <c r="K155" s="663"/>
      <c r="L155" s="663"/>
      <c r="M155" s="663"/>
      <c r="N155" s="663"/>
      <c r="O155" s="663"/>
    </row>
    <row r="156" spans="1:15" s="656" customFormat="1" ht="21" customHeight="1">
      <c r="A156" s="648"/>
      <c r="B156" s="315"/>
      <c r="C156" s="660" t="s">
        <v>376</v>
      </c>
      <c r="D156" s="661">
        <f>+D157+D160</f>
        <v>1641175221512</v>
      </c>
      <c r="E156" s="120">
        <v>2853973800000</v>
      </c>
      <c r="F156" s="318">
        <f t="shared" si="2"/>
        <v>57.50491548002298</v>
      </c>
      <c r="G156" s="40"/>
      <c r="H156" s="40"/>
      <c r="I156" s="663"/>
      <c r="J156" s="663"/>
      <c r="K156" s="663"/>
      <c r="L156" s="663"/>
      <c r="M156" s="663"/>
      <c r="N156" s="663"/>
      <c r="O156" s="663"/>
    </row>
    <row r="157" spans="1:15" s="656" customFormat="1" ht="21" customHeight="1">
      <c r="A157" s="648"/>
      <c r="B157" s="315"/>
      <c r="C157" s="660" t="s">
        <v>377</v>
      </c>
      <c r="D157" s="661">
        <f>+D158</f>
        <v>1234483960112</v>
      </c>
      <c r="E157" s="120">
        <v>2853973800000</v>
      </c>
      <c r="F157" s="318">
        <f t="shared" si="2"/>
        <v>43.254915658721181</v>
      </c>
      <c r="G157" s="40"/>
      <c r="H157" s="40"/>
      <c r="I157" s="663"/>
      <c r="J157" s="663"/>
      <c r="K157" s="663"/>
      <c r="L157" s="663"/>
      <c r="M157" s="663"/>
      <c r="N157" s="663"/>
      <c r="O157" s="663"/>
    </row>
    <row r="158" spans="1:15" s="656" customFormat="1" ht="21" customHeight="1">
      <c r="A158" s="648"/>
      <c r="B158" s="315"/>
      <c r="C158" s="662" t="s">
        <v>897</v>
      </c>
      <c r="D158" s="661">
        <f>+D159</f>
        <v>1234483960112</v>
      </c>
      <c r="E158" s="120">
        <v>2853973800000</v>
      </c>
      <c r="F158" s="318">
        <f t="shared" si="2"/>
        <v>43.254915658721181</v>
      </c>
      <c r="G158" s="40"/>
      <c r="H158" s="40"/>
      <c r="I158" s="663"/>
      <c r="J158" s="663"/>
      <c r="K158" s="663"/>
      <c r="L158" s="663"/>
      <c r="M158" s="663"/>
      <c r="N158" s="663"/>
      <c r="O158" s="663"/>
    </row>
    <row r="159" spans="1:15" s="656" customFormat="1" ht="21" customHeight="1">
      <c r="A159" s="648"/>
      <c r="B159" s="315"/>
      <c r="C159" s="662" t="s">
        <v>2750</v>
      </c>
      <c r="D159" s="661">
        <v>1234483960112</v>
      </c>
      <c r="E159" s="120">
        <v>2853973800000</v>
      </c>
      <c r="F159" s="318">
        <f t="shared" si="2"/>
        <v>43.254915658721181</v>
      </c>
      <c r="G159" s="40"/>
      <c r="H159" s="40"/>
      <c r="I159" s="663"/>
      <c r="J159" s="663"/>
      <c r="K159" s="663"/>
      <c r="L159" s="663"/>
      <c r="M159" s="663"/>
      <c r="N159" s="663"/>
      <c r="O159" s="663"/>
    </row>
    <row r="160" spans="1:15" s="656" customFormat="1" ht="36.75" customHeight="1">
      <c r="A160" s="648"/>
      <c r="B160" s="315"/>
      <c r="C160" s="660" t="s">
        <v>2549</v>
      </c>
      <c r="D160" s="661">
        <f>+D161</f>
        <v>406691261400</v>
      </c>
      <c r="E160" s="120">
        <v>2853973800000</v>
      </c>
      <c r="F160" s="318">
        <f t="shared" si="2"/>
        <v>14.249999821301792</v>
      </c>
      <c r="G160" s="40"/>
      <c r="H160" s="40"/>
      <c r="I160" s="663"/>
      <c r="J160" s="663"/>
      <c r="K160" s="663"/>
      <c r="L160" s="663"/>
      <c r="M160" s="663"/>
      <c r="N160" s="663"/>
      <c r="O160" s="663"/>
    </row>
    <row r="161" spans="1:15" s="656" customFormat="1" ht="21" customHeight="1">
      <c r="A161" s="648"/>
      <c r="B161" s="315"/>
      <c r="C161" s="662" t="s">
        <v>2751</v>
      </c>
      <c r="D161" s="661">
        <f>+D162</f>
        <v>406691261400</v>
      </c>
      <c r="E161" s="120">
        <v>2853973800000</v>
      </c>
      <c r="F161" s="318">
        <f t="shared" si="2"/>
        <v>14.249999821301792</v>
      </c>
      <c r="G161" s="40"/>
      <c r="H161" s="40"/>
      <c r="I161" s="663"/>
      <c r="J161" s="663"/>
      <c r="K161" s="663"/>
      <c r="L161" s="663"/>
      <c r="M161" s="663"/>
      <c r="N161" s="663"/>
      <c r="O161" s="663"/>
    </row>
    <row r="162" spans="1:15" s="656" customFormat="1" ht="21" customHeight="1">
      <c r="A162" s="648"/>
      <c r="B162" s="665"/>
      <c r="C162" s="666" t="s">
        <v>2752</v>
      </c>
      <c r="D162" s="667">
        <v>406691261400</v>
      </c>
      <c r="E162" s="263">
        <v>2853973800000</v>
      </c>
      <c r="F162" s="668">
        <f t="shared" si="2"/>
        <v>14.249999821301792</v>
      </c>
      <c r="G162" s="669"/>
      <c r="H162" s="669"/>
      <c r="I162" s="670"/>
      <c r="J162" s="670"/>
      <c r="K162" s="670"/>
      <c r="L162" s="670"/>
      <c r="M162" s="670"/>
      <c r="N162" s="670"/>
      <c r="O162" s="670"/>
    </row>
    <row r="163" spans="1:15" s="18" customFormat="1" ht="21" customHeight="1">
      <c r="A163" s="16"/>
      <c r="B163" s="671"/>
      <c r="C163" s="672" t="s">
        <v>2753</v>
      </c>
      <c r="D163" s="673">
        <f>+D12</f>
        <v>2711275076000</v>
      </c>
      <c r="E163" s="269">
        <v>2853973800000</v>
      </c>
      <c r="F163" s="74">
        <f>D163/D163*100</f>
        <v>100</v>
      </c>
      <c r="G163" s="674"/>
      <c r="H163" s="674"/>
      <c r="I163" s="674"/>
      <c r="J163" s="674"/>
      <c r="K163" s="674"/>
      <c r="L163" s="674"/>
      <c r="M163" s="674"/>
      <c r="N163" s="1657"/>
      <c r="O163" s="674"/>
    </row>
    <row r="164" spans="1:15" ht="36" customHeight="1">
      <c r="A164" s="675"/>
      <c r="B164" s="676"/>
      <c r="C164" s="677"/>
      <c r="D164" s="632"/>
      <c r="E164" s="678"/>
      <c r="F164" s="679"/>
      <c r="G164" s="620"/>
      <c r="H164" s="620"/>
      <c r="I164" s="620"/>
      <c r="J164" s="620"/>
      <c r="K164" s="620"/>
      <c r="L164" s="620"/>
      <c r="M164" s="620"/>
      <c r="N164" s="620"/>
      <c r="O164" s="1641"/>
    </row>
    <row r="165" spans="1:15" ht="36" customHeight="1">
      <c r="B165" s="680"/>
      <c r="C165" s="689"/>
      <c r="E165" s="682">
        <f>+E163-D163</f>
        <v>142698724000</v>
      </c>
      <c r="F165" s="683"/>
    </row>
    <row r="166" spans="1:15" ht="36" customHeight="1">
      <c r="B166" s="680"/>
      <c r="C166" s="1783"/>
      <c r="D166" s="1784"/>
      <c r="E166" s="684"/>
      <c r="F166" s="683"/>
    </row>
    <row r="167" spans="1:15" ht="36" customHeight="1">
      <c r="B167" s="680"/>
      <c r="C167" s="1785"/>
      <c r="D167" s="1785"/>
      <c r="E167" s="684"/>
      <c r="F167" s="683"/>
    </row>
    <row r="168" spans="1:15" ht="36" customHeight="1">
      <c r="B168" s="680"/>
      <c r="C168" s="1783"/>
      <c r="D168" s="1784"/>
      <c r="E168" s="684"/>
      <c r="F168" s="683"/>
    </row>
    <row r="169" spans="1:15" ht="36" customHeight="1">
      <c r="C169" s="690"/>
    </row>
  </sheetData>
  <mergeCells count="16">
    <mergeCell ref="C166:D166"/>
    <mergeCell ref="C167:D167"/>
    <mergeCell ref="C168:D168"/>
    <mergeCell ref="B9:B10"/>
    <mergeCell ref="C9:C10"/>
    <mergeCell ref="D9:F9"/>
    <mergeCell ref="G9:J9"/>
    <mergeCell ref="K9:N9"/>
    <mergeCell ref="O9:O10"/>
    <mergeCell ref="B1:O1"/>
    <mergeCell ref="B2:O2"/>
    <mergeCell ref="B3:O3"/>
    <mergeCell ref="B4:O4"/>
    <mergeCell ref="B7:C7"/>
    <mergeCell ref="G7:K7"/>
    <mergeCell ref="M7:N7"/>
  </mergeCells>
  <printOptions horizontalCentered="1"/>
  <pageMargins left="0.78740157480314965" right="0" top="0.39370078740157483" bottom="0.39370078740157483" header="0" footer="0"/>
  <pageSetup paperSize="9" scale="52" fitToHeight="0" orientation="portrait" r:id="rId1"/>
  <rowBreaks count="1" manualBreakCount="1">
    <brk id="151" min="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20</vt:i4>
      </vt:variant>
    </vt:vector>
  </HeadingPairs>
  <TitlesOfParts>
    <vt:vector size="31" baseType="lpstr">
      <vt:lpstr>A.1</vt:lpstr>
      <vt:lpstr>Sheet1</vt:lpstr>
      <vt:lpstr>A.2</vt:lpstr>
      <vt:lpstr>A.3</vt:lpstr>
      <vt:lpstr>A.4</vt:lpstr>
      <vt:lpstr>A.5</vt:lpstr>
      <vt:lpstr>A.6</vt:lpstr>
      <vt:lpstr>A.7 </vt:lpstr>
      <vt:lpstr>A.8</vt:lpstr>
      <vt:lpstr>A.9</vt:lpstr>
      <vt:lpstr>A.10</vt:lpstr>
      <vt:lpstr>A.1!Print_Area</vt:lpstr>
      <vt:lpstr>A.10!Print_Area</vt:lpstr>
      <vt:lpstr>A.2!Print_Area</vt:lpstr>
      <vt:lpstr>A.3!Print_Area</vt:lpstr>
      <vt:lpstr>A.4!Print_Area</vt:lpstr>
      <vt:lpstr>A.5!Print_Area</vt:lpstr>
      <vt:lpstr>A.6!Print_Area</vt:lpstr>
      <vt:lpstr>'A.7 '!Print_Area</vt:lpstr>
      <vt:lpstr>A.8!Print_Area</vt:lpstr>
      <vt:lpstr>A.9!Print_Area</vt:lpstr>
      <vt:lpstr>A.1!Print_Titles</vt:lpstr>
      <vt:lpstr>A.10!Print_Titles</vt:lpstr>
      <vt:lpstr>A.2!Print_Titles</vt:lpstr>
      <vt:lpstr>A.3!Print_Titles</vt:lpstr>
      <vt:lpstr>A.4!Print_Titles</vt:lpstr>
      <vt:lpstr>A.5!Print_Titles</vt:lpstr>
      <vt:lpstr>A.6!Print_Titles</vt:lpstr>
      <vt:lpstr>'A.7 '!Print_Titles</vt:lpstr>
      <vt:lpstr>A.8!Print_Titles</vt:lpstr>
      <vt:lpstr>A.9!Print_Titles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cp:lastPrinted>2020-08-03T02:06:04Z</cp:lastPrinted>
  <dcterms:created xsi:type="dcterms:W3CDTF">2020-04-24T03:02:03Z</dcterms:created>
  <dcterms:modified xsi:type="dcterms:W3CDTF">2020-09-28T02:15:46Z</dcterms:modified>
</cp:coreProperties>
</file>